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I:\14-MarquisBook\excel_dockers\"/>
    </mc:Choice>
  </mc:AlternateContent>
  <xr:revisionPtr documentId="13_ncr:1_{A1F7601B-A2BF-473B-B915-842A64E4125C}" revIDLastSave="0" xr10:uidLastSave="{00000000-0000-0000-0000-000000000000}" xr6:coauthVersionLast="47" xr6:coauthVersionMax="47"/>
  <bookViews>
    <workbookView activeTab="13" firstSheet="8" tabRatio="890" windowHeight="15720" windowWidth="29040" xWindow="-120" xr2:uid="{00000000-000D-0000-FFFF-FFFF00000000}" yWindow="-120"/>
  </bookViews>
  <sheets>
    <sheet name="CHINA" r:id="rId1" sheetId="231"/>
    <sheet name="USA" r:id="rId2" sheetId="247"/>
    <sheet name="Freight matrix" r:id="rId3" sheetId="227"/>
    <sheet name="BRAZIL domestic" r:id="rId4" sheetId="248"/>
    <sheet name="INDIA" r:id="rId5" sheetId="242"/>
    <sheet name="FOB origin" r:id="rId6" sheetId="232"/>
    <sheet name="EU" r:id="rId7" sheetId="230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<sst xmlns="http://schemas.openxmlformats.org/spreadsheetml/2006/main" count="4662" uniqueCount="4662">
  <si>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</si>
  <si>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</si>
  <si>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</si>
  <si>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</si>
  <si>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</si>
  <si>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</si>
  <si>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</si>
  <si>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</si>
  <si>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</si>
  <si>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</si>
  <si>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</si>
  <si>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</si>
  <si>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</si>
  <si>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</si>
  <si>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</si>
  <si>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</si>
  <si>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</si>
  <si>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</si>
  <si>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</si>
  <si>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</si>
  <si>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</si>
  <si>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</si>
  <si>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</si>
  <si>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</si>
  <si>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</si>
  <si>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</si>
  <si>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</si>
  <si>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</si>
  <si>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</si>
  <si>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</si>
  <si>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</si>
  <si>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</si>
  <si>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</si>
  <si>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</si>
  <si>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</si>
  <si>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</si>
  <si>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</si>
  <si>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</si>
  <si>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</si>
  <si>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</si>
  <si>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</si>
  <si>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</si>
  <si>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</si>
  <si>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</si>
  <si>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</si>
  <si>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</si>
  <si>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</si>
  <si>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</si>
  <si>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</si>
  <si>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</si>
  <si>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</si>
  <si>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</si>
  <si>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</si>
  <si>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</si>
  <si>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</si>
  <si>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</si>
  <si>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</si>
  <si>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</si>
  <si>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</si>
  <si>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</si>
  <si>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</si>
  <si>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</si>
  <si>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</si>
  <si>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</si>
  <si>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</si>
  <si>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</si>
  <si>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</si>
  <si>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</si>
  <si>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</si>
  <si>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</si>
  <si>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</si>
  <si>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</si>
  <si>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</si>
  <si>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</si>
  <si>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</si>
  <si>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</si>
  <si>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</si>
  <si>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</si>
  <si>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</si>
  <si>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</si>
  <si>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</si>
  <si>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</si>
  <si>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</si>
  <si>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</si>
  <si>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</si>
  <si>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</si>
  <si>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</si>
  <si>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</si>
  <si>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</si>
  <si>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</si>
  <si>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</si>
  <si>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</si>
  <si>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</si>
  <si>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</si>
  <si>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</si>
  <si>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</si>
  <si>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</si>
  <si>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</si>
  <si>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</si>
  <si>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</si>
  <si>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</si>
  <si>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</si>
  <si>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</si>
  <si>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</si>
  <si>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</si>
  <si>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</si>
  <si>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</si>
  <si>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</si>
  <si>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</si>
  <si>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</si>
  <si>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</si>
  <si>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</si>
  <si>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</si>
  <si>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</si>
  <si>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</si>
  <si>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</si>
  <si>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</si>
  <si>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</si>
  <si>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</si>
  <si>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</si>
  <si>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</si>
  <si>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</si>
  <si>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</si>
  <si>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</si>
  <si>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</si>
  <si>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</si>
  <si>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</si>
  <si>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</si>
  <si>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</si>
  <si>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</si>
  <si>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</si>
  <si>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</si>
  <si>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</si>
  <si>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</si>
  <si>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</si>
  <si>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</si>
  <si>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</si>
  <si>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</si>
  <si>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</si>
  <si>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</si>
  <si>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</si>
  <si>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</si>
  <si>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</si>
  <si>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</si>
  <si>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</si>
  <si>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</si>
  <si>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</si>
  <si>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</si>
  <si>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</si>
  <si>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</si>
  <si>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</si>
  <si>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</si>
  <si>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</si>
  <si>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</si>
  <si>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</si>
  <si>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</si>
  <si>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</si>
  <si>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</si>
  <si>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</si>
  <si>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</si>
  <si>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</si>
  <si>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</si>
  <si>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</si>
  <si>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</si>
  <si>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</si>
  <si>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</si>
  <si>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</si>
  <si>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</si>
  <si>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</si>
  <si>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</si>
  <si>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</si>
  <si>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</si>
  <si>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</si>
  <si>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</si>
  <si>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</si>
  <si>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</si>
  <si>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</si>
  <si>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</si>
  <si>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</si>
  <si>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</si>
  <si>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</si>
  <si>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</si>
  <si>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</si>
  <si>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</si>
  <si>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</si>
  <si>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</si>
  <si>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</si>
  <si>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</si>
  <si>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</si>
  <si>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</si>
  <si>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</si>
  <si>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</si>
  <si>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</si>
  <si>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</si>
  <si>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</si>
  <si>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</si>
  <si>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</si>
  <si>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</si>
  <si>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</si>
  <si>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</si>
  <si>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</si>
  <si>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</si>
  <si>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</si>
  <si>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</si>
  <si>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</si>
  <si>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</si>
  <si>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</si>
  <si>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</si>
  <si>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</si>
  <si>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</si>
  <si>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</si>
  <si>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</si>
  <si>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</si>
  <si>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</si>
  <si>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</si>
  <si>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</si>
  <si>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</si>
  <si>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</si>
  <si>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</si>
  <si>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</si>
  <si>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</si>
  <si>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</si>
  <si>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</si>
  <si>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</si>
  <si>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</si>
  <si>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</si>
  <si>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</si>
  <si>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</si>
  <si>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</si>
  <si>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</si>
  <si>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</si>
  <si>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</si>
  <si>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</si>
  <si>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</si>
  <si>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</si>
  <si>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</si>
  <si>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</si>
  <si>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</si>
  <si>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</si>
  <si>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</si>
  <si>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</si>
  <si>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</si>
  <si>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</si>
  <si>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</si>
  <si>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</si>
  <si>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</si>
  <si>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</si>
  <si>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</si>
  <si>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</si>
  <si>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</si>
  <si>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</si>
  <si>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</si>
  <si>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</si>
  <si>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</si>
  <si>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</si>
  <si>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</si>
  <si>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</si>
  <si>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</si>
  <si>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</si>
  <si>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</si>
  <si>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</si>
  <si>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</si>
  <si>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</si>
  <si>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</si>
  <si>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</si>
  <si>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</si>
  <si>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</si>
  <si>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</si>
  <si>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</si>
  <si>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</si>
  <si>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</si>
  <si>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</si>
  <si>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</si>
  <si>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</si>
  <si>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</si>
  <si>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</si>
  <si>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</si>
  <si>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</si>
  <si>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</si>
  <si>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</si>
  <si>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</si>
  <si>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</si>
  <si>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</si>
  <si>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</si>
  <si>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</si>
  <si>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</si>
  <si>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</si>
  <si>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</si>
  <si>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</si>
  <si>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</si>
  <si>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</si>
  <si>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</si>
  <si>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</si>
  <si>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</si>
  <si>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</si>
  <si>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</si>
  <si>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</si>
  <si>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</si>
  <si>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</si>
  <si>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</si>
  <si>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</si>
  <si>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</si>
  <si>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</si>
  <si>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</si>
  <si>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</si>
  <si>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</si>
  <si>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</si>
  <si>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</si>
  <si>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</si>
  <si>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</si>
  <si>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</si>
  <si>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</si>
  <si>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</si>
  <si>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</si>
  <si>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</si>
  <si>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</si>
  <si>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</si>
  <si>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</si>
  <si>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</si>
  <si>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</si>
  <si>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</si>
  <si>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</si>
  <si>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</si>
  <si>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</si>
  <si>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</si>
  <si>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</si>
  <si>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</si>
  <si>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</si>
  <si>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</si>
  <si>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</si>
  <si>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</si>
  <si>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</si>
  <si>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</si>
  <si>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</si>
  <si>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</si>
  <si>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</si>
  <si>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</si>
  <si>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</si>
  <si>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</si>
  <si>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</si>
  <si>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</si>
  <si>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</si>
  <si>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</si>
  <si>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</si>
  <si>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</si>
  <si>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</si>
  <si>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</si>
  <si>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</si>
  <si>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</si>
  <si>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</si>
  <si>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</si>
  <si>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</si>
  <si>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</si>
  <si>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</si>
  <si>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</si>
  <si>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</si>
  <si>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</si>
  <si>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</si>
  <si>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</si>
  <si>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</si>
  <si>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</si>
  <si>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</si>
  <si>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</si>
  <si>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</si>
  <si>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</si>
  <si>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</si>
  <si>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</si>
  <si>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</si>
  <si>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</si>
  <si>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</si>
  <si>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</si>
  <si>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</si>
  <si>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</si>
  <si>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</si>
  <si>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</si>
  <si>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</si>
  <si>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</si>
  <si>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</si>
  <si>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</si>
  <si>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</si>
  <si>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</si>
  <si>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</si>
  <si>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</si>
  <si>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</si>
  <si>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</si>
  <si>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</si>
  <si>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</si>
  <si>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</si>
  <si>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</si>
  <si>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</si>
  <si>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</si>
  <si>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</si>
  <si>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</si>
  <si>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</si>
  <si>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</si>
  <si>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</si>
  <si>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</si>
  <si>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</si>
  <si>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</si>
  <si>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</si>
  <si>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</si>
  <si>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</si>
  <si>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</si>
  <si>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</si>
  <si>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</si>
  <si>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</si>
  <si>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</si>
  <si>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</si>
  <si>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</si>
  <si>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</si>
  <si>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</si>
  <si>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</si>
  <si>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</si>
  <si>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</si>
  <si>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</si>
  <si>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</si>
  <si>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</si>
  <si>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</si>
  <si>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</si>
  <si>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</si>
  <si>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</si>
  <si>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</si>
  <si>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</si>
  <si>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</si>
  <si>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</si>
  <si>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</si>
  <si>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</si>
  <si>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</si>
  <si>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</si>
  <si>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</si>
  <si>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</si>
  <si>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</si>
  <si>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</si>
  <si>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</si>
  <si>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</si>
  <si>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</si>
  <si>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</si>
  <si>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</si>
  <si>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</si>
  <si>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</si>
  <si>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</si>
  <si>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</si>
  <si>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</si>
  <si>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</si>
  <si>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</si>
  <si>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</si>
  <si>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</si>
  <si>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</si>
  <si>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</si>
  <si>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</si>
  <si>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</si>
  <si>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</si>
  <si>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</si>
  <si>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</si>
  <si>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</si>
  <si>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</si>
  <si>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</si>
  <si>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</si>
  <si>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</si>
  <si>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</si>
  <si>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</si>
  <si>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</si>
  <si>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</si>
  <si>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</si>
  <si>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</si>
  <si>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</si>
  <si>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</si>
  <si>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</si>
  <si>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</si>
  <si>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</si>
  <si>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</si>
  <si>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</si>
  <si>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</si>
  <si>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</si>
  <si>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</si>
  <si>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</si>
  <si>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</si>
  <si>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</si>
  <si>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</si>
  <si>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</si>
  <si>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</si>
  <si>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</si>
  <si>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</si>
  <si>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</si>
  <si>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</si>
  <si>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</si>
  <si>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</si>
  <si>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</si>
  <si>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</si>
  <si>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</si>
  <si>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</si>
  <si>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</si>
  <si>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</si>
  <si>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</si>
  <si>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</si>
  <si>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</si>
  <si>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</si>
  <si>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</si>
  <si>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</si>
  <si>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</si>
  <si>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</si>
  <si>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</si>
  <si>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</si>
  <si>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</si>
  <si>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</si>
  <si>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</si>
  <si>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</si>
  <si>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</si>
  <si>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</si>
  <si>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</si>
  <si>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</si>
  <si>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</si>
  <si>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</si>
  <si>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</si>
  <si>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</si>
  <si>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</si>
  <si>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</si>
  <si>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</si>
  <si>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</si>
  <si>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</si>
  <si>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</si>
  <si>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</si>
  <si>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</si>
  <si>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</si>
  <si>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</si>
  <si>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</si>
  <si>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</si>
  <si>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</si>
  <si>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</si>
  <si>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</si>
  <si>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</si>
  <si>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</si>
  <si>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</si>
  <si>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</si>
  <si>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</si>
  <si>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</si>
  <si>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</si>
  <si>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</si>
  <si>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</si>
  <si>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</si>
  <si>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</si>
  <si>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</si>
  <si>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</si>
  <si>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</si>
  <si>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</si>
  <si>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</si>
  <si>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</si>
  <si>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</si>
  <si>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</si>
  <si>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</si>
  <si>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</si>
  <si>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</si>
  <si>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</si>
  <si>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</si>
  <si>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</si>
  <si>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</si>
  <si>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</si>
  <si>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</si>
  <si>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</si>
  <si>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</si>
  <si>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</si>
  <si>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</si>
  <si>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</si>
  <si>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</si>
  <si>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</si>
  <si>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</si>
  <si>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</si>
  <si>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</si>
  <si>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</si>
  <si>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</si>
  <si>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</si>
  <si>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</si>
  <si>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</si>
  <si>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</si>
  <si>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</si>
  <si>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</si>
  <si>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</si>
  <si>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</si>
  <si>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</si>
  <si>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</si>
  <si>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</si>
  <si>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</si>
  <si>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</si>
  <si>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</si>
  <si>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</si>
  <si>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</si>
  <si>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</si>
  <si>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</si>
  <si>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</si>
  <si>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</si>
  <si>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</si>
  <si>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</si>
  <si>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</si>
  <si>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</si>
  <si>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</si>
  <si>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</si>
  <si>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</si>
  <si>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</si>
  <si>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</si>
  <si>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</si>
  <si>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</si>
  <si>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</si>
  <si>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</si>
  <si>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</si>
  <si>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</si>
  <si>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</si>
  <si>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</si>
  <si>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</si>
  <si>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</si>
  <si>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</si>
  <si>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</si>
  <si>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</si>
  <si>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</si>
  <si>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</si>
  <si>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</si>
  <si>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</si>
  <si>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</si>
  <si>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</si>
  <si>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</si>
  <si>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</si>
  <si>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</si>
  <si>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</si>
  <si>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</si>
  <si>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</si>
  <si>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</si>
  <si>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</si>
  <si>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</si>
  <si>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</si>
  <si>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</si>
  <si>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</si>
  <si>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</si>
  <si>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</si>
  <si>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</si>
  <si>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</si>
  <si>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</si>
  <si>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</si>
  <si>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</si>
  <si>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</si>
  <si>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</si>
  <si>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</si>
  <si>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</si>
  <si>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</si>
  <si>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</si>
  <si>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</si>
  <si>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</si>
  <si>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</si>
  <si>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</si>
  <si>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</si>
  <si>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</si>
  <si>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</si>
  <si>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</si>
  <si>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</si>
  <si>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</si>
  <si>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</si>
  <si>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</si>
  <si>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</si>
  <si>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</si>
  <si>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</si>
  <si>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</si>
  <si>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</si>
  <si>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</si>
  <si>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</si>
  <si>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</si>
  <si>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</si>
  <si>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</si>
  <si>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</si>
  <si>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</si>
  <si>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</si>
  <si>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</si>
  <si>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</si>
  <si>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</si>
  <si>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</si>
  <si>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</si>
  <si>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</si>
  <si>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</si>
  <si>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</si>
  <si>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</si>
  <si>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</si>
  <si>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</si>
  <si>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</si>
  <si>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</si>
  <si>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</si>
  <si>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</si>
  <si>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</si>
  <si>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</si>
  <si>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</si>
  <si>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</si>
  <si>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</si>
  <si>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</si>
  <si>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</si>
  <si>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</si>
  <si>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</si>
  <si>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</si>
  <si>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</si>
  <si>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</si>
  <si>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</si>
  <si>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</si>
  <si>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</si>
  <si>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</si>
  <si>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</si>
  <si>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</si>
  <si>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</si>
  <si>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</si>
  <si>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</si>
  <si>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</si>
  <si>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</si>
  <si>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</si>
  <si>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</si>
  <si>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</si>
  <si>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</si>
  <si>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</si>
  <si>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</si>
  <si>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</si>
  <si>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</si>
  <si>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</si>
  <si>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</si>
  <si>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</si>
  <si>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</si>
  <si>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</si>
  <si>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</si>
  <si>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</si>
  <si>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</si>
  <si>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</si>
  <si>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</si>
  <si>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</si>
  <si>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</si>
  <si>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</si>
  <si>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</si>
  <si>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</si>
  <si>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</si>
  <si>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</si>
  <si>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</si>
  <si>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</si>
  <si>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</si>
  <si>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</si>
  <si>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</si>
  <si>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</si>
  <si>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</si>
  <si>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</si>
  <si>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</si>
  <si>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</si>
  <si>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</si>
  <si>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</si>
  <si>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</si>
  <si>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</si>
  <si>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</si>
  <si>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</si>
  <si>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</si>
  <si>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</si>
  <si>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</si>
  <si>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</si>
  <si>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</si>
  <si>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</si>
  <si>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</si>
  <si>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</si>
  <si>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</si>
  <si>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</si>
  <si>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</si>
  <si>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</si>
  <si>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</si>
  <si>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</si>
  <si>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</si>
  <si>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</si>
  <si>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</si>
  <si>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</si>
  <si>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</si>
  <si>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</si>
  <si>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</si>
  <si>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</si>
  <si>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</si>
  <si>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</si>
  <si>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</si>
  <si>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</si>
  <si>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</si>
  <si>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</si>
  <si>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</si>
  <si>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</si>
  <si>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</si>
  <si>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</si>
  <si>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</si>
  <si>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</si>
  <si>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</si>
  <si>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</si>
  <si>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</si>
  <si>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</si>
  <si>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</si>
  <si>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</si>
  <si>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</si>
  <si>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</si>
  <si>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</si>
  <si>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</si>
  <si>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</si>
  <si>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</si>
  <si>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</si>
  <si>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</si>
  <si>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</si>
  <si>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</si>
  <si>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</si>
  <si>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</si>
  <si>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</si>
  <si>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</si>
  <si>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</si>
  <si>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</si>
  <si>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</si>
  <si>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</si>
  <si>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</si>
  <si>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</si>
  <si>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</si>
  <si>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</si>
  <si>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</si>
  <si>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</si>
  <si>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</si>
  <si>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</si>
  <si>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</si>
  <si>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</si>
  <si>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</si>
  <si>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</si>
  <si>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</si>
  <si>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</si>
  <si>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</si>
  <si>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</si>
  <si>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</si>
  <si>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</si>
  <si>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</si>
  <si>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</si>
  <si>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</si>
  <si>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</si>
  <si>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</si>
  <si>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</si>
  <si>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</si>
  <si>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</si>
  <si>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</si>
  <si>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</si>
  <si>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</si>
  <si>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</si>
  <si>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</si>
  <si>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</si>
  <si>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</si>
  <si>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</si>
  <si>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</si>
  <si>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</si>
  <si>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</si>
  <si>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</si>
  <si>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</si>
  <si>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</si>
  <si>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</si>
  <si>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</si>
  <si>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</si>
  <si>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</si>
  <si>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</si>
  <si>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</si>
  <si>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</si>
  <si>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</si>
  <si>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</si>
  <si>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</si>
  <si>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</si>
  <si>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</si>
  <si>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</si>
  <si>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</si>
  <si>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</si>
  <si>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</si>
  <si>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</si>
  <si>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</si>
  <si>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</si>
  <si>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</si>
  <si>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</si>
  <si>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</si>
  <si>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</si>
  <si>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</si>
  <si>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</si>
  <si>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</si>
  <si>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</si>
  <si>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</si>
  <si>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</si>
  <si>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</si>
  <si>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</si>
  <si>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</si>
  <si>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</si>
  <si>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</si>
  <si>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</si>
  <si>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</si>
  <si>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</si>
  <si>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</si>
  <si>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</si>
  <si>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</si>
  <si>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</si>
  <si>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</si>
  <si>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</si>
  <si>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</si>
  <si>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</si>
  <si>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</si>
  <si>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</si>
  <si>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</si>
  <si>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</si>
  <si>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</si>
  <si>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</si>
  <si>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</si>
  <si>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</si>
  <si>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</si>
  <si>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</si>
  <si>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</si>
  <si>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</si>
  <si>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</si>
  <si>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</si>
  <si>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</si>
  <si>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</si>
  <si>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</si>
  <si>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</si>
  <si>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</si>
  <si>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</si>
  <si>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</si>
  <si>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</si>
  <si>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</si>
  <si>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</si>
  <si>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</si>
  <si>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</si>
  <si>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</si>
  <si>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</si>
  <si>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</si>
  <si>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</si>
  <si>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</si>
  <si>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</si>
  <si>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</si>
  <si>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</si>
  <si>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</si>
  <si>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</si>
  <si>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</si>
  <si>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</si>
  <si>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</si>
  <si>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</si>
  <si>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</si>
  <si>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</si>
  <si>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</si>
  <si>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</si>
  <si>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</si>
  <si>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</si>
  <si>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</si>
  <si>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</si>
  <si>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</si>
  <si>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</si>
  <si>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</si>
  <si>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</si>
  <si>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</si>
  <si>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</si>
  <si>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</si>
  <si>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</si>
  <si>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</si>
  <si>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</si>
  <si>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</si>
  <si>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</si>
  <si>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</si>
  <si>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</si>
  <si>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</si>
  <si>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</si>
  <si>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</si>
  <si>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</si>
  <si>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</si>
  <si>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</si>
  <si>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</si>
  <si>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</si>
  <si>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</si>
  <si>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</si>
  <si>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</si>
  <si>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</si>
  <si>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</si>
  <si>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</si>
  <si>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</si>
  <si>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</si>
  <si>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</si>
  <si>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</si>
  <si>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</si>
  <si>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</si>
  <si>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</si>
  <si>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</si>
  <si>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</si>
  <si>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</si>
  <si>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</si>
  <si>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</si>
  <si>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</si>
  <si>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</si>
  <si>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</si>
  <si>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</si>
  <si>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</si>
  <si>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</si>
  <si>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</si>
  <si>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</si>
  <si>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</si>
  <si>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</si>
  <si>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</si>
  <si>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</si>
  <si>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</si>
  <si>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</si>
  <si>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</si>
  <si>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</si>
  <si>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</si>
  <si>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</si>
  <si>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</si>
  <si>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</si>
  <si>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</si>
  <si>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</si>
  <si>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</si>
  <si>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</si>
  <si>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</si>
  <si>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</si>
  <si>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</si>
  <si>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</si>
  <si>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</si>
  <si>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</si>
  <si>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</si>
  <si>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</si>
  <si>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</si>
  <si>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</si>
  <si>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</si>
  <si>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</si>
  <si>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</si>
  <si>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</si>
  <si>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</si>
  <si>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</si>
  <si>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</si>
  <si>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</si>
  <si>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</si>
  <si>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</si>
  <si>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</si>
  <si>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</si>
  <si>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</si>
  <si>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</si>
  <si>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</si>
  <si>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</si>
  <si>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</si>
  <si>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</si>
  <si>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</si>
  <si>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</si>
  <si>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</si>
  <si>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</si>
  <si>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</si>
  <si>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</si>
  <si>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</si>
  <si>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</si>
  <si>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</si>
  <si>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</si>
  <si>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</si>
  <si>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</si>
  <si>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</si>
  <si>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</si>
  <si>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</si>
  <si>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</si>
  <si>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</si>
  <si>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</si>
  <si>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</si>
  <si>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</si>
  <si>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</si>
  <si>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</si>
  <si>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</si>
  <si>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</si>
  <si>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</si>
  <si>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</si>
  <si>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</si>
  <si>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</si>
  <si>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</si>
  <si>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</si>
  <si>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</si>
  <si>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</si>
  <si>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</si>
  <si>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</si>
  <si>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</si>
  <si>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</si>
  <si>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</si>
  <si>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</si>
  <si>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</si>
  <si>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</si>
  <si>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</si>
  <si>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</si>
  <si>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</si>
  <si>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</si>
  <si>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</si>
  <si>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</si>
  <si>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</si>
  <si>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</si>
  <si>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</si>
  <si>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</si>
  <si>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</si>
  <si>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</si>
  <si>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</si>
  <si>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</si>
  <si>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</si>
  <si>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</si>
  <si>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</si>
  <si>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</si>
  <si>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</si>
  <si>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</si>
  <si>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</si>
  <si>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</si>
  <si>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</si>
  <si>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</si>
  <si>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</si>
  <si>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</si>
  <si>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</si>
  <si>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</si>
  <si>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</si>
  <si>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</si>
  <si>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</si>
  <si>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</si>
  <si>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</si>
  <si>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</si>
  <si>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</si>
  <si>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</si>
  <si>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</si>
  <si>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</si>
  <si>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</si>
  <si>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</si>
  <si>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</si>
  <si>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</si>
  <si>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</si>
  <si>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</si>
  <si>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</si>
  <si>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</si>
  <si>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</si>
  <si>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</si>
  <si>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</si>
  <si>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</si>
  <si>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</si>
  <si>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</si>
  <si>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</si>
  <si>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</si>
  <si>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</si>
  <si>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</si>
  <si>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</si>
  <si>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</si>
  <si>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</si>
  <si>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</si>
  <si>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</si>
  <si>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</si>
  <si>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</si>
  <si>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</si>
  <si>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</si>
  <si>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</si>
  <si>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</si>
  <si>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</si>
  <si>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</si>
  <si>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</si>
  <si>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</si>
  <si>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</si>
  <si>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</si>
  <si>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</si>
  <si>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</si>
  <si>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</si>
  <si>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</si>
  <si>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</si>
  <si>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</si>
  <si>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</si>
  <si>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</si>
  <si>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</si>
  <si>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</si>
  <si>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</si>
  <si>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</si>
  <si>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</si>
  <si>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</si>
  <si>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</si>
  <si>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</si>
  <si>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</si>
  <si>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</si>
  <si>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</si>
  <si>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</si>
  <si>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</si>
  <si>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</si>
  <si>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</si>
  <si>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</si>
  <si>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</si>
  <si>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</si>
  <si>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</si>
  <si>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</si>
  <si>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</si>
  <si>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</si>
  <si>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</si>
  <si>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</si>
  <si>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</si>
  <si>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</si>
  <si>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</si>
  <si>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</si>
  <si>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</si>
  <si>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</si>
  <si>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</si>
  <si>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</si>
  <si>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</si>
  <si>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</si>
  <si>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</si>
  <si>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</si>
  <si>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</si>
  <si>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</si>
  <si>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</si>
  <si>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</si>
  <si>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</si>
  <si>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</si>
  <si>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</si>
  <si>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</si>
  <si>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</si>
  <si>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</si>
  <si>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</si>
  <si>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</si>
  <si>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</si>
  <si>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</si>
  <si>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</si>
  <si>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</si>
  <si>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</si>
  <si>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</si>
  <si>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</si>
  <si>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</si>
  <si>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</si>
  <si>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</si>
  <si>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</si>
  <si>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</si>
  <si>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</si>
  <si>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</si>
  <si>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</si>
  <si>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</si>
  <si>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</si>
  <si>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</si>
  <si>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</si>
  <si>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</si>
  <si>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</si>
  <si>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</si>
  <si>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</si>
  <si>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</si>
  <si>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</si>
  <si>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</si>
  <si>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</si>
  <si>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</si>
  <si>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</si>
  <si>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</si>
  <si>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</si>
  <si>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</si>
  <si>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</si>
  <si>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</si>
  <si>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</si>
  <si>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</si>
  <si>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</si>
  <si>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</si>
  <si>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</si>
  <si>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</si>
  <si>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</si>
  <si>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</si>
  <si>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</si>
  <si>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</si>
  <si>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</si>
  <si>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</si>
  <si>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</si>
  <si>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</si>
  <si>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</si>
  <si>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</si>
  <si>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</si>
  <si>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</si>
  <si>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</si>
  <si>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</si>
  <si>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</si>
  <si>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</si>
  <si>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</si>
  <si>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</si>
  <si>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</si>
  <si>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</si>
  <si>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</si>
  <si>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</si>
  <si>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</si>
  <si>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</si>
  <si>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</si>
  <si>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</si>
  <si>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</si>
  <si>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</si>
  <si>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</si>
  <si>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</si>
  <si>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</si>
  <si>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</si>
  <si>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</si>
  <si>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</si>
  <si>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</si>
  <si>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</si>
  <si>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</si>
  <si>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</si>
  <si>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</si>
  <si>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</si>
  <si>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</si>
  <si>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</si>
  <si>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</si>
  <si>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</si>
  <si>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</si>
  <si>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</si>
  <si>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</si>
  <si>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</si>
  <si>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</si>
  <si>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</si>
  <si>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</si>
  <si>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</si>
  <si>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</si>
  <si>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</si>
  <si>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</si>
  <si>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</si>
  <si>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</si>
  <si>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</si>
  <si>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</si>
  <si>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</si>
  <si>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</si>
  <si>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</si>
  <si>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</si>
  <si>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</si>
  <si>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</si>
  <si>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</si>
  <si>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</si>
  <si>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</si>
  <si>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</si>
  <si>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</si>
  <si>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</si>
  <si>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</si>
  <si>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</si>
  <si>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</si>
  <si>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</si>
  <si>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</si>
  <si>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</si>
  <si>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</si>
  <si>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</si>
  <si>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</si>
  <si>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</si>
  <si>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</si>
  <si>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</si>
  <si>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</si>
  <si>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</si>
  <si>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</si>
  <si>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</si>
  <si>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</si>
  <si>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</si>
  <si>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</si>
  <si>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</si>
  <si>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</si>
  <si>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</si>
  <si>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</si>
  <si>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</si>
  <si>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</si>
  <si>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</si>
  <si>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</si>
  <si>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</si>
  <si>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</si>
  <si>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</si>
  <si>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</si>
  <si>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</si>
  <si>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</si>
  <si>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</si>
  <si>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</si>
  <si>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</si>
  <si>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</si>
  <si>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</si>
  <si>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</si>
  <si>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</si>
  <si>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</si>
  <si>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</si>
  <si>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</si>
  <si>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</si>
  <si>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</si>
  <si>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</si>
  <si>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</si>
  <si>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</si>
  <si>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</si>
  <si>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</si>
  <si>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</si>
  <si>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</si>
  <si>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</si>
  <si>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</si>
  <si>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</si>
  <si>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</si>
  <si>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</si>
  <si>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</si>
  <si>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</si>
  <si>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</si>
  <si>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</si>
  <si>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</si>
  <si>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</si>
  <si>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</si>
  <si>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</si>
  <si>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</si>
  <si>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</si>
  <si>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</si>
  <si>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</si>
  <si>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</si>
  <si>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</si>
  <si>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</si>
  <si>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</si>
  <si>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</si>
  <si>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</si>
  <si>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</si>
  <si>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</si>
  <si>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</si>
  <si>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</si>
  <si>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</si>
  <si>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</si>
  <si>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</si>
  <si>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</si>
  <si>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</si>
  <si>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</si>
  <si>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</si>
  <si>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</si>
  <si>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</si>
  <si>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</si>
  <si>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</si>
  <si>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</si>
  <si>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</si>
  <si>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</si>
  <si>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</si>
  <si>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</si>
  <si>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</si>
  <si>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</si>
  <si>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</si>
  <si>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</si>
  <si>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</si>
  <si>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</si>
  <si>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</si>
  <si>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</si>
  <si>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</si>
  <si>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</si>
  <si>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</si>
  <si>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</si>
  <si>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</si>
  <si>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</si>
  <si>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</si>
  <si>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</si>
  <si>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</si>
  <si>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</si>
  <si>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</si>
  <si>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</si>
  <si>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</si>
  <si>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</si>
  <si>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</si>
  <si>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</si>
  <si>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</si>
  <si>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</si>
  <si>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</si>
  <si>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</si>
  <si>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</si>
  <si>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</si>
  <si>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</si>
  <si>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</si>
  <si>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</si>
  <si>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</si>
  <si>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</si>
  <si>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</si>
  <si>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</si>
  <si>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</si>
  <si>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</si>
  <si>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</si>
  <si>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</si>
  <si>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</si>
  <si>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</si>
  <si>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</si>
  <si>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</si>
  <si>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</si>
  <si>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</si>
  <si>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</si>
  <si>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</si>
  <si>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</si>
  <si>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</si>
  <si>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</si>
  <si>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</si>
  <si>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</si>
  <si>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</si>
  <si>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</si>
  <si>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</si>
  <si>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</si>
  <si>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</si>
  <si>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</si>
  <si>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</si>
  <si>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</si>
  <si>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</si>
  <si>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</si>
  <si>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</si>
  <si>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</si>
  <si>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</si>
  <si>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</si>
  <si>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</si>
  <si>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</si>
  <si>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</si>
  <si>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</si>
  <si>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</si>
  <si>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</si>
  <si>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</si>
  <si>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</si>
  <si>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</si>
  <si>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</si>
  <si>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</si>
  <si>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</si>
  <si>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</si>
  <si>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</si>
  <si>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</si>
  <si>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</si>
  <si>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</si>
  <si>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</si>
  <si>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</si>
  <si>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</si>
  <si>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</si>
  <si>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</si>
  <si>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</si>
  <si>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</si>
  <si>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</si>
  <si>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</si>
  <si>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</si>
  <si>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</si>
  <si>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</si>
  <si>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</si>
  <si>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</si>
  <si>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</si>
  <si>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</si>
  <si>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</si>
  <si>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</si>
  <si>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</si>
  <si>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</si>
  <si>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</si>
  <si>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</si>
  <si>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</si>
  <si>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</si>
  <si>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</si>
  <si>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</si>
  <si>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</si>
  <si>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</si>
  <si>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</si>
  <si>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</si>
  <si>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</si>
  <si>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</si>
  <si>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</si>
  <si>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</si>
  <si>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</si>
  <si>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</si>
  <si>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</si>
  <si>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</si>
  <si>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</si>
  <si>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</si>
  <si>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</si>
  <si>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</si>
  <si>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</si>
  <si>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</si>
  <si>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</si>
  <si>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</si>
  <si>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</si>
  <si>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</si>
  <si>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</si>
  <si>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</si>
  <si>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</si>
  <si>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</si>
  <si>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</si>
  <si>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</si>
  <si>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</si>
  <si>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</si>
  <si>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</si>
  <si>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</si>
  <si>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</si>
  <si>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</si>
  <si>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</si>
  <si>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</si>
  <si>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</si>
  <si>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</si>
  <si>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</si>
  <si>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</si>
  <si>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</si>
  <si>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</si>
  <si>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</si>
  <si>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</si>
  <si>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</si>
  <si>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</si>
  <si>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</si>
  <si>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</si>
  <si>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</si>
  <si>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</si>
  <si>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</si>
  <si>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</si>
  <si>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</si>
  <si>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</si>
  <si>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</si>
  <si>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</si>
  <si>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</si>
  <si>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</si>
  <si>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</si>
  <si>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</si>
  <si>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</si>
  <si>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</si>
  <si>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</si>
  <si>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</si>
  <si>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</si>
  <si>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</si>
  <si>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</si>
  <si>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</si>
  <si>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</si>
  <si>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</si>
  <si>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</si>
  <si>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</si>
  <si>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</si>
  <si>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</si>
  <si>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</si>
  <si>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</si>
  <si>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</si>
  <si>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</si>
  <si>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</si>
  <si>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</si>
  <si>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</si>
  <si>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</si>
  <si>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</si>
  <si>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</si>
  <si>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</si>
  <si>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</si>
  <si>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</si>
  <si>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</si>
  <si>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</si>
  <si>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</si>
  <si>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</si>
  <si>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</si>
  <si>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</si>
  <si>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</si>
  <si>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</si>
  <si>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</si>
  <si>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</si>
  <si>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</si>
  <si>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</si>
  <si>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</si>
  <si>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</si>
  <si>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</si>
  <si>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</si>
  <si>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</si>
  <si>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</si>
  <si>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</si>
  <si>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</si>
  <si>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</si>
  <si>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</si>
  <si>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</si>
  <si>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</si>
  <si>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</si>
  <si>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</si>
  <si>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</si>
  <si>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</si>
  <si>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</si>
  <si>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</si>
  <si>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</si>
  <si>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</si>
  <si>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</si>
  <si>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</si>
  <si>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</si>
  <si>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</si>
  <si>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</si>
  <si>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</si>
  <si>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</si>
  <si>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</si>
  <si>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</si>
  <si>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</si>
  <si>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</si>
  <si>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</si>
  <si>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</si>
  <si>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</si>
  <si>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</si>
  <si>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</si>
  <si>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</si>
  <si>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</si>
  <si>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</si>
  <si>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</si>
  <si>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</si>
  <si>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</si>
  <si>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</si>
  <si>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</si>
  <si>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</si>
  <si>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</si>
  <si>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</si>
  <si>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</si>
  <si>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</si>
  <si>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</si>
  <si>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</si>
  <si>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</si>
  <si>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</si>
  <si>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</si>
  <si>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</si>
  <si>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</si>
  <si>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</si>
  <si>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</si>
  <si>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</si>
  <si>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</si>
  <si>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</si>
  <si>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</si>
  <si>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</si>
  <si>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</si>
  <si>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</si>
  <si>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</si>
  <si>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</si>
  <si>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</si>
  <si>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</si>
  <si>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</si>
  <si>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</si>
  <si>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</si>
  <si>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</si>
  <si>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</si>
  <si>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</si>
  <si>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</si>
  <si>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</si>
  <si>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</si>
  <si>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</si>
  <si>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</si>
  <si>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</si>
  <si>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</si>
  <si>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</si>
  <si>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</si>
  <si>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</si>
  <si>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</si>
  <si>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</si>
  <si>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</si>
  <si>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</si>
  <si>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</si>
  <si>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</si>
  <si>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</si>
  <si>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</si>
  <si>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</si>
  <si>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</si>
  <si>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</si>
  <si>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</si>
  <si>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</si>
  <si>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</si>
  <si>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</si>
  <si>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</si>
  <si>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</si>
  <si>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</si>
  <si>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</si>
  <si>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</si>
  <si>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</si>
  <si>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</si>
  <si>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</si>
  <si>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</si>
  <si>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</si>
  <si>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</si>
  <si>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</si>
  <si>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</si>
  <si>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</si>
  <si>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</si>
  <si>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</si>
  <si>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</si>
  <si>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</si>
  <si>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</si>
  <si>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</si>
  <si>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</si>
  <si>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</si>
  <si>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</si>
  <si>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</si>
  <si>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</si>
  <si>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</si>
  <si>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</si>
  <si>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</si>
  <si>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</si>
  <si>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</si>
  <si>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</si>
  <si>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</si>
  <si>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</si>
  <si>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</si>
  <si>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</si>
  <si>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</si>
  <si>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</si>
  <si>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</si>
  <si>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</si>
  <si>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</si>
  <si>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</si>
  <si>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</si>
  <si>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</si>
  <si>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</si>
  <si>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</si>
  <si>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</si>
  <si>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</si>
  <si>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</si>
  <si>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</si>
  <si>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</si>
  <si>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</si>
  <si>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</si>
  <si>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</si>
  <si>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</si>
  <si>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</si>
  <si>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</si>
  <si>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</si>
  <si>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</si>
  <si>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</si>
  <si>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</si>
  <si>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</si>
  <si>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</si>
  <si>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</si>
  <si>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</si>
  <si>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</si>
  <si>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</si>
  <si>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</si>
  <si>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</si>
  <si>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</si>
  <si>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</si>
  <si>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</si>
  <si>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</si>
  <si>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</si>
  <si>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</si>
  <si>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</si>
  <si>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</si>
  <si>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</si>
  <si>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</si>
  <si>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</si>
  <si>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</si>
  <si>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</si>
  <si>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</si>
  <si>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</si>
  <si>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</si>
  <si>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</si>
  <si>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</si>
  <si>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</si>
  <si>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</si>
  <si>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</si>
  <si>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</si>
  <si>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</si>
  <si>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</si>
  <si>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</si>
  <si>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</si>
  <si>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</si>
  <si>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</si>
  <si>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</si>
  <si>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</si>
  <si>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</si>
  <si>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</si>
  <si>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</si>
  <si>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</si>
  <si>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</si>
  <si>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</si>
  <si>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</si>
  <si>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</si>
  <si>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</si>
  <si>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</si>
  <si>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</si>
  <si>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</si>
  <si>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</si>
  <si>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</si>
  <si>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</si>
  <si>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</si>
  <si>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</si>
  <si>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</si>
  <si>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</si>
  <si>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</si>
  <si>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</si>
  <si>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</si>
  <si>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</si>
  <si>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</si>
  <si>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</si>
  <si>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</si>
  <si>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</si>
  <si>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</si>
  <si>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</si>
  <si>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</si>
  <si>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</si>
  <si>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</si>
  <si>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</si>
  <si>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</si>
  <si>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</si>
  <si>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</si>
  <si>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</si>
  <si>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</si>
  <si>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</si>
  <si>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</si>
  <si>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</si>
  <si>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</si>
  <si>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</si>
  <si>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</si>
  <si>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</si>
  <si>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</si>
  <si>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</si>
  <si>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</si>
  <si>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</si>
  <si>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</si>
  <si>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</si>
  <si>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</si>
  <si>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</si>
  <si>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</si>
  <si>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</si>
  <si>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</si>
  <si>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</si>
  <si>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</si>
  <si>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</si>
  <si>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</si>
  <si>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</si>
  <si>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</si>
  <si>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</si>
  <si>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</si>
  <si>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</si>
  <si>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</si>
  <si>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</si>
  <si>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</si>
  <si>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</si>
  <si>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</si>
  <si>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</si>
  <si>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</si>
  <si>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</si>
  <si>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</si>
  <si>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</si>
  <si>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</si>
  <si>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</si>
  <si>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</si>
  <si>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</si>
  <si>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</si>
  <si>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</si>
  <si>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</si>
  <si>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</si>
  <si>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</si>
  <si>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</si>
  <si>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</si>
  <si>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</si>
  <si>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</si>
  <si>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</si>
  <si>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</si>
  <si>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</si>
  <si>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</si>
  <si>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</si>
  <si>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</si>
  <si>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</si>
  <si>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</si>
  <si>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</si>
  <si>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</si>
  <si>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</si>
  <si>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</si>
  <si>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</si>
  <si>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</si>
  <si>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</si>
  <si>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</si>
  <si>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</si>
  <si>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</si>
  <si>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</si>
  <si>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</si>
  <si>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</si>
  <si>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</si>
  <si>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</si>
  <si>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</si>
  <si>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</si>
  <si>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</si>
  <si>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</si>
  <si>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</si>
  <si>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</si>
  <si>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</si>
  <si>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</si>
  <si>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</si>
  <si>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</si>
  <si>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</si>
  <si>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</si>
  <si>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</si>
  <si>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</si>
  <si>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</si>
  <si>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</si>
  <si>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</si>
  <si>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</si>
  <si>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</si>
  <si>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</si>
  <si>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</si>
  <si>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</si>
  <si>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</si>
  <si>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</si>
  <si>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</si>
  <si>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</si>
  <si>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</si>
  <si>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</si>
  <si>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</si>
  <si>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</si>
  <si>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</si>
  <si>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</si>
  <si>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</si>
  <si>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</si>
  <si>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</si>
  <si>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</si>
  <si>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</si>
  <si>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</si>
  <si>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</si>
  <si>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</si>
  <si>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</si>
  <si>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</si>
  <si>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</si>
  <si>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</si>
  <si>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</si>
  <si>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</si>
  <si>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</si>
  <si>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</si>
  <si>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</si>
  <si>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</si>
  <si>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</si>
  <si>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</si>
  <si>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</si>
  <si>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</si>
  <si>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</si>
  <si>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</si>
  <si>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</si>
  <si>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</si>
  <si>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</si>
  <si>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</si>
  <si>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</si>
  <si>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</si>
  <si>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</si>
  <si>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</si>
  <si>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</si>
  <si>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</si>
  <si>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</si>
  <si>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</si>
  <si>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</si>
  <si>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</si>
  <si>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</si>
  <si>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</si>
  <si>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</si>
  <si>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</si>
  <si>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</si>
  <si>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</si>
  <si>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</si>
  <si>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</si>
  <si>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</si>
  <si>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</si>
  <si>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</si>
  <si>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</si>
  <si>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</si>
  <si>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</si>
  <si>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</si>
  <si>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</si>
  <si>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</si>
  <si>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</si>
  <si>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</si>
  <si>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</si>
  <si>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</si>
  <si>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</si>
  <si>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</si>
  <si>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</si>
  <si>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</si>
  <si>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</si>
  <si>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</si>
  <si>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</si>
  <si>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</si>
  <si>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</si>
  <si>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</si>
  <si>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</si>
  <si>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</si>
  <si>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</si>
  <si>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</si>
  <si>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</si>
  <si>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</si>
  <si>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</si>
  <si>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</si>
  <si>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</si>
  <si>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</si>
  <si>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</si>
  <si>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</si>
  <si>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</si>
  <si>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</si>
  <si>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</si>
  <si>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</si>
  <si>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</si>
  <si>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</si>
  <si>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</si>
  <si>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</si>
  <si>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</si>
  <si>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</si>
  <si>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</si>
  <si>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</si>
  <si>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</si>
  <si>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</si>
  <si>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</si>
  <si>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</si>
  <si>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</si>
  <si>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</si>
  <si>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</si>
  <si>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</si>
  <si>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</si>
  <si>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</si>
  <si>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</si>
  <si>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</si>
  <si>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</si>
  <si>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</si>
  <si>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</si>
  <si>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</si>
  <si>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</si>
  <si>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</si>
  <si>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</si>
  <si>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</si>
  <si>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</si>
  <si>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</si>
  <si>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</si>
  <si>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</si>
  <si>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</si>
  <si>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</si>
  <si>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</si>
  <si>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</si>
  <si>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</si>
  <si>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</si>
  <si>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</si>
  <si>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</si>
  <si>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</si>
  <si>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</si>
  <si>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</si>
  <si>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</si>
  <si>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</si>
  <si>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</si>
  <si>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</si>
  <si>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</si>
  <si>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</si>
  <si>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</si>
  <si>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</si>
  <si>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</si>
  <si>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</si>
  <si>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</si>
  <si>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</si>
  <si>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</si>
  <si>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</si>
  <si>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</si>
  <si>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</si>
  <si>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</si>
  <si>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</si>
  <si>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</si>
  <si>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</si>
  <si>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</si>
  <si>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</si>
  <si>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</si>
  <si>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</si>
  <si>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</si>
  <si>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</si>
  <si>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</si>
  <si>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</si>
  <si>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</si>
  <si>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</si>
  <si>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</si>
  <si>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</si>
  <si>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</si>
  <si>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</si>
  <si>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</si>
  <si>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</si>
  <si>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</si>
  <si>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</si>
  <si>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</si>
  <si>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</si>
  <si>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</si>
  <si>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</si>
  <si>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</si>
  <si>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</si>
  <si>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</si>
  <si>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</si>
  <si>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</si>
  <si>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</si>
  <si>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</si>
  <si>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</si>
  <si>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</si>
  <si>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</si>
  <si>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</si>
  <si>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</si>
  <si>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</si>
  <si>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</si>
  <si>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</si>
  <si>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</si>
  <si>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</si>
  <si>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</si>
  <si>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</si>
  <si>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</si>
  <si>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</si>
  <si>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</si>
  <si>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</si>
  <si>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</si>
  <si>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</si>
  <si>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</si>
  <si>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</si>
  <si>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</si>
  <si>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</si>
  <si>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</si>
  <si>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</si>
  <si>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</si>
  <si>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</si>
  <si>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</si>
  <si>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</si>
  <si>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</si>
  <si>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</si>
  <si>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</si>
  <si>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</si>
  <si>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</si>
  <si>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</si>
  <si>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</si>
  <si>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</si>
  <si>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</si>
  <si>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</si>
  <si>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</si>
  <si>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</si>
  <si>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</si>
  <si>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</si>
  <si>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</si>
  <si>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</si>
  <si>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</si>
  <si>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</si>
  <si>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</si>
  <si>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</si>
  <si>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</si>
  <si>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</si>
  <si>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</si>
  <si>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</si>
  <si>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</si>
  <si>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</si>
  <si>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</si>
  <si>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</si>
  <si>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</si>
  <si>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</si>
  <si>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</si>
  <si>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</si>
  <si>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</si>
  <si>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</si>
  <si>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</si>
  <si>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</si>
  <si>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</si>
  <si>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</si>
  <si>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</si>
  <si>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</si>
  <si>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</si>
  <si>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</si>
  <si>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</si>
  <si>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</si>
  <si>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</si>
  <si>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</si>
  <si>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</si>
  <si>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</si>
  <si>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</si>
  <si>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</si>
  <si>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</si>
  <si>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</si>
  <si>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</si>
  <si>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</si>
  <si>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</si>
  <si>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</si>
  <si>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</si>
  <si>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</si>
  <si>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</si>
  <si>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</si>
  <si>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</si>
  <si>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</si>
  <si>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</si>
  <si>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</si>
  <si>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</si>
  <si>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</si>
  <si>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</si>
  <si>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</si>
  <si>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</si>
  <si>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</si>
  <si>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</si>
  <si>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</si>
  <si>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</si>
  <si>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</si>
  <si>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</si>
  <si>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</si>
  <si>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</si>
  <si>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</si>
  <si>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</si>
  <si>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</si>
  <si>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</si>
  <si>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</si>
  <si>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</si>
  <si>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</si>
  <si>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</si>
  <si>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</si>
  <si>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</si>
  <si>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</si>
  <si>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</si>
  <si>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</si>
  <si>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</si>
  <si>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</si>
  <si>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</si>
  <si>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</si>
  <si>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</si>
  <si>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</si>
  <si>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</si>
  <si>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</si>
  <si>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</si>
  <si>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</si>
  <si>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</si>
  <si>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</si>
  <si>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</si>
  <si>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</si>
  <si>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</si>
  <si>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</si>
  <si>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</si>
  <si>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</si>
  <si>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</si>
  <si>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</si>
  <si>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</si>
  <si>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</si>
  <si>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</si>
  <si>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</si>
  <si>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</si>
  <si>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</si>
  <si>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</si>
  <si>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</si>
  <si>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</si>
  <si>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</si>
  <si>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</si>
  <si>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</si>
  <si>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</si>
  <si>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</si>
  <si>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</si>
  <si>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</si>
  <si>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</si>
  <si>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</si>
  <si>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</si>
  <si>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</si>
  <si>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</si>
  <si>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</si>
  <si>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</si>
  <si>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</si>
  <si>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</si>
  <si>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</si>
  <si>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</si>
  <si>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</si>
  <si>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</si>
  <si>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</si>
  <si>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</si>
  <si>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</si>
  <si>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</si>
  <si>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</si>
  <si>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</si>
  <si>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</si>
  <si>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</si>
  <si>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</si>
  <si>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</si>
  <si>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</si>
  <si>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</si>
  <si>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</si>
  <si>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</si>
  <si>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</si>
  <si>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</si>
  <si>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</si>
  <si>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</si>
  <si>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</si>
  <si>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</si>
  <si>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</si>
  <si>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</si>
  <si>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</si>
  <si>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</si>
  <si>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</si>
  <si>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</si>
  <si>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</si>
  <si>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</si>
  <si>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</si>
  <si>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</si>
  <si>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</si>
  <si>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</si>
  <si>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</si>
  <si>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</si>
  <si>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</si>
  <si>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</si>
  <si>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</si>
  <si>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</si>
  <si>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</si>
  <si>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</si>
  <si>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</si>
  <si>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</si>
  <si>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</si>
  <si>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</si>
  <si>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</si>
  <si>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</si>
  <si>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</si>
  <si>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</si>
  <si>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</si>
  <si>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</si>
  <si>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</si>
  <si>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</si>
  <si>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</si>
  <si>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</si>
  <si>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</si>
  <si>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</si>
  <si>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</si>
  <si>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</si>
  <si>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</si>
  <si>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</si>
  <si>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</si>
  <si>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</si>
  <si>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</si>
  <si>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</si>
  <si>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</si>
  <si>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</si>
  <si>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</si>
  <si>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</si>
  <si>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</si>
  <si>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</si>
  <si>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</si>
  <si>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</si>
  <si>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</si>
  <si>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</si>
  <si>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</si>
  <si>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</si>
  <si>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</si>
  <si>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</si>
  <si>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</si>
  <si>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</si>
  <si>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</si>
  <si>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</si>
  <si>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</si>
  <si>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</si>
  <si>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</si>
  <si>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</si>
  <si>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</si>
  <si>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</si>
  <si>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</si>
  <si>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</si>
  <si>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</si>
  <si>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</si>
  <si>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</si>
  <si>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</si>
  <si>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</si>
  <si>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</si>
  <si>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</si>
  <si>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</si>
  <si>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</si>
  <si>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</si>
  <si>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</si>
  <si>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</si>
  <si>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</si>
  <si>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</si>
  <si>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</si>
  <si>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</si>
  <si>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</si>
  <si>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</si>
  <si>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</si>
  <si>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</si>
  <si>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</si>
  <si>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</si>
  <si>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</si>
  <si>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</si>
  <si>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</si>
  <si>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</si>
  <si>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</si>
  <si>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</si>
  <si>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</si>
  <si>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</si>
  <si>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</si>
  <si>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</si>
  <si>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</si>
  <si>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</si>
  <si>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</si>
  <si>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</si>
  <si>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</si>
  <si>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</si>
  <si>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</si>
  <si>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</si>
  <si>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</si>
  <si>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</si>
  <si>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</si>
  <si>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</si>
  <si>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</si>
  <si>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</si>
  <si>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</si>
  <si>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</si>
  <si>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</si>
  <si>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</si>
  <si>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</si>
  <si>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</si>
  <si>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</si>
  <si>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</si>
  <si>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</si>
  <si>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</si>
  <si>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</si>
  <si>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</si>
  <si>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</si>
  <si>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</si>
  <si>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</si>
  <si>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</si>
  <si>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</si>
  <si>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</si>
  <si>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</si>
  <si>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</si>
  <si>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</si>
  <si>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</si>
  <si>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</si>
  <si>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</si>
  <si>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</si>
  <si>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</si>
  <si>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</si>
  <si>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</si>
  <si>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</si>
  <si>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</si>
  <si>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</si>
  <si>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</si>
  <si>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</si>
  <si>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</si>
  <si>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</si>
  <si>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</si>
  <si>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</si>
  <si>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</si>
  <si>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</si>
  <si>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</si>
  <si>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</si>
  <si>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</si>
  <si>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</si>
  <si>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</si>
  <si>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</si>
  <si>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</si>
  <si>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</si>
  <si>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</si>
  <si>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</si>
  <si>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</si>
  <si>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</si>
  <si>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</si>
  <si>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</si>
  <si>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</si>
  <si>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</si>
  <si>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</si>
  <si>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</si>
  <si>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</si>
  <si>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</si>
  <si>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</si>
  <si>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</si>
  <si>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</si>
  <si>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</si>
  <si>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</si>
  <si>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</si>
  <si>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</si>
  <si>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</si>
  <si>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</si>
  <si>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</si>
  <si>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</si>
  <si>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</si>
  <si>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</si>
  <si>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</si>
  <si>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</si>
  <si>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</si>
  <si>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</si>
  <si>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</si>
  <si>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</si>
  <si>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</si>
  <si>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</si>
  <si>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</si>
  <si>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</si>
  <si>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</si>
  <si>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</si>
  <si>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</si>
  <si>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</si>
  <si>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</si>
  <si>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</si>
  <si>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</si>
  <si>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</si>
  <si>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</si>
  <si>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</si>
  <si>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</si>
  <si>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</si>
  <si>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</si>
  <si>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</si>
  <si>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</si>
  <si>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</si>
  <si>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</si>
  <si>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</si>
  <si>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</si>
  <si>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</si>
  <si>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</si>
  <si>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</si>
  <si>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</si>
  <si>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</si>
  <si>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</si>
  <si>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</si>
  <si>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</si>
  <si>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</si>
  <si>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</si>
  <si>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</si>
  <si>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</si>
  <si>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</si>
  <si>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</si>
  <si>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</si>
  <si>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</si>
  <si>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</si>
  <si>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</si>
  <si>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</si>
  <si>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</si>
  <si>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</si>
  <si>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</si>
  <si>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</si>
  <si>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</si>
  <si>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</si>
  <si>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</si>
  <si>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</si>
  <si>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</si>
  <si>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</si>
  <si>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</si>
  <si>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</si>
  <si>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</si>
  <si>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</si>
  <si>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</si>
  <si>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</si>
  <si>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</si>
  <si>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</si>
  <si>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</si>
  <si>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</si>
  <si>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</si>
  <si>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</si>
  <si>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</si>
  <si>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</si>
  <si>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</si>
  <si>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</si>
  <si>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</si>
  <si>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</si>
  <si>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</si>
  <si>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</si>
  <si>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</si>
  <si>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</si>
  <si>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</si>
  <si>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</si>
  <si>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</si>
  <si>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</si>
  <si>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</si>
  <si>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</si>
  <si>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</si>
  <si>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</si>
  <si>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</si>
  <si>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</si>
  <si>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</si>
  <si>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</si>
  <si>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</si>
  <si>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</si>
  <si>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</si>
  <si>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</si>
  <si>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</si>
  <si>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</si>
  <si>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</si>
  <si>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</si>
  <si>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</si>
  <si>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</si>
  <si>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</si>
  <si>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</si>
  <si>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</si>
  <si>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</si>
  <si>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</si>
  <si>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</si>
  <si>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</si>
  <si>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</si>
  <si>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</si>
  <si>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</si>
  <si>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</si>
  <si>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</si>
  <si>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</si>
  <si>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</si>
  <si>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</si>
  <si>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</si>
  <si>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</si>
  <si>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</si>
  <si>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</si>
  <si>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</si>
  <si>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</si>
  <si>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</si>
  <si>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</si>
  <si>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</si>
  <si>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</si>
  <si>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</si>
  <si>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</si>
  <si>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</si>
  <si>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</si>
  <si>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</si>
  <si>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</si>
  <si>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</si>
  <si>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</si>
  <si>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</si>
  <si>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</si>
  <si>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</si>
  <si>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</si>
  <si>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</si>
  <si>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</si>
  <si>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</si>
  <si>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</si>
  <si>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</si>
  <si>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</si>
  <si>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</si>
  <si>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</si>
  <si>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</si>
  <si>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</si>
  <si>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</si>
  <si>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</si>
  <si>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</si>
  <si>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</si>
  <si>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</si>
  <si>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</si>
  <si>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</si>
  <si>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</si>
  <si>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</si>
  <si>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</si>
  <si>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</si>
  <si>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</si>
  <si>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</si>
  <si>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</si>
  <si>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</si>
  <si>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</si>
  <si>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</si>
  <si>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</si>
  <si>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</si>
  <si>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</si>
  <si>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</si>
  <si>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</si>
  <si>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</si>
  <si>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</si>
  <si>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</si>
  <si>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</si>
  <si>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</si>
  <si>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</si>
  <si>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</si>
  <si>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</si>
  <si>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</si>
  <si>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</si>
  <si>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</si>
  <si>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</si>
  <si>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</si>
  <si>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</si>
  <si>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</si>
  <si>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</si>
  <si>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</si>
  <si>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</si>
  <si>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</si>
  <si>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</si>
  <si>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</si>
  <si>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</si>
  <si>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</si>
  <si>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</si>
  <si>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</si>
  <si>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</si>
  <si>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</si>
  <si>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</si>
  <si>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</si>
  <si>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</si>
  <si>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</si>
  <si>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</si>
  <si>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</si>
  <si>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</si>
  <si>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</si>
  <si>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</si>
  <si>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</si>
  <si>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</si>
  <si>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</si>
  <si>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</si>
  <si>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</si>
  <si>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</si>
  <si>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</si>
  <si>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</si>
  <si>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</si>
  <si>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</si>
  <si>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</si>
  <si>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</si>
  <si>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</si>
  <si>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</si>
  <si>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</si>
  <si>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</si>
  <si>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</si>
  <si>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</si>
  <si>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</si>
  <si>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</si>
  <si>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</si>
  <si>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</si>
  <si>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</si>
  <si>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</si>
  <si>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</si>
  <si>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</si>
  <si>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</si>
  <si>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</si>
  <si>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</si>
  <si>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</si>
  <si>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</si>
  <si>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</si>
  <si>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</si>
  <si>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</si>
  <si>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</si>
  <si>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</si>
  <si>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</si>
  <si>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</si>
  <si>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</si>
  <si>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</si>
  <si>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</si>
  <si>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</si>
  <si>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</si>
  <si>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</si>
  <si>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</si>
  <si>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</si>
  <si>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</si>
  <si>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</si>
  <si>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</si>
  <si>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</si>
  <si>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</si>
  <si>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</si>
  <si>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</si>
  <si>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</si>
  <si>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</si>
  <si>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</si>
  <si>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</si>
  <si>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</si>
  <si>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</si>
  <si>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</si>
  <si>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</si>
  <si>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</si>
  <si>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</si>
  <si>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</si>
  <si>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</si>
  <si>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</si>
  <si>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</si>
  <si>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</si>
  <si>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</si>
  <si>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</si>
  <si>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</si>
  <si>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</si>
  <si>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</si>
  <si>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</si>
  <si>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</si>
  <si>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</si>
  <si>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</si>
  <si>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</si>
  <si>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</si>
  <si>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</si>
  <si>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</si>
  <si>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</si>
  <si>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</si>
  <si>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</si>
  <si>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</si>
  <si>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</si>
  <si>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</si>
  <si>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</si>
  <si>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</si>
  <si>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</si>
  <si>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</si>
  <si>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</si>
  <si>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</si>
  <si>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</si>
  <si>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</si>
  <si>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</si>
  <si>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</si>
  <si>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</si>
  <si>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</si>
  <si>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</si>
  <si>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</si>
  <si>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</si>
  <si>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</si>
  <si>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</si>
  <si>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</si>
  <si>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</si>
  <si>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</si>
  <si>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</si>
  <si>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</si>
  <si>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</si>
  <si>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</si>
  <si>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</si>
  <si>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</si>
  <si>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</si>
  <si>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</si>
  <si>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</si>
  <si>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</si>
  <si>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</si>
  <si>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</si>
  <si>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</si>
  <si>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</si>
  <si>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</si>
  <si>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</si>
  <si>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</si>
  <si>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</si>
  <si>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</si>
  <si>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</si>
  <si>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</si>
  <si>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</si>
  <si>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</si>
  <si>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</si>
  <si>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</si>
  <si>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</si>
  <si>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</si>
  <si>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</si>
  <si>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</si>
  <si>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</si>
  <si>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</si>
  <si>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</si>
  <si>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</si>
  <si>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</si>
  <si>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</si>
  <si>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</si>
  <si>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</si>
  <si>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</si>
  <si>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</si>
  <si>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</si>
  <si>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</si>
  <si>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</si>
  <si>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</si>
  <si>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</si>
  <si>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</si>
  <si>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</si>
  <si>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</si>
  <si>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</si>
  <si>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</si>
  <si>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</si>
  <si>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</si>
  <si>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</si>
  <si>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</si>
  <si>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</si>
  <si>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</si>
  <si>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</si>
  <si>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</si>
  <si>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</si>
  <si>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</si>
  <si>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</si>
  <si>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</si>
  <si>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</si>
  <si>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</si>
  <si>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</si>
  <si>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</si>
  <si>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</si>
  <si>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</si>
  <si>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</si>
  <si>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</si>
  <si>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</si>
  <si>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</si>
  <si>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</si>
  <si>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</si>
  <si>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</si>
  <si>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</si>
  <si>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</si>
  <si>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</si>
  <si>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</si>
  <si>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</si>
  <si>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</si>
  <si>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</si>
  <si>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</si>
  <si>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</si>
  <si>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</si>
  <si>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</si>
  <si>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</si>
  <si>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</si>
  <si>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</si>
  <si>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</si>
  <si>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</si>
  <si>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</si>
  <si>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</si>
  <si>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</si>
  <si>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</si>
  <si>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</si>
  <si>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</si>
  <si>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</si>
  <si>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</si>
  <si>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</si>
  <si>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</si>
  <si>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</si>
  <si>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</si>
  <si>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</si>
  <si>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</si>
  <si>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</si>
  <si>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</si>
  <si>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</si>
  <si>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</si>
  <si>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</si>
  <si>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</si>
  <si>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</si>
  <si>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</si>
  <si>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</si>
  <si>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</si>
  <si>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</si>
  <si>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</si>
  <si>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</si>
  <si>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</si>
  <si>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</si>
  <si>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</si>
  <si>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</si>
  <si>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</si>
  <si>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</si>
  <si>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</si>
  <si>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</si>
  <si>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</si>
  <si>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</si>
  <si>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</si>
  <si>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</si>
  <si>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</si>
  <si>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</si>
  <si>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</si>
  <si>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</si>
  <si>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</si>
  <si>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</si>
  <si>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</si>
  <si>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</si>
  <si>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</si>
  <si>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</si>
  <si>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</si>
  <si>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</si>
  <si>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</si>
  <si>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</si>
  <si>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</si>
  <si>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</si>
  <si>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</si>
  <si>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</si>
  <si>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</si>
  <si>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</si>
  <si>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</si>
  <si>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</si>
  <si>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</si>
  <si>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</si>
  <si>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</si>
  <si>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</si>
  <si>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</si>
  <si>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</si>
  <si>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</si>
  <si>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</si>
  <si>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</si>
  <si>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</si>
  <si>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</si>
  <si>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</si>
  <si>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</si>
  <si>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</si>
  <si>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</si>
  <si>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</si>
  <si>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</si>
  <si>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</si>
  <si>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</si>
  <si>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</si>
  <si>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</si>
  <si>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</si>
  <si>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</si>
  <si>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</si>
  <si>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</si>
  <si>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</si>
  <si>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</si>
  <si>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</si>
  <si>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</si>
  <si>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</si>
  <si>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</si>
  <si>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</si>
  <si>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</si>
  <si>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</si>
  <si>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</si>
  <si>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</si>
  <si>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</si>
  <si>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</si>
  <si>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</si>
  <si>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</si>
  <si>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</si>
  <si>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</si>
  <si>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</si>
  <si>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</si>
  <si>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</si>
  <si>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</si>
  <si>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</si>
  <si>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</si>
  <si>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</si>
  <si>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</si>
  <si>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</si>
  <si>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</si>
  <si>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</si>
  <si>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</si>
  <si>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</si>
  <si>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</si>
  <si>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</si>
  <si>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</si>
  <si>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</si>
  <si>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</si>
  <si>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</si>
  <si>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</si>
  <si>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</si>
  <si>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</si>
  <si>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</si>
  <si>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</si>
  <si>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</si>
  <si>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</si>
  <si>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</si>
  <si>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</si>
  <si>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</si>
  <si>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</si>
  <si>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</si>
  <si>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</si>
  <si>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</si>
  <si>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</si>
  <si>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</si>
  <si>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</si>
  <si>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</si>
  <si>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</si>
  <si>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</si>
  <si>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</si>
  <si>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</si>
  <si>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</si>
  <si>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</si>
  <si>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</si>
  <si>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</si>
  <si>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</si>
  <si>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</si>
  <si>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</si>
  <si>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</si>
  <si>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</si>
  <si>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</si>
  <si>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</si>
  <si>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</si>
  <si>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</si>
  <si>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</si>
  <si>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</si>
  <si>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</si>
  <si>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</si>
  <si>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</si>
  <si>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</si>
  <si>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</si>
  <si>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</si>
  <si>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</si>
  <si>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</si>
  <si>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</si>
  <si>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</si>
  <si>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</si>
  <si>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</si>
  <si>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</si>
  <si>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</si>
  <si>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</si>
  <si>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</si>
  <si>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</si>
  <si>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</si>
  <si>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</si>
  <si>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</si>
  <si>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</si>
  <si>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</si>
  <si>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</si>
  <si>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</si>
  <si>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</si>
  <si>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</si>
  <si>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</si>
  <si>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</si>
  <si>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</si>
  <si>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</si>
  <si>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</si>
  <si>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</si>
  <si>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</si>
  <si>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</si>
  <si>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</si>
  <si>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</si>
  <si>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</si>
  <si>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</si>
  <si>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</si>
  <si>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</si>
  <si>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</si>
  <si>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</si>
  <si>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</si>
  <si>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</si>
  <si>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</si>
  <si>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</si>
  <si>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</si>
  <si>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</si>
  <si>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</si>
  <si>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</si>
  <si>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</si>
  <si>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</si>
  <si>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</si>
  <si>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</si>
  <si>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</si>
  <si>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</si>
  <si>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</si>
  <si>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</si>
  <si>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</si>
  <si>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</si>
  <si>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</si>
  <si>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</si>
  <si>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</si>
  <si>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</si>
  <si>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</si>
  <si>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</si>
  <si>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</si>
  <si>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</si>
  <si>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</si>
  <si>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</si>
  <si>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</si>
  <si>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</si>
  <si>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</si>
  <si>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</si>
  <si>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</si>
  <si>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</si>
  <si>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</si>
  <si>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</si>
  <si>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</si>
  <si>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</si>
  <si>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</si>
  <si>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</si>
  <si>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</si>
  <si>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</si>
  <si>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</si>
  <si>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</si>
  <si>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</si>
  <si>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</si>
  <si>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</si>
  <si>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</si>
  <si>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</si>
  <si>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</si>
  <si>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</si>
  <si>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</si>
  <si>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</si>
  <si>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</si>
  <si>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</si>
  <si>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</si>
  <si>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</si>
  <si>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</si>
  <si>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</si>
  <si>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</si>
  <si>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</si>
  <si>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</si>
  <si>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</si>
  <si>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</si>
  <si>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</si>
  <si>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</si>
  <si>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</si>
  <si>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</si>
  <si>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</si>
  <si>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</si>
  <si>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</si>
  <si>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</si>
  <si>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</si>
  <si>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</si>
  <si>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</si>
  <si>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</si>
  <si>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</si>
  <si>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</si>
  <si>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</si>
  <si>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</si>
  <si>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</si>
  <si>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</si>
  <si>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</si>
  <si>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</si>
  <si>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</si>
  <si>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</si>
  <si>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</si>
  <si>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</si>
  <si>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</si>
  <si>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</si>
  <si>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</si>
  <si>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</si>
  <si>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</si>
  <si>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</si>
  <si>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</si>
  <si>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</si>
  <si>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</si>
  <si>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</si>
  <si>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</si>
  <si>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</si>
  <si>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</si>
  <si>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</si>
  <si>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</si>
  <si>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</si>
  <si>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</si>
  <si>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</si>
  <si>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</si>
  <si>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</si>
  <si>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</si>
  <si>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</si>
  <si>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</si>
  <si>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</si>
  <si>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</si>
  <si>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</si>
  <si>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</si>
  <si>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</si>
  <si>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</si>
  <si>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</si>
  <si>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</si>
  <si>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</si>
  <si>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</si>
  <si>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</si>
  <si>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</si>
  <si>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</si>
  <si>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</si>
  <si>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</si>
  <si>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</si>
  <si>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</si>
  <si>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</si>
  <si>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</si>
  <si>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</si>
  <si>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</si>
  <si>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</si>
  <si>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</si>
  <si>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</si>
  <si>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</si>
  <si>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</si>
  <si>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</si>
  <si>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</si>
  <si>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</si>
  <si>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</si>
  <si>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</si>
  <si>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</si>
  <si>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</si>
  <si>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</si>
  <si>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</si>
  <si>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</si>
  <si>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</si>
  <si>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</si>
  <si>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</si>
  <si>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</si>
  <si>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</si>
  <si>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</si>
  <si>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</si>
  <si>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</si>
  <si>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</si>
  <si>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</si>
  <si>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</si>
  <si>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</si>
  <si>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</si>
  <si>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</si>
  <si>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</si>
  <si>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</si>
  <si>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</si>
  <si>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</si>
  <si>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</si>
  <si>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</si>
  <si>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</si>
  <si>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</si>
  <si>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</si>
  <si>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</si>
  <si>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</si>
  <si>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</si>
  <si>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</si>
  <si>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</si>
  <si>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</si>
  <si>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</si>
  <si>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</si>
  <si>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</si>
  <si>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</si>
  <si>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</si>
  <si>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</si>
  <si>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</si>
  <si>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</si>
  <si>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</si>
  <si>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</si>
  <si>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</si>
  <si>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</si>
  <si>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</si>
  <si>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</si>
  <si>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</si>
  <si>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</si>
  <si>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</si>
  <si>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</si>
  <si>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</si>
  <si>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</si>
  <si>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</si>
  <si>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</si>
  <si>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</si>
  <si>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</si>
  <si>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</si>
  <si>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</si>
  <si>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</si>
  <si>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</si>
  <si>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</si>
  <si>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</si>
  <si>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</si>
  <si>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</si>
  <si>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</si>
  <si>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</si>
  <si>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</si>
  <si>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</si>
  <si>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</si>
  <si>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</si>
  <si>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</si>
  <si>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</si>
  <si>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</si>
  <si>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</si>
  <si>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</si>
  <si>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</si>
  <si>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</si>
  <si>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</si>
  <si>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</si>
  <si>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</si>
  <si>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</si>
  <si>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</si>
  <si>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</si>
  <si>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</si>
  <si>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</si>
  <si>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</si>
  <si>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</si>
  <si>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</si>
  <si>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</si>
  <si>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</si>
  <si>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</si>
  <si>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</si>
  <si>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</si>
  <si>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</si>
  <si>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</si>
  <si>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</si>
  <si>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</si>
  <si>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</si>
  <si>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</si>
  <si>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</si>
  <si>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</si>
  <si>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</si>
  <si>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</si>
  <si>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</si>
  <si>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</si>
  <si>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</si>
  <si>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</si>
  <si>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</si>
  <si>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</si>
  <si>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</si>
  <si>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</si>
  <si>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</si>
  <si>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</si>
  <si>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</si>
  <si>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</si>
  <si>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</si>
  <si>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</si>
  <si>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</si>
  <si>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</si>
  <si>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</si>
  <si>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</si>
  <si>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</si>
  <si>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</si>
  <si>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</si>
  <si>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</si>
  <si>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</si>
  <si>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</si>
  <si>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</si>
  <si>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</si>
  <si>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</si>
  <si>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</si>
  <si>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</si>
  <si>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</si>
  <si>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</si>
  <si>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</si>
  <si>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</si>
  <si>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</si>
  <si>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</si>
  <si>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</si>
  <si>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</si>
  <si>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</si>
  <si>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</si>
  <si>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</si>
  <si>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</si>
  <si>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</si>
  <si>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</si>
  <si>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</si>
  <si>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</si>
  <si>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</si>
  <si>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</si>
  <si>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</si>
  <si>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</si>
  <si>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</si>
  <si>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</si>
  <si>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</si>
  <si>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</si>
  <si>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</si>
  <si>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</si>
  <si>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</si>
  <si>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</si>
  <si>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</si>
  <si>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</si>
  <si>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</si>
  <si>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</si>
  <si>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</si>
  <si>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</si>
  <si>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</si>
  <si>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</si>
  <si>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</si>
  <si>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</si>
  <si>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</si>
  <si>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</si>
  <si>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</si>
  <si>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</si>
  <si>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</si>
  <si>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</si>
  <si>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</si>
  <si>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</si>
  <si>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</si>
  <si>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</si>
  <si>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</si>
  <si>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</si>
  <si>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</si>
  <si>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</si>
  <si>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</si>
  <si>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</si>
  <si>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</si>
  <si>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</si>
  <si>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</si>
  <si>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</si>
  <si>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</si>
  <si>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</si>
  <si>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</si>
  <si>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</si>
  <si>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</si>
  <si>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</si>
  <si>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</si>
  <si>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</si>
  <si>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</si>
  <si>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</si>
  <si>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</si>
  <si>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</si>
  <si>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</si>
  <si>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</si>
  <si>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</si>
  <si>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</si>
  <si>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</si>
  <si>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</si>
  <si>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</si>
  <si>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</si>
  <si>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</si>
  <si>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</si>
  <si>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</si>
  <si>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</si>
  <si>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</si>
  <si>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</si>
  <si>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</si>
  <si>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</si>
  <si>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</si>
  <si>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</si>
  <si>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</si>
  <si>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</si>
  <si>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</si>
  <si>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</si>
  <si>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</si>
  <si>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</si>
  <si>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</si>
  <si>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</si>
  <si>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</si>
  <si>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</si>
  <si>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</si>
  <si>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</si>
  <si>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</si>
  <si>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</si>
  <si>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</si>
  <si>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</si>
  <si>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</si>
  <si>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</si>
  <si>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</si>
  <si>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</si>
  <si>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</si>
  <si>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</si>
  <si>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</si>
  <si>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</si>
  <si>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</si>
  <si>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</si>
  <si>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</si>
  <si>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</si>
  <si>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</si>
  <si>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</si>
  <si>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</si>
  <si>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</si>
  <si>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</si>
  <si>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</si>
  <si>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</si>
  <si>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</si>
  <si>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</si>
  <si>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</si>
  <si>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</si>
  <si>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</si>
  <si>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</si>
  <si>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</si>
  <si>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</si>
  <si>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</si>
  <si>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</si>
  <si>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</si>
  <si>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</si>
  <si>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</si>
  <si>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</si>
  <si>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</si>
  <si>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</si>
  <si>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</si>
  <si>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</si>
  <si>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</si>
  <si>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</si>
  <si>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</si>
  <si>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</si>
  <si>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</si>
  <si>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</si>
  <si>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</si>
  <si>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</si>
  <si>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</si>
  <si>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</si>
  <si>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</si>
  <si>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</si>
  <si>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</si>
  <si>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</si>
  <si>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</si>
  <si>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</si>
  <si>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</si>
  <si>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</si>
  <si>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</si>
  <si>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</si>
  <si>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</si>
  <si>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</si>
  <si>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</si>
  <si>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</si>
  <si>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</si>
  <si>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</si>
  <si>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</si>
  <si>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</si>
  <si>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</si>
  <si>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</si>
  <si>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</si>
  <si>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</si>
  <si>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</si>
  <si>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</si>
  <si>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</si>
  <si>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</si>
  <si>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</si>
  <si>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</si>
  <si>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</si>
  <si>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</si>
  <si>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</si>
  <si>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</si>
  <si>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</si>
  <si>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</si>
  <si>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</si>
  <si>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</si>
  <si>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</si>
  <si>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</si>
  <si>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</si>
  <si>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</si>
  <si>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</si>
  <si>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</si>
  <si>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</si>
  <si>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</si>
  <si>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</si>
  <si>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</si>
  <si>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</si>
  <si>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</si>
  <si>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</si>
  <si>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</si>
  <si>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</si>
  <si>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</si>
  <si>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</si>
  <si>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</si>
  <si>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</si>
  <si>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</si>
  <si>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</si>
  <si>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</si>
  <si>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</si>
  <si>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</si>
  <si>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</si>
  <si>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</si>
  <si>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</si>
  <si>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</si>
  <si>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</si>
  <si>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</si>
  <si>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</si>
  <si>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</si>
  <si>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</si>
  <si>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</si>
  <si>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</si>
  <si>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</si>
  <si>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</si>
  <si>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</si>
  <si>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</si>
  <si>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</si>
  <si>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</si>
  <si>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</si>
  <si>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</si>
  <si>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</si>
  <si>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</si>
  <si>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</si>
  <si>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</si>
  <si>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</si>
  <si>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</si>
  <si>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</si>
  <si>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</si>
  <si>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</si>
  <si>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</si>
  <si>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</si>
  <si>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</si>
  <si>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</si>
  <si>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</si>
  <si>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</si>
  <si>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</si>
  <si>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</si>
  <si>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</si>
  <si>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</si>
  <si>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</si>
  <si>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</si>
  <si>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</si>
  <si>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</si>
  <si>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</si>
  <si>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</si>
  <si>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</si>
  <si>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</si>
  <si>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</si>
  <si>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</si>
  <si>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</si>
  <si>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</si>
  <si>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</si>
  <si>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</si>
  <si>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</si>
  <si>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</si>
  <si>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</si>
  <si>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</si>
  <si>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</si>
  <si>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</si>
  <si>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</si>
  <si>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</si>
  <si>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</si>
  <si>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</si>
  <si>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</si>
  <si>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</si>
  <si>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</si>
  <si>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</si>
  <si>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</si>
  <si>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</si>
  <si>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</si>
  <si>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</si>
  <si>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</si>
  <si>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</si>
  <si>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</si>
  <si>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</si>
  <si>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</si>
  <si>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</si>
  <si>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</si>
  <si>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</si>
  <si>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</si>
  <si>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</si>
  <si>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</si>
  <si>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</si>
  <si>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</si>
  <si>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</si>
  <si>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</si>
  <si>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</si>
  <si>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</si>
  <si>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</si>
  <si>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</si>
  <si>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</si>
  <si>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</si>
  <si>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</si>
  <si>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</si>
  <si>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</si>
  <si>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</si>
  <si>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</si>
  <si>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</si>
  <si>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</si>
  <si>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</si>
  <si>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</si>
  <si>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</si>
  <si>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</si>
  <si>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</si>
  <si>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</si>
  <si>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</si>
  <si>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</si>
  <si>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</si>
  <si>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</si>
  <si>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</si>
  <si>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</si>
  <si>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</si>
  <si>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</si>
  <si>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</si>
  <si>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</si>
  <si>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</si>
  <si>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</si>
  <si>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</si>
  <si>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</si>
  <si>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</si>
  <si>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</si>
  <si>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</si>
  <si>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</si>
  <si>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</si>
  <si>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</si>
  <si>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</si>
  <si>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</si>
  <si>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</si>
  <si>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</si>
  <si>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</si>
  <si>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</si>
  <si>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</si>
  <si>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</si>
  <si>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</si>
  <si>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</si>
  <si>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</si>
  <si>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</si>
  <si>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</si>
  <si>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</si>
  <si>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</si>
  <si>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</si>
  <si>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</si>
  <si>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</si>
  <si>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</si>
  <si>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</si>
  <si>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</si>
  <si>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</si>
  <si>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</si>
  <si>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</si>
  <si>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</si>
  <si>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</si>
  <si>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</si>
  <si>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</si>
  <si>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</si>
  <si>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</si>
  <si>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</si>
  <si>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</si>
  <si>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</si>
  <si>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</si>
  <si>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</si>
  <si>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</si>
  <si>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</si>
  <si>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</si>
  <si>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</si>
  <si>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</si>
  <si>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</si>
  <si>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</si>
  <si>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</si>
  <si>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</si>
  <si>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</si>
  <si>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</si>
  <si>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</si>
  <si>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</si>
  <si>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</si>
  <si>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</si>
  <si>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</si>
  <si>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</si>
  <si>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</si>
  <si>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</si>
  <si>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</si>
  <si>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</si>
  <si>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</si>
  <si>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</si>
  <si>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</si>
  <si>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</si>
  <si>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</si>
  <si>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</si>
  <si>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</si>
  <si>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</si>
  <si>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</si>
  <si>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</si>
  <si>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</si>
  <si>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</si>
  <si>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</si>
  <si>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</si>
  <si>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</si>
  <si>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</si>
  <si>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</si>
  <si>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</si>
  <si>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</si>
  <si>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</si>
  <si>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</si>
  <si>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</si>
  <si>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</si>
  <si>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</si>
  <si>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</si>
  <si>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</si>
  <si>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</si>
  <si>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</si>
  <si>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</si>
  <si>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</si>
  <si>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</si>
  <si>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</si>
  <si>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</si>
  <si>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</si>
  <si>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</si>
  <si>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</si>
  <si>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</si>
  <si>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</si>
  <si>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</si>
  <si>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</si>
  <si>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</si>
  <si>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</si>
  <si>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</si>
  <si>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</si>
  <si>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</si>
  <si>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</si>
  <si>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</si>
  <si>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</si>
  <si>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</si>
  <si>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</si>
  <si>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</si>
  <si>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</si>
  <si>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</si>
  <si>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</si>
  <si>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</si>
  <si>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</si>
  <si>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</si>
  <si>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</si>
  <si>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</si>
  <si>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</si>
  <si>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</si>
  <si>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</si>
  <si>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</si>
  <si>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</si>
  <si>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</si>
  <si>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</si>
  <si>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</si>
  <si>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</si>
  <si>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</si>
  <si>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</si>
  <si>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</si>
  <si>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</si>
  <si>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</si>
  <si>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</si>
  <si>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</si>
  <si>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</si>
  <si>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</si>
  <si>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</si>
  <si>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</si>
  <si>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</si>
  <si>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</si>
  <si>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</si>
  <si>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</si>
  <si>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</si>
  <si>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</si>
  <si>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</si>
  <si>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</si>
  <si>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</si>
  <si>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</si>
  <si>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</si>
  <si>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</si>
  <si>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</si>
  <si>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</si>
  <si>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</si>
  <si>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</si>
  <si>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</si>
  <si>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</si>
  <si>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</si>
  <si>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</si>
  <si>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</si>
  <si>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</si>
  <si>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</si>
  <si>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</si>
  <si>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</si>
  <si>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</si>
  <si>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</si>
  <si>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</si>
  <si>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</si>
  <si>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</si>
  <si>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</si>
  <si>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</si>
  <si>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</si>
  <si>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</si>
  <si>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</si>
  <si>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</si>
  <si>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</si>
  <si>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</si>
  <si>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</si>
  <si>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</si>
  <si>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</si>
  <si>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</si>
  <si>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</si>
  <si>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</si>
  <si>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</si>
  <si>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</si>
  <si>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</si>
  <si>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</si>
  <si>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</si>
  <si>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</si>
  <si>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</si>
  <si>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</si>
  <si>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</si>
  <si>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</si>
  <si>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</si>
  <si>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</si>
  <si>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</si>
  <si>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</si>
  <si>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</si>
  <si>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</si>
  <si>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</si>
  <si>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</si>
  <si>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</si>
  <si>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</si>
  <si>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</si>
  <si>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</si>
  <si>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</si>
  <si>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</si>
  <si>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</si>
  <si>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</si>
  <si>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</si>
  <si>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</si>
  <si>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</si>
  <si>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</si>
  <si>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</si>
  <si>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</si>
  <si>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</si>
  <si>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</si>
  <si>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</si>
  <si>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</si>
  <si>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</si>
  <si>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</si>
  <si>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</si>
  <si>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</si>
  <si>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</si>
  <si>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</si>
  <si>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</si>
  <si>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</si>
  <si>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</si>
  <si>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</si>
  <si>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</si>
  <si>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</si>
  <si>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</si>
  <si>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</si>
  <si>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</si>
  <si>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</si>
  <si>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</si>
  <si>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</si>
  <si>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</si>
  <si>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</si>
  <si>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</si>
  <si>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</si>
  <si>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</si>
  <si>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</si>
  <si>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</si>
  <si>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</si>
  <si>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</si>
  <si>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</si>
  <si>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</si>
  <si>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</si>
  <si>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</si>
  <si>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</si>
  <si>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</si>
  <si>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</si>
  <si>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</si>
  <si>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</si>
  <si>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</si>
  <si>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</si>
  <si>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</si>
  <si>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</si>
  <si>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</si>
  <si>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</si>
  <si>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</si>
  <si>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</si>
  <si>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</si>
  <si>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</si>
  <si>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</si>
  <si>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</si>
  <si>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</si>
  <si>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</si>
  <si>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</si>
  <si>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</si>
  <si>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</si>
  <si>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</si>
  <si>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</si>
  <si>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</si>
  <si>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</si>
  <si>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</si>
  <si>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</si>
  <si>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</si>
  <si>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</si>
  <si>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</si>
  <si>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</si>
  <si>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</si>
  <si>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</si>
  <si>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</si>
  <si>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</si>
  <si>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</si>
  <si>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</si>
  <si>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</si>
  <si>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</si>
  <si>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</si>
  <si>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</si>
  <si>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</si>
  <si>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</si>
  <si>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</si>
  <si>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</si>
  <si>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</si>
  <si>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</si>
  <si>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</si>
  <si>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</si>
  <si>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</si>
  <si>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</si>
  <si>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</si>
  <si>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</si>
  <si>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</si>
  <si>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</si>
  <si>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</si>
  <si>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</si>
  <si>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</si>
  <si>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</si>
  <si>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</si>
  <si>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</si>
  <si>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</si>
  <si>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</si>
  <si>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</si>
  <si>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</si>
  <si>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</si>
  <si>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</si>
  <si>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</si>
  <si>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</si>
  <si>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</si>
  <si>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</si>
  <si>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</si>
  <si>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</si>
  <si>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</si>
  <si>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</si>
  <si>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</si>
  <si>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</si>
  <si>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</si>
  <si>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</si>
  <si>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</si>
  <si>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</si>
  <si>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</si>
  <si>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</si>
  <si>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</si>
  <si>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</si>
  <si>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</si>
  <si>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</si>
  <si>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</si>
  <si>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</si>
  <si>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</si>
  <si>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</si>
  <si>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</si>
  <si>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</si>
  <si>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</si>
  <si>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</si>
  <si>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</si>
  <si>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</si>
  <si>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</si>
  <si>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</si>
  <si>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</si>
  <si>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</si>
  <si>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</si>
  <si>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</si>
  <si>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</si>
  <si>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</si>
  <si>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</si>
  <si>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</si>
  <si>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</si>
  <si>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</si>
  <si>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</si>
  <si>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</si>
  <si>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</si>
  <si>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</si>
  <si>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</si>
  <si>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</si>
  <si>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</si>
  <si>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</si>
  <si>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</si>
  <si>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</si>
  <si>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</si>
  <si>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</si>
  <si>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</si>
  <si>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</si>
  <si>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</si>
  <si>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</si>
  <si>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</si>
  <si>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</si>
  <si>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</si>
  <si>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</si>
  <si>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</si>
  <si>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</si>
  <si>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</si>
  <si>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</si>
  <si>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</si>
  <si>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</si>
  <si>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</si>
  <si>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</si>
  <si>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</si>
  <si>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</si>
  <si>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</si>
  <si>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</si>
  <si>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</si>
  <si>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</si>
  <si>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</si>
  <si>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</si>
  <si>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</si>
  <si>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</si>
  <si>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</si>
  <si>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</si>
  <si>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</si>
  <si>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</si>
  <si>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</si>
  <si>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</si>
  <si>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</si>
  <si>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</si>
  <si>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</si>
  <si>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</si>
  <si>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</si>
  <si>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</si>
  <si>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</si>
  <si>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</si>
  <si>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</si>
  <si>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</si>
  <si>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</si>
  <si>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</si>
  <si>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</si>
  <si>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</si>
  <si>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</si>
  <si>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</si>
  <si>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</si>
  <si>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</si>
  <si>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</si>
  <si>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</si>
  <si>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</si>
  <si>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</si>
  <si>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</si>
  <si>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</si>
  <si>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</si>
  <si>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</si>
  <si>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</si>
  <si>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</si>
  <si>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</si>
  <si>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</si>
  <si>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</si>
  <si>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</si>
  <si>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</si>
  <si>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</si>
  <si>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</si>
  <si>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</si>
  <si>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</si>
  <si>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</si>
  <si>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</si>
  <si>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</si>
  <si>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</si>
  <si>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</si>
  <si>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</si>
  <si>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</si>
  <si>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</si>
  <si>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</si>
  <si>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</si>
  <si>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</si>
  <si>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</si>
  <si>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</si>
  <si>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</si>
  <si>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</si>
  <si>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</si>
  <si>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</si>
  <si>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</si>
  <si>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</si>
  <si>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</si>
  <si>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</si>
  <si>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</si>
  <si>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</si>
  <si>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</si>
  <si>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</si>
  <si>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</si>
  <si>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</si>
  <si>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</si>
  <si>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</si>
  <si>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</si>
  <si>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</si>
  <si>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</si>
  <si>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</si>
  <si>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</si>
  <si>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</si>
  <si>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</si>
  <si>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</si>
  <si>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</si>
  <si>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</si>
  <si>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</si>
  <si>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</si>
  <si>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</si>
  <si>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</si>
  <si>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</si>
  <si>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</si>
  <si>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</si>
  <si>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</si>
  <si>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</si>
  <si>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</si>
  <si>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</si>
  <si>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</si>
  <si>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</si>
  <si>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</si>
  <si>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</si>
  <si>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</si>
  <si>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</si>
  <si>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</si>
  <si>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</si>
  <si>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</si>
  <si>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</si>
  <si>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</si>
  <si>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</si>
  <si>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</si>
  <si>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</si>
  <si>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</si>
  <si>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</si>
  <si>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</si>
  <si>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</si>
  <si>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</si>
  <si>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</si>
  <si>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</si>
  <si>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</si>
  <si>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</si>
  <si>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</si>
  <si>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</si>
  <si>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</si>
  <si>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</si>
  <si>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</si>
  <si>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</si>
  <si>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</si>
  <si>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</si>
  <si>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</si>
  <si>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</si>
  <si>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</si>
  <si>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</si>
  <si>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</si>
  <si>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</si>
  <si>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</si>
  <si>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</si>
  <si>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</si>
  <si>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</si>
  <si>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</si>
  <si>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</si>
  <si>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</si>
  <si>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</si>
  <si>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</si>
  <si>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</si>
  <si>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</si>
  <si>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</si>
  <si>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</si>
  <si>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</si>
  <si>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</si>
  <si>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</si>
  <si>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</si>
  <si>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</si>
  <si>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</si>
  <si>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</si>
  <si>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</si>
  <si>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</si>
  <si>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</si>
  <si>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</si>
  <si>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</si>
  <si>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</si>
  <si>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</si>
  <si>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</si>
  <si>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</si>
  <si>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</si>
  <si>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</si>
  <si>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</si>
  <si>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</si>
  <si>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</si>
  <si>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</si>
  <si>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</si>
  <si>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</si>
  <si>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</si>
  <si>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</si>
  <si>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</si>
  <si>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</si>
  <si>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</si>
  <si>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</si>
  <si>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</si>
  <si>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</si>
  <si>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</si>
  <si>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</si>
  <si>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</si>
  <si>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</si>
  <si>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</si>
  <si>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</si>
  <si>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</si>
  <si>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</si>
  <si>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</si>
  <si>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</si>
  <si>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</si>
  <si>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</si>
  <si>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</si>
  <si>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</si>
  <si>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</si>
  <si>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</si>
  <si>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</si>
  <si>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</si>
  <si>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</si>
  <si>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</si>
  <si>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</si>
  <si>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</si>
  <si>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</si>
  <si>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</si>
  <si>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</si>
  <si>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</si>
  <si>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</si>
  <si>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</si>
  <si>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</si>
  <si>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</si>
  <si>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</si>
  <si>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</si>
  <si>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</si>
  <si>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</si>
  <si>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</si>
  <si>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</si>
  <si>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</si>
  <si>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</si>
  <si>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</si>
  <si>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</si>
  <si>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</si>
  <si>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</si>
  <si>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</si>
  <si>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</si>
  <si>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</si>
  <si>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</si>
  <si>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</si>
  <si>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</si>
  <si>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</si>
  <si>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</si>
  <si>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</si>
  <si>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</si>
  <si>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</si>
  <si>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</si>
  <si>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</si>
  <si>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</si>
  <si>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</si>
  <si>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</si>
  <si>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</si>
  <si>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</si>
  <si>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</si>
  <si>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</si>
  <si>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</si>
  <si>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</si>
  <si>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</si>
  <si>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</si>
  <si>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</si>
  <si>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0,00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</si>
  <si>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</si>
  <si>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</si>
  <si>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</si>
  <si>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</si>
  <si>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</si>
  <si>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</si>
  <si>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</si>
  <si>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</si>
  <si>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</si>
  <si>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</si>
  <si>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</si>
  <si>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</si>
  <si>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</si>
  <si>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</si>
  <si>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</si>
  <si>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</si>
  <si>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</si>
  <si>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</si>
  <si>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</si>
  <si>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</si>
  <si>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</si>
  <si>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</si>
  <si>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</si>
  <si>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</si>
  <si>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</si>
  <si>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</si>
  <si>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</si>
  <si>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</si>
  <si>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</si>
  <si>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</si>
  <si>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</si>
  <si>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</si>
  <si>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</si>
  <si>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</si>
  <si>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</si>
  <si>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</si>
  <si>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</si>
  <si>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</si>
  <si>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</si>
  <si>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</si>
  <si>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</si>
  <si>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</si>
  <si>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</si>
  <si>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</si>
  <si>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</si>
  <si>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</si>
  <si>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</si>
  <si>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</si>
  <si>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</si>
  <si>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</si>
  <si>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</si>
  <si>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</si>
  <si>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</si>
  <si>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</si>
  <si>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</si>
  <si>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</si>
  <si>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</si>
  <si>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</si>
  <si>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</si>
  <si>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</si>
  <si>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</si>
  <si>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</si>
  <si>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</si>
  <si>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</si>
  <si>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2.960,00</t>
  </si>
  <si>
    <t>454'2</t>
  </si>
  <si>
    <t>450'2</t>
  </si>
  <si>
    <t>461'6</t>
  </si>
  <si>
    <t>448'6</t>
  </si>
  <si>
    <t>2.940,00</t>
  </si>
  <si>
    <t>2.830,00</t>
  </si>
  <si>
    <t>3.000,00</t>
  </si>
  <si>
    <t>SEPT</t>
  </si>
  <si>
    <t>2.840,00</t>
  </si>
  <si>
    <t>485'6</t>
  </si>
  <si>
    <t>ARB FAVORABLE TO:</t>
  </si>
  <si>
    <t>488'4</t>
  </si>
  <si>
    <t>470'4</t>
  </si>
  <si>
    <t>473'0</t>
  </si>
  <si>
    <t>490'0B</t>
  </si>
  <si>
    <t>490'2B</t>
  </si>
  <si>
    <t>1.181750A</t>
  </si>
  <si>
    <t>1.184300A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</si>
  <si>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</si>
  <si>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</si>
  <si>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</si>
  <si>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</si>
  <si>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</si>
  <si>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</si>
  <si>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</si>
  <si>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</si>
  <si>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</si>
  <si>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</si>
  <si>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</si>
  <si>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</si>
  <si>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</si>
  <si>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Prior day open interest totals41,860</t>
  </si>
  <si>
    <t>Prior day open interest totals795</t>
  </si>
  <si>
    <t>Prior day open interest totals5,452</t>
  </si>
  <si>
    <t>Prior day open interest totals1,584,967</t>
  </si>
  <si>
    <t>420'6</t>
  </si>
  <si>
    <t>423'0</t>
  </si>
  <si>
    <t>418'4</t>
  </si>
  <si>
    <t>419'4</t>
  </si>
  <si>
    <t>-2'6</t>
  </si>
  <si>
    <t>419'0</t>
  </si>
  <si>
    <t>437'0</t>
  </si>
  <si>
    <t>439'0</t>
  </si>
  <si>
    <t>435'2</t>
  </si>
  <si>
    <t>436'4</t>
  </si>
  <si>
    <t>-2'2</t>
  </si>
  <si>
    <t>435'6</t>
  </si>
  <si>
    <t>447'0</t>
  </si>
  <si>
    <t>445'2</t>
  </si>
  <si>
    <t>445'6</t>
  </si>
  <si>
    <t>-2'4</t>
  </si>
  <si>
    <t>456'0</t>
  </si>
  <si>
    <t>452'0</t>
  </si>
  <si>
    <t>453'0A</t>
  </si>
  <si>
    <t>452'2</t>
  </si>
  <si>
    <t>452'4</t>
  </si>
  <si>
    <t>450'6B</t>
  </si>
  <si>
    <t>450'4</t>
  </si>
  <si>
    <t>464'2</t>
  </si>
  <si>
    <t>465'4</t>
  </si>
  <si>
    <t>461'4</t>
  </si>
  <si>
    <t>462'2A</t>
  </si>
  <si>
    <t>477'4</t>
  </si>
  <si>
    <t>478'6B</t>
  </si>
  <si>
    <t>475'2A</t>
  </si>
  <si>
    <t>475'4</t>
  </si>
  <si>
    <t>475'0</t>
  </si>
  <si>
    <t>482'2A</t>
  </si>
  <si>
    <t>482'4B</t>
  </si>
  <si>
    <t>482'2</t>
  </si>
  <si>
    <t>489'0</t>
  </si>
  <si>
    <t>489'2B</t>
  </si>
  <si>
    <t>486'0A</t>
  </si>
  <si>
    <t>486'4A</t>
  </si>
  <si>
    <t>486'0</t>
  </si>
  <si>
    <t>470'4B</t>
  </si>
  <si>
    <t>-1'2</t>
  </si>
  <si>
    <t>468'2</t>
  </si>
  <si>
    <t>471'4</t>
  </si>
  <si>
    <t>470'4A</t>
  </si>
  <si>
    <t>470'6</t>
  </si>
  <si>
    <t>469'0</t>
  </si>
  <si>
    <t>Prior day open interest totals352,155</t>
  </si>
  <si>
    <t>1.8573B</t>
  </si>
  <si>
    <t>1.8100B</t>
  </si>
  <si>
    <t>1.8109B</t>
  </si>
  <si>
    <t>1.7906A</t>
  </si>
  <si>
    <t>1.8144B</t>
  </si>
  <si>
    <t>1.7973B</t>
  </si>
  <si>
    <t>1.8143A</t>
  </si>
  <si>
    <t>2.0265B</t>
  </si>
  <si>
    <t>2.0126B</t>
  </si>
  <si>
    <t>2.0254B</t>
  </si>
  <si>
    <t>2.0181A</t>
  </si>
  <si>
    <t>2.0205B</t>
  </si>
  <si>
    <t>2.0094B</t>
  </si>
  <si>
    <t>1.9962B</t>
  </si>
  <si>
    <t>1.9934B</t>
  </si>
  <si>
    <t>1.9712B</t>
  </si>
  <si>
    <t>1.9677B</t>
  </si>
  <si>
    <t>1.9402B</t>
  </si>
  <si>
    <t>1.9371B</t>
  </si>
  <si>
    <t>1.8025A</t>
  </si>
  <si>
    <t>1.7718B</t>
  </si>
  <si>
    <t>1.7705A</t>
  </si>
  <si>
    <t>1.7714A</t>
  </si>
  <si>
    <t>1.7480A</t>
  </si>
  <si>
    <t>1.9549B</t>
  </si>
  <si>
    <t>1.7250B</t>
  </si>
  <si>
    <t>1.7287B</t>
  </si>
  <si>
    <t>.186100A</t>
  </si>
  <si>
    <t>.185200B</t>
  </si>
  <si>
    <t>.184050A</t>
  </si>
  <si>
    <t>.184950A</t>
  </si>
  <si>
    <t>1.172150A</t>
  </si>
  <si>
    <t>1.174650B</t>
  </si>
  <si>
    <t>1.177000B</t>
  </si>
  <si>
    <t>1.178600A</t>
  </si>
  <si>
    <t>1.189100A</t>
  </si>
  <si>
    <t>1.191550B</t>
  </si>
  <si>
    <t>1.198550B</t>
  </si>
  <si>
    <t>1.194600A</t>
  </si>
  <si>
    <t>1.197000B</t>
  </si>
  <si>
    <t>1.202250B</t>
  </si>
  <si>
    <t>-13,00</t>
  </si>
  <si>
    <t>2.880,00</t>
  </si>
  <si>
    <t>2.900,00</t>
  </si>
  <si>
    <t>2.930,00</t>
  </si>
  <si>
    <t>2.920,00</t>
  </si>
  <si>
    <t>2.970,00</t>
  </si>
  <si>
    <t>2.720,00</t>
  </si>
  <si>
    <t>2.350,00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</si>
  <si>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</si>
  <si>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</si>
  <si>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</si>
  <si>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</si>
  <si>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</si>
  <si>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</si>
  <si>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</si>
  <si>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</si>
  <si>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</si>
  <si>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</si>
  <si>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</si>
  <si>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</si>
  <si>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</si>
  <si>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</si>
  <si>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</si>
  <si>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</si>
  <si>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</si>
  <si>
    <t>${table:NYH.date}</t>
  </si>
  <si>
    <t>${table:NYH.volume}</t>
  </si>
  <si>
    <t>${table:NYH.month1}</t>
  </si>
  <si>
    <t>${table:NYH.month2}</t>
  </si>
  <si>
    <t>${table:NYH.month3}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</si>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</sst>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10"/>
      <color rgb="FFC2CACE"/>
      <name val="Averta"/>
    </font>
    <font>
      <sz val="10"/>
      <color rgb="FF25323C"/>
      <name val="Roboto-Mono"/>
    </font>
    <font>
      <sz val="9"/>
      <color rgb="FF003299"/>
      <name val="Open Sans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0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1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2" fillId="0" borderId="0" xfId="0" applyFont="1"/>
    <xf numFmtId="0" fontId="143" fillId="0" borderId="0" xfId="0" applyFont="1"/>
    <xf numFmtId="0" fontId="144" fillId="0" borderId="0" xfId="0" applyFont="1"/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5" fillId="2" borderId="7" xfId="0" applyNumberFormat="1" applyFont="1" applyFill="1" applyBorder="1" applyAlignment="1">
      <alignment horizontal="center"/>
    </xf>
    <xf numFmtId="1" fontId="145" fillId="2" borderId="0" xfId="0" applyNumberFormat="1" applyFont="1" applyFill="1" applyAlignment="1">
      <alignment horizontal="center"/>
    </xf>
    <xf numFmtId="1" fontId="145" fillId="2" borderId="8" xfId="0" applyNumberFormat="1" applyFont="1" applyFill="1" applyBorder="1" applyAlignment="1">
      <alignment horizontal="center"/>
    </xf>
    <xf numFmtId="2" fontId="146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3" fontId="147" fillId="0" borderId="0" xfId="0" applyNumberFormat="1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0" fontId="147" fillId="0" borderId="0" xfId="0" applyFont="1" applyAlignment="1">
      <alignment horizontal="left" vertical="center" wrapText="1"/>
    </xf>
    <xf numFmtId="0" fontId="149" fillId="14" borderId="46" xfId="0" applyFont="1" applyFill="1" applyBorder="1" applyAlignment="1">
      <alignment horizontal="center" vertical="center" wrapText="1"/>
    </xf>
    <xf numFmtId="0" fontId="149" fillId="14" borderId="0" xfId="0" applyFont="1" applyFill="1" applyAlignment="1">
      <alignment horizontal="center" vertical="center" wrapText="1"/>
    </xf>
    <xf numFmtId="17" fontId="150" fillId="9" borderId="47" xfId="0" applyNumberFormat="1" applyFont="1" applyFill="1" applyBorder="1" applyAlignment="1">
      <alignment horizontal="left" vertical="center" wrapText="1"/>
    </xf>
    <xf numFmtId="0" fontId="150" fillId="9" borderId="47" xfId="0" applyFont="1" applyFill="1" applyBorder="1" applyAlignment="1">
      <alignment horizontal="left" vertical="center" wrapText="1"/>
    </xf>
    <xf numFmtId="0" fontId="150" fillId="9" borderId="51" xfId="0" applyFont="1" applyFill="1" applyBorder="1" applyAlignment="1">
      <alignment horizontal="left" vertical="center" wrapText="1"/>
    </xf>
    <xf numFmtId="17" fontId="150" fillId="10" borderId="47" xfId="0" applyNumberFormat="1" applyFont="1" applyFill="1" applyBorder="1" applyAlignment="1">
      <alignment horizontal="left" vertical="center" wrapText="1"/>
    </xf>
    <xf numFmtId="0" fontId="150" fillId="10" borderId="47" xfId="0" applyFont="1" applyFill="1" applyBorder="1" applyAlignment="1">
      <alignment horizontal="left" vertical="center" wrapText="1"/>
    </xf>
    <xf numFmtId="0" fontId="150" fillId="10" borderId="51" xfId="0" applyFont="1" applyFill="1" applyBorder="1" applyAlignment="1">
      <alignment horizontal="left" vertical="center" wrapText="1"/>
    </xf>
    <xf numFmtId="0" fontId="150" fillId="22" borderId="46" xfId="0" applyFont="1" applyFill="1" applyBorder="1" applyAlignment="1">
      <alignment horizontal="left" vertical="center" wrapText="1"/>
    </xf>
    <xf numFmtId="0" fontId="150" fillId="22" borderId="0" xfId="0" applyFont="1" applyFill="1" applyAlignment="1">
      <alignment horizontal="left" vertical="center" wrapText="1"/>
    </xf>
    <xf numFmtId="3" fontId="150" fillId="9" borderId="47" xfId="0" applyNumberFormat="1" applyFont="1" applyFill="1" applyBorder="1" applyAlignment="1">
      <alignment horizontal="left" vertical="center" wrapText="1"/>
    </xf>
    <xf numFmtId="3" fontId="150" fillId="9" borderId="51" xfId="0" applyNumberFormat="1" applyFont="1" applyFill="1" applyBorder="1" applyAlignment="1">
      <alignment horizontal="left" vertical="center" wrapText="1"/>
    </xf>
    <xf numFmtId="17" fontId="150" fillId="22" borderId="47" xfId="0" applyNumberFormat="1" applyFont="1" applyFill="1" applyBorder="1" applyAlignment="1">
      <alignment horizontal="left" vertical="center" wrapText="1"/>
    </xf>
    <xf numFmtId="0" fontId="150" fillId="22" borderId="47" xfId="0" applyFont="1" applyFill="1" applyBorder="1" applyAlignment="1">
      <alignment horizontal="left" vertical="center" wrapText="1"/>
    </xf>
    <xf numFmtId="0" fontId="150" fillId="22" borderId="51" xfId="0" applyFont="1" applyFill="1" applyBorder="1" applyAlignment="1">
      <alignment horizontal="left" vertical="center" wrapText="1"/>
    </xf>
    <xf numFmtId="3" fontId="150" fillId="10" borderId="51" xfId="0" applyNumberFormat="1" applyFont="1" applyFill="1" applyBorder="1" applyAlignment="1">
      <alignment horizontal="left" vertical="center" wrapText="1"/>
    </xf>
    <xf numFmtId="17" fontId="150" fillId="22" borderId="46" xfId="0" applyNumberFormat="1" applyFont="1" applyFill="1" applyBorder="1" applyAlignment="1">
      <alignment horizontal="left" vertical="center" wrapText="1"/>
    </xf>
    <xf numFmtId="194" fontId="126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1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6" fillId="2" borderId="33" xfId="1" applyNumberFormat="1" applyFont="1" applyFill="1" applyBorder="1" applyAlignment="1">
      <alignment horizontal="center" vertical="center"/>
    </xf>
    <xf numFmtId="3" fontId="146" fillId="2" borderId="13" xfId="1" applyNumberFormat="1" applyFont="1" applyFill="1" applyBorder="1" applyAlignment="1">
      <alignment horizontal="center" vertical="center"/>
    </xf>
    <xf numFmtId="3" fontId="146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5" fillId="0" borderId="49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14062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14062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5.7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5.7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.75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14062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6" t="s">
        <v>1</v>
      </c>
    </row>
    <row r="2" spans="2:22" ht="15.75" thickBot="1"/>
    <row r="3" spans="2:22" ht="19.5" thickBot="1">
      <c r="B3" s="1196" t="s">
        <v>2</v>
      </c>
      <c r="C3" s="1197"/>
      <c r="D3" s="1197"/>
      <c r="E3" s="1197"/>
      <c r="F3" s="1197"/>
      <c r="G3" s="1197"/>
      <c r="H3" s="1197"/>
      <c r="I3" s="1197"/>
      <c r="J3" s="1197"/>
      <c r="K3" s="1197"/>
      <c r="L3" s="1198"/>
    </row>
    <row r="4" spans="2:22">
      <c r="B4" s="54" t="s">
        <v>3</v>
      </c>
      <c r="C4" s="1193" t="s">
        <v>4</v>
      </c>
      <c r="D4" s="1194"/>
      <c r="E4" s="1195" t="s">
        <v>5</v>
      </c>
      <c r="F4" s="1195"/>
      <c r="G4" s="1193" t="s">
        <v>6</v>
      </c>
      <c r="H4" s="1194"/>
      <c r="I4" s="1195" t="s">
        <v>7</v>
      </c>
      <c r="J4" s="1195"/>
      <c r="K4" s="1193" t="s">
        <v>8</v>
      </c>
      <c r="L4" s="1194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193" t="s">
        <v>4</v>
      </c>
      <c r="D15" s="1194"/>
      <c r="E15" s="1195" t="s">
        <v>5</v>
      </c>
      <c r="F15" s="1195"/>
      <c r="G15" s="1193" t="s">
        <v>6</v>
      </c>
      <c r="H15" s="1194"/>
      <c r="I15" s="1195" t="s">
        <v>7</v>
      </c>
      <c r="J15" s="1195"/>
      <c r="K15" s="1193" t="s">
        <v>8</v>
      </c>
      <c r="L15" s="1194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193" t="s">
        <v>4</v>
      </c>
      <c r="D26" s="1194"/>
      <c r="E26" s="1195" t="s">
        <v>5</v>
      </c>
      <c r="F26" s="1195"/>
      <c r="G26" s="1193" t="s">
        <v>6</v>
      </c>
      <c r="H26" s="1194"/>
      <c r="I26" s="1195" t="s">
        <v>7</v>
      </c>
      <c r="J26" s="1195"/>
      <c r="K26" s="1193" t="s">
        <v>8</v>
      </c>
      <c r="L26" s="1194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93" t="s">
        <v>4</v>
      </c>
      <c r="D30" s="1194"/>
      <c r="E30" s="1195" t="s">
        <v>5</v>
      </c>
      <c r="F30" s="1195"/>
      <c r="G30" s="1193" t="s">
        <v>6</v>
      </c>
      <c r="H30" s="1194"/>
      <c r="I30" s="1195" t="s">
        <v>7</v>
      </c>
      <c r="J30" s="1195"/>
      <c r="K30" s="1193" t="s">
        <v>8</v>
      </c>
      <c r="L30" s="1194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B3:L3"/>
    <mergeCell ref="C4:D4"/>
    <mergeCell ref="E4:F4"/>
    <mergeCell ref="G4:H4"/>
    <mergeCell ref="I4:J4"/>
    <mergeCell ref="K4:L4"/>
    <mergeCell ref="C26:D26"/>
    <mergeCell ref="E26:F26"/>
    <mergeCell ref="G26:H26"/>
    <mergeCell ref="I26:J26"/>
    <mergeCell ref="K26:L26"/>
    <mergeCell ref="C15:D15"/>
    <mergeCell ref="E15:F15"/>
    <mergeCell ref="G15:H15"/>
    <mergeCell ref="I15:J15"/>
    <mergeCell ref="K15:L15"/>
    <mergeCell ref="C30:D30"/>
    <mergeCell ref="E30:F30"/>
    <mergeCell ref="G30:H30"/>
    <mergeCell ref="I30:J30"/>
    <mergeCell ref="K30:L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14062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45933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0.12284306206041218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3"/>
      <c r="C6" s="1199" t="s">
        <v>254</v>
      </c>
      <c r="D6" s="1200"/>
      <c r="E6" s="1200"/>
      <c r="F6" s="1200"/>
      <c r="G6" s="1200"/>
      <c r="H6" s="1200"/>
      <c r="I6" s="1200"/>
      <c r="J6" s="1201"/>
      <c r="K6" s="1199" t="s">
        <v>255</v>
      </c>
      <c r="L6" s="1200"/>
      <c r="M6" s="1200"/>
      <c r="N6" s="1200"/>
      <c r="O6" s="1200"/>
      <c r="P6" s="1200"/>
      <c r="Q6" s="1200"/>
      <c r="R6" s="1200"/>
      <c r="S6" s="1200"/>
      <c r="T6" s="1201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3310</v>
      </c>
      <c r="F8" s="251"/>
      <c r="G8" s="255"/>
      <c r="H8" s="256" t="s">
        <v>262</v>
      </c>
      <c r="I8" s="259">
        <f>+'settlement day'!AY44</f>
        <v>3300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3490</v>
      </c>
      <c r="T8" s="1"/>
      <c r="U8" s="1"/>
    </row>
    <row r="9" spans="2:21">
      <c r="B9" s="1"/>
      <c r="C9" s="1"/>
      <c r="D9" s="2" t="s">
        <v>264</v>
      </c>
      <c r="E9" s="251">
        <f>+E8*2.85%</f>
        <v>94.335000000000008</v>
      </c>
      <c r="F9" s="251"/>
      <c r="G9" s="255"/>
      <c r="H9" s="2"/>
      <c r="I9" s="251">
        <f>+I8*2.85%</f>
        <v>94.05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397.2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2687.5650000000001</v>
      </c>
      <c r="F12" s="251"/>
      <c r="G12" s="255"/>
      <c r="H12" s="2"/>
      <c r="I12" s="251">
        <f>+I8-(I9+I10+I11)</f>
        <v>3063.95</v>
      </c>
      <c r="J12" s="266">
        <f>+I12/E12</f>
        <v>1.1400468453786232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3341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40</v>
      </c>
      <c r="F13" s="251"/>
      <c r="G13" s="338">
        <v>1.2</v>
      </c>
      <c r="H13" s="2"/>
      <c r="I13" s="251">
        <f ca="1">+'settlement day'!BK34*'BRAZIL domestic'!G13</f>
        <v>48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3127.5650000000001</v>
      </c>
      <c r="F18" s="251">
        <f ca="1">+E18/$J$4</f>
        <v>544.72011286052668</v>
      </c>
      <c r="G18" s="255"/>
      <c r="H18" s="2"/>
      <c r="I18" s="251">
        <f ca="1">+I12+I13+I15+I16</f>
        <v>3511.95</v>
      </c>
      <c r="J18" s="261">
        <f ca="1">+I18/$J$4</f>
        <v>611.66747944823737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3341</v>
      </c>
      <c r="T18" s="251">
        <f>+S18/$J$4</f>
        <v>581.89354883656119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573.45774696948581</v>
      </c>
      <c r="G24" s="255"/>
      <c r="H24" s="62"/>
      <c r="I24" s="287" t="s">
        <v>225</v>
      </c>
      <c r="J24" s="289">
        <f ca="1">+J18+J20+J21+J22</f>
        <v>614.27999163996094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522.64884890884764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503.62846490884766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 ht="22.5">
      <c r="E37" s="412" t="s">
        <v>288</v>
      </c>
      <c r="F37" s="413">
        <v>0.14000000000000001</v>
      </c>
      <c r="G37" s="414">
        <v>1.1399999999999999</v>
      </c>
    </row>
    <row r="39" spans="3:21" ht="15.75" thickBot="1">
      <c r="U39">
        <v>264.17200000000003</v>
      </c>
    </row>
    <row r="40" spans="3:21" ht="15.7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2817.5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-2817.5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33.75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140625" defaultRowHeight="15"/>
  <cols>
    <col min="1" max="1" width="10.7109375" customWidth="1"/>
    <col min="2" max="2" width="31.140625" customWidth="1"/>
    <col min="3" max="4" width="11.5703125" bestFit="1" customWidth="1"/>
    <col min="5" max="5" width="9.5703125" bestFit="1" customWidth="1"/>
    <col min="6" max="6" width="9.7109375" bestFit="1" customWidth="1"/>
    <col min="7" max="15" width="9.5703125" bestFit="1" customWidth="1"/>
  </cols>
  <sheetData>
    <row r="1" spans="1:15" ht="18.75">
      <c r="A1" s="57">
        <f>'settlement day'!B3</f>
        <v>45933</v>
      </c>
      <c r="B1" s="80" t="s">
        <v>182</v>
      </c>
    </row>
    <row r="2" spans="1:15">
      <c r="B2" s="64" t="s">
        <v>73</v>
      </c>
      <c r="C2" t="s">
        <v>74</v>
      </c>
      <c r="D2" s="1182">
        <f>F2/$A$5</f>
        <v>0</v>
      </c>
      <c r="E2" t="s">
        <v>75</v>
      </c>
      <c r="F2" s="1175"/>
      <c r="G2" t="s">
        <v>63</v>
      </c>
    </row>
    <row r="3" spans="1:15">
      <c r="B3" s="64" t="s">
        <v>4444</v>
      </c>
      <c r="C3" t="s">
        <v>74</v>
      </c>
      <c r="D3" s="1182">
        <f t="shared" ref="D3:D4" si="0">F3/$A$5</f>
        <v>82.382762991128004</v>
      </c>
      <c r="E3" t="s">
        <v>75</v>
      </c>
      <c r="F3" s="1175">
        <v>65</v>
      </c>
      <c r="G3" t="s">
        <v>63</v>
      </c>
    </row>
    <row r="4" spans="1:15">
      <c r="A4" s="1169">
        <v>264.17200000000003</v>
      </c>
      <c r="B4" s="64" t="s">
        <v>183</v>
      </c>
      <c r="C4" t="s">
        <v>74</v>
      </c>
      <c r="D4" s="1182">
        <f t="shared" si="0"/>
        <v>0</v>
      </c>
      <c r="E4" t="s">
        <v>75</v>
      </c>
      <c r="F4" s="1175"/>
      <c r="G4" t="s">
        <v>63</v>
      </c>
    </row>
    <row r="5" spans="1:15" ht="18.600000000000001" customHeight="1">
      <c r="A5" s="1169">
        <v>0.78900000000000003</v>
      </c>
      <c r="C5" t="s">
        <v>78</v>
      </c>
      <c r="D5" s="1176">
        <v>20000</v>
      </c>
      <c r="E5" t="s">
        <v>79</v>
      </c>
      <c r="F5" s="1183">
        <f>D5*A5</f>
        <v>15780</v>
      </c>
      <c r="G5" t="s">
        <v>216</v>
      </c>
    </row>
    <row r="7" spans="1:15">
      <c r="A7" s="1172">
        <v>0.18</v>
      </c>
      <c r="B7" s="1185" t="s">
        <v>81</v>
      </c>
    </row>
    <row r="8" spans="1:15" ht="15.75" thickBot="1">
      <c r="A8" s="1170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86" t="s">
        <v>34</v>
      </c>
      <c r="C9" s="1188">
        <f>'settlement day'!BJ9</f>
        <v>1.7524999999999999</v>
      </c>
      <c r="D9" s="1188">
        <f>'settlement day'!BK9</f>
        <v>1.6625000000000001</v>
      </c>
      <c r="E9" s="1188">
        <f>'settlement day'!BL9</f>
        <v>1.6575</v>
      </c>
      <c r="F9" s="1188">
        <f>'settlement day'!BM9</f>
        <v>1.68</v>
      </c>
      <c r="G9" s="1188">
        <f>'settlement day'!BN9</f>
        <v>1.7</v>
      </c>
      <c r="H9" s="1188">
        <f>'settlement day'!BO9</f>
        <v>1.72</v>
      </c>
      <c r="I9" s="1188">
        <f>'settlement day'!BP9</f>
        <v>1.7324999999999999</v>
      </c>
      <c r="J9" s="1188">
        <f>'settlement day'!BQ9</f>
        <v>1.7324999999999999</v>
      </c>
      <c r="K9" s="1188">
        <f>'settlement day'!BR9</f>
        <v>1.7275</v>
      </c>
      <c r="L9" s="1188">
        <f>'settlement day'!BS9</f>
        <v>1.7224999999999999</v>
      </c>
      <c r="M9" s="1188">
        <f>'settlement day'!BT9</f>
        <v>1.6975</v>
      </c>
      <c r="N9" s="1188">
        <f>'settlement day'!BU9</f>
        <v>1.6625000000000001</v>
      </c>
      <c r="O9" s="1188">
        <f>'settlement day'!BV9</f>
        <v>1.64</v>
      </c>
    </row>
    <row r="10" spans="1:15" ht="7.9" customHeight="1">
      <c r="B10" s="64"/>
    </row>
    <row r="11" spans="1:15">
      <c r="B11" s="1189" t="s">
        <v>4448</v>
      </c>
      <c r="C11" s="1190">
        <f t="shared" ref="C11:O11" si="1">+(C9+$A$7)*$A$4</f>
        <v>510.51239000000004</v>
      </c>
      <c r="D11" s="1190">
        <f t="shared" si="1"/>
        <v>486.73691000000008</v>
      </c>
      <c r="E11" s="1190">
        <f t="shared" si="1"/>
        <v>485.41605000000004</v>
      </c>
      <c r="F11" s="1190">
        <f t="shared" si="1"/>
        <v>491.35991999999999</v>
      </c>
      <c r="G11" s="1190">
        <f t="shared" si="1"/>
        <v>496.64336000000003</v>
      </c>
      <c r="H11" s="1190">
        <f t="shared" si="1"/>
        <v>501.92680000000001</v>
      </c>
      <c r="I11" s="1190">
        <f t="shared" si="1"/>
        <v>505.22895</v>
      </c>
      <c r="J11" s="1190">
        <f t="shared" si="1"/>
        <v>505.22895</v>
      </c>
      <c r="K11" s="1190">
        <f t="shared" si="1"/>
        <v>503.90809000000002</v>
      </c>
      <c r="L11" s="1190">
        <f t="shared" si="1"/>
        <v>502.58723000000003</v>
      </c>
      <c r="M11" s="1190">
        <f t="shared" si="1"/>
        <v>495.98293000000001</v>
      </c>
      <c r="N11" s="1190">
        <f t="shared" si="1"/>
        <v>486.73691000000008</v>
      </c>
      <c r="O11" s="1190">
        <f t="shared" si="1"/>
        <v>480.79304000000002</v>
      </c>
    </row>
    <row r="12" spans="1:15" ht="10.9" customHeight="1">
      <c r="B12" s="1189"/>
      <c r="C12" s="1190"/>
      <c r="D12" s="1190"/>
      <c r="E12" s="1190"/>
      <c r="F12" s="1190"/>
      <c r="G12" s="1190"/>
      <c r="H12" s="1190"/>
      <c r="I12" s="1190"/>
      <c r="J12" s="1190"/>
      <c r="K12" s="1190"/>
      <c r="L12" s="1190"/>
      <c r="M12" s="1190"/>
      <c r="N12" s="1190"/>
      <c r="O12" s="1190"/>
    </row>
    <row r="13" spans="1:15">
      <c r="B13" s="64" t="s">
        <v>184</v>
      </c>
      <c r="C13" s="78">
        <f>+C11+$D$2</f>
        <v>510.51239000000004</v>
      </c>
      <c r="D13" s="78">
        <f t="shared" ref="D13:J13" si="2">+D11+$D$2</f>
        <v>486.73691000000008</v>
      </c>
      <c r="E13" s="78">
        <f t="shared" si="2"/>
        <v>485.41605000000004</v>
      </c>
      <c r="F13" s="78">
        <f t="shared" si="2"/>
        <v>491.35991999999999</v>
      </c>
      <c r="G13" s="78">
        <f t="shared" si="2"/>
        <v>496.64336000000003</v>
      </c>
      <c r="H13" s="78">
        <f t="shared" si="2"/>
        <v>501.92680000000001</v>
      </c>
      <c r="I13" s="78">
        <f t="shared" si="2"/>
        <v>505.22895</v>
      </c>
      <c r="J13" s="78">
        <f t="shared" si="2"/>
        <v>505.22895</v>
      </c>
      <c r="K13" s="78">
        <f>+K11+$D$2</f>
        <v>503.90809000000002</v>
      </c>
      <c r="L13" s="78">
        <f t="shared" ref="L13:O13" si="3">+L11+$D$2</f>
        <v>502.58723000000003</v>
      </c>
      <c r="M13" s="78">
        <f t="shared" si="3"/>
        <v>495.98293000000001</v>
      </c>
      <c r="N13" s="78">
        <f t="shared" si="3"/>
        <v>486.73691000000008</v>
      </c>
      <c r="O13" s="78">
        <f t="shared" si="3"/>
        <v>480.79304000000002</v>
      </c>
    </row>
    <row r="14" spans="1:15">
      <c r="B14" s="71" t="s">
        <v>4452</v>
      </c>
      <c r="C14" s="79">
        <f t="shared" ref="C14:K14" si="4">+C13/$A$5</f>
        <v>647.03724968314327</v>
      </c>
      <c r="D14" s="79">
        <f t="shared" si="4"/>
        <v>616.90356147021555</v>
      </c>
      <c r="E14" s="79">
        <f t="shared" si="4"/>
        <v>615.22946768060842</v>
      </c>
      <c r="F14" s="79">
        <f t="shared" si="4"/>
        <v>622.76288973384021</v>
      </c>
      <c r="G14" s="79">
        <f t="shared" si="4"/>
        <v>629.45926489226872</v>
      </c>
      <c r="H14" s="79">
        <f t="shared" si="4"/>
        <v>636.15564005069712</v>
      </c>
      <c r="I14" s="79">
        <f t="shared" si="4"/>
        <v>640.34087452471476</v>
      </c>
      <c r="J14" s="79">
        <f t="shared" si="4"/>
        <v>640.34087452471476</v>
      </c>
      <c r="K14" s="79">
        <f t="shared" si="4"/>
        <v>638.66678073510775</v>
      </c>
      <c r="L14" s="79">
        <f t="shared" ref="L14:O14" si="5">+L13/$A$5</f>
        <v>636.99268694550062</v>
      </c>
      <c r="M14" s="79">
        <f t="shared" si="5"/>
        <v>628.6222179974651</v>
      </c>
      <c r="N14" s="79">
        <f t="shared" si="5"/>
        <v>616.90356147021555</v>
      </c>
      <c r="O14" s="79">
        <f t="shared" si="5"/>
        <v>609.37013941698353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70" t="s">
        <v>38</v>
      </c>
    </row>
    <row r="18" spans="1:15" ht="15.75" thickBot="1">
      <c r="A18" s="1171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70" t="s">
        <v>40</v>
      </c>
      <c r="B19" s="1186" t="s">
        <v>52</v>
      </c>
      <c r="C19" s="1187">
        <f>'settlement day'!BJ13</f>
        <v>2939.5</v>
      </c>
      <c r="D19" s="1187">
        <f>'settlement day'!BK13</f>
        <v>2938</v>
      </c>
      <c r="E19" s="1187">
        <f>'settlement day'!BL13</f>
        <v>2958</v>
      </c>
      <c r="F19" s="1187">
        <f>'settlement day'!BM13</f>
        <v>2966.5</v>
      </c>
      <c r="G19" s="1187">
        <f>'settlement day'!BN13</f>
        <v>2700</v>
      </c>
      <c r="H19" s="1187">
        <f>'settlement day'!BO13</f>
        <v>2420</v>
      </c>
      <c r="I19" s="1187">
        <f>'settlement day'!BP13</f>
        <v>2390</v>
      </c>
      <c r="J19" s="1187">
        <f>'settlement day'!BQ13</f>
        <v>2485</v>
      </c>
      <c r="K19" s="1187">
        <f>'settlement day'!BR13</f>
        <v>2485</v>
      </c>
      <c r="L19" s="1187">
        <f>'settlement day'!BS13</f>
        <v>2485</v>
      </c>
      <c r="M19" s="1187">
        <f>'settlement day'!BT13</f>
        <v>2575</v>
      </c>
      <c r="N19" s="1187">
        <f>'settlement day'!BU13</f>
        <v>2585</v>
      </c>
      <c r="O19" s="1187">
        <f>'settlement day'!BV13</f>
        <v>2605</v>
      </c>
    </row>
    <row r="20" spans="1:15">
      <c r="B20" s="1186" t="s">
        <v>41</v>
      </c>
      <c r="C20" s="1187">
        <f>'settlement day'!BJ30</f>
        <v>5.4054054054054053</v>
      </c>
      <c r="D20" s="1187">
        <f>'settlement day'!BK30</f>
        <v>5.4377379010331701</v>
      </c>
      <c r="E20" s="1187">
        <f>'settlement day'!BL30</f>
        <v>5.4779512462339088</v>
      </c>
      <c r="F20" s="1187">
        <f>'settlement day'!BM30</f>
        <v>5.5157198014340878</v>
      </c>
      <c r="G20" s="1187">
        <f>'settlement day'!BN30</f>
        <v>5.5586436909394106</v>
      </c>
      <c r="H20" s="1187">
        <f>'settlement day'!BO30</f>
        <v>5.5975370836831795</v>
      </c>
      <c r="I20" s="1187">
        <f>'settlement day'!BP30</f>
        <v>5.636978579481398</v>
      </c>
      <c r="J20" s="1187">
        <f>'settlement day'!BQ30</f>
        <v>5.6785917092561045</v>
      </c>
      <c r="K20" s="1187">
        <f>'settlement day'!BR30</f>
        <v>5.7208237986270021</v>
      </c>
      <c r="L20" s="1187">
        <f>'settlement day'!BS30</f>
        <v>5.762028233938346</v>
      </c>
      <c r="M20" s="1187">
        <f>'settlement day'!BT30</f>
        <v>5.8038305281485778</v>
      </c>
      <c r="N20" s="1187">
        <f>'settlement day'!BU30</f>
        <v>5.8428279287174991</v>
      </c>
      <c r="O20" s="1187">
        <f>'settlement day'!BV30</f>
        <v>5.8823529411764701</v>
      </c>
    </row>
    <row r="21" spans="1:15">
      <c r="B21" s="1186"/>
      <c r="C21" s="1187"/>
      <c r="D21" s="1187"/>
      <c r="E21" s="1187"/>
      <c r="F21" s="1187"/>
      <c r="G21" s="1187"/>
      <c r="H21" s="1187"/>
      <c r="I21" s="1187"/>
      <c r="J21" s="1187"/>
      <c r="K21" s="1187"/>
      <c r="L21" s="1187"/>
      <c r="M21" s="1187"/>
      <c r="N21" s="1187"/>
      <c r="O21" s="1187"/>
    </row>
    <row r="22" spans="1:15">
      <c r="B22" s="1189" t="s">
        <v>100</v>
      </c>
      <c r="C22" s="1191">
        <f>'FOB origin'!BF20</f>
        <v>569.00798499964219</v>
      </c>
      <c r="D22" s="1191">
        <f>'FOB origin'!BG20</f>
        <v>565.3996849996422</v>
      </c>
      <c r="E22" s="1191">
        <f>'FOB origin'!BH20</f>
        <v>564.96288499964214</v>
      </c>
      <c r="F22" s="1191">
        <f>'FOB origin'!BI20</f>
        <v>562.69393499964212</v>
      </c>
      <c r="G22" s="1191">
        <f>'FOB origin'!BJ20</f>
        <v>510.47148499964214</v>
      </c>
      <c r="H22" s="1191">
        <f>'FOB origin'!BK20</f>
        <v>456.96198499964214</v>
      </c>
      <c r="I22" s="1191">
        <f>'FOB origin'!BL20</f>
        <v>448.50248499964215</v>
      </c>
      <c r="J22" s="1191">
        <f>'FOB origin'!BM20</f>
        <v>462.00798499964213</v>
      </c>
      <c r="K22" s="1191">
        <f>'FOB origin'!BN20</f>
        <v>458.66048499964216</v>
      </c>
      <c r="L22" s="1191">
        <f>'FOB origin'!BO20</f>
        <v>455.44173499964216</v>
      </c>
      <c r="M22" s="1191">
        <f>'FOB origin'!BP20</f>
        <v>467.72998499964217</v>
      </c>
      <c r="N22" s="1191">
        <f>'FOB origin'!BQ20</f>
        <v>466.37673499964217</v>
      </c>
      <c r="O22" s="1191">
        <f>'FOB origin'!BR20</f>
        <v>466.70048499964219</v>
      </c>
    </row>
    <row r="23" spans="1:15">
      <c r="A23" s="1171">
        <v>100</v>
      </c>
      <c r="B23" s="64" t="s">
        <v>101</v>
      </c>
      <c r="C23" s="1184">
        <f>'FOB origin'!BF21</f>
        <v>654.10798499964221</v>
      </c>
      <c r="D23" s="1184">
        <f>'FOB origin'!BG21</f>
        <v>649.99368499964226</v>
      </c>
      <c r="E23" s="1184">
        <f>'FOB origin'!BH21</f>
        <v>648.9358849996421</v>
      </c>
      <c r="F23" s="1184">
        <f>'FOB origin'!BI21</f>
        <v>646.09193499964215</v>
      </c>
      <c r="G23" s="1184">
        <f>'FOB origin'!BJ21</f>
        <v>593.22548499964216</v>
      </c>
      <c r="H23" s="1184">
        <f>'FOB origin'!BK21</f>
        <v>539.14098499964211</v>
      </c>
      <c r="I23" s="1184">
        <f>'FOB origin'!BL21</f>
        <v>530.10648499964213</v>
      </c>
      <c r="J23" s="1184">
        <f>'FOB origin'!BM21</f>
        <v>543.01398499964216</v>
      </c>
      <c r="K23" s="1184">
        <f>'FOB origin'!BN21</f>
        <v>539.06848499964212</v>
      </c>
      <c r="L23" s="1184">
        <f>'FOB origin'!BO21</f>
        <v>535.27473499964219</v>
      </c>
      <c r="M23" s="1184">
        <f>'FOB origin'!BP21</f>
        <v>546.98798499964221</v>
      </c>
      <c r="N23" s="1184">
        <f>'FOB origin'!BQ21</f>
        <v>545.10573499964221</v>
      </c>
      <c r="O23" s="1184">
        <f>'FOB origin'!BR21</f>
        <v>544.90048499964223</v>
      </c>
    </row>
    <row r="24" spans="1:15">
      <c r="A24" s="1173">
        <v>1.125</v>
      </c>
      <c r="B24" s="64" t="s">
        <v>102</v>
      </c>
      <c r="C24" s="1184">
        <f>'FOB origin'!BF22</f>
        <v>631.80114517577908</v>
      </c>
      <c r="D24" s="1184">
        <f>'FOB origin'!BG22</f>
        <v>627.79593217577906</v>
      </c>
      <c r="E24" s="1184">
        <f>'FOB origin'!BH22</f>
        <v>627.311084175779</v>
      </c>
      <c r="F24" s="1184">
        <f>'FOB origin'!BI22</f>
        <v>624.79254967577901</v>
      </c>
      <c r="G24" s="1184">
        <f>'FOB origin'!BJ22</f>
        <v>566.82563017577911</v>
      </c>
      <c r="H24" s="1184">
        <f>'FOB origin'!BK22</f>
        <v>507.43008517577908</v>
      </c>
      <c r="I24" s="1184">
        <f>'FOB origin'!BL22</f>
        <v>498.0400401757791</v>
      </c>
      <c r="J24" s="1184">
        <f>'FOB origin'!BM22</f>
        <v>513.03114517577899</v>
      </c>
      <c r="K24" s="1184">
        <f>'FOB origin'!BN22</f>
        <v>509.31542017577908</v>
      </c>
      <c r="L24" s="1184">
        <f>'FOB origin'!BO22</f>
        <v>505.74260767577908</v>
      </c>
      <c r="M24" s="1184">
        <f>'FOB origin'!BP22</f>
        <v>519.38256517577906</v>
      </c>
      <c r="N24" s="1184">
        <f>'FOB origin'!BQ22</f>
        <v>517.8804576757791</v>
      </c>
      <c r="O24" s="1184">
        <f>'FOB origin'!BR22</f>
        <v>518.23982017577907</v>
      </c>
    </row>
    <row r="25" spans="1:15">
      <c r="C25" s="1184"/>
      <c r="D25" s="1184"/>
      <c r="E25" s="1184"/>
      <c r="F25" s="1184"/>
      <c r="G25" s="1184"/>
      <c r="H25" s="1184"/>
      <c r="I25" s="1184"/>
      <c r="J25" s="1184"/>
      <c r="K25" s="1184"/>
      <c r="L25" s="1184"/>
      <c r="M25" s="1184"/>
      <c r="N25" s="1184"/>
      <c r="O25" s="1184"/>
    </row>
    <row r="26" spans="1:15">
      <c r="B26" s="64" t="s">
        <v>184</v>
      </c>
      <c r="C26" s="1184">
        <f>+C22+$D$4</f>
        <v>569.00798499964219</v>
      </c>
      <c r="D26" s="1184">
        <f t="shared" ref="D26:O26" si="6">+D22+$D$4</f>
        <v>565.3996849996422</v>
      </c>
      <c r="E26" s="1184">
        <f t="shared" si="6"/>
        <v>564.96288499964214</v>
      </c>
      <c r="F26" s="1184">
        <f t="shared" si="6"/>
        <v>562.69393499964212</v>
      </c>
      <c r="G26" s="1184">
        <f t="shared" si="6"/>
        <v>510.47148499964214</v>
      </c>
      <c r="H26" s="1184">
        <f t="shared" si="6"/>
        <v>456.96198499964214</v>
      </c>
      <c r="I26" s="1184">
        <f t="shared" si="6"/>
        <v>448.50248499964215</v>
      </c>
      <c r="J26" s="1184">
        <f t="shared" si="6"/>
        <v>462.00798499964213</v>
      </c>
      <c r="K26" s="1184">
        <f t="shared" si="6"/>
        <v>458.66048499964216</v>
      </c>
      <c r="L26" s="1184">
        <f t="shared" si="6"/>
        <v>455.44173499964216</v>
      </c>
      <c r="M26" s="1184">
        <f t="shared" si="6"/>
        <v>467.72998499964217</v>
      </c>
      <c r="N26" s="1184">
        <f t="shared" si="6"/>
        <v>466.37673499964217</v>
      </c>
      <c r="O26" s="1184">
        <f t="shared" si="6"/>
        <v>466.70048499964219</v>
      </c>
    </row>
    <row r="27" spans="1:15">
      <c r="B27" s="71" t="s">
        <v>4453</v>
      </c>
      <c r="C27" s="1192">
        <f t="shared" ref="C27:K27" si="7">+C26/$A$5</f>
        <v>721.17615335822836</v>
      </c>
      <c r="D27" s="1192">
        <f t="shared" si="7"/>
        <v>716.60289607052243</v>
      </c>
      <c r="E27" s="1192">
        <f t="shared" si="7"/>
        <v>716.04928390322198</v>
      </c>
      <c r="F27" s="1192">
        <f t="shared" si="7"/>
        <v>713.17355513262623</v>
      </c>
      <c r="G27" s="1192">
        <f t="shared" si="7"/>
        <v>646.98540557622573</v>
      </c>
      <c r="H27" s="1192">
        <f t="shared" si="7"/>
        <v>579.16601394124473</v>
      </c>
      <c r="I27" s="1192">
        <f t="shared" si="7"/>
        <v>568.44421419473019</v>
      </c>
      <c r="J27" s="1192">
        <f t="shared" si="7"/>
        <v>585.56145120360213</v>
      </c>
      <c r="K27" s="1192">
        <f t="shared" si="7"/>
        <v>581.3187389095591</v>
      </c>
      <c r="L27" s="1192">
        <f t="shared" ref="L27:O27" si="8">+L26/$A$5</f>
        <v>577.23920785759458</v>
      </c>
      <c r="M27" s="1192">
        <f t="shared" si="8"/>
        <v>592.81366920106734</v>
      </c>
      <c r="N27" s="1192">
        <f t="shared" si="8"/>
        <v>591.09852344694821</v>
      </c>
      <c r="O27" s="1192">
        <f t="shared" si="8"/>
        <v>591.50885297800016</v>
      </c>
    </row>
    <row r="28" spans="1:15">
      <c r="B28" s="71"/>
      <c r="C28" s="1184"/>
      <c r="D28" s="1184"/>
      <c r="E28" s="1184"/>
      <c r="F28" s="1184"/>
      <c r="G28" s="1184"/>
      <c r="H28" s="1184"/>
      <c r="I28" s="1184"/>
      <c r="J28" s="1184"/>
      <c r="K28" s="1184"/>
      <c r="L28" s="1184"/>
      <c r="M28" s="1184"/>
      <c r="N28" s="1184"/>
      <c r="O28" s="1184"/>
    </row>
    <row r="29" spans="1:15">
      <c r="A29" s="1171">
        <v>1.07</v>
      </c>
      <c r="B29" s="378" t="s">
        <v>4450</v>
      </c>
      <c r="C29" s="1184"/>
      <c r="D29" s="1184"/>
      <c r="E29" s="1184"/>
      <c r="F29" s="1184"/>
      <c r="G29" s="1184"/>
      <c r="H29" s="1184"/>
      <c r="I29" s="1184"/>
      <c r="J29" s="1184"/>
      <c r="K29" s="1184"/>
      <c r="L29" s="1184"/>
      <c r="M29" s="1184"/>
      <c r="N29" s="1184"/>
      <c r="O29" s="1184"/>
    </row>
    <row r="30" spans="1:15">
      <c r="B30" s="64" t="s">
        <v>4454</v>
      </c>
      <c r="C30" s="1184">
        <f t="shared" ref="C30:O30" si="9">C11/$A$29</f>
        <v>477.11438317757012</v>
      </c>
      <c r="D30" s="1184">
        <f t="shared" si="9"/>
        <v>454.89430841121498</v>
      </c>
      <c r="E30" s="1184">
        <f t="shared" si="9"/>
        <v>453.6598598130841</v>
      </c>
      <c r="F30" s="1184">
        <f t="shared" si="9"/>
        <v>459.21487850467287</v>
      </c>
      <c r="G30" s="1184">
        <f t="shared" si="9"/>
        <v>464.15267289719628</v>
      </c>
      <c r="H30" s="1184">
        <f t="shared" si="9"/>
        <v>469.09046728971964</v>
      </c>
      <c r="I30" s="1184">
        <f t="shared" si="9"/>
        <v>472.1765887850467</v>
      </c>
      <c r="J30" s="1184">
        <f t="shared" si="9"/>
        <v>472.1765887850467</v>
      </c>
      <c r="K30" s="1184">
        <f t="shared" si="9"/>
        <v>470.94214018691588</v>
      </c>
      <c r="L30" s="1184">
        <f t="shared" si="9"/>
        <v>469.70769158878505</v>
      </c>
      <c r="M30" s="1184">
        <f t="shared" si="9"/>
        <v>463.53544859813081</v>
      </c>
      <c r="N30" s="1184">
        <f t="shared" si="9"/>
        <v>454.89430841121498</v>
      </c>
      <c r="O30" s="1184">
        <f t="shared" si="9"/>
        <v>449.33928971962615</v>
      </c>
    </row>
    <row r="31" spans="1:15">
      <c r="B31" s="1189" t="s">
        <v>4455</v>
      </c>
      <c r="C31" s="1191">
        <f t="shared" ref="C31:O31" si="10">C22-C30</f>
        <v>91.893601822072071</v>
      </c>
      <c r="D31" s="1191">
        <f t="shared" si="10"/>
        <v>110.50537658842723</v>
      </c>
      <c r="E31" s="1191">
        <f t="shared" si="10"/>
        <v>111.30302518655805</v>
      </c>
      <c r="F31" s="1191">
        <f t="shared" si="10"/>
        <v>103.47905649496926</v>
      </c>
      <c r="G31" s="1191">
        <f t="shared" si="10"/>
        <v>46.318812102445861</v>
      </c>
      <c r="H31" s="1191">
        <f t="shared" si="10"/>
        <v>-12.1284822900775</v>
      </c>
      <c r="I31" s="1191">
        <f t="shared" si="10"/>
        <v>-23.674103785404554</v>
      </c>
      <c r="J31" s="1191">
        <f t="shared" si="10"/>
        <v>-10.168603785404571</v>
      </c>
      <c r="K31" s="1191">
        <f t="shared" si="10"/>
        <v>-12.281655187273714</v>
      </c>
      <c r="L31" s="1191">
        <f t="shared" si="10"/>
        <v>-14.265956589142888</v>
      </c>
      <c r="M31" s="1191">
        <f t="shared" si="10"/>
        <v>4.1945364015113569</v>
      </c>
      <c r="N31" s="1191">
        <f t="shared" si="10"/>
        <v>11.482426588427188</v>
      </c>
      <c r="O31" s="1191">
        <f t="shared" si="10"/>
        <v>17.361195280016034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84"/>
      <c r="E33" s="1184"/>
      <c r="F33" s="1184"/>
      <c r="G33" s="1184"/>
      <c r="H33" s="1184"/>
      <c r="I33" s="1184"/>
      <c r="J33" s="1184"/>
      <c r="K33" s="1184"/>
      <c r="L33" s="1184"/>
      <c r="M33" s="1184"/>
      <c r="N33" s="1184"/>
      <c r="O33" s="1184"/>
    </row>
    <row r="34" spans="1:19">
      <c r="B34" s="71" t="s">
        <v>4456</v>
      </c>
      <c r="C34" s="1192">
        <f>C27-C14</f>
        <v>74.138903675085089</v>
      </c>
      <c r="D34" s="1192">
        <f t="shared" ref="D34:O34" si="11">D27-D14</f>
        <v>99.699334600306884</v>
      </c>
      <c r="E34" s="1192">
        <f t="shared" si="11"/>
        <v>100.81981622261355</v>
      </c>
      <c r="F34" s="1192">
        <f t="shared" si="11"/>
        <v>90.410665398786023</v>
      </c>
      <c r="G34" s="1192">
        <f t="shared" si="11"/>
        <v>17.52614068395701</v>
      </c>
      <c r="H34" s="1192">
        <f t="shared" si="11"/>
        <v>-56.989626109452388</v>
      </c>
      <c r="I34" s="1192">
        <f t="shared" si="11"/>
        <v>-71.89666032998457</v>
      </c>
      <c r="J34" s="1192">
        <f t="shared" si="11"/>
        <v>-54.779423321112631</v>
      </c>
      <c r="K34" s="1192">
        <f t="shared" si="11"/>
        <v>-57.348041825548648</v>
      </c>
      <c r="L34" s="1192">
        <f t="shared" si="11"/>
        <v>-59.753479087906044</v>
      </c>
      <c r="M34" s="1192">
        <f t="shared" si="11"/>
        <v>-35.808548796397758</v>
      </c>
      <c r="N34" s="1192">
        <f t="shared" si="11"/>
        <v>-25.805038023267343</v>
      </c>
      <c r="O34" s="1192">
        <f t="shared" si="11"/>
        <v>-17.86128643898337</v>
      </c>
    </row>
    <row r="35" spans="1:19">
      <c r="B35" s="71"/>
      <c r="C35" s="1192"/>
      <c r="D35" s="1192"/>
      <c r="E35" s="1192"/>
      <c r="F35" s="1192"/>
      <c r="G35" s="1192"/>
      <c r="H35" s="1192"/>
      <c r="I35" s="1192"/>
      <c r="J35" s="1192"/>
      <c r="K35" s="1192"/>
      <c r="L35" s="1192"/>
      <c r="M35" s="1192"/>
      <c r="N35" s="1192"/>
      <c r="O35" s="1192"/>
    </row>
    <row r="36" spans="1:19">
      <c r="B36" s="71"/>
      <c r="C36" s="1192"/>
      <c r="D36" s="1192"/>
      <c r="E36" s="1192"/>
      <c r="F36" s="1192"/>
      <c r="G36" s="1192"/>
      <c r="H36" s="1192"/>
      <c r="I36" s="1192"/>
      <c r="J36" s="1192"/>
      <c r="K36" s="1192"/>
      <c r="L36" s="1192"/>
      <c r="M36" s="1192"/>
      <c r="N36" s="1192"/>
      <c r="O36" s="1192"/>
    </row>
    <row r="37" spans="1:19">
      <c r="B37" s="71"/>
      <c r="C37" s="1192"/>
      <c r="D37" s="1192"/>
      <c r="E37" s="1192"/>
      <c r="F37" s="1192"/>
      <c r="G37" s="1192"/>
      <c r="H37" s="1192"/>
      <c r="I37" s="1192"/>
      <c r="J37" s="1192"/>
      <c r="K37" s="1192"/>
      <c r="L37" s="1192"/>
      <c r="M37" s="1192"/>
      <c r="N37" s="1192"/>
      <c r="O37" s="1192"/>
    </row>
    <row r="39" spans="1:19">
      <c r="A39" s="1171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71">
        <v>9</v>
      </c>
      <c r="B40" t="s">
        <v>4445</v>
      </c>
      <c r="C40" s="1045"/>
      <c r="D40" s="1177"/>
      <c r="E40" s="1177"/>
      <c r="F40" s="1177"/>
      <c r="G40" s="1177"/>
      <c r="H40" s="1177"/>
      <c r="I40" s="1177"/>
      <c r="J40" s="1177"/>
      <c r="K40" s="1177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74" t="s">
        <v>185</v>
      </c>
      <c r="C41" s="1178"/>
      <c r="D41" s="1179"/>
      <c r="E41" s="1179"/>
      <c r="F41" s="1179"/>
      <c r="G41" s="1179"/>
      <c r="H41" s="1179"/>
      <c r="I41" s="1179"/>
      <c r="J41" s="1179"/>
      <c r="K41" s="1179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4446</v>
      </c>
      <c r="C42" s="1180">
        <f>((C9*$A$4)/$A$5)+$A$39</f>
        <v>686.76987325728771</v>
      </c>
      <c r="D42" s="1180">
        <f t="shared" ref="D42:O42" si="12">((D9*$A$4)/$A$5)+$A$39</f>
        <v>656.63618504435999</v>
      </c>
      <c r="E42" s="1180">
        <f t="shared" si="12"/>
        <v>654.96209125475286</v>
      </c>
      <c r="F42" s="1180">
        <f t="shared" si="12"/>
        <v>662.49551330798477</v>
      </c>
      <c r="G42" s="1180">
        <f t="shared" si="12"/>
        <v>669.19188846641327</v>
      </c>
      <c r="H42" s="1180">
        <f t="shared" si="12"/>
        <v>675.88826362484156</v>
      </c>
      <c r="I42" s="1180">
        <f t="shared" si="12"/>
        <v>680.07349809885932</v>
      </c>
      <c r="J42" s="1180">
        <f t="shared" si="12"/>
        <v>680.07349809885932</v>
      </c>
      <c r="K42" s="1180">
        <f t="shared" si="12"/>
        <v>678.39940430925219</v>
      </c>
      <c r="L42" s="1180">
        <f t="shared" si="12"/>
        <v>676.72531051964506</v>
      </c>
      <c r="M42" s="1180">
        <f t="shared" si="12"/>
        <v>668.35484157160965</v>
      </c>
      <c r="N42" s="1180">
        <f t="shared" si="12"/>
        <v>656.63618504435999</v>
      </c>
      <c r="O42" s="1180">
        <f t="shared" si="12"/>
        <v>649.10276299112809</v>
      </c>
      <c r="P42" s="1045"/>
      <c r="Q42" s="1045"/>
      <c r="R42" s="1045"/>
      <c r="S42" s="1045"/>
    </row>
    <row r="43" spans="1:19">
      <c r="A43" s="189"/>
      <c r="B43" s="64" t="s">
        <v>4447</v>
      </c>
      <c r="C43" s="1178">
        <f>C42+$A$40+$F$3</f>
        <v>760.76987325728771</v>
      </c>
      <c r="D43" s="1178">
        <f t="shared" ref="D43:O43" si="13">D42+$A$40+$F$3</f>
        <v>730.63618504435999</v>
      </c>
      <c r="E43" s="1178">
        <f t="shared" si="13"/>
        <v>728.96209125475286</v>
      </c>
      <c r="F43" s="1178">
        <f t="shared" si="13"/>
        <v>736.49551330798477</v>
      </c>
      <c r="G43" s="1178">
        <f t="shared" si="13"/>
        <v>743.19188846641327</v>
      </c>
      <c r="H43" s="1178">
        <f t="shared" si="13"/>
        <v>749.88826362484156</v>
      </c>
      <c r="I43" s="1178">
        <f t="shared" si="13"/>
        <v>754.07349809885932</v>
      </c>
      <c r="J43" s="1178">
        <f t="shared" si="13"/>
        <v>754.07349809885932</v>
      </c>
      <c r="K43" s="1178">
        <f t="shared" si="13"/>
        <v>752.39940430925219</v>
      </c>
      <c r="L43" s="1178">
        <f t="shared" si="13"/>
        <v>750.72531051964506</v>
      </c>
      <c r="M43" s="1178">
        <f t="shared" si="13"/>
        <v>742.35484157160965</v>
      </c>
      <c r="N43" s="1178">
        <f t="shared" si="13"/>
        <v>730.63618504435999</v>
      </c>
      <c r="O43" s="1178">
        <f t="shared" si="13"/>
        <v>723.10276299112809</v>
      </c>
      <c r="P43" s="1045"/>
      <c r="Q43" s="1045"/>
      <c r="R43" s="1045"/>
      <c r="S43" s="1045"/>
    </row>
    <row r="44" spans="1:19">
      <c r="B44" s="71" t="s">
        <v>4448</v>
      </c>
      <c r="C44" s="1181">
        <f>C43*$A$5</f>
        <v>600.24743000000001</v>
      </c>
      <c r="D44" s="1181">
        <f t="shared" ref="D44:O44" si="14">D43*$A$5</f>
        <v>576.47195000000011</v>
      </c>
      <c r="E44" s="1181">
        <f t="shared" si="14"/>
        <v>575.15109000000007</v>
      </c>
      <c r="F44" s="1181">
        <f t="shared" si="14"/>
        <v>581.09496000000001</v>
      </c>
      <c r="G44" s="1181">
        <f t="shared" si="14"/>
        <v>586.37840000000006</v>
      </c>
      <c r="H44" s="1181">
        <f t="shared" si="14"/>
        <v>591.66183999999998</v>
      </c>
      <c r="I44" s="1181">
        <f t="shared" si="14"/>
        <v>594.96399000000008</v>
      </c>
      <c r="J44" s="1181">
        <f t="shared" si="14"/>
        <v>594.96399000000008</v>
      </c>
      <c r="K44" s="1181">
        <f t="shared" si="14"/>
        <v>593.64313000000004</v>
      </c>
      <c r="L44" s="1181">
        <f t="shared" si="14"/>
        <v>592.32227</v>
      </c>
      <c r="M44" s="1181">
        <f t="shared" si="14"/>
        <v>585.71797000000004</v>
      </c>
      <c r="N44" s="1181">
        <f t="shared" si="14"/>
        <v>576.47195000000011</v>
      </c>
      <c r="O44" s="1181">
        <f t="shared" si="14"/>
        <v>570.52808000000005</v>
      </c>
      <c r="P44" s="1045"/>
      <c r="Q44" s="1045"/>
      <c r="R44" s="1045"/>
      <c r="S44" s="1045"/>
    </row>
    <row r="45" spans="1:19">
      <c r="B45" s="64" t="s">
        <v>4449</v>
      </c>
      <c r="C45" s="1178">
        <f>(C44/$A$4)-C9</f>
        <v>0.51968414517814132</v>
      </c>
      <c r="D45" s="1178">
        <f t="shared" ref="D45:O45" si="15">(D44/$A$4)-D9</f>
        <v>0.51968414517814177</v>
      </c>
      <c r="E45" s="1178">
        <f t="shared" si="15"/>
        <v>0.51968414517814154</v>
      </c>
      <c r="F45" s="1178">
        <f t="shared" si="15"/>
        <v>0.51968414517814154</v>
      </c>
      <c r="G45" s="1178">
        <f t="shared" si="15"/>
        <v>0.51968414517814154</v>
      </c>
      <c r="H45" s="1178">
        <f t="shared" si="15"/>
        <v>0.5196841451781411</v>
      </c>
      <c r="I45" s="1178">
        <f t="shared" si="15"/>
        <v>0.51968414517814177</v>
      </c>
      <c r="J45" s="1178">
        <f t="shared" si="15"/>
        <v>0.51968414517814177</v>
      </c>
      <c r="K45" s="1178">
        <f t="shared" si="15"/>
        <v>0.51968414517814132</v>
      </c>
      <c r="L45" s="1178">
        <f t="shared" si="15"/>
        <v>0.51968414517814154</v>
      </c>
      <c r="M45" s="1178">
        <f t="shared" si="15"/>
        <v>0.51968414517814154</v>
      </c>
      <c r="N45" s="1178">
        <f t="shared" si="15"/>
        <v>0.51968414517814177</v>
      </c>
      <c r="O45" s="1178">
        <f t="shared" si="15"/>
        <v>0.51968414517814154</v>
      </c>
      <c r="P45" s="1045"/>
      <c r="Q45" s="1045"/>
      <c r="R45" s="1045"/>
      <c r="S45" s="1045"/>
    </row>
    <row r="46" spans="1:19"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8"/>
      <c r="P46" s="1045"/>
      <c r="Q46" s="1045"/>
      <c r="R46" s="1045"/>
      <c r="S46" s="1045"/>
    </row>
    <row r="47" spans="1:19">
      <c r="A47" s="1171">
        <v>1.07</v>
      </c>
      <c r="B47" s="378" t="s">
        <v>4450</v>
      </c>
      <c r="C47" s="1178"/>
      <c r="D47" s="1178"/>
      <c r="E47" s="1178"/>
      <c r="F47" s="1178"/>
      <c r="G47" s="1178"/>
      <c r="H47" s="1178"/>
      <c r="I47" s="1178"/>
      <c r="J47" s="1178"/>
      <c r="K47" s="1178"/>
      <c r="L47" s="1178"/>
      <c r="M47" s="1178"/>
      <c r="N47" s="1178"/>
      <c r="O47" s="1178"/>
      <c r="P47" s="1045"/>
      <c r="Q47" s="1045"/>
      <c r="R47" s="1045"/>
      <c r="S47" s="1045"/>
    </row>
    <row r="48" spans="1:19">
      <c r="B48" s="1174" t="s">
        <v>186</v>
      </c>
      <c r="P48" s="1045"/>
      <c r="Q48" s="1045"/>
      <c r="R48" s="1045"/>
      <c r="S48" s="1045"/>
    </row>
    <row r="49" spans="2:19">
      <c r="B49" s="71" t="s">
        <v>4451</v>
      </c>
      <c r="C49" s="1181">
        <f>C44/$A$47</f>
        <v>560.97890654205605</v>
      </c>
      <c r="D49" s="1181">
        <f t="shared" ref="D49:O49" si="16">D44/$A$47</f>
        <v>538.75883177570097</v>
      </c>
      <c r="E49" s="1181">
        <f t="shared" si="16"/>
        <v>537.52438317757014</v>
      </c>
      <c r="F49" s="1181">
        <f t="shared" si="16"/>
        <v>543.07940186915891</v>
      </c>
      <c r="G49" s="1181">
        <f t="shared" si="16"/>
        <v>548.01719626168222</v>
      </c>
      <c r="H49" s="1181">
        <f t="shared" si="16"/>
        <v>552.95499065420552</v>
      </c>
      <c r="I49" s="1181">
        <f t="shared" si="16"/>
        <v>556.04111214953275</v>
      </c>
      <c r="J49" s="1181">
        <f t="shared" si="16"/>
        <v>556.04111214953275</v>
      </c>
      <c r="K49" s="1181">
        <f t="shared" si="16"/>
        <v>554.80666355140193</v>
      </c>
      <c r="L49" s="1181">
        <f t="shared" si="16"/>
        <v>553.57221495327099</v>
      </c>
      <c r="M49" s="1181">
        <f t="shared" si="16"/>
        <v>547.39997196261686</v>
      </c>
      <c r="N49" s="1181">
        <f t="shared" si="16"/>
        <v>538.75883177570097</v>
      </c>
      <c r="O49" s="1181">
        <f t="shared" si="16"/>
        <v>533.2038130841122</v>
      </c>
      <c r="P49" s="1045"/>
      <c r="Q49" s="1045"/>
      <c r="R49" s="1045"/>
      <c r="S49" s="1045"/>
    </row>
    <row r="50" spans="2:19">
      <c r="C50" s="1178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437.86509000000001</v>
      </c>
      <c r="E61" s="62">
        <f>+E9</f>
        <v>1.6575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554.96209125475286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654.96209125475286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580.96209125475286</v>
      </c>
      <c r="E67" t="s">
        <v>196</v>
      </c>
    </row>
    <row r="69" spans="3:6">
      <c r="C69" t="s">
        <v>197</v>
      </c>
      <c r="D69" s="60">
        <f>+D67*0.789</f>
        <v>458.37909000000002</v>
      </c>
      <c r="E69" t="s">
        <v>198</v>
      </c>
      <c r="F69" s="59">
        <f>+D69/C60</f>
        <v>1.7351539527277682</v>
      </c>
    </row>
    <row r="70" spans="3:6">
      <c r="D70" s="60"/>
      <c r="F70" s="59">
        <f>+F69-E61</f>
        <v>7.7653952727768205E-2</v>
      </c>
    </row>
    <row r="71" spans="3:6">
      <c r="C71" t="s">
        <v>199</v>
      </c>
      <c r="D71" s="60">
        <f>+D69/1.07</f>
        <v>428.39167289719626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zoomScaleNormal="100" workbookViewId="0">
      <selection activeCell="BU25" sqref="BU25"/>
    </sheetView>
  </sheetViews>
  <sheetFormatPr baseColWidth="10" defaultColWidth="9.14062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5" width="8.42578125" hidden="1" customWidth="1"/>
    <col min="56" max="70" width="8.42578125" customWidth="1"/>
    <col min="71" max="71" width="7" bestFit="1" customWidth="1"/>
  </cols>
  <sheetData>
    <row r="1" spans="1:75" ht="18.75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552.77990999999997</v>
      </c>
      <c r="BE4" s="186">
        <f t="shared" si="3"/>
        <v>528.34400000000005</v>
      </c>
      <c r="BF4" s="186">
        <f t="shared" si="3"/>
        <v>489.37863000000004</v>
      </c>
      <c r="BG4" s="186">
        <f t="shared" ref="BG4:BI4" si="4">+(BG9+$B$4)*$B$2</f>
        <v>465.60315000000008</v>
      </c>
      <c r="BH4" s="186">
        <f t="shared" si="4"/>
        <v>464.28229000000005</v>
      </c>
      <c r="BI4" s="186">
        <f t="shared" si="4"/>
        <v>470.22616000000005</v>
      </c>
      <c r="BJ4" s="186">
        <f t="shared" ref="BJ4:BL4" si="5">+(BJ9+$B$4)*$B$2</f>
        <v>475.50960000000003</v>
      </c>
      <c r="BK4" s="186">
        <f t="shared" si="5"/>
        <v>480.79304000000008</v>
      </c>
      <c r="BL4" s="186">
        <f t="shared" si="5"/>
        <v>484.09519000000006</v>
      </c>
      <c r="BM4" s="186">
        <f t="shared" ref="BM4:BR4" si="6">+(BM9+$B$4)*$B$2</f>
        <v>484.09519000000006</v>
      </c>
      <c r="BN4" s="186">
        <f t="shared" si="6"/>
        <v>482.77433000000008</v>
      </c>
      <c r="BO4" s="186">
        <f t="shared" si="6"/>
        <v>481.45347000000004</v>
      </c>
      <c r="BP4" s="186">
        <f t="shared" si="6"/>
        <v>474.84917000000007</v>
      </c>
      <c r="BQ4" s="186">
        <f t="shared" si="6"/>
        <v>465.60315000000008</v>
      </c>
      <c r="BR4" s="186">
        <f t="shared" si="6"/>
        <v>459.65928000000002</v>
      </c>
    </row>
    <row r="5" spans="1:75" ht="15.7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600000000000001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5.7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39.75</v>
      </c>
      <c r="BV7" s="560">
        <f>+'settlement day'!BP42</f>
        <v>42.60450160771704</v>
      </c>
      <c r="BW7" s="560">
        <f>+'settlement day'!BQ42</f>
        <v>48.298906439854193</v>
      </c>
    </row>
    <row r="8" spans="1:75" ht="15.7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-1.98583</v>
      </c>
      <c r="BD8" s="363">
        <f ca="1">+'settlement day'!BH11</f>
        <v>-1.2499999999999956E-2</v>
      </c>
      <c r="BE8" s="364">
        <f ca="1">+'settlement day'!BI11</f>
        <v>-1.2500000000000178E-2</v>
      </c>
      <c r="BF8" s="365">
        <f ca="1">+'settlement day'!BJ11</f>
        <v>-5.0000000000001155E-3</v>
      </c>
      <c r="BG8" s="363">
        <f ca="1">+'settlement day'!BK11</f>
        <v>-2.4999999999999467E-3</v>
      </c>
      <c r="BH8" s="364">
        <f ca="1">+'settlement day'!BL11</f>
        <v>-2.4999999999999467E-3</v>
      </c>
      <c r="BI8" s="365">
        <f ca="1">+'settlement day'!BM11</f>
        <v>0</v>
      </c>
      <c r="BJ8" s="363">
        <f ca="1">+'settlement day'!BN11</f>
        <v>0</v>
      </c>
      <c r="BK8" s="364">
        <f ca="1">+'settlement day'!BO11</f>
        <v>0</v>
      </c>
      <c r="BL8" s="365">
        <f ca="1">+'settlement day'!BP11</f>
        <v>0</v>
      </c>
      <c r="BM8" s="363">
        <f ca="1">+'settlement day'!BQ11</f>
        <v>0</v>
      </c>
      <c r="BN8" s="364">
        <f ca="1">+'settlement day'!BR11</f>
        <v>0</v>
      </c>
      <c r="BO8" s="365">
        <f ca="1">+'settlement day'!BS11</f>
        <v>0</v>
      </c>
      <c r="BP8" s="363">
        <f ca="1">+'settlement day'!BT11</f>
        <v>2.4999999999999467E-3</v>
      </c>
      <c r="BQ8" s="364">
        <f ca="1">+'settlement day'!BU11</f>
        <v>2.5000000000001688E-3</v>
      </c>
      <c r="BR8" s="365">
        <f ca="1">+'settlement day'!BV11</f>
        <v>2.4999999999999467E-3</v>
      </c>
      <c r="BT8" s="565" t="s">
        <v>33</v>
      </c>
      <c r="BU8" s="556">
        <f>+'settlement day'!BO43</f>
        <v>7.9776025046661445</v>
      </c>
      <c r="BV8" s="561">
        <f>+'settlement day'!BP43</f>
        <v>8.550484999642169</v>
      </c>
      <c r="BW8" s="561">
        <f>+'settlement day'!BQ43</f>
        <v>9.6933201757790339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1.9924999999999999</v>
      </c>
      <c r="BE9" s="849">
        <f>+'settlement day'!BI9</f>
        <v>1.9</v>
      </c>
      <c r="BF9" s="424">
        <f>+'settlement day'!BJ9</f>
        <v>1.7524999999999999</v>
      </c>
      <c r="BG9" s="425">
        <f>+'settlement day'!BK9</f>
        <v>1.6625000000000001</v>
      </c>
      <c r="BH9" s="849">
        <f>+'settlement day'!BL9</f>
        <v>1.6575</v>
      </c>
      <c r="BI9" s="424">
        <f>+'settlement day'!BM9</f>
        <v>1.68</v>
      </c>
      <c r="BJ9" s="425">
        <f>+'settlement day'!BN9</f>
        <v>1.7</v>
      </c>
      <c r="BK9" s="849">
        <f>+'settlement day'!BO9</f>
        <v>1.72</v>
      </c>
      <c r="BL9" s="424">
        <f>+'settlement day'!BP9</f>
        <v>1.7324999999999999</v>
      </c>
      <c r="BM9" s="425">
        <f>+'settlement day'!BQ9</f>
        <v>1.7324999999999999</v>
      </c>
      <c r="BN9" s="849">
        <f>+'settlement day'!BR9</f>
        <v>1.7275</v>
      </c>
      <c r="BO9" s="424">
        <f>+'settlement day'!BS9</f>
        <v>1.7224999999999999</v>
      </c>
      <c r="BP9" s="425">
        <f>+'settlement day'!BT9</f>
        <v>1.6975</v>
      </c>
      <c r="BQ9" s="849">
        <f>+'settlement day'!BU9</f>
        <v>1.6625000000000001</v>
      </c>
      <c r="BR9" s="424">
        <f>+'settlement day'!BV9</f>
        <v>1.64</v>
      </c>
      <c r="BV9" s="60">
        <f>+BW8-BV8</f>
        <v>1.1428351761368649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552.77990999999997</v>
      </c>
      <c r="BE11" s="850">
        <f t="shared" si="13"/>
        <v>528.34400000000005</v>
      </c>
      <c r="BF11" s="186">
        <f t="shared" si="13"/>
        <v>489.37863000000004</v>
      </c>
      <c r="BG11" s="351">
        <f t="shared" ref="BG11:BI11" si="14">+(BG9+$B$11)*$B$2</f>
        <v>465.60315000000008</v>
      </c>
      <c r="BH11" s="850">
        <f t="shared" si="14"/>
        <v>464.28229000000005</v>
      </c>
      <c r="BI11" s="186">
        <f t="shared" si="14"/>
        <v>470.22616000000005</v>
      </c>
      <c r="BJ11" s="351">
        <f t="shared" ref="BJ11:BL11" si="15">+(BJ9+$B$11)*$B$2</f>
        <v>475.50960000000003</v>
      </c>
      <c r="BK11" s="850">
        <f t="shared" si="15"/>
        <v>480.79304000000008</v>
      </c>
      <c r="BL11" s="186">
        <f t="shared" si="15"/>
        <v>484.09519000000006</v>
      </c>
      <c r="BM11" s="351">
        <f t="shared" ref="BM11:BR11" si="16">+(BM9+$B$11)*$B$2</f>
        <v>484.09519000000006</v>
      </c>
      <c r="BN11" s="850">
        <f t="shared" si="16"/>
        <v>482.77433000000008</v>
      </c>
      <c r="BO11" s="186">
        <f t="shared" si="16"/>
        <v>481.45347000000004</v>
      </c>
      <c r="BP11" s="351">
        <f t="shared" si="16"/>
        <v>474.84917000000007</v>
      </c>
      <c r="BQ11" s="850">
        <f t="shared" si="16"/>
        <v>465.60315000000008</v>
      </c>
      <c r="BR11" s="186">
        <f t="shared" si="16"/>
        <v>459.65928000000002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1098">
        <f t="shared" ref="BD12:BF12" si="24">+(BD9+$B$12)*$B$2</f>
        <v>597.68915000000015</v>
      </c>
      <c r="BE12" s="1123">
        <f t="shared" si="24"/>
        <v>573.25324000000001</v>
      </c>
      <c r="BF12" s="186">
        <f t="shared" si="24"/>
        <v>534.28787</v>
      </c>
      <c r="BG12" s="1116">
        <f>+(BG9+$B$12+$A$12)*$B$2</f>
        <v>531.64615000000015</v>
      </c>
      <c r="BH12" s="1117">
        <f t="shared" ref="BH12:BL12" si="25">+(BH9+$B$12+$A$12)*$B$2</f>
        <v>530.32529</v>
      </c>
      <c r="BI12" s="1118">
        <f t="shared" si="25"/>
        <v>536.26916000000006</v>
      </c>
      <c r="BJ12" s="1116">
        <f t="shared" si="25"/>
        <v>541.55259999999998</v>
      </c>
      <c r="BK12" s="1117">
        <f t="shared" si="25"/>
        <v>546.83604000000003</v>
      </c>
      <c r="BL12" s="1118">
        <f t="shared" si="25"/>
        <v>550.13819000000001</v>
      </c>
      <c r="BM12" s="1116">
        <f t="shared" ref="BM12:BQ12" si="26">+(BM9+$B$12+$A$12)*$B$2</f>
        <v>550.13819000000001</v>
      </c>
      <c r="BN12" s="1117">
        <f t="shared" si="26"/>
        <v>548.81733000000008</v>
      </c>
      <c r="BO12" s="1118">
        <f t="shared" si="26"/>
        <v>547.49647000000004</v>
      </c>
      <c r="BP12" s="1116">
        <f t="shared" si="26"/>
        <v>540.89216999999996</v>
      </c>
      <c r="BQ12" s="1117">
        <f t="shared" si="26"/>
        <v>531.64615000000015</v>
      </c>
      <c r="BR12" s="1118">
        <f>+(BR9+$B$12+$A$12)*$B$2</f>
        <v>525.70228000000009</v>
      </c>
    </row>
    <row r="13" spans="1:75" ht="7.3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5.7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-13</v>
      </c>
      <c r="BE15" s="366">
        <f ca="1">+'settlement day'!BI15</f>
        <v>0</v>
      </c>
      <c r="BF15" s="367">
        <f ca="1">+'settlement day'!BJ15</f>
        <v>0</v>
      </c>
      <c r="BG15" s="368">
        <f ca="1">+'settlement day'!BK15</f>
        <v>0</v>
      </c>
      <c r="BH15" s="366">
        <f ca="1">+'settlement day'!BL15</f>
        <v>0</v>
      </c>
      <c r="BI15" s="367">
        <f ca="1">+'settlement day'!BM15</f>
        <v>0</v>
      </c>
      <c r="BJ15" s="368">
        <f ca="1">+'settlement day'!BN15</f>
        <v>0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2833.5</v>
      </c>
      <c r="BE16" s="904">
        <f>+'settlement day'!BI13</f>
        <v>2925</v>
      </c>
      <c r="BF16" s="903">
        <f>+'settlement day'!BJ13</f>
        <v>2939.5</v>
      </c>
      <c r="BG16" s="963">
        <f>+'settlement day'!BK13</f>
        <v>2938</v>
      </c>
      <c r="BH16" s="904">
        <f>+'settlement day'!BL13</f>
        <v>2958</v>
      </c>
      <c r="BI16" s="903">
        <f>+'settlement day'!BM13</f>
        <v>2966.5</v>
      </c>
      <c r="BJ16" s="963">
        <f>+'settlement day'!BN13</f>
        <v>2700</v>
      </c>
      <c r="BK16" s="904">
        <f>+'settlement day'!BO13</f>
        <v>2420</v>
      </c>
      <c r="BL16" s="903">
        <f>+'settlement day'!BP13</f>
        <v>2390</v>
      </c>
      <c r="BM16" s="963">
        <f>+'settlement day'!BQ13</f>
        <v>2485</v>
      </c>
      <c r="BN16" s="904">
        <f>+'settlement day'!BR13</f>
        <v>2485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5.3491999999999997</v>
      </c>
      <c r="BE17" s="544">
        <f>+'settlement day'!BI30</f>
        <v>5.3720118184260004</v>
      </c>
      <c r="BF17" s="545">
        <f>+'settlement day'!BJ30</f>
        <v>5.4054054054054053</v>
      </c>
      <c r="BG17" s="685">
        <f>+'settlement day'!BK30</f>
        <v>5.4377379010331701</v>
      </c>
      <c r="BH17" s="544">
        <f>+'settlement day'!BL30</f>
        <v>5.4779512462339088</v>
      </c>
      <c r="BI17" s="545">
        <f>+'settlement day'!BM30</f>
        <v>5.5157198014340878</v>
      </c>
      <c r="BJ17" s="685">
        <f>+'settlement day'!BN30</f>
        <v>5.5586436909394106</v>
      </c>
      <c r="BK17" s="544">
        <f>+'settlement day'!BO30</f>
        <v>5.5975370836831795</v>
      </c>
      <c r="BL17" s="545">
        <f>+'settlement day'!BP30</f>
        <v>5.636978579481398</v>
      </c>
      <c r="BM17" s="685">
        <f>+'settlement day'!BQ30</f>
        <v>5.6785917092561045</v>
      </c>
      <c r="BN17" s="544">
        <f>+'settlement day'!BR30</f>
        <v>5.7208237986270021</v>
      </c>
      <c r="BO17" s="545">
        <f>+'settlement day'!BS30</f>
        <v>5.762028233938346</v>
      </c>
      <c r="BP17" s="685">
        <f>+'settlement day'!BT30</f>
        <v>5.8038305281485778</v>
      </c>
      <c r="BQ17" s="544">
        <f>+'settlement day'!BU30</f>
        <v>5.8428279287174991</v>
      </c>
      <c r="BR17" s="545">
        <f>+'settlement day'!BV30</f>
        <v>5.8823529411764701</v>
      </c>
      <c r="BT17" s="293" t="s">
        <v>42</v>
      </c>
    </row>
    <row r="18" spans="2:77" ht="12.6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27.140533895188774</v>
      </c>
      <c r="AI20" s="93">
        <f t="shared" si="28"/>
        <v>26.721657444068668</v>
      </c>
      <c r="AJ20" s="93">
        <f t="shared" si="28"/>
        <v>26.612981236622119</v>
      </c>
      <c r="AK20" s="187">
        <f t="shared" si="28"/>
        <v>26.566338951119469</v>
      </c>
      <c r="AL20" s="93">
        <f t="shared" si="28"/>
        <v>25.95456915805801</v>
      </c>
      <c r="AM20" s="93">
        <f t="shared" si="28"/>
        <v>25.722780363122421</v>
      </c>
      <c r="AN20" s="187">
        <f t="shared" si="28"/>
        <v>24.742486151073361</v>
      </c>
      <c r="AO20" s="93">
        <f t="shared" si="28"/>
        <v>24.447332124962315</v>
      </c>
      <c r="AP20" s="93">
        <f t="shared" si="28"/>
        <v>24.463915935351906</v>
      </c>
      <c r="AQ20" s="187">
        <f t="shared" si="28"/>
        <v>25.071825063891826</v>
      </c>
      <c r="AR20" s="93">
        <f t="shared" si="28"/>
        <v>24.049821972449443</v>
      </c>
      <c r="AS20" s="93">
        <f t="shared" ref="AS20:BL20" si="29">+((AS16+$B$16)/AS17)+$BV$8</f>
        <v>23.419390813384339</v>
      </c>
      <c r="AT20" s="187">
        <f t="shared" si="29"/>
        <v>23.086072964175337</v>
      </c>
      <c r="AU20" s="350">
        <f t="shared" si="29"/>
        <v>23.989201870728884</v>
      </c>
      <c r="AV20" s="93">
        <f t="shared" si="29"/>
        <v>23.939835569048139</v>
      </c>
      <c r="AW20" s="187">
        <f t="shared" si="29"/>
        <v>24.225558149983538</v>
      </c>
      <c r="AX20" s="350">
        <f t="shared" si="29"/>
        <v>24.450983215252926</v>
      </c>
      <c r="AY20" s="93">
        <f t="shared" si="29"/>
        <v>24.317552850590822</v>
      </c>
      <c r="AZ20" s="187">
        <f t="shared" si="29"/>
        <v>25.044574617529094</v>
      </c>
      <c r="BA20" s="350">
        <f t="shared" si="29"/>
        <v>24.617609876907188</v>
      </c>
      <c r="BB20" s="93">
        <f t="shared" si="29"/>
        <v>25.10312238653248</v>
      </c>
      <c r="BC20" s="187">
        <f t="shared" si="29"/>
        <v>25.474140509232242</v>
      </c>
      <c r="BD20" s="350">
        <f t="shared" si="29"/>
        <v>555.08080729082599</v>
      </c>
      <c r="BE20" s="93">
        <f t="shared" si="29"/>
        <v>569.79273499964222</v>
      </c>
      <c r="BF20" s="187">
        <f t="shared" si="29"/>
        <v>569.00798499964219</v>
      </c>
      <c r="BG20" s="350">
        <f t="shared" si="29"/>
        <v>565.3996849996422</v>
      </c>
      <c r="BH20" s="93">
        <f t="shared" si="29"/>
        <v>564.96288499964214</v>
      </c>
      <c r="BI20" s="187">
        <f t="shared" si="29"/>
        <v>562.69393499964212</v>
      </c>
      <c r="BJ20" s="350">
        <f t="shared" si="29"/>
        <v>510.47148499964214</v>
      </c>
      <c r="BK20" s="93">
        <f t="shared" si="29"/>
        <v>456.96198499964214</v>
      </c>
      <c r="BL20" s="187">
        <f t="shared" si="29"/>
        <v>448.50248499964215</v>
      </c>
      <c r="BM20" s="350">
        <f t="shared" ref="BM20:BR20" si="30">+((BM16+$B$16)/BM17)+$BV$8</f>
        <v>462.00798499964213</v>
      </c>
      <c r="BN20" s="93">
        <f t="shared" si="30"/>
        <v>458.66048499964216</v>
      </c>
      <c r="BO20" s="187">
        <f t="shared" si="30"/>
        <v>455.44173499964216</v>
      </c>
      <c r="BP20" s="350">
        <f t="shared" si="30"/>
        <v>467.72998499964217</v>
      </c>
      <c r="BQ20" s="93">
        <f t="shared" si="30"/>
        <v>466.37673499964217</v>
      </c>
      <c r="BR20" s="187">
        <f t="shared" si="30"/>
        <v>466.70048499964219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1.1100000000000001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122.15633936131587</v>
      </c>
      <c r="AI21" s="93">
        <f t="shared" ref="AI21:AN21" si="41">+AI20+($B$20/AI17)</f>
        <v>119.59653882669299</v>
      </c>
      <c r="AJ21" s="93">
        <f>+AJ20+($B$20/AJ17)</f>
        <v>118.93240644785297</v>
      </c>
      <c r="AK21" s="187">
        <f t="shared" si="41"/>
        <v>118.64737025867012</v>
      </c>
      <c r="AL21" s="93">
        <f>+AL20+($B$20/AL17)</f>
        <v>114.90877707885009</v>
      </c>
      <c r="AM21" s="93">
        <f t="shared" si="41"/>
        <v>113.49228999868816</v>
      </c>
      <c r="AN21" s="187">
        <f t="shared" si="41"/>
        <v>107.50160314727724</v>
      </c>
      <c r="AO21" s="93">
        <f t="shared" ref="AO21:AT21" si="42">+AO20+($B$20/AO17)</f>
        <v>105.69788409882084</v>
      </c>
      <c r="AP21" s="93">
        <f t="shared" si="42"/>
        <v>105.79922960675724</v>
      </c>
      <c r="AQ21" s="187">
        <f t="shared" si="42"/>
        <v>109.5142298367234</v>
      </c>
      <c r="AR21" s="93">
        <f t="shared" si="42"/>
        <v>103.26865538901995</v>
      </c>
      <c r="AS21" s="93">
        <f t="shared" si="42"/>
        <v>99.416020528066554</v>
      </c>
      <c r="AT21" s="187">
        <f t="shared" si="42"/>
        <v>97.379078116233728</v>
      </c>
      <c r="AU21" s="350">
        <f t="shared" ref="AU21:AW21" si="43">+AU20+($B$20/AU17)</f>
        <v>102.89819921183874</v>
      </c>
      <c r="AV21" s="93">
        <f t="shared" si="43"/>
        <v>102.5965162571231</v>
      </c>
      <c r="AW21" s="187">
        <f t="shared" si="43"/>
        <v>104.34259869617276</v>
      </c>
      <c r="AX21" s="350">
        <f t="shared" ref="AX21:BC21" si="44">+AX20+($B$20/AX17)</f>
        <v>105.72019631726346</v>
      </c>
      <c r="AY21" s="93">
        <f t="shared" si="44"/>
        <v>104.90478853321727</v>
      </c>
      <c r="AZ21" s="187">
        <f t="shared" si="44"/>
        <v>109.34769933117337</v>
      </c>
      <c r="BA21" s="350">
        <f t="shared" si="44"/>
        <v>106.73847036070617</v>
      </c>
      <c r="BB21" s="93">
        <f t="shared" si="44"/>
        <v>109.70549125286074</v>
      </c>
      <c r="BC21" s="187">
        <f t="shared" si="44"/>
        <v>111.97282422491483</v>
      </c>
      <c r="BD21" s="350">
        <f t="shared" ref="BD21:BF21" si="45">+BD20+($B$20/BD17)</f>
        <v>641.07497464295341</v>
      </c>
      <c r="BE21" s="93">
        <f t="shared" si="45"/>
        <v>655.42173499964224</v>
      </c>
      <c r="BF21" s="187">
        <f t="shared" si="45"/>
        <v>654.10798499964221</v>
      </c>
      <c r="BG21" s="350">
        <f t="shared" ref="BG21:BI21" si="46">+BG20+($B$20/BG17)</f>
        <v>649.99368499964226</v>
      </c>
      <c r="BH21" s="93">
        <f t="shared" si="46"/>
        <v>648.9358849996421</v>
      </c>
      <c r="BI21" s="187">
        <f t="shared" si="46"/>
        <v>646.09193499964215</v>
      </c>
      <c r="BJ21" s="350">
        <f t="shared" ref="BJ21:BL21" si="47">+BJ20+($B$20/BJ17)</f>
        <v>593.22548499964216</v>
      </c>
      <c r="BK21" s="93">
        <f t="shared" si="47"/>
        <v>539.14098499964211</v>
      </c>
      <c r="BL21" s="187">
        <f t="shared" si="47"/>
        <v>530.10648499964213</v>
      </c>
      <c r="BM21" s="350">
        <f t="shared" ref="BM21:BR21" si="48">+BM20+($B$20/BM17)</f>
        <v>543.01398499964216</v>
      </c>
      <c r="BN21" s="93">
        <f t="shared" si="48"/>
        <v>539.06848499964212</v>
      </c>
      <c r="BO21" s="187">
        <f t="shared" si="48"/>
        <v>535.27473499964219</v>
      </c>
      <c r="BP21" s="350">
        <f t="shared" si="48"/>
        <v>546.98798499964221</v>
      </c>
      <c r="BQ21" s="93">
        <f t="shared" si="48"/>
        <v>545.10573499964221</v>
      </c>
      <c r="BR21" s="187">
        <f t="shared" si="48"/>
        <v>544.90048499964223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30.328274449835767</v>
      </c>
      <c r="AI22" s="916">
        <f t="shared" si="51"/>
        <v>29.86332158909245</v>
      </c>
      <c r="AJ22" s="911">
        <f t="shared" si="51"/>
        <v>29.742690998826781</v>
      </c>
      <c r="AK22" s="913">
        <f t="shared" si="51"/>
        <v>29.690918061918836</v>
      </c>
      <c r="AL22" s="911">
        <f t="shared" si="51"/>
        <v>29.011853591620621</v>
      </c>
      <c r="AM22" s="962">
        <f t="shared" si="51"/>
        <v>28.754568029242115</v>
      </c>
      <c r="AN22" s="913">
        <f t="shared" si="51"/>
        <v>27.666441453867662</v>
      </c>
      <c r="AO22" s="911">
        <f t="shared" si="51"/>
        <v>27.338820484884401</v>
      </c>
      <c r="AP22" s="911">
        <f t="shared" si="51"/>
        <v>27.357228514416846</v>
      </c>
      <c r="AQ22" s="913">
        <f t="shared" si="51"/>
        <v>28.032007647096151</v>
      </c>
      <c r="AR22" s="911">
        <f t="shared" si="51"/>
        <v>26.89758421559511</v>
      </c>
      <c r="AS22" s="916">
        <f t="shared" si="51"/>
        <v>26.197805629032842</v>
      </c>
      <c r="AT22" s="915">
        <f t="shared" si="51"/>
        <v>25.827822816410851</v>
      </c>
      <c r="AU22" s="1048">
        <f t="shared" si="51"/>
        <v>26.830295902685286</v>
      </c>
      <c r="AV22" s="911">
        <f t="shared" si="51"/>
        <v>26.775499307819665</v>
      </c>
      <c r="AW22" s="915">
        <f t="shared" si="51"/>
        <v>27.092651372657954</v>
      </c>
      <c r="AX22" s="912">
        <f t="shared" si="51"/>
        <v>27.342873195106975</v>
      </c>
      <c r="AY22" s="911">
        <f t="shared" si="51"/>
        <v>27.194765490332038</v>
      </c>
      <c r="AZ22" s="913">
        <f t="shared" si="51"/>
        <v>28.00175965163352</v>
      </c>
      <c r="BA22" s="912">
        <f t="shared" si="51"/>
        <v>27.527828789543207</v>
      </c>
      <c r="BB22" s="911">
        <f t="shared" si="51"/>
        <v>28.066747675227283</v>
      </c>
      <c r="BC22" s="913">
        <f t="shared" si="51"/>
        <v>28.478577791424016</v>
      </c>
      <c r="BD22" s="1099">
        <f t="shared" si="51"/>
        <v>616.34197791899305</v>
      </c>
      <c r="BE22" s="916">
        <f t="shared" si="51"/>
        <v>632.67221767577905</v>
      </c>
      <c r="BF22" s="913">
        <f t="shared" si="51"/>
        <v>631.80114517577908</v>
      </c>
      <c r="BG22" s="912">
        <f t="shared" si="51"/>
        <v>627.79593217577906</v>
      </c>
      <c r="BH22" s="911">
        <f t="shared" si="51"/>
        <v>627.311084175779</v>
      </c>
      <c r="BI22" s="913">
        <f t="shared" si="51"/>
        <v>624.79254967577901</v>
      </c>
      <c r="BJ22" s="912">
        <f t="shared" si="51"/>
        <v>566.82563017577911</v>
      </c>
      <c r="BK22" s="911">
        <f t="shared" si="51"/>
        <v>507.43008517577908</v>
      </c>
      <c r="BL22" s="913">
        <f t="shared" si="51"/>
        <v>498.0400401757791</v>
      </c>
      <c r="BM22" s="912">
        <f t="shared" ref="BM22:BR22" si="52">+(BM20-$BV$8)*$B$21+$B$22+$BW$8</f>
        <v>513.03114517577899</v>
      </c>
      <c r="BN22" s="911">
        <f t="shared" si="52"/>
        <v>509.31542017577908</v>
      </c>
      <c r="BO22" s="913">
        <f t="shared" si="52"/>
        <v>505.74260767577908</v>
      </c>
      <c r="BP22" s="912">
        <f t="shared" si="52"/>
        <v>519.38256517577906</v>
      </c>
      <c r="BQ22" s="911">
        <f t="shared" si="52"/>
        <v>517.8804576757791</v>
      </c>
      <c r="BR22" s="913">
        <f t="shared" si="52"/>
        <v>518.23982017577907</v>
      </c>
      <c r="BY22">
        <v>520</v>
      </c>
    </row>
    <row r="23" spans="2:77" ht="15.7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10.115249702492568</v>
      </c>
      <c r="AJ23" s="921">
        <f>+((AJ20/264.172)-AJ9)*100</f>
        <v>10.074111274708189</v>
      </c>
      <c r="AK23" s="922">
        <f t="shared" ref="AK23:AT23" si="53">+((AK20/264.172)-AK9)*100</f>
        <v>10.056455245491373</v>
      </c>
      <c r="AL23" s="920">
        <f>+((AL20/264.172)-AL9)*100</f>
        <v>9.824875141217845</v>
      </c>
      <c r="AM23" s="921">
        <f t="shared" si="53"/>
        <v>9.7371335202528737</v>
      </c>
      <c r="AN23" s="922">
        <f t="shared" si="53"/>
        <v>9.3660517204977651</v>
      </c>
      <c r="AO23" s="920">
        <f t="shared" si="53"/>
        <v>9.2543237455000202</v>
      </c>
      <c r="AP23" s="921">
        <f t="shared" si="53"/>
        <v>9.2606014018714706</v>
      </c>
      <c r="AQ23" s="922">
        <f t="shared" si="53"/>
        <v>9.4907200853579585</v>
      </c>
      <c r="AR23" s="920">
        <f t="shared" si="53"/>
        <v>9.1038497541183183</v>
      </c>
      <c r="AS23" s="921">
        <f>+((AS20/264.172)-AS9)*100</f>
        <v>8.8652055529671348</v>
      </c>
      <c r="AT23" s="922">
        <f t="shared" si="53"/>
        <v>8.7390309965383661</v>
      </c>
      <c r="AU23" s="920">
        <f>+((AU20/264.172)-AU9)*100</f>
        <v>9.0809025448302183</v>
      </c>
      <c r="AV23" s="921">
        <f t="shared" ref="AV23:AW23" si="54">+((AV20/264.172)-AV9)*100</f>
        <v>9.0622153631149924</v>
      </c>
      <c r="AW23" s="922">
        <f t="shared" si="54"/>
        <v>9.170373147034331</v>
      </c>
      <c r="AX23" s="920">
        <f t="shared" ref="AX23:BC23" si="55">+((AX20/264.172)-AX9)*100</f>
        <v>9.2557058337949982</v>
      </c>
      <c r="AY23" s="921">
        <f t="shared" si="55"/>
        <v>9.2051969363107453</v>
      </c>
      <c r="AZ23" s="922">
        <f>+((AZ20/264.172)-AZ9)*100</f>
        <v>9.4804046672353959</v>
      </c>
      <c r="BA23" s="920">
        <f t="shared" si="55"/>
        <v>9.3187808991517596</v>
      </c>
      <c r="BB23" s="921">
        <f t="shared" si="55"/>
        <v>9.5025674130992215</v>
      </c>
      <c r="BC23" s="922">
        <f t="shared" si="55"/>
        <v>9.6430130783096768</v>
      </c>
      <c r="BD23" s="920">
        <f t="shared" ref="BD23:BF23" si="56">+((BD20/264.172)-BD9)*100</f>
        <v>10.870984544473284</v>
      </c>
      <c r="BE23" s="921">
        <f t="shared" si="56"/>
        <v>25.690056099678316</v>
      </c>
      <c r="BF23" s="922">
        <f t="shared" si="56"/>
        <v>40.142995851052412</v>
      </c>
      <c r="BG23" s="920">
        <f t="shared" ref="BG23:BI23" si="57">+((BG20/264.172)-BG9)*100</f>
        <v>47.777105446316085</v>
      </c>
      <c r="BH23" s="921">
        <f t="shared" si="57"/>
        <v>48.111758626819665</v>
      </c>
      <c r="BI23" s="922">
        <f t="shared" si="57"/>
        <v>45.002867449859195</v>
      </c>
      <c r="BJ23" s="920">
        <f>+((BJ20/264.172)-BJ9)*100</f>
        <v>23.23451576989315</v>
      </c>
      <c r="BK23" s="921">
        <f t="shared" ref="BK23" si="58">+((BK20/264.172)-BK9)*100</f>
        <v>0.97896256970537721</v>
      </c>
      <c r="BL23" s="922">
        <f>+((BL20/264.172)-BL9)*100</f>
        <v>-3.4733071636501522</v>
      </c>
      <c r="BM23" s="920">
        <f t="shared" ref="BM23:BR23" si="59">+((BM20/264.172)-BM9)*100</f>
        <v>1.639081734491965</v>
      </c>
      <c r="BN23" s="921">
        <f t="shared" si="59"/>
        <v>0.87191488864910571</v>
      </c>
      <c r="BO23" s="922">
        <f t="shared" si="59"/>
        <v>0.15348522918483543</v>
      </c>
      <c r="BP23" s="920">
        <f t="shared" si="59"/>
        <v>7.3050947865943794</v>
      </c>
      <c r="BQ23" s="921">
        <f t="shared" si="59"/>
        <v>10.292833835395921</v>
      </c>
      <c r="BR23" s="922">
        <f t="shared" si="59"/>
        <v>12.665386566192538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33.866666465493928</v>
      </c>
      <c r="AI24" s="934">
        <f t="shared" si="61"/>
        <v>33.350568790068849</v>
      </c>
      <c r="AJ24" s="934">
        <f t="shared" si="61"/>
        <v>33.216668834873957</v>
      </c>
      <c r="AK24" s="934">
        <f t="shared" si="61"/>
        <v>33.159200874906134</v>
      </c>
      <c r="AL24" s="934">
        <f t="shared" ref="AL24:BL24" si="62">+(AL20-$BV$8)*$B$24+$B$22+$BW$8</f>
        <v>27.097404334194877</v>
      </c>
      <c r="AM24" s="934">
        <f t="shared" si="62"/>
        <v>26.865615539259288</v>
      </c>
      <c r="AN24" s="934">
        <f t="shared" si="62"/>
        <v>25.885321327210228</v>
      </c>
      <c r="AO24" s="934">
        <f t="shared" si="62"/>
        <v>25.590167301099179</v>
      </c>
      <c r="AP24" s="934">
        <f t="shared" si="62"/>
        <v>25.606751111488769</v>
      </c>
      <c r="AQ24" s="934">
        <f t="shared" si="62"/>
        <v>26.214660240028692</v>
      </c>
      <c r="AR24" s="934">
        <f t="shared" si="62"/>
        <v>25.192657148586306</v>
      </c>
      <c r="AS24" s="934">
        <f t="shared" si="62"/>
        <v>24.562225989521203</v>
      </c>
      <c r="AT24" s="934">
        <f t="shared" si="62"/>
        <v>24.2289081403122</v>
      </c>
      <c r="AU24" s="934">
        <f t="shared" si="62"/>
        <v>25.132037046865747</v>
      </c>
      <c r="AV24" s="934">
        <f t="shared" si="62"/>
        <v>25.082670745185006</v>
      </c>
      <c r="AW24" s="934">
        <f t="shared" si="62"/>
        <v>25.368393326120405</v>
      </c>
      <c r="AX24" s="934">
        <f t="shared" si="62"/>
        <v>25.593818391389789</v>
      </c>
      <c r="AY24" s="934">
        <f t="shared" si="62"/>
        <v>25.460388026727685</v>
      </c>
      <c r="AZ24" s="934">
        <f t="shared" si="62"/>
        <v>26.187409793665957</v>
      </c>
      <c r="BA24" s="934">
        <f t="shared" si="62"/>
        <v>25.760445053044052</v>
      </c>
      <c r="BB24" s="934">
        <f t="shared" si="62"/>
        <v>26.245957562669346</v>
      </c>
      <c r="BC24" s="934">
        <f t="shared" si="62"/>
        <v>26.616975685369106</v>
      </c>
      <c r="BD24" s="934">
        <f t="shared" si="62"/>
        <v>556.22364246696281</v>
      </c>
      <c r="BE24" s="934">
        <f t="shared" si="62"/>
        <v>570.93557017577905</v>
      </c>
      <c r="BF24" s="934">
        <f t="shared" si="62"/>
        <v>570.15082017577902</v>
      </c>
      <c r="BG24" s="934">
        <f t="shared" si="62"/>
        <v>566.54252017577903</v>
      </c>
      <c r="BH24" s="934">
        <f t="shared" si="62"/>
        <v>566.10572017577897</v>
      </c>
      <c r="BI24" s="934">
        <f t="shared" si="62"/>
        <v>563.83677017577895</v>
      </c>
      <c r="BJ24" s="934">
        <f t="shared" si="62"/>
        <v>511.61432017577903</v>
      </c>
      <c r="BK24" s="934">
        <f t="shared" si="62"/>
        <v>458.10482017577903</v>
      </c>
      <c r="BL24" s="934">
        <f t="shared" si="62"/>
        <v>449.64532017577903</v>
      </c>
      <c r="BM24" s="934">
        <f t="shared" ref="BM24:BR24" si="63">+(BM20-$BV$8)*$B$24+$B$22+$BW$8</f>
        <v>463.15082017577902</v>
      </c>
      <c r="BN24" s="934">
        <f t="shared" si="63"/>
        <v>459.80332017577905</v>
      </c>
      <c r="BO24" s="934">
        <f t="shared" si="63"/>
        <v>456.58457017577905</v>
      </c>
      <c r="BP24" s="934">
        <f t="shared" si="63"/>
        <v>468.87282017577905</v>
      </c>
      <c r="BQ24" s="934">
        <f t="shared" si="63"/>
        <v>467.51957017577905</v>
      </c>
      <c r="BR24" s="934">
        <f t="shared" si="63"/>
        <v>467.84332017577907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3.0317876661196941</v>
      </c>
      <c r="AN26" s="930">
        <f t="shared" ref="AN26:AT26" si="64">+AN22-AN20</f>
        <v>2.923955302794301</v>
      </c>
      <c r="AO26" s="930">
        <f t="shared" si="64"/>
        <v>2.8914883599220857</v>
      </c>
      <c r="AP26" s="930">
        <f t="shared" si="64"/>
        <v>2.8933125790649399</v>
      </c>
      <c r="AQ26" s="930">
        <f t="shared" si="64"/>
        <v>2.9601825832043254</v>
      </c>
      <c r="AR26" s="930">
        <f>+AR22-AR20</f>
        <v>2.8477622431456666</v>
      </c>
      <c r="AS26" s="930">
        <f t="shared" si="64"/>
        <v>2.7784148156485031</v>
      </c>
      <c r="AT26" s="930">
        <f t="shared" si="64"/>
        <v>2.7417498522355146</v>
      </c>
      <c r="AU26" s="930">
        <f>+AU22-AU20</f>
        <v>2.841094031956402</v>
      </c>
      <c r="AV26" s="930">
        <f t="shared" ref="AV26:AW26" si="65">+AV22-AV20</f>
        <v>2.835663738771526</v>
      </c>
      <c r="AW26" s="930">
        <f t="shared" si="65"/>
        <v>2.8670932226744164</v>
      </c>
      <c r="AX26" s="930"/>
      <c r="AY26" s="930"/>
      <c r="AZ26" s="930">
        <f>AZ22-AZ12</f>
        <v>-43.324680348366485</v>
      </c>
      <c r="BA26" s="930">
        <f t="shared" ref="BA26:BC26" si="66">BA22-BA12</f>
        <v>-43.798611210456798</v>
      </c>
      <c r="BB26" s="930">
        <f t="shared" si="66"/>
        <v>-43.259692324772722</v>
      </c>
      <c r="BC26" s="930">
        <f t="shared" si="66"/>
        <v>-42.847862208575989</v>
      </c>
      <c r="BD26" s="930"/>
      <c r="BE26" s="930"/>
      <c r="BF26" s="930"/>
      <c r="BG26" s="930"/>
      <c r="BH26" s="930"/>
      <c r="BI26" s="930"/>
      <c r="BJ26" s="930"/>
      <c r="BK26" s="1122">
        <f>BK12-BK22</f>
        <v>39.405954824220942</v>
      </c>
      <c r="BL26" s="1122">
        <f>BL12-BL22</f>
        <v>52.098149824220911</v>
      </c>
      <c r="BM26" s="930">
        <f t="shared" ref="BM26:BR26" si="67">BM12-BM22</f>
        <v>37.10704482422102</v>
      </c>
      <c r="BN26" s="1122">
        <f t="shared" si="67"/>
        <v>39.501909824221002</v>
      </c>
      <c r="BO26" s="1122">
        <f t="shared" si="67"/>
        <v>41.753862324220961</v>
      </c>
      <c r="BP26" s="930">
        <f t="shared" si="67"/>
        <v>21.509604824220901</v>
      </c>
      <c r="BQ26" s="1122">
        <f t="shared" si="67"/>
        <v>13.76569232422105</v>
      </c>
      <c r="BR26" s="1122">
        <f t="shared" si="67"/>
        <v>7.4624598242210141</v>
      </c>
      <c r="BY26" s="102">
        <f>+BY25-BK9</f>
        <v>0.36788213739533293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2833.5</v>
      </c>
      <c r="BE30" s="772">
        <f t="shared" si="77"/>
        <v>2925</v>
      </c>
      <c r="BF30" s="772">
        <f t="shared" si="77"/>
        <v>2939.5</v>
      </c>
      <c r="BG30" s="772">
        <f t="shared" ref="BG30:BI30" si="78">+BG16</f>
        <v>2938</v>
      </c>
      <c r="BH30" s="772">
        <f t="shared" si="78"/>
        <v>2958</v>
      </c>
      <c r="BI30" s="772">
        <f t="shared" si="78"/>
        <v>2966.5</v>
      </c>
      <c r="BJ30" s="772">
        <f t="shared" ref="BJ30:BL30" si="79">+BJ16</f>
        <v>2700</v>
      </c>
      <c r="BK30" s="772">
        <f t="shared" si="79"/>
        <v>2420</v>
      </c>
      <c r="BL30" s="772">
        <f t="shared" si="79"/>
        <v>2390</v>
      </c>
      <c r="BM30" s="772">
        <f t="shared" ref="BM30:BR30" si="80">+BM16</f>
        <v>2485</v>
      </c>
      <c r="BN30" s="772">
        <f t="shared" si="80"/>
        <v>2485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42.60450160771704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42.60450160771704</v>
      </c>
      <c r="M33" s="566">
        <f t="shared" ref="M33:BR33" si="83">+$B$33</f>
        <v>42.60450160771704</v>
      </c>
      <c r="N33" s="566">
        <f t="shared" si="83"/>
        <v>42.60450160771704</v>
      </c>
      <c r="O33" s="566">
        <f t="shared" si="83"/>
        <v>42.60450160771704</v>
      </c>
      <c r="P33" s="566">
        <f t="shared" si="83"/>
        <v>42.60450160771704</v>
      </c>
      <c r="Q33" s="566">
        <f t="shared" si="83"/>
        <v>42.60450160771704</v>
      </c>
      <c r="R33" s="566">
        <f t="shared" si="83"/>
        <v>42.60450160771704</v>
      </c>
      <c r="S33" s="774">
        <f t="shared" si="83"/>
        <v>42.60450160771704</v>
      </c>
      <c r="T33" s="774">
        <f t="shared" si="83"/>
        <v>42.60450160771704</v>
      </c>
      <c r="U33" s="774">
        <f t="shared" si="83"/>
        <v>42.60450160771704</v>
      </c>
      <c r="V33" s="774">
        <f t="shared" si="83"/>
        <v>42.60450160771704</v>
      </c>
      <c r="W33" s="774">
        <f t="shared" si="83"/>
        <v>42.60450160771704</v>
      </c>
      <c r="X33" s="774">
        <f t="shared" si="83"/>
        <v>42.60450160771704</v>
      </c>
      <c r="Y33" s="774">
        <f t="shared" si="83"/>
        <v>42.60450160771704</v>
      </c>
      <c r="Z33" s="774">
        <f t="shared" si="83"/>
        <v>42.60450160771704</v>
      </c>
      <c r="AA33" s="774">
        <f t="shared" si="83"/>
        <v>42.60450160771704</v>
      </c>
      <c r="AB33" s="774">
        <f t="shared" si="83"/>
        <v>42.60450160771704</v>
      </c>
      <c r="AC33" s="774">
        <f t="shared" si="83"/>
        <v>42.60450160771704</v>
      </c>
      <c r="AD33" s="774">
        <f t="shared" si="83"/>
        <v>42.60450160771704</v>
      </c>
      <c r="AE33" s="774">
        <f t="shared" si="83"/>
        <v>42.60450160771704</v>
      </c>
      <c r="AF33" s="774">
        <f t="shared" si="83"/>
        <v>42.60450160771704</v>
      </c>
      <c r="AG33" s="774">
        <f t="shared" si="83"/>
        <v>42.60450160771704</v>
      </c>
      <c r="AH33" s="774">
        <f t="shared" si="83"/>
        <v>42.60450160771704</v>
      </c>
      <c r="AI33" s="774">
        <f t="shared" si="83"/>
        <v>42.60450160771704</v>
      </c>
      <c r="AJ33" s="774">
        <f t="shared" si="83"/>
        <v>42.60450160771704</v>
      </c>
      <c r="AK33" s="774">
        <f t="shared" si="83"/>
        <v>42.60450160771704</v>
      </c>
      <c r="AL33" s="774">
        <f t="shared" si="83"/>
        <v>42.60450160771704</v>
      </c>
      <c r="AM33" s="774">
        <f t="shared" si="83"/>
        <v>42.60450160771704</v>
      </c>
      <c r="AN33" s="774">
        <f t="shared" si="83"/>
        <v>42.60450160771704</v>
      </c>
      <c r="AO33" s="774">
        <f t="shared" si="83"/>
        <v>42.60450160771704</v>
      </c>
      <c r="AP33" s="774">
        <f t="shared" si="83"/>
        <v>42.60450160771704</v>
      </c>
      <c r="AQ33" s="774">
        <f t="shared" si="83"/>
        <v>42.60450160771704</v>
      </c>
      <c r="AR33" s="774">
        <f t="shared" si="83"/>
        <v>42.60450160771704</v>
      </c>
      <c r="AS33" s="774">
        <f t="shared" si="83"/>
        <v>42.60450160771704</v>
      </c>
      <c r="AT33" s="774">
        <f t="shared" si="83"/>
        <v>42.60450160771704</v>
      </c>
      <c r="AU33" s="774">
        <f t="shared" si="83"/>
        <v>42.60450160771704</v>
      </c>
      <c r="AV33" s="774">
        <f t="shared" si="83"/>
        <v>42.60450160771704</v>
      </c>
      <c r="AW33" s="774">
        <f t="shared" si="83"/>
        <v>42.60450160771704</v>
      </c>
      <c r="AX33" s="774">
        <f t="shared" si="83"/>
        <v>42.60450160771704</v>
      </c>
      <c r="AY33" s="774">
        <f t="shared" si="83"/>
        <v>42.60450160771704</v>
      </c>
      <c r="AZ33" s="774">
        <f t="shared" si="83"/>
        <v>42.60450160771704</v>
      </c>
      <c r="BA33" s="774">
        <f t="shared" si="83"/>
        <v>42.60450160771704</v>
      </c>
      <c r="BB33" s="774">
        <f t="shared" si="83"/>
        <v>42.60450160771704</v>
      </c>
      <c r="BC33" s="774">
        <f t="shared" si="83"/>
        <v>42.60450160771704</v>
      </c>
      <c r="BD33" s="774">
        <f t="shared" si="83"/>
        <v>42.60450160771704</v>
      </c>
      <c r="BE33" s="774">
        <f t="shared" si="83"/>
        <v>42.60450160771704</v>
      </c>
      <c r="BF33" s="774">
        <f t="shared" si="83"/>
        <v>42.60450160771704</v>
      </c>
      <c r="BG33" s="774">
        <f t="shared" si="83"/>
        <v>42.60450160771704</v>
      </c>
      <c r="BH33" s="774">
        <f t="shared" si="83"/>
        <v>42.60450160771704</v>
      </c>
      <c r="BI33" s="774">
        <f t="shared" si="83"/>
        <v>42.60450160771704</v>
      </c>
      <c r="BJ33" s="774">
        <f t="shared" si="83"/>
        <v>42.60450160771704</v>
      </c>
      <c r="BK33" s="774">
        <f t="shared" si="83"/>
        <v>42.60450160771704</v>
      </c>
      <c r="BL33" s="774">
        <f t="shared" si="83"/>
        <v>42.60450160771704</v>
      </c>
      <c r="BM33" s="774">
        <f t="shared" si="83"/>
        <v>42.60450160771704</v>
      </c>
      <c r="BN33" s="774">
        <f t="shared" si="83"/>
        <v>42.60450160771704</v>
      </c>
      <c r="BO33" s="774">
        <f t="shared" si="83"/>
        <v>42.60450160771704</v>
      </c>
      <c r="BP33" s="774">
        <f t="shared" si="83"/>
        <v>42.60450160771704</v>
      </c>
      <c r="BQ33" s="774">
        <f t="shared" si="83"/>
        <v>42.60450160771704</v>
      </c>
      <c r="BR33" s="774">
        <f t="shared" si="83"/>
        <v>42.60450160771704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592.604501607717</v>
      </c>
      <c r="M34" s="508">
        <f t="shared" ref="M34:V34" si="84">SUM(M30:M33)</f>
        <v>592.604501607717</v>
      </c>
      <c r="N34" s="508">
        <f t="shared" si="84"/>
        <v>592.604501607717</v>
      </c>
      <c r="O34" s="508">
        <f t="shared" si="84"/>
        <v>592.604501607717</v>
      </c>
      <c r="P34" s="508">
        <f t="shared" si="84"/>
        <v>592.604501607717</v>
      </c>
      <c r="Q34" s="508">
        <f t="shared" si="84"/>
        <v>592.604501607717</v>
      </c>
      <c r="R34" s="508">
        <f t="shared" si="84"/>
        <v>592.604501607717</v>
      </c>
      <c r="S34" s="772">
        <f t="shared" si="84"/>
        <v>592.604501607717</v>
      </c>
      <c r="T34" s="772">
        <f>SUM(T30:T33)</f>
        <v>592.604501607717</v>
      </c>
      <c r="U34" s="772">
        <f t="shared" si="84"/>
        <v>592.604501607717</v>
      </c>
      <c r="V34" s="772">
        <f t="shared" si="84"/>
        <v>592.604501607717</v>
      </c>
      <c r="W34" s="772">
        <f t="shared" ref="W34:Y34" si="85">SUM(W30:W33)</f>
        <v>592.604501607717</v>
      </c>
      <c r="X34" s="772">
        <f t="shared" si="85"/>
        <v>592.604501607717</v>
      </c>
      <c r="Y34" s="772">
        <f t="shared" si="85"/>
        <v>592.604501607717</v>
      </c>
      <c r="Z34" s="772">
        <f t="shared" ref="Z34:AB34" si="86">SUM(Z30:Z33)</f>
        <v>592.604501607717</v>
      </c>
      <c r="AA34" s="772">
        <f t="shared" si="86"/>
        <v>592.604501607717</v>
      </c>
      <c r="AB34" s="772">
        <f t="shared" si="86"/>
        <v>592.604501607717</v>
      </c>
      <c r="AC34" s="772">
        <f t="shared" ref="AC34:AE34" si="87">SUM(AC30:AC33)</f>
        <v>592.604501607717</v>
      </c>
      <c r="AD34" s="772">
        <f t="shared" si="87"/>
        <v>592.604501607717</v>
      </c>
      <c r="AE34" s="772">
        <f t="shared" si="87"/>
        <v>592.604501607717</v>
      </c>
      <c r="AF34" s="772">
        <f t="shared" ref="AF34:AN34" si="88">SUM(AF30:AF33)</f>
        <v>592.604501607717</v>
      </c>
      <c r="AG34" s="772">
        <f t="shared" si="88"/>
        <v>592.604501607717</v>
      </c>
      <c r="AH34" s="772">
        <f t="shared" si="88"/>
        <v>592.604501607717</v>
      </c>
      <c r="AI34" s="772">
        <f t="shared" si="88"/>
        <v>592.604501607717</v>
      </c>
      <c r="AJ34" s="772">
        <f t="shared" si="88"/>
        <v>592.604501607717</v>
      </c>
      <c r="AK34" s="772">
        <f t="shared" si="88"/>
        <v>592.604501607717</v>
      </c>
      <c r="AL34" s="772">
        <f t="shared" si="88"/>
        <v>592.604501607717</v>
      </c>
      <c r="AM34" s="772">
        <f t="shared" si="88"/>
        <v>592.604501607717</v>
      </c>
      <c r="AN34" s="772">
        <f t="shared" si="88"/>
        <v>592.604501607717</v>
      </c>
      <c r="AO34" s="772">
        <f t="shared" ref="AO34:AT34" si="89">SUM(AO30:AO33)</f>
        <v>592.604501607717</v>
      </c>
      <c r="AP34" s="772">
        <f t="shared" si="89"/>
        <v>592.604501607717</v>
      </c>
      <c r="AQ34" s="772">
        <f t="shared" si="89"/>
        <v>592.604501607717</v>
      </c>
      <c r="AR34" s="772">
        <f t="shared" si="89"/>
        <v>592.604501607717</v>
      </c>
      <c r="AS34" s="772">
        <f t="shared" si="89"/>
        <v>592.604501607717</v>
      </c>
      <c r="AT34" s="772">
        <f t="shared" si="89"/>
        <v>592.604501607717</v>
      </c>
      <c r="AU34" s="772">
        <f t="shared" ref="AU34:AW34" si="90">SUM(AU30:AU33)</f>
        <v>592.604501607717</v>
      </c>
      <c r="AV34" s="772">
        <f t="shared" si="90"/>
        <v>592.604501607717</v>
      </c>
      <c r="AW34" s="772">
        <f t="shared" si="90"/>
        <v>592.604501607717</v>
      </c>
      <c r="AX34" s="772">
        <f t="shared" ref="AX34:BC34" si="91">SUM(AX30:AX33)</f>
        <v>592.604501607717</v>
      </c>
      <c r="AY34" s="772">
        <f t="shared" si="91"/>
        <v>592.604501607717</v>
      </c>
      <c r="AZ34" s="772">
        <f t="shared" si="91"/>
        <v>592.604501607717</v>
      </c>
      <c r="BA34" s="772">
        <f t="shared" si="91"/>
        <v>592.604501607717</v>
      </c>
      <c r="BB34" s="772">
        <f t="shared" si="91"/>
        <v>592.604501607717</v>
      </c>
      <c r="BC34" s="772">
        <f t="shared" si="91"/>
        <v>592.604501607717</v>
      </c>
      <c r="BD34" s="772">
        <f t="shared" ref="BD34:BF34" si="92">SUM(BD30:BD33)</f>
        <v>3426.1045016077169</v>
      </c>
      <c r="BE34" s="772">
        <f t="shared" si="92"/>
        <v>3517.6045016077169</v>
      </c>
      <c r="BF34" s="772">
        <f t="shared" si="92"/>
        <v>3532.1045016077169</v>
      </c>
      <c r="BG34" s="772">
        <f t="shared" ref="BG34:BI34" si="93">SUM(BG30:BG33)</f>
        <v>3530.6045016077169</v>
      </c>
      <c r="BH34" s="772">
        <f t="shared" si="93"/>
        <v>3550.6045016077169</v>
      </c>
      <c r="BI34" s="772">
        <f t="shared" si="93"/>
        <v>3559.1045016077169</v>
      </c>
      <c r="BJ34" s="772">
        <f t="shared" ref="BJ34:BL34" si="94">SUM(BJ30:BJ33)</f>
        <v>3292.6045016077169</v>
      </c>
      <c r="BK34" s="772">
        <f t="shared" si="94"/>
        <v>3012.6045016077169</v>
      </c>
      <c r="BL34" s="772">
        <f t="shared" si="94"/>
        <v>2982.6045016077169</v>
      </c>
      <c r="BM34" s="772">
        <f t="shared" ref="BM34:BR34" si="95">SUM(BM30:BM33)</f>
        <v>3077.6045016077169</v>
      </c>
      <c r="BN34" s="772">
        <f t="shared" si="95"/>
        <v>3077.6045016077169</v>
      </c>
      <c r="BO34" s="772">
        <f t="shared" si="95"/>
        <v>3077.6045016077169</v>
      </c>
      <c r="BP34" s="772">
        <f t="shared" si="95"/>
        <v>3167.6045016077169</v>
      </c>
      <c r="BQ34" s="772">
        <f t="shared" si="95"/>
        <v>3177.6045016077169</v>
      </c>
      <c r="BR34" s="772">
        <f t="shared" si="95"/>
        <v>3197.6045016077169</v>
      </c>
    </row>
    <row r="35" spans="1:73" ht="15.7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5.7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122.40607400676096</v>
      </c>
      <c r="AI36" s="519">
        <f>+AI34/AI17</f>
        <v>119.6479843339694</v>
      </c>
      <c r="AJ36" s="519">
        <f t="shared" si="100"/>
        <v>118.93240644785297</v>
      </c>
      <c r="AK36" s="519">
        <f t="shared" si="100"/>
        <v>118.62529057725139</v>
      </c>
      <c r="AL36" s="519">
        <f t="shared" si="100"/>
        <v>114.59709576263091</v>
      </c>
      <c r="AM36" s="519">
        <f t="shared" si="100"/>
        <v>113.0708837259525</v>
      </c>
      <c r="AN36" s="519">
        <f t="shared" si="100"/>
        <v>106.61614191528291</v>
      </c>
      <c r="AO36" s="519">
        <f t="shared" ref="AO36:AT36" si="101">+AO34/AO17</f>
        <v>104.67270186482681</v>
      </c>
      <c r="AP36" s="519">
        <f t="shared" si="101"/>
        <v>104.78189787250106</v>
      </c>
      <c r="AQ36" s="519">
        <f t="shared" si="101"/>
        <v>108.78467216295861</v>
      </c>
      <c r="AR36" s="519">
        <f t="shared" si="101"/>
        <v>102.05529846689461</v>
      </c>
      <c r="AS36" s="519">
        <f t="shared" si="101"/>
        <v>97.904227991164063</v>
      </c>
      <c r="AT36" s="519">
        <f t="shared" si="101"/>
        <v>95.70949845885896</v>
      </c>
      <c r="AU36" s="519">
        <f t="shared" ref="AU36:AW36" si="102">+AU34/AU17</f>
        <v>101.65614574281103</v>
      </c>
      <c r="AV36" s="519">
        <f t="shared" si="102"/>
        <v>101.33109360276957</v>
      </c>
      <c r="AW36" s="519">
        <f t="shared" si="102"/>
        <v>103.21243235469503</v>
      </c>
      <c r="AX36" s="519">
        <f t="shared" ref="AX36:BC36" si="103">+AX34/AX17</f>
        <v>104.69674244862674</v>
      </c>
      <c r="AY36" s="519">
        <f t="shared" si="103"/>
        <v>103.81817095140538</v>
      </c>
      <c r="AZ36" s="519">
        <f t="shared" si="103"/>
        <v>108.60524174978778</v>
      </c>
      <c r="BA36" s="519">
        <f t="shared" si="103"/>
        <v>105.79389477956208</v>
      </c>
      <c r="BB36" s="519">
        <f t="shared" si="103"/>
        <v>108.99074921057107</v>
      </c>
      <c r="BC36" s="519">
        <f t="shared" si="103"/>
        <v>111.43371598490354</v>
      </c>
      <c r="BD36" s="519">
        <f t="shared" ref="BD36:BF36" si="104">+BD34/BD17</f>
        <v>640.48913886332855</v>
      </c>
      <c r="BE36" s="519">
        <f t="shared" si="104"/>
        <v>654.80207797427647</v>
      </c>
      <c r="BF36" s="519">
        <f t="shared" si="104"/>
        <v>653.4393327974276</v>
      </c>
      <c r="BG36" s="519">
        <f t="shared" ref="BG36:BI36" si="105">+BG34/BG17</f>
        <v>649.27816784565914</v>
      </c>
      <c r="BH36" s="519">
        <f t="shared" si="105"/>
        <v>648.16285176848874</v>
      </c>
      <c r="BI36" s="519">
        <f t="shared" si="105"/>
        <v>645.26564614147901</v>
      </c>
      <c r="BJ36" s="519">
        <f t="shared" ref="BJ36:BL36" si="106">+BJ34/BJ17</f>
        <v>592.33954983922831</v>
      </c>
      <c r="BK36" s="519">
        <f t="shared" si="106"/>
        <v>538.2017942122186</v>
      </c>
      <c r="BL36" s="519">
        <f t="shared" si="106"/>
        <v>529.11403858520896</v>
      </c>
      <c r="BM36" s="519">
        <f t="shared" ref="BM36:BR36" si="107">+BM34/BM17</f>
        <v>541.96615273311897</v>
      </c>
      <c r="BN36" s="519">
        <f t="shared" si="107"/>
        <v>537.96526688102892</v>
      </c>
      <c r="BO36" s="519">
        <f t="shared" si="107"/>
        <v>534.11826125401933</v>
      </c>
      <c r="BP36" s="519">
        <f t="shared" si="107"/>
        <v>545.77825562700968</v>
      </c>
      <c r="BQ36" s="519">
        <f t="shared" si="107"/>
        <v>543.84701045016072</v>
      </c>
      <c r="BR36" s="519">
        <f t="shared" si="107"/>
        <v>543.5927652733119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0.46335748681450323</v>
      </c>
      <c r="AI37" s="528">
        <f t="shared" si="113"/>
        <v>0.45291697959651056</v>
      </c>
      <c r="AJ37" s="528">
        <f t="shared" si="113"/>
        <v>0.4502082220971676</v>
      </c>
      <c r="AK37" s="528">
        <f t="shared" si="113"/>
        <v>0.44904566183112282</v>
      </c>
      <c r="AL37" s="528">
        <f t="shared" si="113"/>
        <v>0.43379728268942547</v>
      </c>
      <c r="AM37" s="528">
        <f t="shared" si="113"/>
        <v>0.42801994051584757</v>
      </c>
      <c r="AN37" s="528">
        <f t="shared" si="113"/>
        <v>0.40358607996033985</v>
      </c>
      <c r="AO37" s="528">
        <f t="shared" ref="AO37:AT37" si="114">+AO36/$B$2</f>
        <v>0.39622935763376432</v>
      </c>
      <c r="AP37" s="528">
        <f t="shared" si="114"/>
        <v>0.39664270956990544</v>
      </c>
      <c r="AQ37" s="528">
        <f t="shared" si="114"/>
        <v>0.41179486154080902</v>
      </c>
      <c r="AR37" s="528">
        <f t="shared" si="114"/>
        <v>0.38632140600402237</v>
      </c>
      <c r="AS37" s="528">
        <f t="shared" si="114"/>
        <v>0.37060789179460374</v>
      </c>
      <c r="AT37" s="528">
        <f t="shared" si="114"/>
        <v>0.36229993511370984</v>
      </c>
      <c r="AU37" s="528">
        <f t="shared" ref="AU37:AW37" si="115">+AU36/$B$2</f>
        <v>0.3848104482791932</v>
      </c>
      <c r="AV37" s="528">
        <f t="shared" si="115"/>
        <v>0.38357999183399283</v>
      </c>
      <c r="AW37" s="528">
        <f t="shared" si="115"/>
        <v>0.39070163512671674</v>
      </c>
      <c r="AX37" s="528">
        <f t="shared" ref="AX37:BC37" si="116">+AX36/$B$2</f>
        <v>0.39632036116101149</v>
      </c>
      <c r="AY37" s="528">
        <f t="shared" si="116"/>
        <v>0.39299460560318794</v>
      </c>
      <c r="AZ37" s="528">
        <f t="shared" si="116"/>
        <v>0.41111564340576506</v>
      </c>
      <c r="BA37" s="528">
        <f t="shared" si="116"/>
        <v>0.40047353534652452</v>
      </c>
      <c r="BB37" s="528">
        <f t="shared" si="116"/>
        <v>0.41257494817986406</v>
      </c>
      <c r="BC37" s="528">
        <f t="shared" si="116"/>
        <v>0.42182258522819804</v>
      </c>
      <c r="BD37" s="528">
        <f t="shared" ref="BD37:BF37" si="117">+BD36/$B$2</f>
        <v>2.4245156143093456</v>
      </c>
      <c r="BE37" s="528">
        <f t="shared" si="117"/>
        <v>2.4786959934219994</v>
      </c>
      <c r="BF37" s="528">
        <f t="shared" si="117"/>
        <v>2.4735374407485562</v>
      </c>
      <c r="BG37" s="528">
        <f t="shared" ref="BG37:BI37" si="118">+BG36/$B$2</f>
        <v>2.4577857147830167</v>
      </c>
      <c r="BH37" s="528">
        <f t="shared" si="118"/>
        <v>2.4535637833248365</v>
      </c>
      <c r="BI37" s="528">
        <f t="shared" si="118"/>
        <v>2.442596664830031</v>
      </c>
      <c r="BJ37" s="528">
        <f t="shared" ref="BJ37:BL37" si="119">+BJ36/$B$2</f>
        <v>2.2422495564981459</v>
      </c>
      <c r="BK37" s="528">
        <f t="shared" si="119"/>
        <v>2.0373158177710677</v>
      </c>
      <c r="BL37" s="528">
        <f t="shared" si="119"/>
        <v>2.0029149137123121</v>
      </c>
      <c r="BM37" s="528">
        <f t="shared" ref="BM37:BR37" si="120">+BM36/$B$2</f>
        <v>2.051565467699525</v>
      </c>
      <c r="BN37" s="528">
        <f t="shared" si="120"/>
        <v>2.0364204642468877</v>
      </c>
      <c r="BO37" s="528">
        <f t="shared" si="120"/>
        <v>2.0218579609270448</v>
      </c>
      <c r="BP37" s="528">
        <f t="shared" si="120"/>
        <v>2.0659958497759399</v>
      </c>
      <c r="BQ37" s="528">
        <f t="shared" si="120"/>
        <v>2.0586852900767707</v>
      </c>
      <c r="BR37" s="528">
        <f t="shared" si="120"/>
        <v>2.0577228671975525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1.9924999999999999</v>
      </c>
      <c r="BE38" s="528">
        <f t="shared" si="130"/>
        <v>1.9</v>
      </c>
      <c r="BF38" s="528">
        <f t="shared" si="130"/>
        <v>1.7524999999999999</v>
      </c>
      <c r="BG38" s="528">
        <f t="shared" ref="BG38:BI38" si="131">+BG9</f>
        <v>1.6625000000000001</v>
      </c>
      <c r="BH38" s="528">
        <f t="shared" si="131"/>
        <v>1.6575</v>
      </c>
      <c r="BI38" s="528">
        <f t="shared" si="131"/>
        <v>1.68</v>
      </c>
      <c r="BJ38" s="528">
        <f t="shared" ref="BJ38:BL38" si="132">+BJ9</f>
        <v>1.7</v>
      </c>
      <c r="BK38" s="528">
        <f t="shared" si="132"/>
        <v>1.72</v>
      </c>
      <c r="BL38" s="528">
        <f t="shared" si="132"/>
        <v>1.7324999999999999</v>
      </c>
      <c r="BM38" s="528">
        <f t="shared" ref="BM38:BR38" si="133">+BM9</f>
        <v>1.7324999999999999</v>
      </c>
      <c r="BN38" s="528">
        <f t="shared" si="133"/>
        <v>1.7275</v>
      </c>
      <c r="BO38" s="528">
        <f t="shared" si="133"/>
        <v>1.7224999999999999</v>
      </c>
      <c r="BP38" s="528">
        <f t="shared" si="133"/>
        <v>1.6975</v>
      </c>
      <c r="BQ38" s="528">
        <f t="shared" si="133"/>
        <v>1.6625000000000001</v>
      </c>
      <c r="BR38" s="528">
        <f t="shared" si="133"/>
        <v>1.64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0.46335748681450323</v>
      </c>
      <c r="AI39" s="528">
        <f t="shared" si="139"/>
        <v>0.45291697959651056</v>
      </c>
      <c r="AJ39" s="528">
        <f t="shared" si="139"/>
        <v>0.4502082220971676</v>
      </c>
      <c r="AK39" s="528">
        <f t="shared" si="139"/>
        <v>0.44904566183112282</v>
      </c>
      <c r="AL39" s="528">
        <f t="shared" si="139"/>
        <v>0.43379728268942547</v>
      </c>
      <c r="AM39" s="528">
        <f t="shared" si="139"/>
        <v>0.42801994051584757</v>
      </c>
      <c r="AN39" s="528">
        <f t="shared" si="139"/>
        <v>0.40358607996033985</v>
      </c>
      <c r="AO39" s="528">
        <f t="shared" ref="AO39:AT39" si="140">+AO37-AO38</f>
        <v>0.39622935763376432</v>
      </c>
      <c r="AP39" s="528">
        <f t="shared" si="140"/>
        <v>0.39664270956990544</v>
      </c>
      <c r="AQ39" s="528">
        <f t="shared" si="140"/>
        <v>0.41179486154080902</v>
      </c>
      <c r="AR39" s="528">
        <f t="shared" si="140"/>
        <v>0.38632140600402237</v>
      </c>
      <c r="AS39" s="528">
        <f t="shared" si="140"/>
        <v>0.37060789179460374</v>
      </c>
      <c r="AT39" s="528">
        <f t="shared" si="140"/>
        <v>0.36229993511370984</v>
      </c>
      <c r="AU39" s="528">
        <f t="shared" ref="AU39:AW39" si="141">+AU37-AU38</f>
        <v>0.3848104482791932</v>
      </c>
      <c r="AV39" s="528">
        <f t="shared" si="141"/>
        <v>0.38357999183399283</v>
      </c>
      <c r="AW39" s="528">
        <f t="shared" si="141"/>
        <v>0.39070163512671674</v>
      </c>
      <c r="AX39" s="528">
        <f t="shared" ref="AX39:BC39" si="142">+AX37-AX38</f>
        <v>0.39632036116101149</v>
      </c>
      <c r="AY39" s="528">
        <f t="shared" si="142"/>
        <v>0.39299460560318794</v>
      </c>
      <c r="AZ39" s="528">
        <f t="shared" si="142"/>
        <v>0.41111564340576506</v>
      </c>
      <c r="BA39" s="528">
        <f t="shared" si="142"/>
        <v>0.40047353534652452</v>
      </c>
      <c r="BB39" s="528">
        <f t="shared" si="142"/>
        <v>0.41257494817986406</v>
      </c>
      <c r="BC39" s="528">
        <f t="shared" si="142"/>
        <v>0.42182258522819804</v>
      </c>
      <c r="BD39" s="528">
        <f t="shared" ref="BD39:BF39" si="143">+BD37-BD38</f>
        <v>0.43201561430934565</v>
      </c>
      <c r="BE39" s="528">
        <f t="shared" si="143"/>
        <v>0.57869599342199951</v>
      </c>
      <c r="BF39" s="528">
        <f t="shared" si="143"/>
        <v>0.72103744074855625</v>
      </c>
      <c r="BG39" s="528">
        <f t="shared" ref="BG39:BI39" si="144">+BG37-BG38</f>
        <v>0.79528571478301657</v>
      </c>
      <c r="BH39" s="528">
        <f t="shared" si="144"/>
        <v>0.79606378332483652</v>
      </c>
      <c r="BI39" s="528">
        <f t="shared" si="144"/>
        <v>0.76259666483003108</v>
      </c>
      <c r="BJ39" s="528">
        <f t="shared" ref="BJ39:BL39" si="145">+BJ37-BJ38</f>
        <v>0.54224955649814599</v>
      </c>
      <c r="BK39" s="528">
        <f t="shared" si="145"/>
        <v>0.31731581777106777</v>
      </c>
      <c r="BL39" s="528">
        <f t="shared" si="145"/>
        <v>0.27041491371231219</v>
      </c>
      <c r="BM39" s="528">
        <f t="shared" ref="BM39:BR39" si="146">+BM37-BM38</f>
        <v>0.31906546769952504</v>
      </c>
      <c r="BN39" s="528">
        <f t="shared" si="146"/>
        <v>0.30892046424688768</v>
      </c>
      <c r="BO39" s="528">
        <f t="shared" si="146"/>
        <v>0.29935796092704492</v>
      </c>
      <c r="BP39" s="528">
        <f t="shared" si="146"/>
        <v>0.36849584977593985</v>
      </c>
      <c r="BQ39" s="528">
        <f t="shared" si="146"/>
        <v>0.39618529007677061</v>
      </c>
      <c r="BR39" s="528">
        <f t="shared" si="146"/>
        <v>0.41772286719755258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5.7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5.7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1.9924999999999999</v>
      </c>
      <c r="BE42" s="528">
        <f t="shared" si="156"/>
        <v>1.9</v>
      </c>
      <c r="BF42" s="528">
        <f t="shared" si="156"/>
        <v>1.7524999999999999</v>
      </c>
      <c r="BG42" s="528">
        <f t="shared" ref="BG42:BI42" si="157">+BG9</f>
        <v>1.6625000000000001</v>
      </c>
      <c r="BH42" s="528">
        <f t="shared" si="157"/>
        <v>1.6575</v>
      </c>
      <c r="BI42" s="528">
        <f t="shared" si="157"/>
        <v>1.68</v>
      </c>
      <c r="BJ42" s="528">
        <f t="shared" ref="BJ42:BL42" si="158">+BJ9</f>
        <v>1.7</v>
      </c>
      <c r="BK42" s="528">
        <f t="shared" si="158"/>
        <v>1.72</v>
      </c>
      <c r="BL42" s="528">
        <f t="shared" si="158"/>
        <v>1.7324999999999999</v>
      </c>
      <c r="BM42" s="528">
        <f t="shared" ref="BM42:BR42" si="159">+BM9</f>
        <v>1.7324999999999999</v>
      </c>
      <c r="BN42" s="528">
        <f t="shared" si="159"/>
        <v>1.7275</v>
      </c>
      <c r="BO42" s="528">
        <f t="shared" si="159"/>
        <v>1.7224999999999999</v>
      </c>
      <c r="BP42" s="528">
        <f t="shared" si="159"/>
        <v>1.6975</v>
      </c>
      <c r="BQ42" s="528">
        <f t="shared" si="159"/>
        <v>1.6625000000000001</v>
      </c>
      <c r="BR42" s="528">
        <f t="shared" si="159"/>
        <v>1.64</v>
      </c>
    </row>
    <row r="43" spans="1:73" ht="15.7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2.2925</v>
      </c>
      <c r="BE43" s="528">
        <f t="shared" si="169"/>
        <v>2.1999999999999997</v>
      </c>
      <c r="BF43" s="528">
        <f t="shared" si="169"/>
        <v>2.0524999999999998</v>
      </c>
      <c r="BG43" s="528">
        <f t="shared" ref="BG43:BI43" si="170">+BG42+$B$41</f>
        <v>1.9625000000000001</v>
      </c>
      <c r="BH43" s="528">
        <f t="shared" si="170"/>
        <v>1.9575</v>
      </c>
      <c r="BI43" s="528">
        <f t="shared" si="170"/>
        <v>1.98</v>
      </c>
      <c r="BJ43" s="528">
        <f t="shared" ref="BJ43:BL43" si="171">+BJ42+$B$41</f>
        <v>2</v>
      </c>
      <c r="BK43" s="528">
        <f t="shared" si="171"/>
        <v>2.02</v>
      </c>
      <c r="BL43" s="528">
        <f t="shared" si="171"/>
        <v>2.0324999999999998</v>
      </c>
      <c r="BM43" s="528">
        <f t="shared" ref="BM43:BR43" si="172">+BM42+$B$41</f>
        <v>2.0324999999999998</v>
      </c>
      <c r="BN43" s="528">
        <f t="shared" si="172"/>
        <v>2.0274999999999999</v>
      </c>
      <c r="BO43" s="528">
        <f t="shared" si="172"/>
        <v>2.0225</v>
      </c>
      <c r="BP43" s="528">
        <f t="shared" si="172"/>
        <v>1.9975000000000001</v>
      </c>
      <c r="BQ43" s="528">
        <f t="shared" si="172"/>
        <v>1.9625000000000001</v>
      </c>
      <c r="BR43" s="528">
        <f t="shared" si="172"/>
        <v>1.94</v>
      </c>
    </row>
    <row r="44" spans="1:73" ht="15.7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605.61431000000005</v>
      </c>
      <c r="BE44" s="519">
        <f t="shared" si="182"/>
        <v>581.17840000000001</v>
      </c>
      <c r="BF44" s="519">
        <f t="shared" si="182"/>
        <v>542.21303</v>
      </c>
      <c r="BG44" s="519">
        <f t="shared" ref="BG44:BI44" si="183">+BG43*$B$2</f>
        <v>518.4375500000001</v>
      </c>
      <c r="BH44" s="519">
        <f t="shared" si="183"/>
        <v>517.11669000000006</v>
      </c>
      <c r="BI44" s="519">
        <f t="shared" si="183"/>
        <v>523.06056000000001</v>
      </c>
      <c r="BJ44" s="519">
        <f t="shared" ref="BJ44:BL44" si="184">+BJ43*$B$2</f>
        <v>528.34400000000005</v>
      </c>
      <c r="BK44" s="519">
        <f t="shared" si="184"/>
        <v>533.62744000000009</v>
      </c>
      <c r="BL44" s="519">
        <f t="shared" si="184"/>
        <v>536.92958999999996</v>
      </c>
      <c r="BM44" s="519">
        <f t="shared" ref="BM44:BR44" si="185">+BM43*$B$2</f>
        <v>536.92958999999996</v>
      </c>
      <c r="BN44" s="519">
        <f t="shared" si="185"/>
        <v>535.60873000000004</v>
      </c>
      <c r="BO44" s="519">
        <f t="shared" si="185"/>
        <v>534.28787</v>
      </c>
      <c r="BP44" s="519">
        <f t="shared" si="185"/>
        <v>527.68357000000003</v>
      </c>
      <c r="BQ44" s="519">
        <f t="shared" si="185"/>
        <v>518.4375500000001</v>
      </c>
      <c r="BR44" s="519">
        <f t="shared" si="185"/>
        <v>512.49368000000004</v>
      </c>
    </row>
    <row r="45" spans="1:73" ht="31.7" customHeight="1"/>
    <row r="46" spans="1:73" ht="15.75" thickBot="1"/>
    <row r="47" spans="1:73" ht="15.7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5.7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F27" sqref="BF27:BH27"/>
    </sheetView>
  </sheetViews>
  <sheetFormatPr baseColWidth="10" defaultColWidth="9.14062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54" width="0" hidden="1" customWidth="1"/>
  </cols>
  <sheetData>
    <row r="1" spans="1:70" ht="15.75" thickBot="1">
      <c r="A1" s="57"/>
      <c r="B1" s="1022">
        <v>264.17200000000003</v>
      </c>
    </row>
    <row r="2" spans="1:70" ht="15.7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9.6933201757790339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20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9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20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5.7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"/>
    </row>
    <row r="7" spans="1:70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1.9924999999999999</v>
      </c>
      <c r="BD10" s="539">
        <f>+'settlement day'!BI9</f>
        <v>1.9</v>
      </c>
      <c r="BE10" s="539">
        <f>+'settlement day'!BJ9</f>
        <v>1.7524999999999999</v>
      </c>
      <c r="BF10" s="539">
        <f>+'settlement day'!BK9</f>
        <v>1.6625000000000001</v>
      </c>
      <c r="BG10" s="539">
        <f>+'settlement day'!BL9</f>
        <v>1.6575</v>
      </c>
      <c r="BH10" s="539">
        <f>+'settlement day'!BM9</f>
        <v>1.68</v>
      </c>
      <c r="BI10" s="539">
        <f>+'settlement day'!BN9</f>
        <v>1.7</v>
      </c>
      <c r="BJ10" s="539">
        <f>+'settlement day'!BO9</f>
        <v>1.72</v>
      </c>
      <c r="BK10" s="539">
        <f>+'settlement day'!BP9</f>
        <v>1.7324999999999999</v>
      </c>
      <c r="BL10" s="539">
        <f>+'settlement day'!BQ9</f>
        <v>1.7324999999999999</v>
      </c>
      <c r="BM10" s="539">
        <f>+'settlement day'!BR9</f>
        <v>1.7275</v>
      </c>
      <c r="BN10" s="539">
        <f>+'settlement day'!BS9</f>
        <v>1.7224999999999999</v>
      </c>
      <c r="BO10" s="539">
        <f>+'settlement day'!BT9</f>
        <v>1.6975</v>
      </c>
      <c r="BP10" s="539">
        <f>+'settlement day'!BU9</f>
        <v>1.6625000000000001</v>
      </c>
      <c r="BQ10" s="539">
        <f>+'settlement day'!BV9</f>
        <v>1.64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4433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790</v>
      </c>
      <c r="BD12" s="899">
        <f>+'settlement day'!BI5</f>
        <v>715</v>
      </c>
      <c r="BE12" s="899">
        <f>+'settlement day'!BJ5</f>
        <v>650</v>
      </c>
      <c r="BF12" s="899">
        <f>+'settlement day'!BK5</f>
        <v>628</v>
      </c>
      <c r="BG12" s="899">
        <f>+'settlement day'!BL5</f>
        <v>630</v>
      </c>
      <c r="BH12" s="899">
        <f>+'settlement day'!BM5</f>
        <v>633</v>
      </c>
      <c r="BI12" s="899">
        <f>+'settlement day'!BN5</f>
        <v>641</v>
      </c>
      <c r="BJ12" s="899">
        <f>+'settlement day'!BO5</f>
        <v>642</v>
      </c>
      <c r="BK12" s="899">
        <f>+'settlement day'!BP5</f>
        <v>643</v>
      </c>
      <c r="BL12" s="899">
        <f>+'settlement day'!BQ5</f>
        <v>632</v>
      </c>
      <c r="BM12" s="899">
        <f>+'settlement day'!BR5</f>
        <v>632</v>
      </c>
      <c r="BN12" s="899">
        <f>+'settlement day'!BS5</f>
        <v>632</v>
      </c>
      <c r="BO12" s="899">
        <f>+'settlement day'!BT5</f>
        <v>610</v>
      </c>
      <c r="BP12" s="899">
        <f>+'settlement day'!BU5</f>
        <v>610</v>
      </c>
      <c r="BQ12" s="899">
        <f>+'settlement day'!BV5</f>
        <v>610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688</v>
      </c>
      <c r="BD13" s="900">
        <f t="shared" si="1"/>
        <v>613</v>
      </c>
      <c r="BE13" s="900">
        <f t="shared" si="1"/>
        <v>548</v>
      </c>
      <c r="BF13" s="900">
        <f t="shared" si="1"/>
        <v>526</v>
      </c>
      <c r="BG13" s="900">
        <f t="shared" si="1"/>
        <v>528</v>
      </c>
      <c r="BH13" s="900">
        <f t="shared" si="1"/>
        <v>531</v>
      </c>
      <c r="BI13" s="900">
        <f t="shared" si="1"/>
        <v>539</v>
      </c>
      <c r="BJ13" s="900">
        <f t="shared" si="1"/>
        <v>540</v>
      </c>
      <c r="BK13" s="900">
        <f t="shared" si="1"/>
        <v>541</v>
      </c>
      <c r="BL13" s="900">
        <f t="shared" si="1"/>
        <v>530</v>
      </c>
      <c r="BM13" s="900">
        <f t="shared" si="1"/>
        <v>530</v>
      </c>
      <c r="BN13" s="900">
        <f t="shared" si="1"/>
        <v>530</v>
      </c>
      <c r="BO13" s="900">
        <f t="shared" si="1"/>
        <v>508</v>
      </c>
      <c r="BP13" s="900">
        <f t="shared" ref="BP13:BQ13" si="2">+BP12-$BG$6-$BG$5</f>
        <v>508</v>
      </c>
      <c r="BQ13" s="900">
        <f t="shared" si="2"/>
        <v>508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1.1734</v>
      </c>
      <c r="BD14" s="901">
        <f>+'settlement day'!BI29</f>
        <v>1.1769000000000001</v>
      </c>
      <c r="BE14" s="901">
        <f>+'settlement day'!BJ29</f>
        <v>1.1787000000000001</v>
      </c>
      <c r="BF14" s="901">
        <f>+'settlement day'!BK29</f>
        <v>1.18075</v>
      </c>
      <c r="BG14" s="901">
        <f>+'settlement day'!BL29</f>
        <v>1.18405</v>
      </c>
      <c r="BH14" s="901">
        <f>+'settlement day'!BM29</f>
        <v>1.18405</v>
      </c>
      <c r="BI14" s="901">
        <f>+'settlement day'!BN29</f>
        <v>1.1888000000000001</v>
      </c>
      <c r="BJ14" s="901">
        <f>+'settlement day'!BO29</f>
        <v>1.1888000000000001</v>
      </c>
      <c r="BK14" s="901">
        <f>+'settlement day'!BP29</f>
        <v>1.1888000000000001</v>
      </c>
      <c r="BL14" s="901">
        <f>+'settlement day'!BQ29</f>
        <v>1.1930499999999999</v>
      </c>
      <c r="BM14" s="901">
        <f>+'settlement day'!BR29</f>
        <v>1.1930499999999999</v>
      </c>
      <c r="BN14" s="901">
        <f>+'settlement day'!BS29</f>
        <v>1.1930499999999999</v>
      </c>
      <c r="BO14" s="901">
        <f>+'settlement day'!BT29</f>
        <v>1.19675</v>
      </c>
      <c r="BP14" s="901">
        <f>+'settlement day'!BU29</f>
        <v>1.19675</v>
      </c>
      <c r="BQ14" s="901">
        <f>+'settlement day'!BV29</f>
        <v>1.19675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807.29920000000004</v>
      </c>
      <c r="BD15" s="902">
        <f t="shared" si="16"/>
        <v>721.43970000000002</v>
      </c>
      <c r="BE15" s="902">
        <f t="shared" si="16"/>
        <v>645.9276000000001</v>
      </c>
      <c r="BF15" s="902">
        <f t="shared" ref="BF15:BH15" si="17">+BF14*BF13</f>
        <v>621.07449999999994</v>
      </c>
      <c r="BG15" s="902">
        <f t="shared" si="17"/>
        <v>625.17840000000001</v>
      </c>
      <c r="BH15" s="902">
        <f t="shared" si="17"/>
        <v>628.73054999999999</v>
      </c>
      <c r="BI15" s="902">
        <f t="shared" ref="BI15" si="18">+BI14*BI13</f>
        <v>640.7632000000001</v>
      </c>
      <c r="BJ15" s="902">
        <f t="shared" ref="BJ15:BK15" si="19">+BJ14*BJ13</f>
        <v>641.952</v>
      </c>
      <c r="BK15" s="902">
        <f t="shared" si="19"/>
        <v>643.14080000000001</v>
      </c>
      <c r="BL15" s="902">
        <f t="shared" ref="BL15:BQ15" si="20">+BL14*BL13</f>
        <v>632.31650000000002</v>
      </c>
      <c r="BM15" s="902">
        <f t="shared" si="20"/>
        <v>632.31650000000002</v>
      </c>
      <c r="BN15" s="902">
        <f t="shared" si="20"/>
        <v>632.31650000000002</v>
      </c>
      <c r="BO15" s="902">
        <f t="shared" si="20"/>
        <v>607.94899999999996</v>
      </c>
      <c r="BP15" s="902">
        <f t="shared" si="20"/>
        <v>607.94899999999996</v>
      </c>
      <c r="BQ15" s="902">
        <f t="shared" si="20"/>
        <v>607.94899999999996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5.75" thickBot="1"/>
    <row r="18" spans="3:69" ht="16.5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5.7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1.1734</v>
      </c>
      <c r="BD19" s="799">
        <f t="shared" si="22"/>
        <v>1.1769000000000001</v>
      </c>
      <c r="BE19" s="800">
        <f t="shared" si="22"/>
        <v>1.1787000000000001</v>
      </c>
      <c r="BF19" s="798">
        <f t="shared" si="22"/>
        <v>1.18075</v>
      </c>
      <c r="BG19" s="799">
        <f t="shared" si="22"/>
        <v>1.18405</v>
      </c>
      <c r="BH19" s="800">
        <f t="shared" si="22"/>
        <v>1.18405</v>
      </c>
      <c r="BI19" s="798">
        <f t="shared" si="22"/>
        <v>1.1888000000000001</v>
      </c>
      <c r="BJ19" s="799">
        <f t="shared" si="22"/>
        <v>1.1888000000000001</v>
      </c>
      <c r="BK19" s="800">
        <f t="shared" si="22"/>
        <v>1.1888000000000001</v>
      </c>
      <c r="BL19" s="798">
        <f t="shared" si="22"/>
        <v>1.1930499999999999</v>
      </c>
      <c r="BM19" s="799">
        <f t="shared" si="22"/>
        <v>1.1930499999999999</v>
      </c>
      <c r="BN19" s="800">
        <f t="shared" si="22"/>
        <v>1.1930499999999999</v>
      </c>
      <c r="BO19" s="798">
        <f t="shared" si="22"/>
        <v>1.19675</v>
      </c>
      <c r="BP19" s="799">
        <f t="shared" si="22"/>
        <v>1.19675</v>
      </c>
      <c r="BQ19" s="800">
        <f t="shared" si="22"/>
        <v>1.19675</v>
      </c>
    </row>
    <row r="20" spans="3:69" ht="15.7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790</v>
      </c>
      <c r="BD21" s="839">
        <f t="shared" si="25"/>
        <v>715</v>
      </c>
      <c r="BE21" s="457">
        <f t="shared" si="25"/>
        <v>650</v>
      </c>
      <c r="BF21" s="458">
        <f t="shared" si="25"/>
        <v>628</v>
      </c>
      <c r="BG21" s="839">
        <f t="shared" si="25"/>
        <v>630</v>
      </c>
      <c r="BH21" s="457">
        <f t="shared" si="25"/>
        <v>633</v>
      </c>
      <c r="BI21" s="458">
        <f t="shared" si="25"/>
        <v>641</v>
      </c>
      <c r="BJ21" s="839">
        <f t="shared" si="25"/>
        <v>642</v>
      </c>
      <c r="BK21" s="457">
        <f t="shared" si="25"/>
        <v>643</v>
      </c>
      <c r="BL21" s="458">
        <f t="shared" si="25"/>
        <v>632</v>
      </c>
      <c r="BM21" s="839">
        <f t="shared" si="25"/>
        <v>632</v>
      </c>
      <c r="BN21" s="457">
        <f t="shared" si="25"/>
        <v>632</v>
      </c>
      <c r="BO21" s="458">
        <f t="shared" si="25"/>
        <v>610</v>
      </c>
      <c r="BP21" s="839">
        <f t="shared" si="25"/>
        <v>610</v>
      </c>
      <c r="BQ21" s="457">
        <f t="shared" si="25"/>
        <v>610</v>
      </c>
    </row>
    <row r="22" spans="3:69" ht="15.7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-658.35199999999998</v>
      </c>
      <c r="BC22" s="462">
        <f ca="1">+'settlement day'!BH7</f>
        <v>40</v>
      </c>
      <c r="BD22" s="460">
        <f ca="1">+'settlement day'!BI7</f>
        <v>33</v>
      </c>
      <c r="BE22" s="461">
        <f ca="1">+'settlement day'!BJ7</f>
        <v>21</v>
      </c>
      <c r="BF22" s="462">
        <f ca="1">+'settlement day'!BK7</f>
        <v>19</v>
      </c>
      <c r="BG22" s="460">
        <f ca="1">+'settlement day'!BL7</f>
        <v>16</v>
      </c>
      <c r="BH22" s="461">
        <f ca="1">+'settlement day'!BM7</f>
        <v>18</v>
      </c>
      <c r="BI22" s="462">
        <f ca="1">+'settlement day'!BN7</f>
        <v>19</v>
      </c>
      <c r="BJ22" s="460">
        <f ca="1">+'settlement day'!BO7</f>
        <v>19</v>
      </c>
      <c r="BK22" s="461">
        <f ca="1">+'settlement day'!BP7</f>
        <v>19</v>
      </c>
      <c r="BL22" s="462">
        <f ca="1">+'settlement day'!BQ7</f>
        <v>16</v>
      </c>
      <c r="BM22" s="460">
        <f ca="1">+'settlement day'!BR7</f>
        <v>16</v>
      </c>
      <c r="BN22" s="461">
        <f ca="1">+'settlement day'!BS7</f>
        <v>16</v>
      </c>
      <c r="BO22" s="462">
        <f ca="1">+'settlement day'!BT7</f>
        <v>14</v>
      </c>
      <c r="BP22" s="460">
        <f ca="1">+'settlement day'!BU7</f>
        <v>14</v>
      </c>
      <c r="BQ22" s="461">
        <f ca="1">+'settlement day'!BV7</f>
        <v>15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30.328274449835767</v>
      </c>
      <c r="AH24" s="355">
        <f>+'FOB origin'!AI22+$BG$3</f>
        <v>29.86332158909245</v>
      </c>
      <c r="AI24" s="314">
        <f>+'FOB origin'!AJ22+$BG$3</f>
        <v>29.742690998826781</v>
      </c>
      <c r="AJ24" s="315">
        <f>+'FOB origin'!AK22+$BG$3</f>
        <v>29.690918061918836</v>
      </c>
      <c r="AK24" s="355">
        <f>+'FOB origin'!AL22+$BG$3</f>
        <v>29.011853591620621</v>
      </c>
      <c r="AL24" s="314">
        <f>+'FOB origin'!AM22+$BG$3</f>
        <v>28.754568029242115</v>
      </c>
      <c r="AM24" s="315">
        <f>+'FOB origin'!AN22+$BG$3</f>
        <v>27.666441453867662</v>
      </c>
      <c r="AN24" s="355">
        <f>+'FOB origin'!AO22+$BG$3</f>
        <v>27.338820484884401</v>
      </c>
      <c r="AO24" s="314">
        <f>+'FOB origin'!AP22+$BG$3</f>
        <v>27.357228514416846</v>
      </c>
      <c r="AP24" s="315">
        <f>+'FOB origin'!AQ22+$BG$3</f>
        <v>28.032007647096151</v>
      </c>
      <c r="AQ24" s="355">
        <f>+'FOB origin'!AR22+$BG$3</f>
        <v>26.89758421559511</v>
      </c>
      <c r="AR24" s="314">
        <f>+'FOB origin'!AS22+$BG$3</f>
        <v>26.197805629032842</v>
      </c>
      <c r="AS24" s="314">
        <f>+'FOB origin'!AT22+$BG$3</f>
        <v>25.827822816410851</v>
      </c>
      <c r="AT24" s="355">
        <f>+'FOB origin'!AU22+$BG$3</f>
        <v>26.830295902685286</v>
      </c>
      <c r="AU24" s="314">
        <f>+'FOB origin'!AV22+$BG$3</f>
        <v>26.775499307819665</v>
      </c>
      <c r="AV24" s="315">
        <f>+'FOB origin'!AW22+$BG$3</f>
        <v>27.092651372657954</v>
      </c>
      <c r="AW24" s="355">
        <f>+'FOB origin'!AX22+$BG$3</f>
        <v>27.342873195106975</v>
      </c>
      <c r="AX24" s="314">
        <f>+'FOB origin'!AY22+$BG$3</f>
        <v>27.194765490332038</v>
      </c>
      <c r="AY24" s="315">
        <f>+'FOB origin'!AZ22+$BG$3</f>
        <v>28.00175965163352</v>
      </c>
      <c r="AZ24" s="355">
        <f>+'FOB origin'!BA22+$BG$3</f>
        <v>27.527828789543207</v>
      </c>
      <c r="BA24" s="314">
        <f>+'FOB origin'!BB22+$BG$3</f>
        <v>28.066747675227283</v>
      </c>
      <c r="BB24" s="315">
        <f>+'FOB origin'!BC22+$BG$3</f>
        <v>28.478577791424016</v>
      </c>
      <c r="BC24" s="355">
        <f>+'FOB origin'!BD22+$BG$3</f>
        <v>616.34197791899305</v>
      </c>
      <c r="BD24" s="314">
        <f>+'FOB origin'!BE22+$BG$3</f>
        <v>632.67221767577905</v>
      </c>
      <c r="BE24" s="315">
        <f>+'FOB origin'!BF22+$BG$3</f>
        <v>631.80114517577908</v>
      </c>
      <c r="BF24" s="355">
        <f>+'FOB origin'!BG22+$BG$3</f>
        <v>627.79593217577906</v>
      </c>
      <c r="BG24" s="314">
        <f>+'FOB origin'!BH22+$BG$3</f>
        <v>627.311084175779</v>
      </c>
      <c r="BH24" s="315">
        <f>+'FOB origin'!BI22+$BG$3</f>
        <v>624.79254967577901</v>
      </c>
      <c r="BI24" s="355">
        <f>+'FOB origin'!BJ22+$BG$3</f>
        <v>566.82563017577911</v>
      </c>
      <c r="BJ24" s="314">
        <f>+'FOB origin'!BK22+$BG$3</f>
        <v>507.43008517577908</v>
      </c>
      <c r="BK24" s="315">
        <f>+'FOB origin'!BL22+$BG$3</f>
        <v>498.0400401757791</v>
      </c>
      <c r="BL24" s="355">
        <f>+'FOB origin'!BM22+$BG$3</f>
        <v>513.03114517577899</v>
      </c>
      <c r="BM24" s="314">
        <f>+'FOB origin'!BN22+$BG$3</f>
        <v>509.31542017577908</v>
      </c>
      <c r="BN24" s="315">
        <f>+'FOB origin'!BO22+$BG$3</f>
        <v>505.74260767577908</v>
      </c>
      <c r="BO24" s="355">
        <f>+'FOB origin'!BP22+$BG$3</f>
        <v>519.38256517577906</v>
      </c>
      <c r="BP24" s="314">
        <f>+'FOB origin'!BQ22+$BG$3</f>
        <v>517.8804576757791</v>
      </c>
      <c r="BQ24" s="315">
        <f>+'FOB origin'!BR22+$BG$3</f>
        <v>518.23982017577907</v>
      </c>
    </row>
    <row r="25" spans="3:69" ht="15.7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73.72327444983577</v>
      </c>
      <c r="AH25" s="356">
        <f t="shared" si="26"/>
        <v>73.258321589092446</v>
      </c>
      <c r="AI25" s="316">
        <f>+AI24+$C$5</f>
        <v>73.137690998826784</v>
      </c>
      <c r="AJ25" s="317">
        <f t="shared" si="26"/>
        <v>73.085918061918846</v>
      </c>
      <c r="AK25" s="356">
        <f>+AK24+$C$5</f>
        <v>72.406853591620632</v>
      </c>
      <c r="AL25" s="316">
        <f t="shared" si="26"/>
        <v>72.149568029242118</v>
      </c>
      <c r="AM25" s="317">
        <f t="shared" si="26"/>
        <v>71.061441453867673</v>
      </c>
      <c r="AN25" s="356">
        <f t="shared" ref="AN25:AS25" si="27">+AN24+$C$5</f>
        <v>70.733820484884404</v>
      </c>
      <c r="AO25" s="316">
        <f t="shared" si="27"/>
        <v>70.752228514416856</v>
      </c>
      <c r="AP25" s="317">
        <f t="shared" si="27"/>
        <v>71.427007647096161</v>
      </c>
      <c r="AQ25" s="356">
        <f t="shared" si="27"/>
        <v>70.292584215595113</v>
      </c>
      <c r="AR25" s="316">
        <f t="shared" si="27"/>
        <v>69.592805629032853</v>
      </c>
      <c r="AS25" s="316">
        <f t="shared" si="27"/>
        <v>69.222822816410854</v>
      </c>
      <c r="AT25" s="356">
        <f t="shared" ref="AT25:AV25" si="28">+AT24+$C$5</f>
        <v>70.225295902685289</v>
      </c>
      <c r="AU25" s="316">
        <f t="shared" si="28"/>
        <v>70.170499307819668</v>
      </c>
      <c r="AV25" s="317">
        <f t="shared" si="28"/>
        <v>70.48765137265795</v>
      </c>
      <c r="AW25" s="356">
        <f t="shared" ref="AW25:BB25" si="29">+AW24+$C$5</f>
        <v>70.737873195106971</v>
      </c>
      <c r="AX25" s="316">
        <f t="shared" si="29"/>
        <v>70.589765490332042</v>
      </c>
      <c r="AY25" s="317">
        <f t="shared" si="29"/>
        <v>71.396759651633516</v>
      </c>
      <c r="AZ25" s="356">
        <f t="shared" si="29"/>
        <v>70.922828789543217</v>
      </c>
      <c r="BA25" s="316">
        <f>+BA24+$C$5</f>
        <v>71.461747675227286</v>
      </c>
      <c r="BB25" s="317">
        <f t="shared" si="29"/>
        <v>71.873577791424026</v>
      </c>
      <c r="BC25" s="356">
        <f t="shared" ref="BC25:BE25" si="30">+BC24+$C$5</f>
        <v>659.73697791899303</v>
      </c>
      <c r="BD25" s="316">
        <f t="shared" si="30"/>
        <v>676.06721767577903</v>
      </c>
      <c r="BE25" s="317">
        <f t="shared" si="30"/>
        <v>675.19614517577907</v>
      </c>
      <c r="BF25" s="356">
        <f t="shared" ref="BF25:BH25" si="31">+BF24+$C$5</f>
        <v>671.19093217577904</v>
      </c>
      <c r="BG25" s="316">
        <f t="shared" si="31"/>
        <v>670.70608417577898</v>
      </c>
      <c r="BH25" s="317">
        <f t="shared" si="31"/>
        <v>668.187549675779</v>
      </c>
      <c r="BI25" s="356">
        <f t="shared" ref="BI25:BJ25" si="32">+BI24+$C$5</f>
        <v>610.22063017577909</v>
      </c>
      <c r="BJ25" s="316">
        <f t="shared" si="32"/>
        <v>550.82508517577912</v>
      </c>
      <c r="BK25" s="317">
        <f t="shared" ref="BK25:BQ25" si="33">+BK24+$C$5</f>
        <v>541.43504017577914</v>
      </c>
      <c r="BL25" s="356">
        <f t="shared" si="33"/>
        <v>556.42614517577897</v>
      </c>
      <c r="BM25" s="316">
        <f t="shared" si="33"/>
        <v>552.71042017577906</v>
      </c>
      <c r="BN25" s="317">
        <f t="shared" si="33"/>
        <v>549.13760767577912</v>
      </c>
      <c r="BO25" s="356">
        <f t="shared" si="33"/>
        <v>562.77756517577905</v>
      </c>
      <c r="BP25" s="316">
        <f t="shared" si="33"/>
        <v>561.27545767577908</v>
      </c>
      <c r="BQ25" s="317">
        <f t="shared" si="33"/>
        <v>561.63482017577905</v>
      </c>
    </row>
    <row r="26" spans="3:69" ht="15.7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169.60018601927879</v>
      </c>
      <c r="AI26" s="311">
        <f t="shared" si="34"/>
        <v>169.55744596233768</v>
      </c>
      <c r="AJ26" s="312">
        <f t="shared" ref="AJ26:BO26" si="35">+(AJ25/AJ14)+$BG$6</f>
        <v>169.60329114967982</v>
      </c>
      <c r="AK26" s="354">
        <f t="shared" si="35"/>
        <v>169.55631049787331</v>
      </c>
      <c r="AL26" s="311">
        <f t="shared" si="35"/>
        <v>168.48504241544612</v>
      </c>
      <c r="AM26" s="312">
        <f t="shared" si="35"/>
        <v>168.3815426939446</v>
      </c>
      <c r="AN26" s="354">
        <f t="shared" si="35"/>
        <v>167.32491732996343</v>
      </c>
      <c r="AO26" s="311">
        <f t="shared" si="35"/>
        <v>166.1162016442382</v>
      </c>
      <c r="AP26" s="312">
        <f t="shared" si="35"/>
        <v>165.79689857725631</v>
      </c>
      <c r="AQ26" s="354">
        <f t="shared" si="35"/>
        <v>166.59528047748125</v>
      </c>
      <c r="AR26" s="311">
        <f t="shared" si="35"/>
        <v>167.88979892921117</v>
      </c>
      <c r="AS26" s="311">
        <f t="shared" si="35"/>
        <v>168.63088152508504</v>
      </c>
      <c r="AT26" s="354">
        <f t="shared" si="35"/>
        <v>169.56980265821736</v>
      </c>
      <c r="AU26" s="311">
        <f t="shared" si="35"/>
        <v>169.40034512325394</v>
      </c>
      <c r="AV26" s="312">
        <f t="shared" si="35"/>
        <v>167.17582188872672</v>
      </c>
      <c r="AW26" s="354">
        <f t="shared" si="35"/>
        <v>164.19807719608457</v>
      </c>
      <c r="AX26" s="311">
        <f t="shared" si="35"/>
        <v>164.25396021724319</v>
      </c>
      <c r="AY26" s="312">
        <f t="shared" si="35"/>
        <v>162.91873690412416</v>
      </c>
      <c r="AZ26" s="354">
        <f t="shared" si="35"/>
        <v>163.96298164384345</v>
      </c>
      <c r="BA26" s="311">
        <f t="shared" si="35"/>
        <v>163.00021141718079</v>
      </c>
      <c r="BB26" s="312">
        <f t="shared" si="35"/>
        <v>163.2158911433643</v>
      </c>
      <c r="BC26" s="354">
        <f t="shared" si="35"/>
        <v>664.24388777824527</v>
      </c>
      <c r="BD26" s="311">
        <f t="shared" si="35"/>
        <v>676.44746170089138</v>
      </c>
      <c r="BE26" s="312">
        <f t="shared" si="35"/>
        <v>674.83120825975993</v>
      </c>
      <c r="BF26" s="354">
        <f t="shared" si="35"/>
        <v>670.44457520709636</v>
      </c>
      <c r="BG26" s="311">
        <f t="shared" si="35"/>
        <v>668.45081219186602</v>
      </c>
      <c r="BH26" s="312">
        <f t="shared" si="35"/>
        <v>666.32376139164649</v>
      </c>
      <c r="BI26" s="354">
        <f t="shared" si="35"/>
        <v>615.3080671061399</v>
      </c>
      <c r="BJ26" s="311">
        <f t="shared" si="35"/>
        <v>565.34546195809139</v>
      </c>
      <c r="BK26" s="312">
        <f t="shared" si="35"/>
        <v>557.44670270506322</v>
      </c>
      <c r="BL26" s="354">
        <f t="shared" si="35"/>
        <v>568.38962757284185</v>
      </c>
      <c r="BM26" s="311">
        <f t="shared" si="35"/>
        <v>565.27515206888154</v>
      </c>
      <c r="BN26" s="312">
        <f t="shared" si="35"/>
        <v>562.28046408430419</v>
      </c>
      <c r="BO26" s="354">
        <f t="shared" si="35"/>
        <v>572.25491136476217</v>
      </c>
      <c r="BP26" s="311">
        <f t="shared" ref="BP26:BQ26" si="36">+(BP25/BP14)+$BG$6</f>
        <v>570.99975573493134</v>
      </c>
      <c r="BQ26" s="312">
        <f t="shared" si="36"/>
        <v>571.30003774871875</v>
      </c>
    </row>
    <row r="27" spans="3:69" ht="15.7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-169.60018601927879</v>
      </c>
      <c r="AI27" s="1016">
        <f t="shared" si="37"/>
        <v>-169.55744596233768</v>
      </c>
      <c r="AJ27" s="1017">
        <f t="shared" si="37"/>
        <v>-169.60329114967982</v>
      </c>
      <c r="AK27" s="1012">
        <f t="shared" si="37"/>
        <v>-169.55631049787331</v>
      </c>
      <c r="AL27" s="1016">
        <f t="shared" si="37"/>
        <v>-168.48504241544612</v>
      </c>
      <c r="AM27" s="1018">
        <f t="shared" si="37"/>
        <v>-168.3815426939446</v>
      </c>
      <c r="AN27" s="1012">
        <f>+AO21-AN26</f>
        <v>-167.32491732996343</v>
      </c>
      <c r="AO27" s="1016">
        <f t="shared" si="37"/>
        <v>-166.1162016442382</v>
      </c>
      <c r="AP27" s="1018">
        <f t="shared" si="37"/>
        <v>-165.79689857725631</v>
      </c>
      <c r="AQ27" s="1012">
        <f t="shared" si="37"/>
        <v>-166.59528047748125</v>
      </c>
      <c r="AR27" s="1016">
        <f t="shared" ref="AR27:AY27" si="38">+AS21-AR26</f>
        <v>-167.88979892921117</v>
      </c>
      <c r="AS27" s="1016">
        <f t="shared" si="38"/>
        <v>-168.63088152508504</v>
      </c>
      <c r="AT27" s="1012">
        <f t="shared" si="38"/>
        <v>-169.56980265821736</v>
      </c>
      <c r="AU27" s="1016">
        <f t="shared" si="38"/>
        <v>-169.40034512325394</v>
      </c>
      <c r="AV27" s="1018">
        <f t="shared" si="38"/>
        <v>-167.17582188872672</v>
      </c>
      <c r="AW27" s="1012">
        <f t="shared" si="38"/>
        <v>-164.19807719608457</v>
      </c>
      <c r="AX27" s="1016">
        <f t="shared" si="38"/>
        <v>-164.25396021724319</v>
      </c>
      <c r="AY27" s="1018">
        <f t="shared" si="38"/>
        <v>-162.91873690412416</v>
      </c>
      <c r="AZ27" s="1012">
        <f t="shared" ref="AZ27:BG27" si="39">+BA21-AZ26</f>
        <v>-163.96298164384345</v>
      </c>
      <c r="BA27" s="1016">
        <f t="shared" si="39"/>
        <v>-163.00021141718079</v>
      </c>
      <c r="BB27" s="1018">
        <f t="shared" si="39"/>
        <v>626.78410885663573</v>
      </c>
      <c r="BC27" s="1012">
        <f t="shared" si="39"/>
        <v>50.756112221754734</v>
      </c>
      <c r="BD27" s="1016">
        <f t="shared" si="39"/>
        <v>-26.447461700891381</v>
      </c>
      <c r="BE27" s="1018">
        <f t="shared" si="39"/>
        <v>-46.831208259759933</v>
      </c>
      <c r="BF27" s="1012">
        <f t="shared" si="39"/>
        <v>-40.444575207096364</v>
      </c>
      <c r="BG27" s="1016">
        <f t="shared" si="39"/>
        <v>-35.450812191866021</v>
      </c>
      <c r="BH27" s="1018">
        <f t="shared" ref="BH27:BP27" si="40">+BI12-BH26</f>
        <v>-25.323761391646485</v>
      </c>
      <c r="BI27" s="1012">
        <f t="shared" si="40"/>
        <v>26.691932893860098</v>
      </c>
      <c r="BJ27" s="1016">
        <f t="shared" si="40"/>
        <v>77.654538041908609</v>
      </c>
      <c r="BK27" s="1018">
        <f t="shared" si="40"/>
        <v>74.553297294936783</v>
      </c>
      <c r="BL27" s="1012">
        <f t="shared" si="40"/>
        <v>63.610372427158154</v>
      </c>
      <c r="BM27" s="1016">
        <f t="shared" si="40"/>
        <v>66.724847931118461</v>
      </c>
      <c r="BN27" s="1018">
        <f t="shared" si="40"/>
        <v>47.719535915695815</v>
      </c>
      <c r="BO27" s="1012">
        <f t="shared" si="40"/>
        <v>37.745088635237835</v>
      </c>
      <c r="BP27" s="1016">
        <f t="shared" si="40"/>
        <v>39.000244265068659</v>
      </c>
      <c r="BQ27" s="1145">
        <f>+BQ12-BQ26</f>
        <v>38.699962251281249</v>
      </c>
    </row>
    <row r="28" spans="3:69" ht="15.7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100.46567599727079</v>
      </c>
      <c r="AI28" s="940">
        <f t="shared" si="41"/>
        <v>100.46450406281956</v>
      </c>
      <c r="AJ28" s="942">
        <f t="shared" si="41"/>
        <v>100.46195785384096</v>
      </c>
      <c r="AK28" s="943">
        <f>((('FOB origin'!AL24+EU!$C$5)/AK14)+$BG$6)</f>
        <v>167.77011040697414</v>
      </c>
      <c r="AL28" s="944">
        <f>((('FOB origin'!AM24+EU!$C$5)/AL14)+$BG$6)</f>
        <v>166.74439323558727</v>
      </c>
      <c r="AM28" s="945">
        <f>((('FOB origin'!AN24+EU!$C$5)/AM14)+$BG$6)</f>
        <v>166.7177219310698</v>
      </c>
      <c r="AN28" s="943">
        <f>((('FOB origin'!AO24+EU!$C$5)/AN14)+$BG$6)</f>
        <v>165.70998088391133</v>
      </c>
      <c r="AO28" s="944">
        <f>((('FOB origin'!AP24+EU!$C$5)/AO14)+$BG$6)</f>
        <v>164.52990585544973</v>
      </c>
      <c r="AP28" s="945">
        <f>((('FOB origin'!AQ24+EU!$C$5)/AP14)+$BG$6)</f>
        <v>164.17368724547043</v>
      </c>
      <c r="AQ28" s="943">
        <f>((('FOB origin'!AR24+EU!$C$5)/AQ14)+$BG$6)</f>
        <v>165.0285399270229</v>
      </c>
      <c r="AR28" s="944">
        <f>((('FOB origin'!AS24+EU!$C$5)/AR14)+$BG$6)</f>
        <v>166.34124785980043</v>
      </c>
      <c r="AS28" s="944">
        <f>((('FOB origin'!AT24+EU!$C$5)/AS14)+$BG$6)</f>
        <v>167.09183573039968</v>
      </c>
      <c r="AT28" s="943">
        <f>((('FOB origin'!AU24+EU!$C$5)/AT14)+$BG$6)</f>
        <v>167.9357616153813</v>
      </c>
      <c r="AU28" s="944">
        <f>((('FOB origin'!AV24+EU!$C$5)/AU14)+$BG$6)</f>
        <v>167.77434515914419</v>
      </c>
      <c r="AV28" s="945">
        <f>((('FOB origin'!AW24+EU!$C$5)/AV14)+$BG$6)</f>
        <v>165.58150099502581</v>
      </c>
      <c r="AW28" s="943">
        <f>((('FOB origin'!AX24+EU!$C$5)/AW14)+$BG$6)</f>
        <v>162.66017619923485</v>
      </c>
      <c r="AX28" s="944">
        <f>((('FOB origin'!AY24+EU!$C$5)/AX14)+$BG$6)</f>
        <v>162.72439194525771</v>
      </c>
      <c r="AY28" s="945">
        <f>((('FOB origin'!AZ24+EU!$C$5)/AY14)+$BG$6)</f>
        <v>161.37065682053409</v>
      </c>
      <c r="AZ28" s="943">
        <f>((('FOB origin'!BA24+EU!$C$5)/AZ14)+$BG$6)</f>
        <v>162.41887563606855</v>
      </c>
      <c r="BA28" s="944">
        <f>((('FOB origin'!BB24+EU!$C$5)/BA14)+$BG$6)</f>
        <v>161.4459731648906</v>
      </c>
      <c r="BB28" s="945">
        <f>((('FOB origin'!BC24+EU!$C$5)/BB14)+$BG$6)</f>
        <v>161.63033445649359</v>
      </c>
      <c r="BC28" s="943">
        <f>((('FOB origin'!BD24+EU!$C$5)/BC14)+$BG$6)</f>
        <v>613.00958110359875</v>
      </c>
      <c r="BD28" s="944">
        <f>((('FOB origin'!BE24+EU!$C$5)/BD14)+$BG$6)</f>
        <v>623.99045813219391</v>
      </c>
      <c r="BE28" s="945">
        <f>((('FOB origin'!BF24+EU!$C$5)/BE14)+$BG$6)</f>
        <v>622.52754744700007</v>
      </c>
      <c r="BF28" s="943">
        <f>((('FOB origin'!BG24+EU!$C$5)/BF14)+$BG$6)</f>
        <v>618.56787649864839</v>
      </c>
      <c r="BG28" s="944">
        <f>((('FOB origin'!BH24+EU!$C$5)/BG14)+$BG$6)</f>
        <v>616.75927551689449</v>
      </c>
      <c r="BH28" s="945">
        <f>((('FOB origin'!BI24+EU!$C$5)/BH14)+$BG$6)</f>
        <v>614.84301353471471</v>
      </c>
      <c r="BI28" s="943">
        <f>((('FOB origin'!BJ24+EU!$C$5)/BI14)+$BG$6)</f>
        <v>568.86517511421516</v>
      </c>
      <c r="BJ28" s="944">
        <f>((('FOB origin'!BK24+EU!$C$5)/BJ14)+$BG$6)</f>
        <v>523.85381912498224</v>
      </c>
      <c r="BK28" s="945">
        <f>((('FOB origin'!BL24+EU!$C$5)/BK14)+$BG$6)</f>
        <v>516.73781979792989</v>
      </c>
      <c r="BL28" s="943">
        <f>((('FOB origin'!BM24+EU!$C$5)/BL14)+$BG$6)</f>
        <v>526.58054580761836</v>
      </c>
      <c r="BM28" s="944">
        <f>((('FOB origin'!BN24+EU!$C$5)/BM14)+$BG$6)</f>
        <v>523.77471202026663</v>
      </c>
      <c r="BN28" s="945">
        <f>((('FOB origin'!BO24+EU!$C$5)/BN14)+$BG$6)</f>
        <v>521.0767949170438</v>
      </c>
      <c r="BO28" s="943">
        <f>((('FOB origin'!BP24+EU!$C$5)/BO14)+$BG$6)</f>
        <v>530.04914992753629</v>
      </c>
      <c r="BP28" s="944">
        <f>((('FOB origin'!BQ24+EU!$C$5)/BP14)+$BG$6)</f>
        <v>528.91837908985087</v>
      </c>
      <c r="BQ28" s="945">
        <f>((('FOB origin'!BR24+EU!$C$5)/BQ14)+$BG$6)</f>
        <v>529.1889034265962</v>
      </c>
    </row>
    <row r="29" spans="3:69" ht="16.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-167.77011040697414</v>
      </c>
      <c r="AL29" s="948">
        <f t="shared" ref="AL29:AR29" si="42">+AM21-AL28</f>
        <v>-166.74439323558727</v>
      </c>
      <c r="AM29" s="951">
        <f t="shared" si="42"/>
        <v>-166.7177219310698</v>
      </c>
      <c r="AN29" s="949">
        <f t="shared" si="42"/>
        <v>-165.70998088391133</v>
      </c>
      <c r="AO29" s="948">
        <f t="shared" si="42"/>
        <v>-164.52990585544973</v>
      </c>
      <c r="AP29" s="951">
        <f t="shared" si="42"/>
        <v>-164.17368724547043</v>
      </c>
      <c r="AQ29" s="949">
        <f t="shared" si="42"/>
        <v>-165.0285399270229</v>
      </c>
      <c r="AR29" s="948">
        <f t="shared" si="42"/>
        <v>-166.34124785980043</v>
      </c>
      <c r="AS29" s="948">
        <f>+AT21-AS28</f>
        <v>-167.09183573039968</v>
      </c>
      <c r="AT29" s="949">
        <f>+AU21-AT28</f>
        <v>-167.9357616153813</v>
      </c>
      <c r="AU29" s="948">
        <f>+AV21-AU28</f>
        <v>-167.77434515914419</v>
      </c>
      <c r="AV29" s="951">
        <f>+AV21-AV28</f>
        <v>-165.58150099502581</v>
      </c>
      <c r="AW29" s="949">
        <f t="shared" ref="AW29:BB29" si="43">+AW21-AW28</f>
        <v>-162.66017619923485</v>
      </c>
      <c r="AX29" s="948">
        <f t="shared" si="43"/>
        <v>-162.72439194525771</v>
      </c>
      <c r="AY29" s="951">
        <f t="shared" si="43"/>
        <v>-161.37065682053409</v>
      </c>
      <c r="AZ29" s="949">
        <f t="shared" si="43"/>
        <v>-162.41887563606855</v>
      </c>
      <c r="BA29" s="948">
        <f t="shared" si="43"/>
        <v>-161.4459731648906</v>
      </c>
      <c r="BB29" s="951">
        <f t="shared" si="43"/>
        <v>-161.63033445649359</v>
      </c>
      <c r="BC29" s="949">
        <f t="shared" ref="BC29:BE29" si="44">+BC21-BC28</f>
        <v>176.99041889640125</v>
      </c>
      <c r="BD29" s="948">
        <f t="shared" si="44"/>
        <v>91.009541867806092</v>
      </c>
      <c r="BE29" s="951">
        <f t="shared" si="44"/>
        <v>27.472452552999926</v>
      </c>
      <c r="BF29" s="949">
        <f t="shared" ref="BF29:BH29" si="45">+BF21-BF28</f>
        <v>9.4321235013516116</v>
      </c>
      <c r="BG29" s="948">
        <f t="shared" si="45"/>
        <v>13.24072448310551</v>
      </c>
      <c r="BH29" s="951">
        <f t="shared" si="45"/>
        <v>18.156986465285286</v>
      </c>
      <c r="BI29" s="949">
        <f t="shared" ref="BI29:BJ29" si="46">+BI21-BI28</f>
        <v>72.134824885784838</v>
      </c>
      <c r="BJ29" s="948">
        <f t="shared" si="46"/>
        <v>118.14618087501776</v>
      </c>
      <c r="BK29" s="951">
        <f t="shared" ref="BK29:BQ29" si="47">+BK21-BK28</f>
        <v>126.26218020207011</v>
      </c>
      <c r="BL29" s="949">
        <f t="shared" si="47"/>
        <v>105.41945419238164</v>
      </c>
      <c r="BM29" s="948">
        <f t="shared" si="47"/>
        <v>108.22528797973337</v>
      </c>
      <c r="BN29" s="951">
        <f t="shared" si="47"/>
        <v>110.9232050829562</v>
      </c>
      <c r="BO29" s="949">
        <f t="shared" si="47"/>
        <v>79.950850072463709</v>
      </c>
      <c r="BP29" s="948">
        <f t="shared" si="47"/>
        <v>81.081620910149127</v>
      </c>
      <c r="BQ29" s="951">
        <f t="shared" si="47"/>
        <v>80.811096573403802</v>
      </c>
    </row>
    <row r="30" spans="3:69" ht="16.5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597.68915000000015</v>
      </c>
      <c r="BD31" s="314">
        <f t="shared" si="49"/>
        <v>573.25324000000001</v>
      </c>
      <c r="BE31" s="315">
        <f t="shared" si="49"/>
        <v>534.28787</v>
      </c>
      <c r="BF31" s="1166">
        <f t="shared" ref="BF31:BQ31" si="50">+(BF10+$BG$4+$BI$4)*$B$1</f>
        <v>531.64615000000015</v>
      </c>
      <c r="BG31" s="1167">
        <f t="shared" si="50"/>
        <v>530.32529</v>
      </c>
      <c r="BH31" s="1168">
        <f t="shared" si="50"/>
        <v>536.26916000000006</v>
      </c>
      <c r="BI31" s="1166">
        <f t="shared" si="50"/>
        <v>541.55259999999998</v>
      </c>
      <c r="BJ31" s="1167">
        <f t="shared" si="50"/>
        <v>546.83604000000003</v>
      </c>
      <c r="BK31" s="1168">
        <f t="shared" si="50"/>
        <v>550.13819000000001</v>
      </c>
      <c r="BL31" s="1166">
        <f t="shared" si="50"/>
        <v>550.13819000000001</v>
      </c>
      <c r="BM31" s="1167">
        <f t="shared" si="50"/>
        <v>548.81733000000008</v>
      </c>
      <c r="BN31" s="1168">
        <f t="shared" si="50"/>
        <v>547.49647000000004</v>
      </c>
      <c r="BO31" s="1166">
        <f t="shared" si="50"/>
        <v>540.89216999999996</v>
      </c>
      <c r="BP31" s="1167">
        <f t="shared" si="50"/>
        <v>531.64615000000015</v>
      </c>
      <c r="BQ31" s="1168">
        <f t="shared" si="50"/>
        <v>525.70228000000009</v>
      </c>
    </row>
    <row r="32" spans="3:69" ht="15.7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633.19415000000015</v>
      </c>
      <c r="BD32" s="316">
        <f t="shared" si="55"/>
        <v>608.75824</v>
      </c>
      <c r="BE32" s="317">
        <f t="shared" si="55"/>
        <v>569.79286999999999</v>
      </c>
      <c r="BF32" s="356">
        <f>+BF31+$C$4</f>
        <v>567.15115000000014</v>
      </c>
      <c r="BG32" s="316">
        <f t="shared" ref="BG32:BH32" si="56">+BG31+$C$4</f>
        <v>565.83028999999999</v>
      </c>
      <c r="BH32" s="317">
        <f t="shared" si="56"/>
        <v>571.77416000000005</v>
      </c>
      <c r="BI32" s="356">
        <f t="shared" ref="BI32:BJ32" si="57">+BI31+$C$4</f>
        <v>577.05759999999998</v>
      </c>
      <c r="BJ32" s="316">
        <f t="shared" si="57"/>
        <v>582.34104000000002</v>
      </c>
      <c r="BK32" s="317">
        <f t="shared" ref="BK32:BP32" si="58">+BK31+$C$4</f>
        <v>585.64319</v>
      </c>
      <c r="BL32" s="356">
        <f t="shared" si="58"/>
        <v>585.64319</v>
      </c>
      <c r="BM32" s="316">
        <f t="shared" si="58"/>
        <v>584.32233000000008</v>
      </c>
      <c r="BN32" s="317">
        <f t="shared" si="58"/>
        <v>583.00147000000004</v>
      </c>
      <c r="BO32" s="356">
        <f t="shared" si="58"/>
        <v>576.39716999999996</v>
      </c>
      <c r="BP32" s="316">
        <f t="shared" si="58"/>
        <v>567.15115000000014</v>
      </c>
      <c r="BQ32" s="317">
        <f>+BQ31+$C$4</f>
        <v>561.20728000000008</v>
      </c>
    </row>
    <row r="33" spans="2:69" ht="15.7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O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641.62344469064271</v>
      </c>
      <c r="BD33" s="311">
        <f t="shared" si="60"/>
        <v>619.25570566743136</v>
      </c>
      <c r="BE33" s="312">
        <f t="shared" si="60"/>
        <v>585.40788156443534</v>
      </c>
      <c r="BF33" s="354">
        <f t="shared" si="60"/>
        <v>582.33127249629479</v>
      </c>
      <c r="BG33" s="311">
        <f t="shared" si="60"/>
        <v>579.87702377433379</v>
      </c>
      <c r="BH33" s="312">
        <f t="shared" si="60"/>
        <v>584.89697225623922</v>
      </c>
      <c r="BI33" s="354">
        <f t="shared" si="60"/>
        <v>587.41184387617761</v>
      </c>
      <c r="BJ33" s="311">
        <f t="shared" si="60"/>
        <v>591.85619111709286</v>
      </c>
      <c r="BK33" s="312">
        <f t="shared" si="60"/>
        <v>594.63390814266484</v>
      </c>
      <c r="BL33" s="354">
        <f t="shared" si="60"/>
        <v>592.87899920372161</v>
      </c>
      <c r="BM33" s="311">
        <f t="shared" si="60"/>
        <v>591.77187041616037</v>
      </c>
      <c r="BN33" s="312">
        <f t="shared" si="60"/>
        <v>590.66474162859902</v>
      </c>
      <c r="BO33" s="354">
        <f t="shared" si="60"/>
        <v>583.63540421976177</v>
      </c>
      <c r="BP33" s="311">
        <f t="shared" ref="BP33:BQ33" si="61">+(BP32/BP14)+$BG$6</f>
        <v>575.90946312930873</v>
      </c>
      <c r="BQ33" s="312">
        <f t="shared" si="61"/>
        <v>570.94278671401719</v>
      </c>
    </row>
    <row r="34" spans="2:69" ht="15.7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597.00993101098709</v>
      </c>
      <c r="BC34" s="783">
        <f t="shared" ref="BC34" si="80">+BD21-BC33</f>
        <v>73.376555309357286</v>
      </c>
      <c r="BD34" s="780">
        <f>+BE21-BD33</f>
        <v>30.744294332568643</v>
      </c>
      <c r="BE34" s="781">
        <f>+BF21-BE33</f>
        <v>42.592118435564657</v>
      </c>
      <c r="BF34" s="783">
        <f t="shared" ref="BF34:BG34" si="81">+BF21-BF33</f>
        <v>45.668727503705213</v>
      </c>
      <c r="BG34" s="780">
        <f t="shared" si="81"/>
        <v>50.122976225666207</v>
      </c>
      <c r="BH34" s="781">
        <f t="shared" ref="BH34:BP34" si="82">+BI12-BH33</f>
        <v>56.103027743760777</v>
      </c>
      <c r="BI34" s="783">
        <f t="shared" si="82"/>
        <v>54.588156123822387</v>
      </c>
      <c r="BJ34" s="780">
        <f t="shared" si="82"/>
        <v>51.143808882907138</v>
      </c>
      <c r="BK34" s="781">
        <f t="shared" si="82"/>
        <v>37.366091857335164</v>
      </c>
      <c r="BL34" s="783">
        <f t="shared" si="82"/>
        <v>39.121000796278395</v>
      </c>
      <c r="BM34" s="780">
        <f t="shared" si="82"/>
        <v>40.228129583839632</v>
      </c>
      <c r="BN34" s="781">
        <f t="shared" si="82"/>
        <v>19.335258371400982</v>
      </c>
      <c r="BO34" s="783">
        <f t="shared" si="82"/>
        <v>26.364595780238233</v>
      </c>
      <c r="BP34" s="780">
        <f t="shared" si="82"/>
        <v>34.090536870691267</v>
      </c>
      <c r="BQ34" s="1146">
        <f>+BQ12-BQ33</f>
        <v>39.057213285982812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791.49268750000022</v>
      </c>
      <c r="BD36" s="937">
        <f t="shared" si="83"/>
        <v>760.94780000000003</v>
      </c>
      <c r="BE36" s="937">
        <f t="shared" si="83"/>
        <v>712.24108750000005</v>
      </c>
      <c r="BF36" s="937">
        <f t="shared" ref="BF36:BH36" si="84">BF32*$B$36</f>
        <v>708.93893750000018</v>
      </c>
      <c r="BG36" s="937">
        <f t="shared" si="84"/>
        <v>707.28786249999996</v>
      </c>
      <c r="BH36" s="937">
        <f t="shared" si="84"/>
        <v>714.71770000000004</v>
      </c>
      <c r="BI36" s="937">
        <f t="shared" ref="BI36:BJ36" si="85">BI32*$B$36</f>
        <v>721.322</v>
      </c>
      <c r="BJ36" s="937">
        <f t="shared" si="85"/>
        <v>727.92630000000008</v>
      </c>
      <c r="BK36" s="937">
        <f t="shared" ref="BK36:BQ36" si="86">BK32*$B$36</f>
        <v>732.05398749999995</v>
      </c>
      <c r="BL36" s="937">
        <f t="shared" si="86"/>
        <v>732.05398749999995</v>
      </c>
      <c r="BM36" s="937">
        <f t="shared" si="86"/>
        <v>730.40291250000007</v>
      </c>
      <c r="BN36" s="937">
        <f t="shared" si="86"/>
        <v>728.75183750000008</v>
      </c>
      <c r="BO36" s="937">
        <f t="shared" si="86"/>
        <v>720.49646250000001</v>
      </c>
      <c r="BP36" s="937">
        <f t="shared" si="86"/>
        <v>708.93893750000018</v>
      </c>
      <c r="BQ36" s="937">
        <f t="shared" si="86"/>
        <v>701.5091000000001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63.051648627342075</v>
      </c>
      <c r="AW37" s="1056">
        <f t="shared" ref="AW37:BE37" si="87">AW36-AW25</f>
        <v>62.801426804893055</v>
      </c>
      <c r="AX37" s="1056">
        <f t="shared" si="87"/>
        <v>62.949534509667984</v>
      </c>
      <c r="AY37" s="1056">
        <f t="shared" si="87"/>
        <v>62.142540348366509</v>
      </c>
      <c r="AZ37" s="1056">
        <f>AZ36-AZ25</f>
        <v>62.616471210456808</v>
      </c>
      <c r="BA37" s="1056">
        <f t="shared" si="87"/>
        <v>62.077552324772739</v>
      </c>
      <c r="BB37" s="1056">
        <f t="shared" si="87"/>
        <v>61.665722208576</v>
      </c>
      <c r="BC37" s="1056">
        <f t="shared" si="87"/>
        <v>131.75570958100718</v>
      </c>
      <c r="BD37" s="1056">
        <f t="shared" si="87"/>
        <v>84.880582324220995</v>
      </c>
      <c r="BE37" s="1056">
        <f t="shared" si="87"/>
        <v>37.044942324220983</v>
      </c>
      <c r="BF37" s="1056">
        <f t="shared" ref="BF37:BH37" si="88">BF36-BF25</f>
        <v>37.74800532422114</v>
      </c>
      <c r="BG37" s="1056">
        <f t="shared" si="88"/>
        <v>36.581778324220977</v>
      </c>
      <c r="BH37" s="1056">
        <f t="shared" si="88"/>
        <v>46.53015032422104</v>
      </c>
      <c r="BI37" s="1056">
        <f t="shared" ref="BI37:BJ37" si="89">BI36-BI25</f>
        <v>111.10136982422091</v>
      </c>
      <c r="BJ37" s="1056">
        <f t="shared" si="89"/>
        <v>177.10121482422096</v>
      </c>
      <c r="BK37" s="1056">
        <f t="shared" ref="BK37:BQ37" si="90">BK36-BK25</f>
        <v>190.61894732422081</v>
      </c>
      <c r="BL37" s="1056">
        <f t="shared" si="90"/>
        <v>175.62784232422098</v>
      </c>
      <c r="BM37" s="1056">
        <f t="shared" si="90"/>
        <v>177.69249232422101</v>
      </c>
      <c r="BN37" s="1056">
        <f t="shared" si="90"/>
        <v>179.61422982422096</v>
      </c>
      <c r="BO37" s="1056">
        <f t="shared" si="90"/>
        <v>157.71889732422096</v>
      </c>
      <c r="BP37" s="1056">
        <f t="shared" si="90"/>
        <v>147.6634798242211</v>
      </c>
      <c r="BQ37" s="1056">
        <f t="shared" si="90"/>
        <v>139.87427982422105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0.23867650101957086</v>
      </c>
      <c r="AW38" s="1057">
        <f t="shared" ref="AW38:BE38" si="91">AW37/264.172</f>
        <v>0.23772930819652743</v>
      </c>
      <c r="AX38" s="1057">
        <f t="shared" si="91"/>
        <v>0.23828995695860264</v>
      </c>
      <c r="AY38" s="1057">
        <f t="shared" si="91"/>
        <v>0.23523515114533902</v>
      </c>
      <c r="AZ38" s="1057">
        <f t="shared" si="91"/>
        <v>0.23702917497106735</v>
      </c>
      <c r="BA38" s="1057">
        <f t="shared" si="91"/>
        <v>0.23498914466625051</v>
      </c>
      <c r="BB38" s="1057">
        <f t="shared" si="91"/>
        <v>0.23343019778241447</v>
      </c>
      <c r="BC38" s="1057">
        <f t="shared" si="91"/>
        <v>0.49874971450799921</v>
      </c>
      <c r="BD38" s="1057">
        <f t="shared" si="91"/>
        <v>0.32130802024522276</v>
      </c>
      <c r="BE38" s="1057">
        <f t="shared" si="91"/>
        <v>0.14023038900497017</v>
      </c>
      <c r="BF38" s="1057">
        <f t="shared" ref="BF38:BH38" si="92">BF37/264.172</f>
        <v>0.14289177249754378</v>
      </c>
      <c r="BG38" s="1057">
        <f t="shared" si="92"/>
        <v>0.13847712219395308</v>
      </c>
      <c r="BH38" s="1057">
        <f t="shared" si="92"/>
        <v>0.17613581425821448</v>
      </c>
      <c r="BI38" s="1057">
        <f t="shared" ref="BI38:BJ38" si="93">BI37/264.172</f>
        <v>0.42056451790583749</v>
      </c>
      <c r="BJ38" s="1057">
        <f t="shared" si="93"/>
        <v>0.6704011584279217</v>
      </c>
      <c r="BK38" s="1057">
        <f t="shared" ref="BK38:BQ38" si="94">BK37/264.172</f>
        <v>0.72157135246816773</v>
      </c>
      <c r="BL38" s="1057">
        <f t="shared" si="94"/>
        <v>0.66482383569879078</v>
      </c>
      <c r="BM38" s="1057">
        <f t="shared" si="94"/>
        <v>0.67263938768764664</v>
      </c>
      <c r="BN38" s="1057">
        <f t="shared" si="94"/>
        <v>0.67991395690770007</v>
      </c>
      <c r="BO38" s="1057">
        <f t="shared" si="94"/>
        <v>0.59703109082045391</v>
      </c>
      <c r="BP38" s="1057">
        <f t="shared" si="94"/>
        <v>0.55896718737875739</v>
      </c>
      <c r="BQ38" s="1057">
        <f t="shared" si="94"/>
        <v>0.52948185206691489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65"/>
      <c r="D40" s="1151"/>
      <c r="E40" s="1151"/>
      <c r="F40" s="1151"/>
      <c r="G40" s="1151"/>
      <c r="H40" s="1151"/>
      <c r="I40" s="1151"/>
      <c r="J40" s="1151"/>
      <c r="K40" s="1151"/>
      <c r="L40" s="1151"/>
      <c r="M40" s="1151"/>
      <c r="N40" s="1151"/>
      <c r="O40" s="1151"/>
      <c r="P40" s="1151"/>
      <c r="Q40" s="1151"/>
      <c r="R40" s="1152"/>
      <c r="S40" s="1151"/>
      <c r="T40" s="1153"/>
      <c r="U40" s="1153"/>
      <c r="V40" s="1153"/>
      <c r="W40" s="1153"/>
      <c r="X40" s="1153"/>
      <c r="Y40" s="1153"/>
      <c r="Z40" s="1153"/>
      <c r="AA40" s="1153"/>
      <c r="AB40" s="1153"/>
      <c r="AC40" s="1153"/>
      <c r="AD40" s="1153"/>
      <c r="AE40" s="1153"/>
      <c r="AF40" s="1153"/>
      <c r="AG40" s="1153"/>
      <c r="AH40" s="1153"/>
      <c r="AI40" s="1153"/>
      <c r="AJ40" s="1153"/>
      <c r="AK40" s="1153"/>
      <c r="AL40" s="1153"/>
      <c r="AM40" s="1153"/>
      <c r="AN40" s="1153"/>
      <c r="AO40" s="1153"/>
      <c r="AP40" s="1153"/>
      <c r="AQ40" s="1153"/>
      <c r="AR40" s="1153"/>
      <c r="AS40" s="1153"/>
      <c r="AT40" s="1153"/>
      <c r="AU40" s="1153"/>
      <c r="AV40" s="1153"/>
      <c r="AW40" s="1153"/>
      <c r="AX40" s="1153"/>
      <c r="AY40" s="1153"/>
      <c r="AZ40" s="1153"/>
      <c r="BA40" s="1153"/>
      <c r="BB40" s="1154">
        <v>45901</v>
      </c>
      <c r="BC40" s="1158">
        <v>45931</v>
      </c>
      <c r="BD40" s="1159">
        <v>45962</v>
      </c>
      <c r="BE40" s="1160">
        <v>45992</v>
      </c>
      <c r="BF40" s="1158">
        <v>46023</v>
      </c>
      <c r="BG40" s="1159">
        <v>46054</v>
      </c>
      <c r="BH40" s="1160">
        <v>46082</v>
      </c>
      <c r="BI40" s="1158">
        <v>46113</v>
      </c>
      <c r="BJ40" s="1159">
        <v>46143</v>
      </c>
      <c r="BK40" s="1160">
        <v>46174</v>
      </c>
      <c r="BL40" s="1158">
        <v>46204</v>
      </c>
      <c r="BM40" s="1159">
        <v>46235</v>
      </c>
      <c r="BN40" s="1160">
        <v>46266</v>
      </c>
      <c r="BO40" s="1158">
        <v>46296</v>
      </c>
      <c r="BP40" s="1159">
        <v>46327</v>
      </c>
      <c r="BQ40" s="1160">
        <v>46357</v>
      </c>
    </row>
    <row r="41" spans="2:69" s="284" customFormat="1" ht="15.75" thickBot="1">
      <c r="C41" s="1164" t="s">
        <v>4436</v>
      </c>
      <c r="D41" s="1155"/>
      <c r="E41" s="1155"/>
      <c r="F41" s="1155"/>
      <c r="G41" s="1155"/>
      <c r="H41" s="1155"/>
      <c r="I41" s="1155"/>
      <c r="J41" s="1155"/>
      <c r="K41" s="1155"/>
      <c r="L41" s="1155"/>
      <c r="M41" s="1155"/>
      <c r="N41" s="1155"/>
      <c r="O41" s="1155"/>
      <c r="P41" s="1155"/>
      <c r="Q41" s="1155"/>
      <c r="R41" s="1155"/>
      <c r="S41" s="1155"/>
      <c r="T41" s="1156"/>
      <c r="U41" s="1155"/>
      <c r="V41" s="1155"/>
      <c r="W41" s="1155"/>
      <c r="X41" s="1155"/>
      <c r="Y41" s="1157"/>
      <c r="Z41" s="1155"/>
      <c r="AA41" s="1155"/>
      <c r="AB41" s="1156"/>
      <c r="AC41" s="1156"/>
      <c r="AD41" s="1156"/>
      <c r="AE41" s="1156"/>
      <c r="AF41" s="1156"/>
      <c r="AG41" s="1156"/>
      <c r="AH41" s="1156"/>
      <c r="AI41" s="1156"/>
      <c r="AJ41" s="1156"/>
      <c r="AK41" s="1156"/>
      <c r="AL41" s="1156"/>
      <c r="AM41" s="1156"/>
      <c r="AN41" s="1156"/>
      <c r="AO41" s="1156"/>
      <c r="AP41" s="1156"/>
      <c r="AQ41" s="1156"/>
      <c r="AR41" s="1156"/>
      <c r="AS41" s="1156"/>
      <c r="AT41" s="1156"/>
      <c r="AU41" s="1156"/>
      <c r="AV41" s="1156"/>
      <c r="AW41" s="1156"/>
      <c r="AX41" s="1156"/>
      <c r="AY41" s="1156"/>
      <c r="AZ41" s="1156"/>
      <c r="BA41" s="1156"/>
      <c r="BB41" s="1156"/>
      <c r="BC41" s="1161" t="str">
        <f>IF(BC26&gt;BC33, "USA", "BRZ")</f>
        <v>USA</v>
      </c>
      <c r="BD41" s="1162" t="str">
        <f t="shared" ref="BD41:BQ41" si="95">IF(BD26&gt;BD33, "USA", "BRZ")</f>
        <v>USA</v>
      </c>
      <c r="BE41" s="1163" t="str">
        <f t="shared" si="95"/>
        <v>USA</v>
      </c>
      <c r="BF41" s="1161" t="str">
        <f t="shared" si="95"/>
        <v>USA</v>
      </c>
      <c r="BG41" s="1162" t="str">
        <f t="shared" si="95"/>
        <v>USA</v>
      </c>
      <c r="BH41" s="1163" t="str">
        <f t="shared" si="95"/>
        <v>USA</v>
      </c>
      <c r="BI41" s="1161" t="str">
        <f t="shared" si="95"/>
        <v>USA</v>
      </c>
      <c r="BJ41" s="1162" t="str">
        <f t="shared" si="95"/>
        <v>BRZ</v>
      </c>
      <c r="BK41" s="1163" t="str">
        <f t="shared" si="95"/>
        <v>BRZ</v>
      </c>
      <c r="BL41" s="1161" t="str">
        <f t="shared" si="95"/>
        <v>BRZ</v>
      </c>
      <c r="BM41" s="1162" t="str">
        <f t="shared" si="95"/>
        <v>BRZ</v>
      </c>
      <c r="BN41" s="1163" t="str">
        <f t="shared" si="95"/>
        <v>BRZ</v>
      </c>
      <c r="BO41" s="1161" t="str">
        <f t="shared" si="95"/>
        <v>BRZ</v>
      </c>
      <c r="BP41" s="1162" t="str">
        <f t="shared" si="95"/>
        <v>BRZ</v>
      </c>
      <c r="BQ41" s="1163" t="str">
        <f t="shared" si="95"/>
        <v>USA</v>
      </c>
    </row>
    <row r="42" spans="2:69" s="1" customFormat="1">
      <c r="C42" s="1150"/>
      <c r="D42" s="1148"/>
      <c r="E42" s="1148"/>
      <c r="F42" s="1148"/>
      <c r="G42" s="1148"/>
      <c r="H42" s="1148"/>
      <c r="I42" s="1148"/>
      <c r="J42" s="1148"/>
      <c r="K42" s="1148"/>
      <c r="L42" s="1148"/>
      <c r="M42" s="1148"/>
      <c r="N42" s="1148"/>
      <c r="O42" s="1148"/>
      <c r="P42" s="1148"/>
      <c r="Q42" s="1148"/>
      <c r="R42" s="1148"/>
      <c r="S42" s="1148"/>
      <c r="T42" s="935"/>
      <c r="U42" s="1148"/>
      <c r="V42" s="1148"/>
      <c r="W42" s="1148"/>
      <c r="X42" s="1148"/>
      <c r="Y42" s="1149"/>
      <c r="Z42" s="1148"/>
      <c r="AA42" s="1148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-31.122990025099966</v>
      </c>
      <c r="AJ43" s="1021">
        <f t="shared" ref="AJ43:AS43" si="96">AJ26-AJ33</f>
        <v>-31.214061546647997</v>
      </c>
      <c r="AK43" s="1021">
        <f t="shared" si="96"/>
        <v>-32.118479574901471</v>
      </c>
      <c r="AL43" s="1021">
        <f>AL26-AL33</f>
        <v>-31.9589679052321</v>
      </c>
      <c r="AM43" s="1021">
        <f t="shared" si="96"/>
        <v>-33.414291028614969</v>
      </c>
      <c r="AN43" s="1021">
        <f t="shared" si="96"/>
        <v>-33.337291757587394</v>
      </c>
      <c r="AO43" s="1021">
        <f t="shared" si="96"/>
        <v>-32.695252818833865</v>
      </c>
      <c r="AP43" s="1021">
        <f t="shared" si="96"/>
        <v>-31.622394027245292</v>
      </c>
      <c r="AQ43" s="1021">
        <f t="shared" si="96"/>
        <v>-33.577334850583441</v>
      </c>
      <c r="AR43" s="1021">
        <f t="shared" si="96"/>
        <v>-35.257180809474704</v>
      </c>
      <c r="AS43" s="1021">
        <f t="shared" si="96"/>
        <v>-36.200420813927394</v>
      </c>
      <c r="AT43" s="1021">
        <f t="shared" ref="AT43:AV43" si="97">AT26-AT33</f>
        <v>-35.221922541436271</v>
      </c>
      <c r="AU43" s="1021">
        <f t="shared" si="97"/>
        <v>-35.213659295149682</v>
      </c>
      <c r="AV43" s="1021">
        <f t="shared" si="97"/>
        <v>-33.604982549553483</v>
      </c>
      <c r="AW43" s="1021">
        <f t="shared" ref="AW43:BA43" si="98">AW26-AW33</f>
        <v>-31.736188169254405</v>
      </c>
      <c r="AX43" s="1021">
        <f>AX26-AX33</f>
        <v>-31.961967113209255</v>
      </c>
      <c r="AY43" s="1021">
        <f t="shared" si="98"/>
        <v>-30.234368897923645</v>
      </c>
      <c r="AZ43" s="1021">
        <f t="shared" si="98"/>
        <v>-31.372192216020267</v>
      </c>
      <c r="BA43" s="1021">
        <f t="shared" si="98"/>
        <v>-30.191798826097084</v>
      </c>
      <c r="BB43" s="1021">
        <f>BB26-BB33</f>
        <v>-29.77417784564858</v>
      </c>
      <c r="BC43" s="1021">
        <f t="shared" ref="BC43:BE43" si="99">BC26-BC33</f>
        <v>22.620443087602553</v>
      </c>
      <c r="BD43" s="1021">
        <f t="shared" si="99"/>
        <v>57.191756033460024</v>
      </c>
      <c r="BE43" s="1021">
        <f t="shared" si="99"/>
        <v>89.42332669532459</v>
      </c>
      <c r="BF43" s="1021">
        <f t="shared" ref="BF43:BH43" si="100">BF26-BF33</f>
        <v>88.113302710801577</v>
      </c>
      <c r="BG43" s="1021">
        <f t="shared" si="100"/>
        <v>88.573788417532228</v>
      </c>
      <c r="BH43" s="1021">
        <f t="shared" si="100"/>
        <v>81.426789135407262</v>
      </c>
      <c r="BI43" s="1021">
        <f t="shared" ref="BI43:BJ43" si="101">BI26-BI33</f>
        <v>27.896223229962288</v>
      </c>
      <c r="BJ43" s="1021">
        <f t="shared" si="101"/>
        <v>-26.510729159001471</v>
      </c>
      <c r="BK43" s="1021">
        <f t="shared" ref="BK43:BQ43" si="102">BK26-BK33</f>
        <v>-37.187205437601619</v>
      </c>
      <c r="BL43" s="1021">
        <f t="shared" si="102"/>
        <v>-24.489371630879759</v>
      </c>
      <c r="BM43" s="1021">
        <f t="shared" si="102"/>
        <v>-26.496718347278829</v>
      </c>
      <c r="BN43" s="1021">
        <f t="shared" si="102"/>
        <v>-28.384277544294832</v>
      </c>
      <c r="BO43" s="1021">
        <f t="shared" si="102"/>
        <v>-11.380492854999602</v>
      </c>
      <c r="BP43" s="1021">
        <f t="shared" si="102"/>
        <v>-4.9097073943773921</v>
      </c>
      <c r="BQ43" s="1021">
        <f t="shared" si="102"/>
        <v>0.35725103470156228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4">
        <f>BB43/264.172</f>
        <v>-0.11270754601414448</v>
      </c>
      <c r="BC44" s="1124">
        <f t="shared" ref="BC44:BK44" si="103">BC43/264.172</f>
        <v>8.5627708794280055E-2</v>
      </c>
      <c r="BD44" s="1124">
        <f t="shared" si="103"/>
        <v>0.21649439014528421</v>
      </c>
      <c r="BE44" s="1124">
        <f t="shared" si="103"/>
        <v>0.33850418172752822</v>
      </c>
      <c r="BF44" s="1124">
        <f t="shared" si="103"/>
        <v>0.33354520051633618</v>
      </c>
      <c r="BG44" s="1124">
        <f t="shared" si="103"/>
        <v>0.33528832888244103</v>
      </c>
      <c r="BH44" s="1124">
        <f t="shared" si="103"/>
        <v>0.30823398821755238</v>
      </c>
      <c r="BI44" s="1124">
        <f t="shared" si="103"/>
        <v>0.10559871307315796</v>
      </c>
      <c r="BJ44" s="1124">
        <f t="shared" si="103"/>
        <v>-0.10035404645080277</v>
      </c>
      <c r="BK44" s="1124">
        <f t="shared" si="103"/>
        <v>-0.1407689135775238</v>
      </c>
      <c r="BL44" s="1124">
        <f t="shared" ref="BL44:BQ44" si="104">BL43/264.172</f>
        <v>-9.2702374327634104E-2</v>
      </c>
      <c r="BM44" s="1124">
        <f t="shared" si="104"/>
        <v>-0.10030100974849275</v>
      </c>
      <c r="BN44" s="1124">
        <f t="shared" si="104"/>
        <v>-0.10744619999203106</v>
      </c>
      <c r="BO44" s="1124">
        <f t="shared" si="104"/>
        <v>-4.3079860299348911E-2</v>
      </c>
      <c r="BP44" s="1124">
        <f t="shared" si="104"/>
        <v>-1.8585267910215284E-2</v>
      </c>
      <c r="BQ44" s="1124">
        <f t="shared" si="104"/>
        <v>1.3523425446359276E-3</v>
      </c>
    </row>
    <row r="45" spans="2:69" ht="15.7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660</v>
      </c>
      <c r="BC46" s="754">
        <f t="shared" ref="BC46" si="133">+BD21+$C$47</f>
        <v>585</v>
      </c>
      <c r="BD46" s="754">
        <f t="shared" ref="BD46" si="134">+BE21+$C$47</f>
        <v>520</v>
      </c>
      <c r="BE46" s="754">
        <f t="shared" ref="BE46" si="135">+BF21+$C$47</f>
        <v>498</v>
      </c>
      <c r="BF46" s="754">
        <f t="shared" ref="BF46" si="136">+BG21+$C$47</f>
        <v>500</v>
      </c>
      <c r="BG46" s="754">
        <f t="shared" ref="BG46" si="137">+BH21+$C$47</f>
        <v>503</v>
      </c>
      <c r="BH46" s="754">
        <f t="shared" ref="BH46" si="138">+BI21+$C$47</f>
        <v>511</v>
      </c>
      <c r="BI46" s="754">
        <f t="shared" ref="BI46" si="139">+BJ21+$C$47</f>
        <v>512</v>
      </c>
      <c r="BJ46" s="754">
        <f t="shared" ref="BJ46:BK46" si="140">+BK21+$C$47</f>
        <v>513</v>
      </c>
      <c r="BK46" s="754">
        <f t="shared" si="140"/>
        <v>502</v>
      </c>
      <c r="BL46" s="754">
        <f t="shared" ref="BL46" si="141">+BM21+$C$47</f>
        <v>502</v>
      </c>
      <c r="BM46" s="754">
        <f t="shared" ref="BM46" si="142">+BN21+$C$47</f>
        <v>502</v>
      </c>
      <c r="BN46" s="754">
        <f t="shared" ref="BN46" si="143">+BO21+$C$47</f>
        <v>480</v>
      </c>
      <c r="BO46" s="754">
        <f t="shared" ref="BO46" si="144">+BP21+$C$47</f>
        <v>480</v>
      </c>
      <c r="BP46" s="754">
        <f t="shared" ref="BP46" si="145">+BQ21+$C$47</f>
        <v>480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5.7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467.00993101098709</v>
      </c>
      <c r="BC48" s="755">
        <f t="shared" ref="BC48:BE48" si="157">+BC46-BC33</f>
        <v>-56.623444690642714</v>
      </c>
      <c r="BD48" s="755">
        <f t="shared" si="157"/>
        <v>-99.255705667431357</v>
      </c>
      <c r="BE48" s="755">
        <f t="shared" si="157"/>
        <v>-87.407881564435343</v>
      </c>
      <c r="BF48" s="755">
        <f t="shared" ref="BF48:BH48" si="158">+BF46-BF33</f>
        <v>-82.331272496294787</v>
      </c>
      <c r="BG48" s="755">
        <f t="shared" si="158"/>
        <v>-76.877023774333793</v>
      </c>
      <c r="BH48" s="755">
        <f t="shared" si="158"/>
        <v>-73.896972256239223</v>
      </c>
      <c r="BI48" s="755">
        <f t="shared" ref="BI48:BJ48" si="159">+BI46-BI33</f>
        <v>-75.411843876177613</v>
      </c>
      <c r="BJ48" s="755">
        <f t="shared" si="159"/>
        <v>-78.856191117092862</v>
      </c>
      <c r="BK48" s="755">
        <f t="shared" ref="BK48:BQ48" si="160">+BK46-BK33</f>
        <v>-92.633908142664836</v>
      </c>
      <c r="BL48" s="755">
        <f t="shared" si="160"/>
        <v>-90.878999203721605</v>
      </c>
      <c r="BM48" s="755">
        <f t="shared" si="160"/>
        <v>-89.771870416160368</v>
      </c>
      <c r="BN48" s="755">
        <f t="shared" si="160"/>
        <v>-110.66474162859902</v>
      </c>
      <c r="BO48" s="755">
        <f t="shared" si="160"/>
        <v>-103.63540421976177</v>
      </c>
      <c r="BP48" s="755">
        <f t="shared" si="160"/>
        <v>-95.909463129308733</v>
      </c>
      <c r="BQ48" s="755">
        <f t="shared" si="160"/>
        <v>-700.94278671401719</v>
      </c>
    </row>
    <row r="49" spans="3:69" s="1" customFormat="1"/>
    <row r="50" spans="3:69" s="1" customFormat="1" ht="15.75" thickBot="1"/>
    <row r="51" spans="3:69" ht="15.7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30.328274449835767</v>
      </c>
      <c r="AH52" s="573">
        <f t="shared" ref="AH52:AM52" si="164">+AH24</f>
        <v>29.86332158909245</v>
      </c>
      <c r="AI52" s="573">
        <f t="shared" si="164"/>
        <v>29.742690998826781</v>
      </c>
      <c r="AJ52" s="574">
        <f t="shared" si="164"/>
        <v>29.690918061918836</v>
      </c>
      <c r="AK52" s="573">
        <f t="shared" si="164"/>
        <v>29.011853591620621</v>
      </c>
      <c r="AL52" s="573">
        <f t="shared" si="164"/>
        <v>28.754568029242115</v>
      </c>
      <c r="AM52" s="574">
        <f t="shared" si="164"/>
        <v>27.666441453867662</v>
      </c>
      <c r="AN52" s="573">
        <f t="shared" ref="AN52:AS52" si="165">+AN24</f>
        <v>27.338820484884401</v>
      </c>
      <c r="AO52" s="573">
        <f t="shared" si="165"/>
        <v>27.357228514416846</v>
      </c>
      <c r="AP52" s="574">
        <f t="shared" si="165"/>
        <v>28.032007647096151</v>
      </c>
      <c r="AQ52" s="573">
        <f t="shared" si="165"/>
        <v>26.89758421559511</v>
      </c>
      <c r="AR52" s="573">
        <f t="shared" si="165"/>
        <v>26.197805629032842</v>
      </c>
      <c r="AS52" s="574">
        <f t="shared" si="165"/>
        <v>25.827822816410851</v>
      </c>
      <c r="AT52" s="687">
        <f>+AT24</f>
        <v>26.830295902685286</v>
      </c>
      <c r="AU52" s="573">
        <f t="shared" ref="AU52:AV52" si="166">+AU24</f>
        <v>26.775499307819665</v>
      </c>
      <c r="AV52" s="574">
        <f t="shared" si="166"/>
        <v>27.092651372657954</v>
      </c>
      <c r="AW52" s="687">
        <f t="shared" ref="AW52:BB52" si="167">+AW24</f>
        <v>27.342873195106975</v>
      </c>
      <c r="AX52" s="573">
        <f t="shared" si="167"/>
        <v>27.194765490332038</v>
      </c>
      <c r="AY52" s="574">
        <f t="shared" si="167"/>
        <v>28.00175965163352</v>
      </c>
      <c r="AZ52" s="687">
        <f t="shared" si="167"/>
        <v>27.527828789543207</v>
      </c>
      <c r="BA52" s="573">
        <f t="shared" si="167"/>
        <v>28.066747675227283</v>
      </c>
      <c r="BB52" s="574">
        <f t="shared" si="167"/>
        <v>28.478577791424016</v>
      </c>
      <c r="BC52" s="687">
        <f t="shared" ref="BC52:BE52" si="168">+BC24</f>
        <v>616.34197791899305</v>
      </c>
      <c r="BD52" s="573">
        <f t="shared" si="168"/>
        <v>632.67221767577905</v>
      </c>
      <c r="BE52" s="574">
        <f t="shared" si="168"/>
        <v>631.80114517577908</v>
      </c>
      <c r="BF52" s="687">
        <f t="shared" ref="BF52:BG52" si="169">+BF24</f>
        <v>627.79593217577906</v>
      </c>
      <c r="BG52" s="573">
        <f t="shared" si="169"/>
        <v>627.311084175779</v>
      </c>
      <c r="BH52" s="574">
        <f>+BH24</f>
        <v>624.79254967577901</v>
      </c>
      <c r="BI52" s="687">
        <f t="shared" ref="BI52:BJ52" si="170">+BI24</f>
        <v>566.82563017577911</v>
      </c>
      <c r="BJ52" s="573">
        <f t="shared" si="170"/>
        <v>507.43008517577908</v>
      </c>
      <c r="BK52" s="574">
        <f>+BK24</f>
        <v>498.0400401757791</v>
      </c>
      <c r="BL52" s="687">
        <f t="shared" ref="BL52:BQ52" si="171">+BL24</f>
        <v>513.03114517577899</v>
      </c>
      <c r="BM52" s="573">
        <f t="shared" si="171"/>
        <v>509.31542017577908</v>
      </c>
      <c r="BN52" s="574">
        <f t="shared" si="171"/>
        <v>505.74260767577908</v>
      </c>
      <c r="BO52" s="687">
        <f t="shared" si="171"/>
        <v>519.38256517577906</v>
      </c>
      <c r="BP52" s="573">
        <f t="shared" si="171"/>
        <v>517.8804576757791</v>
      </c>
      <c r="BQ52" s="574">
        <f t="shared" si="171"/>
        <v>518.23982017577907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259.60018601927879</v>
      </c>
      <c r="AI54" s="571">
        <f t="shared" si="172"/>
        <v>259.55744596233768</v>
      </c>
      <c r="AJ54" s="572">
        <f t="shared" si="172"/>
        <v>259.60329114967982</v>
      </c>
      <c r="AK54" s="571">
        <f t="shared" si="172"/>
        <v>259.55631049787331</v>
      </c>
      <c r="AL54" s="571">
        <f t="shared" si="172"/>
        <v>258.48504241544612</v>
      </c>
      <c r="AM54" s="572">
        <f t="shared" si="172"/>
        <v>258.3815426939446</v>
      </c>
      <c r="AN54" s="571">
        <f t="shared" si="172"/>
        <v>257.32491732996345</v>
      </c>
      <c r="AO54" s="571">
        <f t="shared" si="172"/>
        <v>256.11620164423823</v>
      </c>
      <c r="AP54" s="572">
        <f t="shared" si="172"/>
        <v>255.79689857725631</v>
      </c>
      <c r="AQ54" s="571">
        <f t="shared" ref="AQ54:BQ54" si="173">+((AQ52+$C$5)/AQ14)+$BG$7</f>
        <v>256.59528047748125</v>
      </c>
      <c r="AR54" s="571">
        <f t="shared" si="173"/>
        <v>257.88979892921117</v>
      </c>
      <c r="AS54" s="572">
        <f t="shared" si="173"/>
        <v>258.63088152508504</v>
      </c>
      <c r="AT54" s="688">
        <f t="shared" si="173"/>
        <v>259.56980265821733</v>
      </c>
      <c r="AU54" s="571">
        <f t="shared" si="173"/>
        <v>259.40034512325394</v>
      </c>
      <c r="AV54" s="572">
        <f t="shared" si="173"/>
        <v>257.17582188872672</v>
      </c>
      <c r="AW54" s="688">
        <f t="shared" si="173"/>
        <v>254.19807719608457</v>
      </c>
      <c r="AX54" s="571">
        <f t="shared" si="173"/>
        <v>254.25396021724319</v>
      </c>
      <c r="AY54" s="572">
        <f t="shared" si="173"/>
        <v>252.91873690412416</v>
      </c>
      <c r="AZ54" s="688">
        <f t="shared" si="173"/>
        <v>253.96298164384345</v>
      </c>
      <c r="BA54" s="571">
        <f t="shared" si="173"/>
        <v>253.00021141718079</v>
      </c>
      <c r="BB54" s="572">
        <f t="shared" si="173"/>
        <v>253.2158911433643</v>
      </c>
      <c r="BC54" s="688">
        <f t="shared" si="173"/>
        <v>754.24388777824527</v>
      </c>
      <c r="BD54" s="571">
        <f t="shared" si="173"/>
        <v>766.44746170089138</v>
      </c>
      <c r="BE54" s="572">
        <f t="shared" si="173"/>
        <v>764.83120825975993</v>
      </c>
      <c r="BF54" s="688">
        <f t="shared" si="173"/>
        <v>760.44457520709636</v>
      </c>
      <c r="BG54" s="571">
        <f t="shared" si="173"/>
        <v>758.45081219186602</v>
      </c>
      <c r="BH54" s="572">
        <f t="shared" si="173"/>
        <v>756.32376139164649</v>
      </c>
      <c r="BI54" s="688">
        <f t="shared" si="173"/>
        <v>705.3080671061399</v>
      </c>
      <c r="BJ54" s="571">
        <f t="shared" si="173"/>
        <v>655.34546195809139</v>
      </c>
      <c r="BK54" s="572">
        <f t="shared" si="173"/>
        <v>647.44670270506322</v>
      </c>
      <c r="BL54" s="688">
        <f t="shared" si="173"/>
        <v>658.38962757284185</v>
      </c>
      <c r="BM54" s="571">
        <f t="shared" si="173"/>
        <v>655.27515206888154</v>
      </c>
      <c r="BN54" s="572">
        <f t="shared" si="173"/>
        <v>652.28046408430419</v>
      </c>
      <c r="BO54" s="688">
        <f t="shared" si="173"/>
        <v>662.25491136476217</v>
      </c>
      <c r="BP54" s="571">
        <f t="shared" si="173"/>
        <v>660.99975573493134</v>
      </c>
      <c r="BQ54" s="572">
        <f t="shared" si="173"/>
        <v>661.30003774871875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790</v>
      </c>
      <c r="BC55" s="687">
        <f t="shared" ref="BC55" si="191">+BD21</f>
        <v>715</v>
      </c>
      <c r="BD55" s="573">
        <f>+BE21</f>
        <v>650</v>
      </c>
      <c r="BE55" s="574">
        <f>+BF21</f>
        <v>628</v>
      </c>
      <c r="BF55" s="687">
        <f>+BG21</f>
        <v>630</v>
      </c>
      <c r="BG55" s="573">
        <f>+BH21</f>
        <v>633</v>
      </c>
      <c r="BH55" s="574">
        <f>+BI12</f>
        <v>641</v>
      </c>
      <c r="BI55" s="687">
        <f>+BJ12</f>
        <v>642</v>
      </c>
      <c r="BJ55" s="573">
        <f>+BK12</f>
        <v>643</v>
      </c>
      <c r="BK55" s="574">
        <f>+BL12</f>
        <v>632</v>
      </c>
      <c r="BL55" s="687">
        <f t="shared" ref="BL55:BP55" si="192">+BM12</f>
        <v>632</v>
      </c>
      <c r="BM55" s="573">
        <f t="shared" si="192"/>
        <v>632</v>
      </c>
      <c r="BN55" s="574">
        <f t="shared" si="192"/>
        <v>610</v>
      </c>
      <c r="BO55" s="687">
        <f t="shared" si="192"/>
        <v>610</v>
      </c>
      <c r="BP55" s="573">
        <f t="shared" si="192"/>
        <v>610</v>
      </c>
      <c r="BQ55" s="574">
        <f>+BQ12</f>
        <v>610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5.7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-259.60018601927879</v>
      </c>
      <c r="AI57" s="578">
        <f t="shared" si="198"/>
        <v>-259.55744596233768</v>
      </c>
      <c r="AJ57" s="580">
        <f t="shared" si="198"/>
        <v>-259.60329114967982</v>
      </c>
      <c r="AK57" s="578">
        <f t="shared" si="198"/>
        <v>-259.55631049787331</v>
      </c>
      <c r="AL57" s="578">
        <f t="shared" si="198"/>
        <v>-258.48504241544612</v>
      </c>
      <c r="AM57" s="580">
        <f t="shared" si="198"/>
        <v>-258.3815426939446</v>
      </c>
      <c r="AN57" s="578">
        <f t="shared" ref="AN57:AR57" si="199">+AN55-AN54</f>
        <v>-257.32491732996345</v>
      </c>
      <c r="AO57" s="578">
        <f t="shared" si="199"/>
        <v>-256.11620164423823</v>
      </c>
      <c r="AP57" s="580">
        <f t="shared" si="199"/>
        <v>-255.79689857725631</v>
      </c>
      <c r="AQ57" s="578">
        <f t="shared" si="199"/>
        <v>-256.59528047748125</v>
      </c>
      <c r="AR57" s="578">
        <f t="shared" si="199"/>
        <v>-257.88979892921117</v>
      </c>
      <c r="AS57" s="580">
        <f>+AS55-AS54</f>
        <v>-258.63088152508504</v>
      </c>
      <c r="AT57" s="689">
        <f>+AT55-AT54</f>
        <v>-259.56980265821733</v>
      </c>
      <c r="AU57" s="578">
        <f t="shared" ref="AU57" si="200">+AU55-AU54</f>
        <v>-259.40034512325394</v>
      </c>
      <c r="AV57" s="580">
        <f>+AV55-AV54</f>
        <v>-257.17582188872672</v>
      </c>
      <c r="AW57" s="689">
        <f t="shared" ref="AW57:BB57" si="201">+AW55-AW54</f>
        <v>-254.19807719608457</v>
      </c>
      <c r="AX57" s="578">
        <f t="shared" si="201"/>
        <v>-254.25396021724319</v>
      </c>
      <c r="AY57" s="580">
        <f t="shared" si="201"/>
        <v>-252.91873690412416</v>
      </c>
      <c r="AZ57" s="689">
        <f t="shared" si="201"/>
        <v>-253.96298164384345</v>
      </c>
      <c r="BA57" s="578">
        <f t="shared" si="201"/>
        <v>-253.00021141718079</v>
      </c>
      <c r="BB57" s="580">
        <f t="shared" si="201"/>
        <v>536.78410885663573</v>
      </c>
      <c r="BC57" s="689">
        <f t="shared" ref="BC57:BE57" si="202">+BC55-BC54</f>
        <v>-39.243887778245266</v>
      </c>
      <c r="BD57" s="578">
        <f t="shared" si="202"/>
        <v>-116.44746170089138</v>
      </c>
      <c r="BE57" s="580">
        <f t="shared" si="202"/>
        <v>-136.83120825975993</v>
      </c>
      <c r="BF57" s="689">
        <f t="shared" ref="BF57:BG57" si="203">+BF55-BF54</f>
        <v>-130.44457520709636</v>
      </c>
      <c r="BG57" s="578">
        <f t="shared" si="203"/>
        <v>-125.45081219186602</v>
      </c>
      <c r="BH57" s="580">
        <f>+BH55-BH54</f>
        <v>-115.32376139164649</v>
      </c>
      <c r="BI57" s="689">
        <f t="shared" ref="BI57:BJ57" si="204">+BI55-BI54</f>
        <v>-63.308067106139902</v>
      </c>
      <c r="BJ57" s="578">
        <f t="shared" si="204"/>
        <v>-12.345461958091391</v>
      </c>
      <c r="BK57" s="580">
        <f>+BK55-BK54</f>
        <v>-15.446702705063217</v>
      </c>
      <c r="BL57" s="689">
        <f t="shared" ref="BL57:BO57" si="205">+BL55-BL54</f>
        <v>-26.389627572841846</v>
      </c>
      <c r="BM57" s="578">
        <f t="shared" si="205"/>
        <v>-23.275152068881539</v>
      </c>
      <c r="BN57" s="580">
        <f t="shared" si="205"/>
        <v>-42.280464084304185</v>
      </c>
      <c r="BO57" s="689">
        <f t="shared" si="205"/>
        <v>-52.254911364762165</v>
      </c>
      <c r="BP57" s="578">
        <f>+BP55-BP54</f>
        <v>-50.999755734931341</v>
      </c>
      <c r="BQ57" s="580">
        <f>+BQ55-BQ54</f>
        <v>-51.300037748718751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5.7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660</v>
      </c>
      <c r="BC60" s="754">
        <f t="shared" ref="BC60" si="234">+BD21+$C$61</f>
        <v>585</v>
      </c>
      <c r="BD60" s="754">
        <f t="shared" ref="BD60" si="235">+BE21+$C$61</f>
        <v>520</v>
      </c>
      <c r="BE60" s="754">
        <f t="shared" ref="BE60" si="236">+BF21+$C$61</f>
        <v>498</v>
      </c>
      <c r="BF60" s="754">
        <f t="shared" ref="BF60" si="237">+BG21+$C$61</f>
        <v>500</v>
      </c>
      <c r="BG60" s="754">
        <f t="shared" ref="BG60" si="238">+BH21+$C$61</f>
        <v>503</v>
      </c>
      <c r="BH60" s="754">
        <f t="shared" ref="BH60" si="239">+BI21+$C$61</f>
        <v>511</v>
      </c>
      <c r="BI60" s="754">
        <f t="shared" ref="BI60" si="240">+BJ21+$C$61</f>
        <v>512</v>
      </c>
      <c r="BJ60" s="754">
        <f t="shared" ref="BJ60:BK60" si="241">+BK21+$C$61</f>
        <v>513</v>
      </c>
      <c r="BK60" s="754">
        <f t="shared" si="241"/>
        <v>502</v>
      </c>
      <c r="BL60" s="754">
        <f t="shared" ref="BL60" si="242">+BM21+$C$61</f>
        <v>502</v>
      </c>
      <c r="BM60" s="754">
        <f t="shared" ref="BM60" si="243">+BN21+$C$61</f>
        <v>502</v>
      </c>
      <c r="BN60" s="754">
        <f t="shared" ref="BN60" si="244">+BO21+$C$61</f>
        <v>480</v>
      </c>
      <c r="BO60" s="754">
        <f t="shared" ref="BO60" si="245">+BP21+$C$61</f>
        <v>480</v>
      </c>
      <c r="BP60" s="754">
        <f t="shared" ref="BP60" si="246">+BQ21+$C$61</f>
        <v>480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5.7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-389.60018601927879</v>
      </c>
      <c r="AI62" s="579">
        <f t="shared" si="254"/>
        <v>-389.55744596233768</v>
      </c>
      <c r="AJ62" s="755">
        <f t="shared" si="254"/>
        <v>-389.60329114967982</v>
      </c>
      <c r="AK62" s="579">
        <f t="shared" si="254"/>
        <v>-389.55631049787331</v>
      </c>
      <c r="AL62" s="579">
        <f t="shared" si="254"/>
        <v>-388.48504241544612</v>
      </c>
      <c r="AM62" s="755">
        <f t="shared" si="254"/>
        <v>-388.3815426939446</v>
      </c>
      <c r="AN62" s="579">
        <f t="shared" ref="AN62:AS62" si="255">+AN60-AN54</f>
        <v>-387.32491732996345</v>
      </c>
      <c r="AO62" s="579">
        <f t="shared" si="255"/>
        <v>-386.11620164423823</v>
      </c>
      <c r="AP62" s="755">
        <f t="shared" si="255"/>
        <v>-385.79689857725634</v>
      </c>
      <c r="AQ62" s="579">
        <f t="shared" si="255"/>
        <v>-386.59528047748125</v>
      </c>
      <c r="AR62" s="579">
        <f t="shared" si="255"/>
        <v>-387.88979892921117</v>
      </c>
      <c r="AS62" s="755">
        <f t="shared" si="255"/>
        <v>-388.63088152508504</v>
      </c>
      <c r="AT62" s="755">
        <f t="shared" ref="AT62:AV62" si="256">+AT60-AT54</f>
        <v>-389.56980265821733</v>
      </c>
      <c r="AU62" s="755">
        <f t="shared" si="256"/>
        <v>-389.40034512325394</v>
      </c>
      <c r="AV62" s="755">
        <f t="shared" si="256"/>
        <v>-387.17582188872672</v>
      </c>
      <c r="AW62" s="755">
        <f t="shared" ref="AW62:BB62" si="257">+AW60-AW54</f>
        <v>-384.19807719608457</v>
      </c>
      <c r="AX62" s="755">
        <f t="shared" si="257"/>
        <v>-384.25396021724316</v>
      </c>
      <c r="AY62" s="755">
        <f t="shared" si="257"/>
        <v>-382.91873690412416</v>
      </c>
      <c r="AZ62" s="755">
        <f t="shared" si="257"/>
        <v>-383.96298164384348</v>
      </c>
      <c r="BA62" s="755">
        <f t="shared" si="257"/>
        <v>-383.00021141718082</v>
      </c>
      <c r="BB62" s="755">
        <f t="shared" si="257"/>
        <v>406.78410885663573</v>
      </c>
      <c r="BC62" s="755">
        <f t="shared" ref="BC62:BE62" si="258">+BC60-BC54</f>
        <v>-169.24388777824527</v>
      </c>
      <c r="BD62" s="755">
        <f t="shared" si="258"/>
        <v>-246.44746170089138</v>
      </c>
      <c r="BE62" s="755">
        <f t="shared" si="258"/>
        <v>-266.83120825975993</v>
      </c>
      <c r="BF62" s="755">
        <f t="shared" ref="BF62:BH62" si="259">+BF60-BF54</f>
        <v>-260.44457520709636</v>
      </c>
      <c r="BG62" s="755">
        <f t="shared" si="259"/>
        <v>-255.45081219186602</v>
      </c>
      <c r="BH62" s="755">
        <f t="shared" si="259"/>
        <v>-245.32376139164649</v>
      </c>
      <c r="BI62" s="755">
        <f t="shared" ref="BI62:BJ62" si="260">+BI60-BI54</f>
        <v>-193.3080671061399</v>
      </c>
      <c r="BJ62" s="755">
        <f t="shared" si="260"/>
        <v>-142.34546195809139</v>
      </c>
      <c r="BK62" s="755">
        <f t="shared" ref="BK62:BQ62" si="261">+BK60-BK54</f>
        <v>-145.44670270506322</v>
      </c>
      <c r="BL62" s="755">
        <f t="shared" si="261"/>
        <v>-156.38962757284185</v>
      </c>
      <c r="BM62" s="755">
        <f t="shared" si="261"/>
        <v>-153.27515206888154</v>
      </c>
      <c r="BN62" s="755">
        <f t="shared" si="261"/>
        <v>-172.28046408430419</v>
      </c>
      <c r="BO62" s="755">
        <f t="shared" si="261"/>
        <v>-182.25491136476217</v>
      </c>
      <c r="BP62" s="755">
        <f t="shared" si="261"/>
        <v>-180.99975573493134</v>
      </c>
      <c r="BQ62" s="755">
        <f t="shared" si="261"/>
        <v>-791.30003774871875</v>
      </c>
    </row>
    <row r="63" spans="3:69" ht="15.7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660</v>
      </c>
      <c r="BC64" s="754">
        <f t="shared" ref="BC64" si="293">+BD21+$C$61</f>
        <v>585</v>
      </c>
      <c r="BD64" s="754">
        <f t="shared" ref="BD64" si="294">+BE21+$C$61</f>
        <v>520</v>
      </c>
      <c r="BE64" s="754">
        <f t="shared" ref="BE64" si="295">+BF21+$C$61</f>
        <v>498</v>
      </c>
      <c r="BF64" s="754">
        <f t="shared" ref="BF64" si="296">+BG21+$C$61</f>
        <v>500</v>
      </c>
      <c r="BG64" s="754">
        <f t="shared" ref="BG64" si="297">+BH21+$C$61</f>
        <v>503</v>
      </c>
      <c r="BH64" s="754">
        <f t="shared" ref="BH64" si="298">+BI21+$C$61</f>
        <v>511</v>
      </c>
      <c r="BI64" s="754">
        <f t="shared" ref="BI64" si="299">+BJ21+$C$61</f>
        <v>512</v>
      </c>
      <c r="BJ64" s="754">
        <f t="shared" ref="BJ64:BK64" si="300">+BK21+$C$61</f>
        <v>513</v>
      </c>
      <c r="BK64" s="754">
        <f t="shared" si="300"/>
        <v>502</v>
      </c>
      <c r="BL64" s="754">
        <f t="shared" ref="BL64" si="301">+BM21+$C$61</f>
        <v>502</v>
      </c>
      <c r="BM64" s="754">
        <f t="shared" ref="BM64" si="302">+BN21+$C$61</f>
        <v>502</v>
      </c>
      <c r="BN64" s="754">
        <f t="shared" ref="BN64" si="303">+BO21+$C$61</f>
        <v>480</v>
      </c>
      <c r="BO64" s="754">
        <f t="shared" ref="BO64" si="304">+BP21+$C$61</f>
        <v>480</v>
      </c>
      <c r="BP64" s="754">
        <f t="shared" ref="BP64" si="305">+BQ21+$C$61</f>
        <v>480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5.7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-299.60018601927879</v>
      </c>
      <c r="AI66" s="579">
        <f t="shared" si="309"/>
        <v>-299.55744596233768</v>
      </c>
      <c r="AJ66" s="755">
        <f t="shared" si="309"/>
        <v>-299.60329114967982</v>
      </c>
      <c r="AK66" s="579">
        <f t="shared" si="309"/>
        <v>-299.55631049787331</v>
      </c>
      <c r="AL66" s="579">
        <f t="shared" si="309"/>
        <v>-298.48504241544612</v>
      </c>
      <c r="AM66" s="755">
        <f t="shared" si="309"/>
        <v>-298.3815426939446</v>
      </c>
      <c r="AN66" s="579">
        <f t="shared" si="309"/>
        <v>-297.32491732996345</v>
      </c>
      <c r="AO66" s="579">
        <f t="shared" si="309"/>
        <v>-296.11620164423823</v>
      </c>
      <c r="AP66" s="755">
        <f t="shared" si="309"/>
        <v>-295.79689857725634</v>
      </c>
      <c r="AQ66" s="579">
        <f t="shared" si="309"/>
        <v>-296.59528047748125</v>
      </c>
      <c r="AR66" s="579">
        <f t="shared" si="309"/>
        <v>-297.88979892921117</v>
      </c>
      <c r="AS66" s="755">
        <f t="shared" si="309"/>
        <v>-298.63088152508504</v>
      </c>
      <c r="AT66" s="755">
        <f t="shared" si="309"/>
        <v>-299.56980265821733</v>
      </c>
      <c r="AU66" s="755">
        <f t="shared" si="309"/>
        <v>-299.40034512325394</v>
      </c>
      <c r="AV66" s="755">
        <f t="shared" si="309"/>
        <v>-297.17582188872672</v>
      </c>
      <c r="AW66" s="755">
        <f t="shared" ref="AW66:BQ66" si="310">+AW64-(AW54-$BG$7+$BG$6)</f>
        <v>-294.19807719608457</v>
      </c>
      <c r="AX66" s="755">
        <f t="shared" si="310"/>
        <v>-294.25396021724316</v>
      </c>
      <c r="AY66" s="755">
        <f t="shared" si="310"/>
        <v>-292.91873690412416</v>
      </c>
      <c r="AZ66" s="755">
        <f t="shared" si="310"/>
        <v>-293.96298164384348</v>
      </c>
      <c r="BA66" s="755">
        <f t="shared" si="310"/>
        <v>-293.00021141718082</v>
      </c>
      <c r="BB66" s="755">
        <f t="shared" si="310"/>
        <v>496.78410885663573</v>
      </c>
      <c r="BC66" s="755">
        <f t="shared" si="310"/>
        <v>-79.243887778245266</v>
      </c>
      <c r="BD66" s="755">
        <f t="shared" si="310"/>
        <v>-156.44746170089138</v>
      </c>
      <c r="BE66" s="755">
        <f t="shared" si="310"/>
        <v>-176.83120825975993</v>
      </c>
      <c r="BF66" s="755">
        <f t="shared" si="310"/>
        <v>-170.44457520709636</v>
      </c>
      <c r="BG66" s="755">
        <f t="shared" si="310"/>
        <v>-165.45081219186602</v>
      </c>
      <c r="BH66" s="755">
        <f t="shared" si="310"/>
        <v>-155.32376139164649</v>
      </c>
      <c r="BI66" s="755">
        <f t="shared" si="310"/>
        <v>-103.3080671061399</v>
      </c>
      <c r="BJ66" s="755">
        <f t="shared" si="310"/>
        <v>-52.345461958091391</v>
      </c>
      <c r="BK66" s="755">
        <f t="shared" si="310"/>
        <v>-55.446702705063217</v>
      </c>
      <c r="BL66" s="755">
        <f t="shared" si="310"/>
        <v>-66.389627572841846</v>
      </c>
      <c r="BM66" s="755">
        <f t="shared" si="310"/>
        <v>-63.275152068881539</v>
      </c>
      <c r="BN66" s="755">
        <f t="shared" si="310"/>
        <v>-82.280464084304185</v>
      </c>
      <c r="BO66" s="755">
        <f t="shared" si="310"/>
        <v>-92.254911364762165</v>
      </c>
      <c r="BP66" s="755">
        <f t="shared" si="310"/>
        <v>-90.999755734931341</v>
      </c>
      <c r="BQ66" s="755">
        <f t="shared" si="310"/>
        <v>-701.30003774871875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5.7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5.7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5.7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Normal="100" workbookViewId="0">
      <pane xSplit="3" ySplit="3" topLeftCell="AU33" activePane="bottomRight" state="frozen"/>
      <selection pane="topRight" activeCell="D1" sqref="D1"/>
      <selection pane="bottomLeft" activeCell="A4" sqref="A4"/>
      <selection pane="bottomRight" activeCell="BC35" sqref="BC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7" width="9.85546875" hidden="1" customWidth="1"/>
    <col min="48" max="50" width="9.4257812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2.1124999999999998</v>
      </c>
      <c r="AZ5" s="737">
        <f t="shared" si="8"/>
        <v>2.02</v>
      </c>
      <c r="BA5" s="737">
        <f t="shared" si="8"/>
        <v>1.8725000000000001</v>
      </c>
      <c r="BB5" s="737">
        <f t="shared" ref="BB5:BG5" si="9">+BB4+$B$5</f>
        <v>1.7825000000000002</v>
      </c>
      <c r="BC5" s="737">
        <f t="shared" si="9"/>
        <v>1.7774999999999999</v>
      </c>
      <c r="BD5" s="737">
        <f t="shared" si="9"/>
        <v>1.7999999999999998</v>
      </c>
      <c r="BE5" s="737">
        <f t="shared" si="9"/>
        <v>1.8199999999999998</v>
      </c>
      <c r="BF5" s="737">
        <f t="shared" si="9"/>
        <v>1.8399999999999999</v>
      </c>
      <c r="BG5" s="737">
        <f t="shared" si="9"/>
        <v>1.8525</v>
      </c>
      <c r="BH5" s="737">
        <f t="shared" ref="BH5:BM5" si="10">+BH4+$B$5</f>
        <v>1.8525</v>
      </c>
      <c r="BI5" s="737">
        <f t="shared" si="10"/>
        <v>1.8475000000000001</v>
      </c>
      <c r="BJ5" s="737">
        <f t="shared" si="10"/>
        <v>1.8424999999999998</v>
      </c>
      <c r="BK5" s="737">
        <f t="shared" si="10"/>
        <v>1.8174999999999999</v>
      </c>
      <c r="BL5" s="737">
        <f t="shared" si="10"/>
        <v>1.7825000000000002</v>
      </c>
      <c r="BM5" s="737">
        <f t="shared" si="10"/>
        <v>1.7599999999999998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558.06335000000001</v>
      </c>
      <c r="AZ6" s="738">
        <f t="shared" si="19"/>
        <v>533.62744000000009</v>
      </c>
      <c r="BA6" s="738">
        <f t="shared" si="19"/>
        <v>494.66207000000009</v>
      </c>
      <c r="BB6" s="738">
        <f t="shared" ref="BB6:BG6" si="20">+BB5*$A$2</f>
        <v>470.88659000000007</v>
      </c>
      <c r="BC6" s="738">
        <f t="shared" si="20"/>
        <v>469.56573000000003</v>
      </c>
      <c r="BD6" s="738">
        <f t="shared" si="20"/>
        <v>475.50959999999998</v>
      </c>
      <c r="BE6" s="738">
        <f t="shared" si="20"/>
        <v>480.79304000000002</v>
      </c>
      <c r="BF6" s="738">
        <f t="shared" si="20"/>
        <v>486.07648</v>
      </c>
      <c r="BG6" s="738">
        <f t="shared" si="20"/>
        <v>489.37863000000004</v>
      </c>
      <c r="BH6" s="738">
        <f t="shared" ref="BH6:BM6" si="21">+BH5*$A$2</f>
        <v>489.37863000000004</v>
      </c>
      <c r="BI6" s="738">
        <f t="shared" si="21"/>
        <v>488.05777000000006</v>
      </c>
      <c r="BJ6" s="738">
        <f t="shared" si="21"/>
        <v>486.73691000000002</v>
      </c>
      <c r="BK6" s="738">
        <f t="shared" si="21"/>
        <v>480.13261</v>
      </c>
      <c r="BL6" s="738">
        <f t="shared" si="21"/>
        <v>470.88659000000007</v>
      </c>
      <c r="BM6" s="738">
        <f t="shared" si="21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622.52179000000001</v>
      </c>
      <c r="AZ10" s="740">
        <f t="shared" si="78"/>
        <v>598.08588000000009</v>
      </c>
      <c r="BA10" s="740">
        <f t="shared" si="78"/>
        <v>559.12051000000008</v>
      </c>
      <c r="BB10" s="740">
        <f t="shared" ref="BB10:BG10" si="79">SUM(BB6:BB9)</f>
        <v>535.34503000000007</v>
      </c>
      <c r="BC10" s="740">
        <f t="shared" si="79"/>
        <v>534.02417000000003</v>
      </c>
      <c r="BD10" s="740">
        <f t="shared" si="79"/>
        <v>539.96803999999997</v>
      </c>
      <c r="BE10" s="740">
        <f t="shared" si="79"/>
        <v>545.25148000000002</v>
      </c>
      <c r="BF10" s="740">
        <f t="shared" si="79"/>
        <v>550.53491999999994</v>
      </c>
      <c r="BG10" s="740">
        <f t="shared" si="79"/>
        <v>553.83707000000004</v>
      </c>
      <c r="BH10" s="740">
        <f t="shared" ref="BH10:BM10" si="80">SUM(BH6:BH9)</f>
        <v>553.83707000000004</v>
      </c>
      <c r="BI10" s="740">
        <f t="shared" si="80"/>
        <v>552.51621</v>
      </c>
      <c r="BJ10" s="740">
        <f t="shared" si="80"/>
        <v>551.19534999999996</v>
      </c>
      <c r="BK10" s="740">
        <f t="shared" si="80"/>
        <v>544.59105</v>
      </c>
      <c r="BL10" s="740">
        <f t="shared" si="80"/>
        <v>535.34503000000007</v>
      </c>
      <c r="BM10" s="740">
        <f t="shared" si="80"/>
        <v>529.40116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3329.9935590679997</v>
      </c>
      <c r="AZ11" s="741">
        <f t="shared" si="89"/>
        <v>3212.9244157937151</v>
      </c>
      <c r="BA11" s="741">
        <f t="shared" si="89"/>
        <v>3022.2730270270272</v>
      </c>
      <c r="BB11" s="741">
        <f t="shared" ref="BB11:BG11" si="90">+BB10*BB2</f>
        <v>2911.06595976074</v>
      </c>
      <c r="BC11" s="741">
        <f t="shared" si="90"/>
        <v>2925.358367570529</v>
      </c>
      <c r="BD11" s="741">
        <f t="shared" si="90"/>
        <v>2978.3124103695536</v>
      </c>
      <c r="BE11" s="741">
        <f t="shared" si="90"/>
        <v>3030.8586992773762</v>
      </c>
      <c r="BF11" s="741">
        <f t="shared" si="90"/>
        <v>3081.6396305625522</v>
      </c>
      <c r="BG11" s="741">
        <f t="shared" si="90"/>
        <v>3121.9677001127397</v>
      </c>
      <c r="BH11" s="741">
        <f t="shared" ref="BH11:BM11" si="91">+BH10*BH2</f>
        <v>3145.014593980693</v>
      </c>
      <c r="BI11" s="741">
        <f t="shared" si="91"/>
        <v>3160.8478832951946</v>
      </c>
      <c r="BJ11" s="741">
        <f t="shared" si="91"/>
        <v>3176.0031691155282</v>
      </c>
      <c r="BK11" s="741">
        <f t="shared" si="91"/>
        <v>3160.7141613464887</v>
      </c>
      <c r="BL11" s="741">
        <f t="shared" si="91"/>
        <v>3127.928892784108</v>
      </c>
      <c r="BM11" s="741">
        <f t="shared" si="91"/>
        <v>3114.124470588235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599.39884063223997</v>
      </c>
      <c r="AZ13" s="739">
        <f t="shared" si="100"/>
        <v>578.32639484286869</v>
      </c>
      <c r="BA13" s="739">
        <f t="shared" si="100"/>
        <v>544.00914486486488</v>
      </c>
      <c r="BB13" s="739">
        <f t="shared" ref="BB13:BG13" si="101">+BB11*$B$13</f>
        <v>523.99187275693316</v>
      </c>
      <c r="BC13" s="739">
        <f t="shared" si="101"/>
        <v>526.56450616269524</v>
      </c>
      <c r="BD13" s="739">
        <f t="shared" si="101"/>
        <v>536.09623386651958</v>
      </c>
      <c r="BE13" s="739">
        <f t="shared" si="101"/>
        <v>545.55456586992773</v>
      </c>
      <c r="BF13" s="739">
        <f t="shared" si="101"/>
        <v>554.69513350125942</v>
      </c>
      <c r="BG13" s="739">
        <f t="shared" si="101"/>
        <v>561.95418602029315</v>
      </c>
      <c r="BH13" s="739">
        <f t="shared" ref="BH13:BM13" si="102">+BH11*$B$13</f>
        <v>566.10262691652474</v>
      </c>
      <c r="BI13" s="739">
        <f t="shared" si="102"/>
        <v>568.95261899313505</v>
      </c>
      <c r="BJ13" s="739">
        <f t="shared" si="102"/>
        <v>571.68057044079501</v>
      </c>
      <c r="BK13" s="739">
        <f t="shared" si="102"/>
        <v>568.92854904236799</v>
      </c>
      <c r="BL13" s="739">
        <f t="shared" si="102"/>
        <v>563.02720070113946</v>
      </c>
      <c r="BM13" s="739">
        <f t="shared" si="102"/>
        <v>560.54240470588229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391.27424319048993</v>
      </c>
      <c r="AZ14" s="739">
        <f t="shared" si="107"/>
        <v>377.51861885576147</v>
      </c>
      <c r="BA14" s="739">
        <f t="shared" si="107"/>
        <v>355.11708067567565</v>
      </c>
      <c r="BB14" s="739">
        <f t="shared" ref="BB14:BG14" si="108">BB11*$B$14</f>
        <v>342.05025027188691</v>
      </c>
      <c r="BC14" s="739">
        <f t="shared" si="108"/>
        <v>343.72960818953715</v>
      </c>
      <c r="BD14" s="739">
        <f t="shared" si="108"/>
        <v>349.95170821842254</v>
      </c>
      <c r="BE14" s="739">
        <f t="shared" si="108"/>
        <v>356.12589716509166</v>
      </c>
      <c r="BF14" s="739">
        <f t="shared" si="108"/>
        <v>362.09265659109985</v>
      </c>
      <c r="BG14" s="739">
        <f t="shared" si="108"/>
        <v>366.83120476324689</v>
      </c>
      <c r="BH14" s="739">
        <f t="shared" ref="BH14:BM14" si="109">BH11*$B$14</f>
        <v>369.5392147927314</v>
      </c>
      <c r="BI14" s="739">
        <f t="shared" si="109"/>
        <v>371.39962628718536</v>
      </c>
      <c r="BJ14" s="739">
        <f t="shared" si="109"/>
        <v>373.18037237107455</v>
      </c>
      <c r="BK14" s="739">
        <f t="shared" si="109"/>
        <v>371.38391395821242</v>
      </c>
      <c r="BL14" s="739">
        <f t="shared" si="109"/>
        <v>367.53164490213265</v>
      </c>
      <c r="BM14" s="739">
        <f t="shared" si="109"/>
        <v>365.90962529411757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4325.4006428907305</v>
      </c>
      <c r="AZ17" s="738">
        <f t="shared" si="131"/>
        <v>4173.5034294923462</v>
      </c>
      <c r="BA17" s="738">
        <f t="shared" si="131"/>
        <v>3926.1332525675675</v>
      </c>
      <c r="BB17" s="738">
        <f t="shared" ref="BB17:BG17" si="132">SUM(BB11:BB16)</f>
        <v>3781.8420827895598</v>
      </c>
      <c r="BC17" s="738">
        <f t="shared" si="132"/>
        <v>3800.386481922761</v>
      </c>
      <c r="BD17" s="738">
        <f t="shared" si="132"/>
        <v>3869.0943524544955</v>
      </c>
      <c r="BE17" s="738">
        <f t="shared" si="132"/>
        <v>3937.2731623123955</v>
      </c>
      <c r="BF17" s="738">
        <f t="shared" si="132"/>
        <v>4003.1614206549116</v>
      </c>
      <c r="BG17" s="738">
        <f t="shared" si="132"/>
        <v>4055.4870908962798</v>
      </c>
      <c r="BH17" s="738">
        <f t="shared" ref="BH17:BM17" si="133">SUM(BH11:BH16)</f>
        <v>4085.3904356899488</v>
      </c>
      <c r="BI17" s="738">
        <f t="shared" si="133"/>
        <v>4105.9341285755154</v>
      </c>
      <c r="BJ17" s="738">
        <f t="shared" si="133"/>
        <v>4125.5981119273983</v>
      </c>
      <c r="BK17" s="738">
        <f t="shared" si="133"/>
        <v>4105.76062434707</v>
      </c>
      <c r="BL17" s="738">
        <f t="shared" si="133"/>
        <v>4063.2217383873799</v>
      </c>
      <c r="BM17" s="738">
        <f t="shared" si="133"/>
        <v>4045.3105005882348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4445.4006428907305</v>
      </c>
      <c r="AZ25" s="740">
        <f t="shared" si="142"/>
        <v>4293.5034294923462</v>
      </c>
      <c r="BA25" s="740">
        <f t="shared" si="142"/>
        <v>4046.1332525675675</v>
      </c>
      <c r="BB25" s="740">
        <f t="shared" ref="BB25:BG25" si="143">SUM(BB17:BB24)</f>
        <v>3901.8420827895598</v>
      </c>
      <c r="BC25" s="740">
        <f t="shared" si="143"/>
        <v>3920.386481922761</v>
      </c>
      <c r="BD25" s="740">
        <f t="shared" si="143"/>
        <v>3989.0943524544955</v>
      </c>
      <c r="BE25" s="740">
        <f t="shared" si="143"/>
        <v>4057.2731623123955</v>
      </c>
      <c r="BF25" s="740">
        <f t="shared" si="143"/>
        <v>4123.1614206549111</v>
      </c>
      <c r="BG25" s="740">
        <f t="shared" si="143"/>
        <v>4175.4870908962803</v>
      </c>
      <c r="BH25" s="740">
        <f t="shared" ref="BH25:BM25" si="144">SUM(BH17:BH24)</f>
        <v>4205.3904356899493</v>
      </c>
      <c r="BI25" s="740">
        <f t="shared" si="144"/>
        <v>4225.9341285755154</v>
      </c>
      <c r="BJ25" s="740">
        <f t="shared" si="144"/>
        <v>4245.5981119273983</v>
      </c>
      <c r="BK25" s="740">
        <f t="shared" si="144"/>
        <v>4225.76062434707</v>
      </c>
      <c r="BL25" s="740">
        <f t="shared" si="144"/>
        <v>4183.2217383873794</v>
      </c>
      <c r="BM25" s="740">
        <f t="shared" si="144"/>
        <v>4165.3105005882353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831.04027572173982</v>
      </c>
      <c r="AZ26" s="741">
        <f t="shared" si="153"/>
        <v>799.23566340000025</v>
      </c>
      <c r="BA26" s="741">
        <f t="shared" si="153"/>
        <v>748.534651725</v>
      </c>
      <c r="BB26" s="741">
        <f t="shared" ref="BB26:BG26" si="154">+BB25/BB2</f>
        <v>717.54875902500009</v>
      </c>
      <c r="BC26" s="741">
        <f t="shared" si="154"/>
        <v>715.66655227499996</v>
      </c>
      <c r="BD26" s="741">
        <f t="shared" si="154"/>
        <v>723.22280609999996</v>
      </c>
      <c r="BE26" s="741">
        <f t="shared" si="154"/>
        <v>729.90344189999996</v>
      </c>
      <c r="BF26" s="741">
        <f t="shared" si="154"/>
        <v>736.60278779999987</v>
      </c>
      <c r="BG26" s="741">
        <f t="shared" si="154"/>
        <v>740.73140992500009</v>
      </c>
      <c r="BH26" s="741">
        <f t="shared" ref="BH26:BM26" si="155">+BH25/BH2</f>
        <v>740.56925572500006</v>
      </c>
      <c r="BI26" s="741">
        <f t="shared" si="155"/>
        <v>738.69328567500008</v>
      </c>
      <c r="BJ26" s="741">
        <f t="shared" si="155"/>
        <v>736.82355232500004</v>
      </c>
      <c r="BK26" s="741">
        <f t="shared" si="155"/>
        <v>728.0985555750002</v>
      </c>
      <c r="BL26" s="741">
        <f t="shared" si="155"/>
        <v>715.958400525</v>
      </c>
      <c r="BM26" s="741">
        <f t="shared" si="155"/>
        <v>708.10278510000001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" si="157">+AY28</f>
        <v>3520</v>
      </c>
      <c r="BA28" s="743">
        <f t="shared" ref="BA28" si="158">+AZ28</f>
        <v>3520</v>
      </c>
      <c r="BB28" s="743">
        <f t="shared" ref="BB28" si="159">+BA28</f>
        <v>3520</v>
      </c>
      <c r="BC28" s="743">
        <f t="shared" ref="BC28" si="160">+BB28</f>
        <v>3520</v>
      </c>
      <c r="BD28" s="743">
        <f t="shared" ref="BD28" si="161">+BC28</f>
        <v>3520</v>
      </c>
      <c r="BE28" s="743">
        <f t="shared" ref="BE28" si="162">+BD28</f>
        <v>3520</v>
      </c>
      <c r="BF28" s="743">
        <f t="shared" ref="BF28" si="163">+BE28</f>
        <v>3520</v>
      </c>
      <c r="BG28" s="743">
        <f t="shared" ref="BG28" si="164">+BF28</f>
        <v>3520</v>
      </c>
      <c r="BH28" s="743">
        <f t="shared" ref="BH28" si="165">+BG28</f>
        <v>3520</v>
      </c>
      <c r="BI28" s="743">
        <f t="shared" ref="BI28" si="166">+BH28</f>
        <v>3520</v>
      </c>
      <c r="BJ28" s="743">
        <f t="shared" ref="BJ28" si="167">+BI28</f>
        <v>3520</v>
      </c>
      <c r="BK28" s="743">
        <f t="shared" ref="BK28" si="168">+BJ28</f>
        <v>3520</v>
      </c>
      <c r="BL28" s="743">
        <f t="shared" ref="BL28" si="169">+BK28</f>
        <v>3520</v>
      </c>
      <c r="BM28" s="743">
        <f t="shared" ref="BM28" si="170">+BL28</f>
        <v>3520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-925.40064289073052</v>
      </c>
      <c r="AZ30" s="743">
        <f t="shared" si="180"/>
        <v>-773.50342949234619</v>
      </c>
      <c r="BA30" s="743">
        <f t="shared" si="180"/>
        <v>-526.13325256756752</v>
      </c>
      <c r="BB30" s="743">
        <f t="shared" ref="BB30:BG30" si="181">+BB28-BB25</f>
        <v>-381.84208278955975</v>
      </c>
      <c r="BC30" s="743">
        <f t="shared" si="181"/>
        <v>-400.38648192276105</v>
      </c>
      <c r="BD30" s="743">
        <f t="shared" si="181"/>
        <v>-469.09435245449549</v>
      </c>
      <c r="BE30" s="743">
        <f t="shared" si="181"/>
        <v>-537.27316231239547</v>
      </c>
      <c r="BF30" s="743">
        <f t="shared" si="181"/>
        <v>-603.16142065491113</v>
      </c>
      <c r="BG30" s="743">
        <f t="shared" si="181"/>
        <v>-655.48709089628028</v>
      </c>
      <c r="BH30" s="743">
        <f t="shared" ref="BH30:BM30" si="182">+BH28-BH25</f>
        <v>-685.3904356899493</v>
      </c>
      <c r="BI30" s="743">
        <f t="shared" si="182"/>
        <v>-705.93412857551539</v>
      </c>
      <c r="BJ30" s="743">
        <f t="shared" si="182"/>
        <v>-725.59811192739835</v>
      </c>
      <c r="BK30" s="743">
        <f t="shared" si="182"/>
        <v>-705.76062434707001</v>
      </c>
      <c r="BL30" s="743">
        <f t="shared" si="182"/>
        <v>-663.22173838737945</v>
      </c>
      <c r="BM30" s="743">
        <f t="shared" si="182"/>
        <v>-645.3105005882353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-172.99795163589519</v>
      </c>
      <c r="AZ31" s="744">
        <f t="shared" si="192"/>
        <v>-143.98766340000026</v>
      </c>
      <c r="BA31" s="744">
        <f t="shared" si="192"/>
        <v>-97.334651725000001</v>
      </c>
      <c r="BB31" s="744">
        <f t="shared" ref="BB31:BG31" si="193">+BB30/BB2</f>
        <v>-70.220759025000035</v>
      </c>
      <c r="BC31" s="744">
        <f t="shared" si="193"/>
        <v>-73.090552275000022</v>
      </c>
      <c r="BD31" s="744">
        <f t="shared" si="193"/>
        <v>-85.046806100000026</v>
      </c>
      <c r="BE31" s="744">
        <f t="shared" si="193"/>
        <v>-96.655441899999943</v>
      </c>
      <c r="BF31" s="744">
        <f t="shared" si="193"/>
        <v>-107.75478779999987</v>
      </c>
      <c r="BG31" s="744">
        <f t="shared" si="193"/>
        <v>-116.28340992500011</v>
      </c>
      <c r="BH31" s="744">
        <f t="shared" ref="BH31:BM31" si="194">+BH30/BH2</f>
        <v>-120.69725572500008</v>
      </c>
      <c r="BI31" s="744">
        <f t="shared" si="194"/>
        <v>-123.39728567500009</v>
      </c>
      <c r="BJ31" s="744">
        <f t="shared" si="194"/>
        <v>-125.92755232499999</v>
      </c>
      <c r="BK31" s="744">
        <f t="shared" si="194"/>
        <v>-121.60255557500017</v>
      </c>
      <c r="BL31" s="744">
        <f t="shared" si="194"/>
        <v>-113.51040052499999</v>
      </c>
      <c r="BM31" s="744">
        <f t="shared" si="194"/>
        <v>-109.70278510000001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-0.654868614523474</v>
      </c>
      <c r="AZ32" s="745">
        <f t="shared" si="203"/>
        <v>-0.54505270581288046</v>
      </c>
      <c r="BA32" s="745">
        <f t="shared" si="203"/>
        <v>-0.36845181065745042</v>
      </c>
      <c r="BB32" s="745">
        <f t="shared" ref="BB32:BG32" si="204">+BB31/264.172</f>
        <v>-0.26581454137834454</v>
      </c>
      <c r="BC32" s="745">
        <f t="shared" si="204"/>
        <v>-0.27667789271762344</v>
      </c>
      <c r="BD32" s="745">
        <f t="shared" si="204"/>
        <v>-0.32193724580954841</v>
      </c>
      <c r="BE32" s="745">
        <f t="shared" si="204"/>
        <v>-0.36588072127250404</v>
      </c>
      <c r="BF32" s="745">
        <f t="shared" si="204"/>
        <v>-0.40789632436442874</v>
      </c>
      <c r="BG32" s="745">
        <f t="shared" si="204"/>
        <v>-0.44018067745635459</v>
      </c>
      <c r="BH32" s="745">
        <f t="shared" ref="BH32:BM32" si="205">+BH31/264.172</f>
        <v>-0.45688890467195642</v>
      </c>
      <c r="BI32" s="745">
        <f t="shared" si="205"/>
        <v>-0.46710963188755839</v>
      </c>
      <c r="BJ32" s="745">
        <f t="shared" si="205"/>
        <v>-0.47668773497948297</v>
      </c>
      <c r="BK32" s="745">
        <f t="shared" si="205"/>
        <v>-0.46031583807140863</v>
      </c>
      <c r="BL32" s="745">
        <f t="shared" si="205"/>
        <v>-0.42968369291597891</v>
      </c>
      <c r="BM32" s="745">
        <f t="shared" si="205"/>
        <v>-0.41527029776054997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4381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3103.5</v>
      </c>
      <c r="AZ34" s="646">
        <f t="shared" si="206"/>
        <v>3195</v>
      </c>
      <c r="BA34" s="646">
        <f t="shared" si="206"/>
        <v>3209.5</v>
      </c>
      <c r="BB34" s="646">
        <f t="shared" si="206"/>
        <v>3208</v>
      </c>
      <c r="BC34" s="646">
        <f t="shared" si="206"/>
        <v>3228</v>
      </c>
      <c r="BD34" s="646">
        <f t="shared" si="206"/>
        <v>3236.5</v>
      </c>
      <c r="BE34" s="646">
        <f t="shared" si="206"/>
        <v>2970</v>
      </c>
      <c r="BF34" s="646">
        <f t="shared" si="206"/>
        <v>2690</v>
      </c>
      <c r="BG34" s="646">
        <f t="shared" si="206"/>
        <v>2660</v>
      </c>
      <c r="BH34" s="646">
        <f t="shared" ref="BH34:BM34" si="207">BH48+$A$34+$B$34</f>
        <v>2755</v>
      </c>
      <c r="BI34" s="646">
        <f t="shared" si="207"/>
        <v>2755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3520</v>
      </c>
      <c r="AZ37" s="744">
        <f t="shared" ref="AZ37" si="216">+AY37+AZ46</f>
        <v>3611.5</v>
      </c>
      <c r="BA37" s="744">
        <f t="shared" ref="BA37" si="217">+AZ37+BA46</f>
        <v>3626</v>
      </c>
      <c r="BB37" s="744">
        <f t="shared" ref="BB37" si="218">+BA37+BB46</f>
        <v>3624.5</v>
      </c>
      <c r="BC37" s="744">
        <f t="shared" ref="BC37" si="219">+BB37+BC46</f>
        <v>3644.5</v>
      </c>
      <c r="BD37" s="744">
        <f t="shared" ref="BD37" si="220">+BC37+BD46</f>
        <v>3653</v>
      </c>
      <c r="BE37" s="744">
        <f t="shared" ref="BE37" si="221">+BD37+BE46</f>
        <v>3386.5</v>
      </c>
      <c r="BF37" s="744">
        <f t="shared" ref="BF37" si="222">+BE37+BF46</f>
        <v>3106.5</v>
      </c>
      <c r="BG37" s="744">
        <f t="shared" ref="BG37" si="223">+BF37+BG46</f>
        <v>3076.5</v>
      </c>
      <c r="BH37" s="744">
        <f t="shared" ref="BH37" si="224">+BG37+BH46</f>
        <v>3171.5</v>
      </c>
      <c r="BI37" s="744">
        <f t="shared" ref="BI37" si="225">+BH37+BI46</f>
        <v>3171.5</v>
      </c>
      <c r="BJ37" s="744">
        <f t="shared" ref="BJ37" si="226">+BI37+BJ46</f>
        <v>3171.5</v>
      </c>
      <c r="BK37" s="744">
        <f t="shared" ref="BK37" si="227">+BJ37+BK46</f>
        <v>3261.5</v>
      </c>
      <c r="BL37" s="744">
        <f t="shared" ref="BL37" si="228">+BK37+BL46</f>
        <v>3271.5</v>
      </c>
      <c r="BM37" s="744">
        <f t="shared" ref="BM37" si="229">+BL37+BM46</f>
        <v>3291.5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5.3491999999999997</v>
      </c>
      <c r="AZ38" s="845">
        <f t="shared" si="235"/>
        <v>5.3720118184260004</v>
      </c>
      <c r="BA38" s="845">
        <f t="shared" si="235"/>
        <v>5.4054054054054053</v>
      </c>
      <c r="BB38" s="845">
        <f t="shared" ref="BB38:BG38" si="236">BB2</f>
        <v>5.4377379010331701</v>
      </c>
      <c r="BC38" s="845">
        <f t="shared" si="236"/>
        <v>5.4779512462339088</v>
      </c>
      <c r="BD38" s="845">
        <f t="shared" si="236"/>
        <v>5.5157198014340878</v>
      </c>
      <c r="BE38" s="845">
        <f t="shared" si="236"/>
        <v>5.5586436909394106</v>
      </c>
      <c r="BF38" s="845">
        <f t="shared" si="236"/>
        <v>5.5975370836831795</v>
      </c>
      <c r="BG38" s="845">
        <f t="shared" si="236"/>
        <v>5.636978579481398</v>
      </c>
      <c r="BH38" s="845">
        <f t="shared" ref="BH38:BM38" si="237">BH2</f>
        <v>5.6785917092561045</v>
      </c>
      <c r="BI38" s="845">
        <f t="shared" si="237"/>
        <v>5.7208237986270021</v>
      </c>
      <c r="BJ38" s="845">
        <f t="shared" si="237"/>
        <v>5.762028233938346</v>
      </c>
      <c r="BK38" s="845">
        <f t="shared" si="237"/>
        <v>5.8038305281485778</v>
      </c>
      <c r="BL38" s="845">
        <f t="shared" si="237"/>
        <v>5.8428279287174991</v>
      </c>
      <c r="BM38" s="845">
        <f t="shared" si="237"/>
        <v>5.8823529411764701</v>
      </c>
    </row>
    <row r="39" spans="1:65" ht="15.7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-925.40064289073052</v>
      </c>
      <c r="AZ40" s="835">
        <f t="shared" si="244"/>
        <v>-682.00342949234619</v>
      </c>
      <c r="BA40" s="835">
        <f t="shared" si="244"/>
        <v>-420.13325256756752</v>
      </c>
      <c r="BB40" s="835">
        <f t="shared" ref="BB40:BG40" si="245">+BB37-BB25</f>
        <v>-277.34208278955975</v>
      </c>
      <c r="BC40" s="835">
        <f t="shared" si="245"/>
        <v>-275.88648192276105</v>
      </c>
      <c r="BD40" s="835">
        <f t="shared" si="245"/>
        <v>-336.09435245449549</v>
      </c>
      <c r="BE40" s="835">
        <f t="shared" si="245"/>
        <v>-670.77316231239547</v>
      </c>
      <c r="BF40" s="835">
        <f t="shared" si="245"/>
        <v>-1016.6614206549111</v>
      </c>
      <c r="BG40" s="835">
        <f t="shared" si="245"/>
        <v>-1098.9870908962803</v>
      </c>
      <c r="BH40" s="835">
        <f t="shared" ref="BH40:BM40" si="246">+BH37-BH25</f>
        <v>-1033.8904356899493</v>
      </c>
      <c r="BI40" s="835">
        <f t="shared" si="246"/>
        <v>-1054.4341285755154</v>
      </c>
      <c r="BJ40" s="835">
        <f t="shared" si="246"/>
        <v>-1074.0981119273983</v>
      </c>
      <c r="BK40" s="835">
        <f t="shared" si="246"/>
        <v>-964.26062434707001</v>
      </c>
      <c r="BL40" s="835">
        <f t="shared" si="246"/>
        <v>-911.72173838737945</v>
      </c>
      <c r="BM40" s="835">
        <f t="shared" si="246"/>
        <v>-873.8105005882353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-172.99795163589519</v>
      </c>
      <c r="AZ41" s="744">
        <f t="shared" si="254"/>
        <v>-126.95493840000024</v>
      </c>
      <c r="BA41" s="744">
        <f t="shared" si="254"/>
        <v>-77.724651725000001</v>
      </c>
      <c r="BB41" s="744">
        <f t="shared" ref="BB41:BG41" si="255">+BB40/BB2</f>
        <v>-51.003209025000039</v>
      </c>
      <c r="BC41" s="744">
        <f t="shared" si="255"/>
        <v>-50.363077275000023</v>
      </c>
      <c r="BD41" s="744">
        <f t="shared" si="255"/>
        <v>-60.933906100000023</v>
      </c>
      <c r="BE41" s="744">
        <f t="shared" si="255"/>
        <v>-120.67209189999996</v>
      </c>
      <c r="BF41" s="744">
        <f t="shared" si="255"/>
        <v>-181.62656279999987</v>
      </c>
      <c r="BG41" s="744">
        <f t="shared" si="255"/>
        <v>-194.96030992500013</v>
      </c>
      <c r="BH41" s="744">
        <f t="shared" ref="BH41:BM41" si="256">+BH40/BH2</f>
        <v>-182.06810572500007</v>
      </c>
      <c r="BI41" s="744">
        <f t="shared" si="256"/>
        <v>-184.31508567500009</v>
      </c>
      <c r="BJ41" s="744">
        <f t="shared" si="256"/>
        <v>-186.40972732500001</v>
      </c>
      <c r="BK41" s="744">
        <f t="shared" si="256"/>
        <v>-166.14210557500016</v>
      </c>
      <c r="BL41" s="744">
        <f t="shared" si="256"/>
        <v>-156.041175525</v>
      </c>
      <c r="BM41" s="744">
        <f t="shared" si="256"/>
        <v>-148.5477851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-0.654868614523474</v>
      </c>
      <c r="AZ42" s="745">
        <f t="shared" si="262"/>
        <v>-0.48057681510531108</v>
      </c>
      <c r="BA42" s="745">
        <f t="shared" si="262"/>
        <v>-0.29421987086065138</v>
      </c>
      <c r="BB42" s="745">
        <f t="shared" ref="BB42:BG42" si="263">+BB41/264.172</f>
        <v>-0.19306818673061504</v>
      </c>
      <c r="BC42" s="745">
        <f t="shared" si="263"/>
        <v>-0.19064502398058847</v>
      </c>
      <c r="BD42" s="745">
        <f t="shared" si="263"/>
        <v>-0.23065997191223905</v>
      </c>
      <c r="BE42" s="745">
        <f t="shared" si="263"/>
        <v>-0.45679364921339105</v>
      </c>
      <c r="BF42" s="745">
        <f t="shared" si="263"/>
        <v>-0.68753146737731419</v>
      </c>
      <c r="BG42" s="745">
        <f t="shared" si="263"/>
        <v>-0.73800520087291654</v>
      </c>
      <c r="BH42" s="745">
        <f t="shared" ref="BH42:BM42" si="264">+BH41/264.172</f>
        <v>-0.68920288950002284</v>
      </c>
      <c r="BI42" s="745">
        <f t="shared" si="264"/>
        <v>-0.69770863556697937</v>
      </c>
      <c r="BJ42" s="745">
        <f t="shared" si="264"/>
        <v>-0.70563771832366784</v>
      </c>
      <c r="BK42" s="745">
        <f t="shared" si="264"/>
        <v>-0.62891640891161871</v>
      </c>
      <c r="BL42" s="745">
        <f t="shared" si="264"/>
        <v>-0.59068022169268497</v>
      </c>
      <c r="BM42" s="745">
        <f t="shared" si="264"/>
        <v>-0.56231464765380124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-0.17996388150986278</v>
      </c>
      <c r="AZ43" s="823">
        <f>'ARB BRZ 2023 (no tax)'!AZ38</f>
        <v>-2.2324927244372007E-2</v>
      </c>
      <c r="BA43" s="823">
        <f>'ARB BRZ 2023 (no tax)'!BA38</f>
        <v>0.13747789536741195</v>
      </c>
      <c r="BB43" s="823">
        <f>'ARB BRZ 2023 (no tax)'!BB38</f>
        <v>0.22242563706600249</v>
      </c>
      <c r="BC43" s="823">
        <f>'ARB BRZ 2023 (no tax)'!BC38</f>
        <v>0.22394396137743566</v>
      </c>
      <c r="BD43" s="823">
        <f>'ARB BRZ 2023 (no tax)'!BD38</f>
        <v>0.18797453341005063</v>
      </c>
      <c r="BE43" s="823">
        <f>'ARB BRZ 2023 (no tax)'!BE38</f>
        <v>-3.4564161531123544E-2</v>
      </c>
      <c r="BF43" s="823">
        <f>'ARB BRZ 2023 (no tax)'!BF38</f>
        <v>-0.26170645973078149</v>
      </c>
      <c r="BG43" s="823">
        <f>'ARB BRZ 2023 (no tax)'!BG38</f>
        <v>-0.30993467326211732</v>
      </c>
      <c r="BH43" s="823">
        <f>'ARB BRZ 2023 (no tax)'!BH38</f>
        <v>-0.26113702112638731</v>
      </c>
      <c r="BI43" s="823">
        <f>'ARB BRZ 2023 (no tax)'!BI38</f>
        <v>-0.27054742643050761</v>
      </c>
      <c r="BJ43" s="823">
        <f>'ARB BRZ 2023 (no tax)'!BJ38</f>
        <v>-0.27938098922293081</v>
      </c>
      <c r="BK43" s="823">
        <f>'ARB BRZ 2023 (no tax)'!BK38</f>
        <v>-0.20716415984661474</v>
      </c>
      <c r="BL43" s="823">
        <f>'ARB BRZ 2023 (no tax)'!BL38</f>
        <v>-0.17523209426055741</v>
      </c>
      <c r="BM43" s="823">
        <f>'ARB BRZ 2023 (no tax)'!BM38</f>
        <v>-0.15092064185454895</v>
      </c>
    </row>
    <row r="44" spans="1:65" ht="23.1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-47.541418506223472</v>
      </c>
      <c r="AZ44" s="1029">
        <f t="shared" si="266"/>
        <v>-5.8976206800002426</v>
      </c>
      <c r="BA44" s="1029">
        <f t="shared" si="266"/>
        <v>36.317810574999953</v>
      </c>
      <c r="BB44" s="1029">
        <f t="shared" ref="BB44:BG44" si="267">BB43*264.172</f>
        <v>58.758625395000017</v>
      </c>
      <c r="BC44" s="1029">
        <f t="shared" si="267"/>
        <v>59.159724164999936</v>
      </c>
      <c r="BD44" s="1029">
        <f t="shared" si="267"/>
        <v>49.657608439999898</v>
      </c>
      <c r="BE44" s="1029">
        <f t="shared" si="267"/>
        <v>-9.13088367999997</v>
      </c>
      <c r="BF44" s="1029">
        <f t="shared" si="267"/>
        <v>-69.135518880000021</v>
      </c>
      <c r="BG44" s="1029">
        <f t="shared" si="267"/>
        <v>-81.876062505000064</v>
      </c>
      <c r="BH44" s="1029">
        <f t="shared" ref="BH44:BM44" si="268">BH43*264.172</f>
        <v>-68.985089144999989</v>
      </c>
      <c r="BI44" s="1029">
        <f t="shared" si="268"/>
        <v>-71.471054735000067</v>
      </c>
      <c r="BJ44" s="1029">
        <f t="shared" si="268"/>
        <v>-73.804634685000082</v>
      </c>
      <c r="BK44" s="1029">
        <f t="shared" si="268"/>
        <v>-54.726970434999913</v>
      </c>
      <c r="BL44" s="1029">
        <f t="shared" si="268"/>
        <v>-46.291412804999979</v>
      </c>
      <c r="BM44" s="1029">
        <f t="shared" si="268"/>
        <v>-39.869007799999913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91.5</v>
      </c>
      <c r="BA46" s="810">
        <f t="shared" ref="BA46" si="270">BA48-AZ48</f>
        <v>14.5</v>
      </c>
      <c r="BB46" s="810">
        <f t="shared" ref="BB46" si="271">BB48-BA48</f>
        <v>-1.5</v>
      </c>
      <c r="BC46" s="810">
        <f t="shared" ref="BC46" si="272">BC48-BB48</f>
        <v>20</v>
      </c>
      <c r="BD46" s="810">
        <f t="shared" ref="BD46" si="273">BD48-BC48</f>
        <v>8.5</v>
      </c>
      <c r="BE46" s="810">
        <f t="shared" ref="BE46" si="274">BE48-BD48</f>
        <v>-266.5</v>
      </c>
      <c r="BF46" s="810">
        <f t="shared" ref="BF46" si="275">BF48-BE48</f>
        <v>-280</v>
      </c>
      <c r="BG46" s="810">
        <f t="shared" ref="BG46" si="276">BG48-BF48</f>
        <v>-30</v>
      </c>
      <c r="BH46" s="810">
        <f t="shared" ref="BH46" si="277">BH48-BG48</f>
        <v>95</v>
      </c>
      <c r="BI46" s="810">
        <f t="shared" ref="BI46" si="278">BI48-BH48</f>
        <v>0</v>
      </c>
      <c r="BJ46" s="810">
        <f t="shared" ref="BJ46" si="279">BJ48-BI48</f>
        <v>0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5.7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2833.5</v>
      </c>
      <c r="AZ48" s="739">
        <f>+'settlement day'!BI13</f>
        <v>2925</v>
      </c>
      <c r="BA48" s="739">
        <f>+'settlement day'!BJ13</f>
        <v>2939.5</v>
      </c>
      <c r="BB48" s="739">
        <f>+'settlement day'!BK13</f>
        <v>2938</v>
      </c>
      <c r="BC48" s="739">
        <f>+'settlement day'!BL13</f>
        <v>2958</v>
      </c>
      <c r="BD48" s="739">
        <f>+'settlement day'!BM13</f>
        <v>2966.5</v>
      </c>
      <c r="BE48" s="739">
        <f>+'settlement day'!BN13</f>
        <v>2700</v>
      </c>
      <c r="BF48" s="739">
        <f>+'settlement day'!BO13</f>
        <v>2420</v>
      </c>
      <c r="BG48" s="739">
        <f>+'settlement day'!BP13</f>
        <v>2390</v>
      </c>
      <c r="BH48" s="739">
        <f>+'settlement day'!BQ13</f>
        <v>2485</v>
      </c>
      <c r="BI48" s="739">
        <f>+'settlement day'!BR13</f>
        <v>2485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3033.8383279884993</v>
      </c>
      <c r="AZ49" s="739">
        <f>+(AZ48-'mkt data'!$G$23+'mkt data'!$G$24)/'mkt data'!$H$25</f>
        <v>3135.021563640385</v>
      </c>
      <c r="BA49" s="739">
        <f>+(BA48-'mkt data'!$G$23+'mkt data'!$G$24)/'mkt data'!$H$25</f>
        <v>3151.0560654650008</v>
      </c>
      <c r="BB49" s="739">
        <f>+(BB48-'mkt data'!$G$23+'mkt data'!$G$24)/'mkt data'!$H$25</f>
        <v>3149.397323896937</v>
      </c>
      <c r="BC49" s="739">
        <f>+(BC48-'mkt data'!$G$23+'mkt data'!$G$24)/'mkt data'!$H$25</f>
        <v>3171.5138781377864</v>
      </c>
      <c r="BD49" s="739">
        <f>+(BD48-'mkt data'!$G$23+'mkt data'!$G$24)/'mkt data'!$H$25</f>
        <v>3180.9134136901471</v>
      </c>
      <c r="BE49" s="739">
        <f>+(BE48-'mkt data'!$G$23+'mkt data'!$G$24)/'mkt data'!$H$25</f>
        <v>2886.2103284308305</v>
      </c>
      <c r="BF49" s="739">
        <f>+(BF48-'mkt data'!$G$23+'mkt data'!$G$24)/'mkt data'!$H$25</f>
        <v>2576.5785690589405</v>
      </c>
      <c r="BG49" s="739">
        <f>+(BG48-'mkt data'!$G$23+'mkt data'!$G$24)/'mkt data'!$H$25</f>
        <v>2543.4037376976667</v>
      </c>
      <c r="BH49" s="739">
        <f>+(BH48-'mkt data'!$G$23+'mkt data'!$G$24)/'mkt data'!$H$25</f>
        <v>2648.4573703417009</v>
      </c>
      <c r="BI49" s="739">
        <f>+(BI48-'mkt data'!$G$23+'mkt data'!$G$24)/'mkt data'!$H$25</f>
        <v>2648.4573703417009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3072.7200000000003</v>
      </c>
      <c r="AZ51" s="739">
        <f>+((AZ48-'mkt data'!$G$23)*'mkt data'!$H$26)+('mkt data'!$G$24)</f>
        <v>3175.2000000000003</v>
      </c>
      <c r="BA51" s="739">
        <f>+((BA48-'mkt data'!$G$23)*'mkt data'!$H$26)+('mkt data'!$G$24)</f>
        <v>3191.4400000000005</v>
      </c>
      <c r="BB51" s="739">
        <f>+((BB48-'mkt data'!$G$23)*'mkt data'!$H$26)+('mkt data'!$G$24)</f>
        <v>3189.76</v>
      </c>
      <c r="BC51" s="739">
        <f>+((BC48-'mkt data'!$G$23)*'mkt data'!$H$26)+('mkt data'!$G$24)</f>
        <v>3212.1600000000003</v>
      </c>
      <c r="BD51" s="739">
        <f>+((BD48-'mkt data'!$G$23)*'mkt data'!$H$26)+('mkt data'!$G$24)</f>
        <v>3221.6800000000003</v>
      </c>
      <c r="BE51" s="739">
        <f>+((BE48-'mkt data'!$G$23)*'mkt data'!$H$26)+('mkt data'!$G$24)</f>
        <v>2923.2000000000003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2576.0000000000005</v>
      </c>
      <c r="BH51" s="739">
        <f>+((BH48-'mkt data'!$G$23)*'mkt data'!$H$26)+('mkt data'!$G$24)</f>
        <v>2682.4</v>
      </c>
      <c r="BI51" s="739">
        <f>+((BI48-'mkt data'!$G$23)*'mkt data'!$H$26)+('mkt data'!$G$24)</f>
        <v>2682.4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3614.819192618224</v>
      </c>
      <c r="AZ53" s="681">
        <f t="shared" si="292"/>
        <v>3717.299192618224</v>
      </c>
      <c r="BA53" s="681">
        <f t="shared" si="292"/>
        <v>3733.5391926182242</v>
      </c>
      <c r="BB53" s="681">
        <f t="shared" ref="BB53:BG53" si="293">+BB51+$B$53</f>
        <v>3731.8591926182239</v>
      </c>
      <c r="BC53" s="681">
        <f t="shared" si="293"/>
        <v>3754.259192618224</v>
      </c>
      <c r="BD53" s="681">
        <f t="shared" si="293"/>
        <v>3763.779192618224</v>
      </c>
      <c r="BE53" s="681">
        <f t="shared" si="293"/>
        <v>3465.299192618224</v>
      </c>
      <c r="BF53" s="681">
        <f t="shared" si="293"/>
        <v>3151.6991926182241</v>
      </c>
      <c r="BG53" s="681">
        <f t="shared" si="293"/>
        <v>3118.0991926182242</v>
      </c>
      <c r="BH53" s="681">
        <f t="shared" ref="BH53:BM53" si="294">+BH51+$B$53</f>
        <v>3224.4991926182238</v>
      </c>
      <c r="BI53" s="681">
        <f t="shared" si="294"/>
        <v>3224.4991926182238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5.7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-830.58145027250657</v>
      </c>
      <c r="AZ55" s="744">
        <f t="shared" si="300"/>
        <v>-576.20423687412222</v>
      </c>
      <c r="BA55" s="744">
        <f t="shared" si="300"/>
        <v>-312.59405994934332</v>
      </c>
      <c r="BB55" s="744">
        <f t="shared" ref="BB55:BG55" si="301">+BB53-BB25</f>
        <v>-169.98289017133584</v>
      </c>
      <c r="BC55" s="744">
        <f t="shared" si="301"/>
        <v>-166.12728930453704</v>
      </c>
      <c r="BD55" s="744">
        <f t="shared" si="301"/>
        <v>-225.3151598362715</v>
      </c>
      <c r="BE55" s="744">
        <f t="shared" si="301"/>
        <v>-591.9739696941715</v>
      </c>
      <c r="BF55" s="744">
        <f t="shared" si="301"/>
        <v>-971.46222803668707</v>
      </c>
      <c r="BG55" s="744">
        <f t="shared" si="301"/>
        <v>-1057.3878982780561</v>
      </c>
      <c r="BH55" s="744">
        <f t="shared" ref="BH55:BM55" si="302">+BH53-BH25</f>
        <v>-980.89124307172551</v>
      </c>
      <c r="BI55" s="744">
        <f t="shared" si="302"/>
        <v>-1001.4349359572916</v>
      </c>
      <c r="BJ55" s="744">
        <f t="shared" si="302"/>
        <v>-1021.0989193091746</v>
      </c>
      <c r="BK55" s="744">
        <f t="shared" si="302"/>
        <v>-900.46143172884604</v>
      </c>
      <c r="BL55" s="744">
        <f t="shared" si="302"/>
        <v>-846.72254576915566</v>
      </c>
      <c r="BM55" s="744">
        <f t="shared" si="302"/>
        <v>-806.41130797001142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-155.272087465884</v>
      </c>
      <c r="AZ56" s="746">
        <f t="shared" si="309"/>
        <v>-107.26041869411786</v>
      </c>
      <c r="BA56" s="746">
        <f t="shared" si="309"/>
        <v>-57.829901090628518</v>
      </c>
      <c r="BB56" s="746">
        <f t="shared" ref="BB56:BG56" si="310">+BB55/BB2</f>
        <v>-31.259853502508662</v>
      </c>
      <c r="BC56" s="746">
        <f t="shared" si="310"/>
        <v>-30.326536662543237</v>
      </c>
      <c r="BD56" s="746">
        <f t="shared" si="310"/>
        <v>-40.849638478316017</v>
      </c>
      <c r="BE56" s="746">
        <f t="shared" si="310"/>
        <v>-106.49611714798145</v>
      </c>
      <c r="BF56" s="746">
        <f t="shared" si="310"/>
        <v>-173.55172703875414</v>
      </c>
      <c r="BG56" s="746">
        <f t="shared" si="310"/>
        <v>-187.58061315452716</v>
      </c>
      <c r="BH56" s="746">
        <f t="shared" ref="BH56:BM56" si="311">+BH55/BH2</f>
        <v>-172.73494790493086</v>
      </c>
      <c r="BI56" s="746">
        <f t="shared" si="311"/>
        <v>-175.05082680533457</v>
      </c>
      <c r="BJ56" s="746">
        <f t="shared" si="311"/>
        <v>-177.21171744610726</v>
      </c>
      <c r="BK56" s="746">
        <f t="shared" si="311"/>
        <v>-155.14950468688019</v>
      </c>
      <c r="BL56" s="746">
        <f t="shared" si="311"/>
        <v>-144.91656370839098</v>
      </c>
      <c r="BM56" s="746">
        <f t="shared" si="311"/>
        <v>-137.08992235490194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-0.5877689061137592</v>
      </c>
      <c r="AZ57" s="747">
        <f t="shared" si="320"/>
        <v>-0.40602493335447304</v>
      </c>
      <c r="BA57" s="747">
        <f t="shared" si="320"/>
        <v>-0.2189100324433646</v>
      </c>
      <c r="BB57" s="747">
        <f t="shared" ref="BB57:BG57" si="321">+BB56/264.172</f>
        <v>-0.1183314412674646</v>
      </c>
      <c r="BC57" s="747">
        <f t="shared" si="321"/>
        <v>-0.11479845200302544</v>
      </c>
      <c r="BD57" s="747">
        <f t="shared" si="321"/>
        <v>-0.15463273351572465</v>
      </c>
      <c r="BE57" s="747">
        <f t="shared" si="321"/>
        <v>-0.40313173670177549</v>
      </c>
      <c r="BF57" s="747">
        <f t="shared" si="321"/>
        <v>-0.65696488287462007</v>
      </c>
      <c r="BG57" s="747">
        <f t="shared" si="321"/>
        <v>-0.71007000421894495</v>
      </c>
      <c r="BH57" s="747">
        <f t="shared" ref="BH57:BM57" si="322">+BH56/264.172</f>
        <v>-0.653873036903725</v>
      </c>
      <c r="BI57" s="747">
        <f t="shared" si="322"/>
        <v>-0.6626395939211368</v>
      </c>
      <c r="BJ57" s="747">
        <f t="shared" si="322"/>
        <v>-0.67081945643787855</v>
      </c>
      <c r="BK57" s="747">
        <f t="shared" si="322"/>
        <v>-0.58730487972563394</v>
      </c>
      <c r="BL57" s="747">
        <f t="shared" si="322"/>
        <v>-0.54856897668333882</v>
      </c>
      <c r="BM57" s="747">
        <f t="shared" si="322"/>
        <v>-0.51894191040269955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9" workbookViewId="0">
      <selection activeCell="AY28" sqref="AY28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1" width="8.8554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2.1124999999999998</v>
      </c>
      <c r="AZ5" s="737">
        <f t="shared" si="3"/>
        <v>2.02</v>
      </c>
      <c r="BA5" s="737">
        <f t="shared" ref="BA5:BG5" si="4">+BA4+$B$5</f>
        <v>1.8725000000000001</v>
      </c>
      <c r="BB5" s="737">
        <f t="shared" si="4"/>
        <v>1.7825000000000002</v>
      </c>
      <c r="BC5" s="737">
        <f t="shared" si="4"/>
        <v>1.7774999999999999</v>
      </c>
      <c r="BD5" s="737">
        <f t="shared" si="4"/>
        <v>1.7999999999999998</v>
      </c>
      <c r="BE5" s="737">
        <f t="shared" si="4"/>
        <v>1.8199999999999998</v>
      </c>
      <c r="BF5" s="737">
        <f t="shared" si="4"/>
        <v>1.8399999999999999</v>
      </c>
      <c r="BG5" s="737">
        <f t="shared" si="4"/>
        <v>1.8525</v>
      </c>
      <c r="BH5" s="737">
        <f t="shared" ref="BH5:BM5" si="5">+BH4+$B$5</f>
        <v>1.8525</v>
      </c>
      <c r="BI5" s="737">
        <f t="shared" si="5"/>
        <v>1.8475000000000001</v>
      </c>
      <c r="BJ5" s="737">
        <f t="shared" si="5"/>
        <v>1.8424999999999998</v>
      </c>
      <c r="BK5" s="737">
        <f t="shared" si="5"/>
        <v>1.8174999999999999</v>
      </c>
      <c r="BL5" s="737">
        <f t="shared" si="5"/>
        <v>1.7825000000000002</v>
      </c>
      <c r="BM5" s="737">
        <f t="shared" si="5"/>
        <v>1.7599999999999998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558.06335000000001</v>
      </c>
      <c r="AZ6" s="738">
        <f t="shared" si="10"/>
        <v>533.62744000000009</v>
      </c>
      <c r="BA6" s="738">
        <f t="shared" ref="BA6:BG6" si="11">+BA5*$A$2</f>
        <v>494.66207000000009</v>
      </c>
      <c r="BB6" s="738">
        <f t="shared" si="11"/>
        <v>470.88659000000007</v>
      </c>
      <c r="BC6" s="738">
        <f t="shared" si="11"/>
        <v>469.56573000000003</v>
      </c>
      <c r="BD6" s="738">
        <f t="shared" si="11"/>
        <v>475.50959999999998</v>
      </c>
      <c r="BE6" s="738">
        <f t="shared" si="11"/>
        <v>480.79304000000002</v>
      </c>
      <c r="BF6" s="738">
        <f t="shared" si="11"/>
        <v>486.07648</v>
      </c>
      <c r="BG6" s="738">
        <f t="shared" si="11"/>
        <v>489.37863000000004</v>
      </c>
      <c r="BH6" s="738">
        <f t="shared" ref="BH6:BM6" si="12">+BH5*$A$2</f>
        <v>489.37863000000004</v>
      </c>
      <c r="BI6" s="738">
        <f t="shared" si="12"/>
        <v>488.05777000000006</v>
      </c>
      <c r="BJ6" s="738">
        <f t="shared" si="12"/>
        <v>486.73691000000002</v>
      </c>
      <c r="BK6" s="738">
        <f t="shared" si="12"/>
        <v>480.13261</v>
      </c>
      <c r="BL6" s="738">
        <f t="shared" si="12"/>
        <v>470.88659000000007</v>
      </c>
      <c r="BM6" s="738">
        <f t="shared" si="12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610.68679000000009</v>
      </c>
      <c r="AZ10" s="740">
        <f t="shared" si="55"/>
        <v>586.25088000000017</v>
      </c>
      <c r="BA10" s="740">
        <f t="shared" ref="BA10:BG10" si="56">SUM(BA6:BA9)</f>
        <v>547.28551000000004</v>
      </c>
      <c r="BB10" s="740">
        <f t="shared" si="56"/>
        <v>523.51003000000003</v>
      </c>
      <c r="BC10" s="740">
        <f t="shared" si="56"/>
        <v>522.18916999999999</v>
      </c>
      <c r="BD10" s="740">
        <f t="shared" si="56"/>
        <v>528.13303999999994</v>
      </c>
      <c r="BE10" s="740">
        <f t="shared" si="56"/>
        <v>533.41647999999998</v>
      </c>
      <c r="BF10" s="740">
        <f t="shared" si="56"/>
        <v>538.69992000000002</v>
      </c>
      <c r="BG10" s="740">
        <f t="shared" si="56"/>
        <v>542.00207</v>
      </c>
      <c r="BH10" s="740">
        <f t="shared" ref="BH10:BM10" si="57">SUM(BH6:BH9)</f>
        <v>542.00207</v>
      </c>
      <c r="BI10" s="740">
        <f t="shared" si="57"/>
        <v>540.68121000000008</v>
      </c>
      <c r="BJ10" s="740">
        <f t="shared" si="57"/>
        <v>539.36035000000004</v>
      </c>
      <c r="BK10" s="740">
        <f t="shared" si="57"/>
        <v>532.75604999999996</v>
      </c>
      <c r="BL10" s="740">
        <f t="shared" si="57"/>
        <v>523.51003000000003</v>
      </c>
      <c r="BM10" s="740">
        <f t="shared" si="57"/>
        <v>517.56615999999997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3266.6857770680003</v>
      </c>
      <c r="AZ11" s="741">
        <f t="shared" si="62"/>
        <v>3149.346655922644</v>
      </c>
      <c r="BA11" s="741">
        <f t="shared" ref="BA11:BG11" si="63">+BA10*BA2</f>
        <v>2958.3000540540543</v>
      </c>
      <c r="BB11" s="741">
        <f t="shared" si="63"/>
        <v>2846.7103317020119</v>
      </c>
      <c r="BC11" s="741">
        <f t="shared" si="63"/>
        <v>2860.5268145713503</v>
      </c>
      <c r="BD11" s="741">
        <f t="shared" si="63"/>
        <v>2913.0338665195809</v>
      </c>
      <c r="BE11" s="741">
        <f t="shared" si="63"/>
        <v>2965.0721511951083</v>
      </c>
      <c r="BF11" s="741">
        <f t="shared" si="63"/>
        <v>3015.3927791771621</v>
      </c>
      <c r="BG11" s="741">
        <f t="shared" si="63"/>
        <v>3055.2540586245773</v>
      </c>
      <c r="BH11" s="741">
        <f t="shared" ref="BH11:BM11" si="64">+BH10*BH2</f>
        <v>3077.8084611016466</v>
      </c>
      <c r="BI11" s="741">
        <f t="shared" si="64"/>
        <v>3093.1419336384442</v>
      </c>
      <c r="BJ11" s="741">
        <f t="shared" si="64"/>
        <v>3107.8095649668685</v>
      </c>
      <c r="BK11" s="741">
        <f t="shared" si="64"/>
        <v>3092.0258270458498</v>
      </c>
      <c r="BL11" s="741">
        <f t="shared" si="64"/>
        <v>3058.7790242477358</v>
      </c>
      <c r="BM11" s="741">
        <f t="shared" si="64"/>
        <v>3044.5068235294111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383.83557880549</v>
      </c>
      <c r="AZ14" s="739">
        <f t="shared" si="75"/>
        <v>370.04823207091067</v>
      </c>
      <c r="BA14" s="739">
        <f>BA11*$B$14</f>
        <v>347.60025635135133</v>
      </c>
      <c r="BB14" s="739">
        <f t="shared" ref="BB14:BG14" si="76">BB11*$B$14</f>
        <v>334.48846397498636</v>
      </c>
      <c r="BC14" s="739">
        <f t="shared" si="76"/>
        <v>336.11190071213366</v>
      </c>
      <c r="BD14" s="739">
        <f t="shared" si="76"/>
        <v>342.28147931605076</v>
      </c>
      <c r="BE14" s="739">
        <f t="shared" si="76"/>
        <v>348.39597776542519</v>
      </c>
      <c r="BF14" s="739">
        <f t="shared" si="76"/>
        <v>354.30865155331651</v>
      </c>
      <c r="BG14" s="739">
        <f t="shared" si="76"/>
        <v>358.99235188838782</v>
      </c>
      <c r="BH14" s="739">
        <f t="shared" ref="BH14:BM14" si="77">BH11*$B$14</f>
        <v>361.64249417944347</v>
      </c>
      <c r="BI14" s="739">
        <f t="shared" si="77"/>
        <v>363.44417720251715</v>
      </c>
      <c r="BJ14" s="739">
        <f t="shared" si="77"/>
        <v>365.16762388360701</v>
      </c>
      <c r="BK14" s="739">
        <f t="shared" si="77"/>
        <v>363.31303467788734</v>
      </c>
      <c r="BL14" s="739">
        <f t="shared" si="77"/>
        <v>359.40653534910894</v>
      </c>
      <c r="BM14" s="739">
        <f t="shared" si="77"/>
        <v>357.72955176470577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3654.3085558734906</v>
      </c>
      <c r="AZ17" s="738">
        <f t="shared" si="91"/>
        <v>3523.1820879935549</v>
      </c>
      <c r="BA17" s="738">
        <f t="shared" ref="BA17:BG17" si="92">SUM(BA11:BA16)</f>
        <v>3309.6875104054056</v>
      </c>
      <c r="BB17" s="738">
        <f t="shared" si="92"/>
        <v>3184.9859956769983</v>
      </c>
      <c r="BC17" s="738">
        <f t="shared" si="92"/>
        <v>3200.4259152834843</v>
      </c>
      <c r="BD17" s="738">
        <f t="shared" si="92"/>
        <v>3259.1025458356321</v>
      </c>
      <c r="BE17" s="738">
        <f t="shared" si="92"/>
        <v>3317.2553289605335</v>
      </c>
      <c r="BF17" s="738">
        <f t="shared" si="92"/>
        <v>3373.4886307304787</v>
      </c>
      <c r="BG17" s="738">
        <f t="shared" si="92"/>
        <v>3418.0336105129654</v>
      </c>
      <c r="BH17" s="738">
        <f t="shared" ref="BH17:BM17" si="93">SUM(BH11:BH16)</f>
        <v>3443.2381552810903</v>
      </c>
      <c r="BI17" s="738">
        <f t="shared" si="93"/>
        <v>3460.3733108409615</v>
      </c>
      <c r="BJ17" s="738">
        <f t="shared" si="93"/>
        <v>3476.7643888504758</v>
      </c>
      <c r="BK17" s="738">
        <f t="shared" si="93"/>
        <v>3459.1260617237372</v>
      </c>
      <c r="BL17" s="738">
        <f t="shared" si="93"/>
        <v>3421.9727595968448</v>
      </c>
      <c r="BM17" s="738">
        <f t="shared" si="93"/>
        <v>3406.0235752941171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3774.3085558734906</v>
      </c>
      <c r="AZ25" s="740">
        <f t="shared" si="98"/>
        <v>3643.1820879935549</v>
      </c>
      <c r="BA25" s="740">
        <f t="shared" ref="BA25:BG25" si="99">SUM(BA17:BA24)</f>
        <v>3429.6875104054056</v>
      </c>
      <c r="BB25" s="740">
        <f t="shared" si="99"/>
        <v>3304.9859956769983</v>
      </c>
      <c r="BC25" s="740">
        <f t="shared" si="99"/>
        <v>3320.4259152834843</v>
      </c>
      <c r="BD25" s="740">
        <f t="shared" si="99"/>
        <v>3379.1025458356321</v>
      </c>
      <c r="BE25" s="740">
        <f t="shared" si="99"/>
        <v>3437.2553289605335</v>
      </c>
      <c r="BF25" s="740">
        <f t="shared" si="99"/>
        <v>3493.4886307304787</v>
      </c>
      <c r="BG25" s="740">
        <f t="shared" si="99"/>
        <v>3538.0336105129654</v>
      </c>
      <c r="BH25" s="740">
        <f t="shared" ref="BH25:BM25" si="100">SUM(BH17:BH24)</f>
        <v>3563.2381552810903</v>
      </c>
      <c r="BI25" s="740">
        <f t="shared" si="100"/>
        <v>3580.3733108409615</v>
      </c>
      <c r="BJ25" s="740">
        <f t="shared" si="100"/>
        <v>3596.7643888504758</v>
      </c>
      <c r="BK25" s="740">
        <f t="shared" si="100"/>
        <v>3579.1260617237372</v>
      </c>
      <c r="BL25" s="740">
        <f t="shared" si="100"/>
        <v>3541.9727595968448</v>
      </c>
      <c r="BM25" s="740">
        <f t="shared" si="100"/>
        <v>3526.0235752941171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705.58374259206812</v>
      </c>
      <c r="AZ26" s="741">
        <f t="shared" si="105"/>
        <v>678.17834568000023</v>
      </c>
      <c r="BA26" s="741">
        <f t="shared" ref="BA26:BG26" si="106">+BA25/BA2</f>
        <v>634.49218942500011</v>
      </c>
      <c r="BB26" s="741">
        <f t="shared" si="106"/>
        <v>607.78692460499997</v>
      </c>
      <c r="BC26" s="741">
        <f t="shared" si="106"/>
        <v>606.14375083499999</v>
      </c>
      <c r="BD26" s="741">
        <f t="shared" si="106"/>
        <v>612.63129156000002</v>
      </c>
      <c r="BE26" s="741">
        <f t="shared" si="106"/>
        <v>618.36223368000003</v>
      </c>
      <c r="BF26" s="741">
        <f t="shared" si="106"/>
        <v>624.11174388000006</v>
      </c>
      <c r="BG26" s="741">
        <f t="shared" si="106"/>
        <v>627.6471625050001</v>
      </c>
      <c r="BH26" s="741">
        <f t="shared" ref="BH26:BM26" si="107">+BH25/BH2</f>
        <v>627.48623914500001</v>
      </c>
      <c r="BI26" s="741">
        <f t="shared" si="107"/>
        <v>625.84925473500005</v>
      </c>
      <c r="BJ26" s="741">
        <f t="shared" si="107"/>
        <v>624.21845968500008</v>
      </c>
      <c r="BK26" s="741">
        <f t="shared" si="107"/>
        <v>616.6834204349999</v>
      </c>
      <c r="BL26" s="741">
        <f t="shared" si="107"/>
        <v>606.20863780499997</v>
      </c>
      <c r="BM26" s="741">
        <f t="shared" si="107"/>
        <v>599.42400779999991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:BA28" si="110">+AY28</f>
        <v>3520</v>
      </c>
      <c r="BA28" s="743">
        <f t="shared" si="110"/>
        <v>3520</v>
      </c>
      <c r="BB28" s="743">
        <f t="shared" ref="BB28" si="111">+BA28</f>
        <v>3520</v>
      </c>
      <c r="BC28" s="743">
        <f t="shared" ref="BC28" si="112">+BB28</f>
        <v>3520</v>
      </c>
      <c r="BD28" s="743">
        <f t="shared" ref="BD28" si="113">+BC28</f>
        <v>3520</v>
      </c>
      <c r="BE28" s="743">
        <f t="shared" ref="BE28" si="114">+BD28</f>
        <v>3520</v>
      </c>
      <c r="BF28" s="743">
        <f t="shared" ref="BF28" si="115">+BE28</f>
        <v>3520</v>
      </c>
      <c r="BG28" s="743">
        <f t="shared" ref="BG28" si="116">+BF28</f>
        <v>3520</v>
      </c>
      <c r="BH28" s="743">
        <f t="shared" ref="BH28" si="117">+BG28</f>
        <v>3520</v>
      </c>
      <c r="BI28" s="743">
        <f t="shared" ref="BI28" si="118">+BH28</f>
        <v>3520</v>
      </c>
      <c r="BJ28" s="743">
        <f t="shared" ref="BJ28" si="119">+BI28</f>
        <v>3520</v>
      </c>
      <c r="BK28" s="743">
        <f t="shared" ref="BK28" si="120">+BJ28</f>
        <v>3520</v>
      </c>
      <c r="BL28" s="743">
        <f t="shared" ref="BL28" si="121">+BK28</f>
        <v>3520</v>
      </c>
      <c r="BM28" s="743">
        <f t="shared" ref="BM28" si="122">+BL28</f>
        <v>3520</v>
      </c>
    </row>
    <row r="29" spans="3:65" ht="15.7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-254.3085558734906</v>
      </c>
      <c r="AZ30" s="743">
        <f t="shared" si="128"/>
        <v>-123.18208799355489</v>
      </c>
      <c r="BA30" s="743">
        <f t="shared" ref="BA30:BG30" si="129">+BA28-BA25</f>
        <v>90.312489594594354</v>
      </c>
      <c r="BB30" s="743">
        <f t="shared" si="129"/>
        <v>215.0140043230017</v>
      </c>
      <c r="BC30" s="743">
        <f t="shared" si="129"/>
        <v>199.5740847165157</v>
      </c>
      <c r="BD30" s="743">
        <f t="shared" si="129"/>
        <v>140.8974541643679</v>
      </c>
      <c r="BE30" s="743">
        <f t="shared" si="129"/>
        <v>82.744671039466539</v>
      </c>
      <c r="BF30" s="743">
        <f t="shared" si="129"/>
        <v>26.51136926952131</v>
      </c>
      <c r="BG30" s="743">
        <f t="shared" si="129"/>
        <v>-18.033610512965424</v>
      </c>
      <c r="BH30" s="743">
        <f t="shared" ref="BH30:BM30" si="130">+BH28-BH25</f>
        <v>-43.238155281090258</v>
      </c>
      <c r="BI30" s="743">
        <f t="shared" si="130"/>
        <v>-60.373310840961494</v>
      </c>
      <c r="BJ30" s="743">
        <f t="shared" si="130"/>
        <v>-76.764388850475825</v>
      </c>
      <c r="BK30" s="743">
        <f t="shared" si="130"/>
        <v>-59.126061723737166</v>
      </c>
      <c r="BL30" s="743">
        <f t="shared" si="130"/>
        <v>-21.972759596844753</v>
      </c>
      <c r="BM30" s="743">
        <f t="shared" si="130"/>
        <v>-6.0235752941171086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-47.541418506223479</v>
      </c>
      <c r="AZ31" s="744">
        <f t="shared" si="136"/>
        <v>-22.930345680000244</v>
      </c>
      <c r="BA31" s="744">
        <f t="shared" ref="BA31:BG31" si="137">+BA30/BA2</f>
        <v>16.707810574999957</v>
      </c>
      <c r="BB31" s="744">
        <f t="shared" si="137"/>
        <v>39.541075395000014</v>
      </c>
      <c r="BC31" s="744">
        <f t="shared" si="137"/>
        <v>36.432249164999938</v>
      </c>
      <c r="BD31" s="744">
        <f t="shared" si="137"/>
        <v>25.544708439999898</v>
      </c>
      <c r="BE31" s="744">
        <f t="shared" si="137"/>
        <v>14.88576632000003</v>
      </c>
      <c r="BF31" s="744">
        <f t="shared" si="137"/>
        <v>4.7362561199999824</v>
      </c>
      <c r="BG31" s="744">
        <f t="shared" si="137"/>
        <v>-3.199162505000066</v>
      </c>
      <c r="BH31" s="744">
        <f t="shared" ref="BH31:BM31" si="138">+BH30/BH2</f>
        <v>-7.6142391449999947</v>
      </c>
      <c r="BI31" s="744">
        <f t="shared" si="138"/>
        <v>-10.553254735000069</v>
      </c>
      <c r="BJ31" s="744">
        <f t="shared" si="138"/>
        <v>-13.32245968500008</v>
      </c>
      <c r="BK31" s="744">
        <f t="shared" si="138"/>
        <v>-10.187420434999915</v>
      </c>
      <c r="BL31" s="744">
        <f t="shared" si="138"/>
        <v>-3.7606378049999796</v>
      </c>
      <c r="BM31" s="744">
        <f t="shared" si="138"/>
        <v>-1.0240077999999084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-0.17996388150986278</v>
      </c>
      <c r="AZ32" s="745">
        <f t="shared" si="143"/>
        <v>-8.680081795194132E-2</v>
      </c>
      <c r="BA32" s="745">
        <f t="shared" ref="BA32:BG32" si="144">+BA31/264.172</f>
        <v>6.3245955570612911E-2</v>
      </c>
      <c r="BB32" s="745">
        <f t="shared" si="144"/>
        <v>0.149679282418273</v>
      </c>
      <c r="BC32" s="745">
        <f t="shared" si="144"/>
        <v>0.13791109264040069</v>
      </c>
      <c r="BD32" s="745">
        <f t="shared" si="144"/>
        <v>9.6697259512741301E-2</v>
      </c>
      <c r="BE32" s="745">
        <f t="shared" si="144"/>
        <v>5.6348766409763447E-2</v>
      </c>
      <c r="BF32" s="745">
        <f t="shared" si="144"/>
        <v>1.7928683282104015E-2</v>
      </c>
      <c r="BG32" s="745">
        <f t="shared" si="144"/>
        <v>-1.2110149845555418E-2</v>
      </c>
      <c r="BH32" s="745">
        <f t="shared" ref="BH32:BM32" si="145">+BH31/264.172</f>
        <v>-2.8823036298320767E-2</v>
      </c>
      <c r="BI32" s="745">
        <f t="shared" si="145"/>
        <v>-3.9948422751086669E-2</v>
      </c>
      <c r="BJ32" s="745">
        <f t="shared" si="145"/>
        <v>-5.0431005878745966E-2</v>
      </c>
      <c r="BK32" s="745">
        <f t="shared" si="145"/>
        <v>-3.8563589006404594E-2</v>
      </c>
      <c r="BL32" s="745">
        <f t="shared" si="145"/>
        <v>-1.4235565483851352E-2</v>
      </c>
      <c r="BM32" s="745">
        <f t="shared" si="145"/>
        <v>-3.8762919612975954E-3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3520</v>
      </c>
      <c r="AZ34" s="743">
        <f t="shared" ref="AZ34:BA34" si="155">+AY34+AZ40</f>
        <v>3611.5</v>
      </c>
      <c r="BA34" s="743">
        <f t="shared" si="155"/>
        <v>3626</v>
      </c>
      <c r="BB34" s="743">
        <f t="shared" ref="BB34" si="156">+BA34+BB40</f>
        <v>3624.5</v>
      </c>
      <c r="BC34" s="743">
        <f t="shared" ref="BC34" si="157">+BB34+BC40</f>
        <v>3644.5</v>
      </c>
      <c r="BD34" s="743">
        <f t="shared" ref="BD34" si="158">+BC34+BD40</f>
        <v>3653</v>
      </c>
      <c r="BE34" s="743">
        <f t="shared" ref="BE34" si="159">+BD34+BE40</f>
        <v>3386.5</v>
      </c>
      <c r="BF34" s="743">
        <f t="shared" ref="BF34" si="160">+BE34+BF40</f>
        <v>3106.5</v>
      </c>
      <c r="BG34" s="743">
        <f t="shared" ref="BG34" si="161">+BF34+BG40</f>
        <v>3076.5</v>
      </c>
      <c r="BH34" s="743">
        <f t="shared" ref="BH34" si="162">+BG34+BH40</f>
        <v>3171.5</v>
      </c>
      <c r="BI34" s="743">
        <f t="shared" ref="BI34" si="163">+BH34+BI40</f>
        <v>3171.5</v>
      </c>
      <c r="BJ34" s="743">
        <f t="shared" ref="BJ34" si="164">+BI34+BJ40</f>
        <v>3171.5</v>
      </c>
      <c r="BK34" s="743">
        <f t="shared" ref="BK34" si="165">+BJ34+BK40</f>
        <v>3261.5</v>
      </c>
      <c r="BL34" s="743">
        <f t="shared" ref="BL34" si="166">+BK34+BL40</f>
        <v>3271.5</v>
      </c>
      <c r="BM34" s="743">
        <f t="shared" ref="BM34" si="167">+BL34+BM40</f>
        <v>3291.5</v>
      </c>
    </row>
    <row r="35" spans="1:65" ht="15.7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-254.3085558734906</v>
      </c>
      <c r="AZ36" s="835">
        <f t="shared" si="174"/>
        <v>-31.682087993554887</v>
      </c>
      <c r="BA36" s="835">
        <f t="shared" ref="BA36:BG36" si="175">+BA34-BA25</f>
        <v>196.31248959459435</v>
      </c>
      <c r="BB36" s="835">
        <f t="shared" si="175"/>
        <v>319.5140043230017</v>
      </c>
      <c r="BC36" s="835">
        <f t="shared" si="175"/>
        <v>324.0740847165157</v>
      </c>
      <c r="BD36" s="835">
        <f t="shared" si="175"/>
        <v>273.8974541643679</v>
      </c>
      <c r="BE36" s="835">
        <f t="shared" si="175"/>
        <v>-50.755328960533461</v>
      </c>
      <c r="BF36" s="835">
        <f t="shared" si="175"/>
        <v>-386.98863073047869</v>
      </c>
      <c r="BG36" s="835">
        <f t="shared" si="175"/>
        <v>-461.53361051296542</v>
      </c>
      <c r="BH36" s="835">
        <f t="shared" ref="BH36:BM36" si="176">+BH34-BH25</f>
        <v>-391.73815528109026</v>
      </c>
      <c r="BI36" s="835">
        <f t="shared" si="176"/>
        <v>-408.87331084096149</v>
      </c>
      <c r="BJ36" s="835">
        <f t="shared" si="176"/>
        <v>-425.26438885047583</v>
      </c>
      <c r="BK36" s="835">
        <f t="shared" si="176"/>
        <v>-317.62606172373717</v>
      </c>
      <c r="BL36" s="835">
        <f t="shared" si="176"/>
        <v>-270.47275959684475</v>
      </c>
      <c r="BM36" s="835">
        <f t="shared" si="176"/>
        <v>-234.52357529411711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-47.541418506223479</v>
      </c>
      <c r="AZ37" s="744">
        <f t="shared" si="184"/>
        <v>-5.8976206800002426</v>
      </c>
      <c r="BA37" s="744">
        <f t="shared" ref="BA37:BG37" si="185">+BA36/BA2</f>
        <v>36.317810574999953</v>
      </c>
      <c r="BB37" s="744">
        <f t="shared" si="185"/>
        <v>58.758625395000017</v>
      </c>
      <c r="BC37" s="744">
        <f t="shared" si="185"/>
        <v>59.159724164999936</v>
      </c>
      <c r="BD37" s="744">
        <f t="shared" si="185"/>
        <v>49.657608439999898</v>
      </c>
      <c r="BE37" s="744">
        <f t="shared" si="185"/>
        <v>-9.13088367999997</v>
      </c>
      <c r="BF37" s="744">
        <f t="shared" si="185"/>
        <v>-69.135518880000021</v>
      </c>
      <c r="BG37" s="744">
        <f t="shared" si="185"/>
        <v>-81.876062505000064</v>
      </c>
      <c r="BH37" s="744">
        <f t="shared" ref="BH37:BM37" si="186">+BH36/BH2</f>
        <v>-68.985089144999989</v>
      </c>
      <c r="BI37" s="744">
        <f t="shared" si="186"/>
        <v>-71.471054735000067</v>
      </c>
      <c r="BJ37" s="744">
        <f t="shared" si="186"/>
        <v>-73.804634685000082</v>
      </c>
      <c r="BK37" s="744">
        <f t="shared" si="186"/>
        <v>-54.726970434999913</v>
      </c>
      <c r="BL37" s="744">
        <f t="shared" si="186"/>
        <v>-46.291412804999979</v>
      </c>
      <c r="BM37" s="744">
        <f t="shared" si="186"/>
        <v>-39.869007799999913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-0.17996388150986278</v>
      </c>
      <c r="AZ38" s="745">
        <f t="shared" si="191"/>
        <v>-2.2324927244372007E-2</v>
      </c>
      <c r="BA38" s="745">
        <f t="shared" ref="BA38:BG38" si="192">+BA37/264.172</f>
        <v>0.13747789536741195</v>
      </c>
      <c r="BB38" s="745">
        <f t="shared" si="192"/>
        <v>0.22242563706600249</v>
      </c>
      <c r="BC38" s="745">
        <f t="shared" si="192"/>
        <v>0.22394396137743566</v>
      </c>
      <c r="BD38" s="745">
        <f t="shared" si="192"/>
        <v>0.18797453341005063</v>
      </c>
      <c r="BE38" s="745">
        <f t="shared" si="192"/>
        <v>-3.4564161531123544E-2</v>
      </c>
      <c r="BF38" s="745">
        <f t="shared" si="192"/>
        <v>-0.26170645973078149</v>
      </c>
      <c r="BG38" s="745">
        <f t="shared" si="192"/>
        <v>-0.30993467326211732</v>
      </c>
      <c r="BH38" s="745">
        <f t="shared" ref="BH38:BM38" si="193">+BH37/264.172</f>
        <v>-0.26113702112638731</v>
      </c>
      <c r="BI38" s="745">
        <f t="shared" si="193"/>
        <v>-0.27054742643050761</v>
      </c>
      <c r="BJ38" s="745">
        <f t="shared" si="193"/>
        <v>-0.27938098922293081</v>
      </c>
      <c r="BK38" s="745">
        <f t="shared" si="193"/>
        <v>-0.20716415984661474</v>
      </c>
      <c r="BL38" s="745">
        <f t="shared" si="193"/>
        <v>-0.17523209426055741</v>
      </c>
      <c r="BM38" s="745">
        <f t="shared" si="193"/>
        <v>-0.15092064185454895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91.5</v>
      </c>
      <c r="BA40" s="810">
        <f t="shared" si="194"/>
        <v>14.5</v>
      </c>
      <c r="BB40" s="810">
        <f t="shared" ref="BB40" si="195">BB42-BA42</f>
        <v>-1.5</v>
      </c>
      <c r="BC40" s="810">
        <f t="shared" ref="BC40" si="196">BC42-BB42</f>
        <v>20</v>
      </c>
      <c r="BD40" s="810">
        <f t="shared" ref="BD40" si="197">BD42-BC42</f>
        <v>8.5</v>
      </c>
      <c r="BE40" s="810">
        <f t="shared" ref="BE40" si="198">BE42-BD42</f>
        <v>-266.5</v>
      </c>
      <c r="BF40" s="810">
        <f t="shared" ref="BF40" si="199">BF42-BE42</f>
        <v>-280</v>
      </c>
      <c r="BG40" s="810">
        <f t="shared" ref="BG40" si="200">BG42-BF42</f>
        <v>-30</v>
      </c>
      <c r="BH40" s="810">
        <f t="shared" ref="BH40" si="201">BH42-BG42</f>
        <v>95</v>
      </c>
      <c r="BI40" s="810">
        <f t="shared" ref="BI40" si="202">BI42-BH42</f>
        <v>0</v>
      </c>
      <c r="BJ40" s="810">
        <f t="shared" ref="BJ40" si="203">BJ42-BI42</f>
        <v>0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5.7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2833.5</v>
      </c>
      <c r="AZ42" s="739">
        <f>+'settlement day'!BI13</f>
        <v>2925</v>
      </c>
      <c r="BA42" s="739">
        <f>+'settlement day'!BJ13</f>
        <v>2939.5</v>
      </c>
      <c r="BB42" s="739">
        <f>+'settlement day'!BK13</f>
        <v>2938</v>
      </c>
      <c r="BC42" s="739">
        <f>+'settlement day'!BL13</f>
        <v>2958</v>
      </c>
      <c r="BD42" s="739">
        <f>+'settlement day'!BM13</f>
        <v>2966.5</v>
      </c>
      <c r="BE42" s="739">
        <f>+'settlement day'!BN13</f>
        <v>2700</v>
      </c>
      <c r="BF42" s="739">
        <f>+'settlement day'!BO13</f>
        <v>2420</v>
      </c>
      <c r="BG42" s="739">
        <f>+'settlement day'!BP13</f>
        <v>2390</v>
      </c>
      <c r="BH42" s="739">
        <f>+'settlement day'!BQ13</f>
        <v>2485</v>
      </c>
      <c r="BI42" s="739">
        <f>+'settlement day'!BR13</f>
        <v>2485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3033.8383279884993</v>
      </c>
      <c r="AZ43" s="739">
        <f>+(AZ42-'mkt data'!$G$23+'mkt data'!$G$24)/'mkt data'!$H$25</f>
        <v>3135.021563640385</v>
      </c>
      <c r="BA43" s="739">
        <f>+(BA42-'mkt data'!$G$23+'mkt data'!$G$24)/'mkt data'!$H$25</f>
        <v>3151.0560654650008</v>
      </c>
      <c r="BB43" s="739">
        <f>+(BB42-'mkt data'!$G$23+'mkt data'!$G$24)/'mkt data'!$H$25</f>
        <v>3149.397323896937</v>
      </c>
      <c r="BC43" s="739">
        <f>+(BC42-'mkt data'!$G$23+'mkt data'!$G$24)/'mkt data'!$H$25</f>
        <v>3171.5138781377864</v>
      </c>
      <c r="BD43" s="739">
        <f>+(BD42-'mkt data'!$G$23+'mkt data'!$G$24)/'mkt data'!$H$25</f>
        <v>3180.9134136901471</v>
      </c>
      <c r="BE43" s="739">
        <f>+(BE42-'mkt data'!$G$23+'mkt data'!$G$24)/'mkt data'!$H$25</f>
        <v>2886.2103284308305</v>
      </c>
      <c r="BF43" s="739">
        <f>+(BF42-'mkt data'!$G$23+'mkt data'!$G$24)/'mkt data'!$H$25</f>
        <v>2576.5785690589405</v>
      </c>
      <c r="BG43" s="739">
        <f>+(BG42-'mkt data'!$G$23+'mkt data'!$G$24)/'mkt data'!$H$25</f>
        <v>2543.4037376976667</v>
      </c>
      <c r="BH43" s="739">
        <f>+(BH42-'mkt data'!$G$23+'mkt data'!$G$24)/'mkt data'!$H$25</f>
        <v>2648.4573703417009</v>
      </c>
      <c r="BI43" s="739">
        <f>+(BI42-'mkt data'!$G$23+'mkt data'!$G$24)/'mkt data'!$H$25</f>
        <v>2648.4573703417009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3072.7200000000003</v>
      </c>
      <c r="AZ45" s="739">
        <f>+((AZ42-'mkt data'!$G$23)*'mkt data'!$H$26)+('mkt data'!$G$24)</f>
        <v>3175.2000000000003</v>
      </c>
      <c r="BA45" s="739">
        <f>+((BA42-'mkt data'!$G$23)*'mkt data'!$H$26)+('mkt data'!$G$24)</f>
        <v>3191.4400000000005</v>
      </c>
      <c r="BB45" s="739">
        <f>+((BB42-'mkt data'!$G$23)*'mkt data'!$H$26)+('mkt data'!$G$24)</f>
        <v>3189.76</v>
      </c>
      <c r="BC45" s="739">
        <f>+((BC42-'mkt data'!$G$23)*'mkt data'!$H$26)+('mkt data'!$G$24)</f>
        <v>3212.1600000000003</v>
      </c>
      <c r="BD45" s="739">
        <f>+((BD42-'mkt data'!$G$23)*'mkt data'!$H$26)+('mkt data'!$G$24)</f>
        <v>3221.6800000000003</v>
      </c>
      <c r="BE45" s="739">
        <f>+((BE42-'mkt data'!$G$23)*'mkt data'!$H$26)+('mkt data'!$G$24)</f>
        <v>2923.2000000000003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2576.0000000000005</v>
      </c>
      <c r="BH45" s="739">
        <f>+((BH42-'mkt data'!$G$23)*'mkt data'!$H$26)+('mkt data'!$G$24)</f>
        <v>2682.4</v>
      </c>
      <c r="BI45" s="739">
        <f>+((BI42-'mkt data'!$G$23)*'mkt data'!$H$26)+('mkt data'!$G$24)</f>
        <v>2682.4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3614.819192618224</v>
      </c>
      <c r="AZ47" s="681">
        <f t="shared" si="212"/>
        <v>3717.299192618224</v>
      </c>
      <c r="BA47" s="681">
        <f t="shared" ref="BA47:BG47" si="213">+BA45+$B$47</f>
        <v>3733.5391926182242</v>
      </c>
      <c r="BB47" s="681">
        <f t="shared" si="213"/>
        <v>3731.8591926182239</v>
      </c>
      <c r="BC47" s="681">
        <f t="shared" si="213"/>
        <v>3754.259192618224</v>
      </c>
      <c r="BD47" s="681">
        <f t="shared" si="213"/>
        <v>3763.779192618224</v>
      </c>
      <c r="BE47" s="681">
        <f t="shared" si="213"/>
        <v>3465.299192618224</v>
      </c>
      <c r="BF47" s="681">
        <f t="shared" si="213"/>
        <v>3151.6991926182241</v>
      </c>
      <c r="BG47" s="681">
        <f t="shared" si="213"/>
        <v>3118.0991926182242</v>
      </c>
      <c r="BH47" s="681">
        <f t="shared" ref="BH47:BM47" si="214">+BH45+$B$47</f>
        <v>3224.4991926182238</v>
      </c>
      <c r="BI47" s="681">
        <f t="shared" si="214"/>
        <v>3224.4991926182238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5.7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-159.48936325526665</v>
      </c>
      <c r="AZ49" s="744">
        <f t="shared" si="220"/>
        <v>74.117104624669082</v>
      </c>
      <c r="BA49" s="744">
        <f t="shared" ref="BA49:BG49" si="221">+BA47-BA25</f>
        <v>303.85168221281856</v>
      </c>
      <c r="BB49" s="744">
        <f t="shared" si="221"/>
        <v>426.87319694122561</v>
      </c>
      <c r="BC49" s="744">
        <f t="shared" si="221"/>
        <v>433.83327733473971</v>
      </c>
      <c r="BD49" s="744">
        <f t="shared" si="221"/>
        <v>384.67664678259189</v>
      </c>
      <c r="BE49" s="744">
        <f t="shared" si="221"/>
        <v>28.043863657690508</v>
      </c>
      <c r="BF49" s="744">
        <f t="shared" si="221"/>
        <v>-341.78943811225463</v>
      </c>
      <c r="BG49" s="744">
        <f t="shared" si="221"/>
        <v>-419.93441789474127</v>
      </c>
      <c r="BH49" s="744">
        <f t="shared" ref="BH49:BM49" si="222">+BH47-BH25</f>
        <v>-338.73896266286647</v>
      </c>
      <c r="BI49" s="744">
        <f t="shared" si="222"/>
        <v>-355.87411822273771</v>
      </c>
      <c r="BJ49" s="744">
        <f t="shared" si="222"/>
        <v>-372.26519623225204</v>
      </c>
      <c r="BK49" s="744">
        <f t="shared" si="222"/>
        <v>-253.8268691055132</v>
      </c>
      <c r="BL49" s="744">
        <f t="shared" si="222"/>
        <v>-205.47356697862097</v>
      </c>
      <c r="BM49" s="744">
        <f t="shared" si="222"/>
        <v>-167.12438267589323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-29.815554336212266</v>
      </c>
      <c r="AZ50" s="746">
        <f t="shared" si="230"/>
        <v>13.79689902588215</v>
      </c>
      <c r="BA50" s="746">
        <f t="shared" ref="BA50:BG50" si="231">+BA49/BA2</f>
        <v>56.212561209371437</v>
      </c>
      <c r="BB50" s="746">
        <f t="shared" si="231"/>
        <v>78.501980917491395</v>
      </c>
      <c r="BC50" s="746">
        <f t="shared" si="231"/>
        <v>79.196264777456733</v>
      </c>
      <c r="BD50" s="746">
        <f t="shared" si="231"/>
        <v>69.741876061683897</v>
      </c>
      <c r="BE50" s="746">
        <f t="shared" si="231"/>
        <v>5.0450910720185229</v>
      </c>
      <c r="BF50" s="746">
        <f t="shared" si="231"/>
        <v>-61.060683118754291</v>
      </c>
      <c r="BG50" s="746">
        <f t="shared" si="231"/>
        <v>-74.496365734527103</v>
      </c>
      <c r="BH50" s="746">
        <f t="shared" ref="BH50:BM50" si="232">+BH49/BH2</f>
        <v>-59.651931324930786</v>
      </c>
      <c r="BI50" s="746">
        <f t="shared" si="232"/>
        <v>-62.206795865334556</v>
      </c>
      <c r="BJ50" s="746">
        <f t="shared" si="232"/>
        <v>-64.606624806107348</v>
      </c>
      <c r="BK50" s="746">
        <f t="shared" si="232"/>
        <v>-43.734369546879925</v>
      </c>
      <c r="BL50" s="746">
        <f t="shared" si="232"/>
        <v>-35.166800988390982</v>
      </c>
      <c r="BM50" s="746">
        <f t="shared" si="232"/>
        <v>-28.411145054901851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-0.11286417310014787</v>
      </c>
      <c r="AZ51" s="747">
        <f t="shared" si="237"/>
        <v>5.2226954506466049E-2</v>
      </c>
      <c r="BA51" s="747">
        <f t="shared" ref="BA51:BG51" si="238">+BA50/264.172</f>
        <v>0.21278773378469873</v>
      </c>
      <c r="BB51" s="747">
        <f t="shared" si="238"/>
        <v>0.29716238252915295</v>
      </c>
      <c r="BC51" s="747">
        <f t="shared" si="238"/>
        <v>0.29979053335499872</v>
      </c>
      <c r="BD51" s="747">
        <f t="shared" si="238"/>
        <v>0.26400177180656498</v>
      </c>
      <c r="BE51" s="747">
        <f t="shared" si="238"/>
        <v>1.9097750980491962E-2</v>
      </c>
      <c r="BF51" s="747">
        <f t="shared" si="238"/>
        <v>-0.23113987522808732</v>
      </c>
      <c r="BG51" s="747">
        <f t="shared" si="238"/>
        <v>-0.28199947660814584</v>
      </c>
      <c r="BH51" s="747">
        <f t="shared" ref="BH51:BM51" si="239">+BH50/264.172</f>
        <v>-0.22580716853008942</v>
      </c>
      <c r="BI51" s="747">
        <f t="shared" si="239"/>
        <v>-0.2354783847846651</v>
      </c>
      <c r="BJ51" s="747">
        <f t="shared" si="239"/>
        <v>-0.24456272733714149</v>
      </c>
      <c r="BK51" s="747">
        <f t="shared" si="239"/>
        <v>-0.16555263066062989</v>
      </c>
      <c r="BL51" s="747">
        <f t="shared" si="239"/>
        <v>-0.13312084925121126</v>
      </c>
      <c r="BM51" s="747">
        <f t="shared" si="239"/>
        <v>-0.10754790460344718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5" t="s">
        <v>99</v>
      </c>
      <c r="F2" s="157" t="s">
        <v>327</v>
      </c>
      <c r="G2" s="890">
        <v>0.11</v>
      </c>
      <c r="H2" s="891">
        <v>1.1100000000000001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AY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baseColWidth="10" defaultColWidth="9.14062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82" ht="15.7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100"/>
      <c r="BX2" s="121"/>
      <c r="BY2" s="121"/>
      <c r="BZ2" s="121"/>
      <c r="CA2" s="121"/>
      <c r="CB2" s="992"/>
    </row>
    <row r="3" spans="2:82" ht="16.5" thickBot="1">
      <c r="B3" s="768">
        <v>45933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101" t="s">
        <v>4225</v>
      </c>
      <c r="BX3" s="1062" t="s">
        <v>4400</v>
      </c>
      <c r="BY3" s="1062" t="s">
        <v>4364</v>
      </c>
      <c r="BZ3" s="1062" t="s">
        <v>4365</v>
      </c>
      <c r="CA3" s="1062" t="s">
        <v>4401</v>
      </c>
      <c r="CB3" s="993" t="s">
        <v>4402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75</v>
      </c>
      <c r="BJ4" s="361">
        <f t="shared" ref="BJ4" si="1">+BI5-BJ5</f>
        <v>65</v>
      </c>
      <c r="BK4" s="1065">
        <f t="shared" ref="BK4" si="2">+BJ5-BK5</f>
        <v>22</v>
      </c>
      <c r="BL4" s="361">
        <f t="shared" ref="BL4" si="3">+BK5-BL5</f>
        <v>-2</v>
      </c>
      <c r="BM4" s="361">
        <f t="shared" ref="BM4" si="4">+BL5-BM5</f>
        <v>-3</v>
      </c>
      <c r="BN4" s="361">
        <f t="shared" ref="BN4" si="5">+BM5-BN5</f>
        <v>-8</v>
      </c>
      <c r="BO4" s="361">
        <f t="shared" ref="BO4" si="6">+BN5-BO5</f>
        <v>-1</v>
      </c>
      <c r="BP4" s="361">
        <f t="shared" ref="BP4" si="7">+BO5-BP5</f>
        <v>-1</v>
      </c>
      <c r="BQ4" s="361">
        <f t="shared" ref="BQ4" si="8">+BP5-BQ5</f>
        <v>11</v>
      </c>
      <c r="BR4" s="361">
        <f t="shared" ref="BR4" si="9">+BQ5-BR5</f>
        <v>0</v>
      </c>
      <c r="BS4" s="361">
        <f t="shared" ref="BS4" si="10">+BR5-BS5</f>
        <v>0</v>
      </c>
      <c r="BT4" s="361">
        <f t="shared" ref="BT4" si="11">+BS5-BT5</f>
        <v>22</v>
      </c>
      <c r="BU4" s="361">
        <f t="shared" ref="BU4" si="12">+BT5-BU5</f>
        <v>0</v>
      </c>
      <c r="BV4" s="361">
        <f t="shared" ref="BV4" si="13">+BU5-BV5</f>
        <v>0</v>
      </c>
      <c r="BW4" s="1102"/>
      <c r="BX4" s="1079"/>
      <c r="BY4" s="361">
        <f>+BW5-BY5</f>
        <v>88</v>
      </c>
      <c r="BZ4" s="361">
        <f>+BY5-BZ5</f>
        <v>-11.666666666666629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790</v>
      </c>
      <c r="BI5" s="149">
        <f>INDEX('T2'!$A$4:$CC$1048576,MATCH('settlement day'!$B$3,'T2'!$A$4:$A$1048576,0),MATCH('settlement day'!BI$3,'T2'!$A$4:$CC$4,0))</f>
        <v>715</v>
      </c>
      <c r="BJ5" s="149">
        <f>INDEX('T2'!$A$4:$CC$1048576,MATCH('settlement day'!$B$3,'T2'!$A$4:$A$1048576,0),MATCH('settlement day'!BJ$3,'T2'!$A$4:$CC$4,0))</f>
        <v>650</v>
      </c>
      <c r="BK5" s="1066">
        <f>INDEX('T2'!$A$4:$CC$1048576,MATCH('settlement day'!$B$3,'T2'!$A$4:$A$1048576,0),MATCH('settlement day'!BK$3,'T2'!$A$4:$CC$4,0))</f>
        <v>628</v>
      </c>
      <c r="BL5" s="149">
        <f>INDEX('T2'!$A$4:$CC$1048576,MATCH('settlement day'!$B$3,'T2'!$A$4:$A$1048576,0),MATCH('settlement day'!BL$3,'T2'!$A$4:$CC$4,0))</f>
        <v>630</v>
      </c>
      <c r="BM5" s="149">
        <f>INDEX('T2'!$A$4:$CC$1048576,MATCH('settlement day'!$B$3,'T2'!$A$4:$A$1048576,0),MATCH('settlement day'!BM$3,'T2'!$A$4:$CC$4,0))</f>
        <v>633</v>
      </c>
      <c r="BN5" s="149">
        <f>INDEX('T2'!$A$4:$CC$1048576,MATCH('settlement day'!$B$3,'T2'!$A$4:$A$1048576,0),MATCH('settlement day'!BN$3,'T2'!$A$4:$CC$4,0))</f>
        <v>641</v>
      </c>
      <c r="BO5" s="149">
        <f>INDEX('T2'!$A$4:$CC$1048576,MATCH('settlement day'!$B$3,'T2'!$A$4:$A$1048576,0),MATCH('settlement day'!BO$3,'T2'!$A$4:$CC$4,0))</f>
        <v>642</v>
      </c>
      <c r="BP5" s="149">
        <f>INDEX('T2'!$A$4:$CC$1048576,MATCH('settlement day'!$B$3,'T2'!$A$4:$A$1048576,0),MATCH('settlement day'!BP$3,'T2'!$A$4:$CC$4,0))</f>
        <v>643</v>
      </c>
      <c r="BQ5" s="149">
        <f>INDEX('T2'!$A$4:$CC$1048576,MATCH('settlement day'!$B$3,'T2'!$A$4:$A$1048576,0),MATCH('settlement day'!BQ$3,'T2'!$A$4:$CC$4,0))</f>
        <v>632</v>
      </c>
      <c r="BR5" s="149">
        <f>INDEX('T2'!$A$4:$CC$1048576,MATCH('settlement day'!$B$3,'T2'!$A$4:$A$1048576,0),MATCH('settlement day'!BR$3,'T2'!$A$4:$CC$4,0))</f>
        <v>632</v>
      </c>
      <c r="BS5" s="149">
        <f>INDEX('T2'!$A$4:$CC$1048576,MATCH('settlement day'!$B$3,'T2'!$A$4:$A$1048576,0),MATCH('settlement day'!BS$3,'T2'!$A$4:$CC$4,0))</f>
        <v>632</v>
      </c>
      <c r="BT5" s="149">
        <f>INDEX('T2'!$A$4:$CC$1048576,MATCH('settlement day'!$B$3,'T2'!$A$4:$A$1048576,0),MATCH('settlement day'!BT$3,'T2'!$A$4:$CC$4,0))</f>
        <v>610</v>
      </c>
      <c r="BU5" s="149">
        <f>INDEX('T2'!$A$4:$CC$1048576,MATCH('settlement day'!$B$3,'T2'!$A$4:$A$1048576,0),MATCH('settlement day'!BU$3,'T2'!$A$4:$CC$4,0))</f>
        <v>610</v>
      </c>
      <c r="BV5" s="149">
        <f>INDEX('T2'!$A$4:$CC$1048576,MATCH('settlement day'!$B$3,'T2'!$A$4:$A$1048576,0),MATCH('settlement day'!BV$3,'T2'!$A$4:$CC$4,0))</f>
        <v>610</v>
      </c>
      <c r="BW5" s="1103">
        <f>SUM(BH5:BJ5)/3</f>
        <v>718.33333333333337</v>
      </c>
      <c r="BX5" s="1080">
        <f>SUM(BK5:BV5)/12</f>
        <v>628.58333333333337</v>
      </c>
      <c r="BY5" s="149">
        <f>SUM(BK5:BM5)/3</f>
        <v>630.33333333333337</v>
      </c>
      <c r="BZ5" s="149">
        <f>SUM(BN5:BP5)/3</f>
        <v>642</v>
      </c>
      <c r="CA5" s="149">
        <f>SUM(BQ5:BS5)/3</f>
        <v>632</v>
      </c>
      <c r="CB5" s="995">
        <f>SUM(BT5:BV5)/3</f>
        <v>610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658.35199999999998</v>
      </c>
      <c r="BH6" s="149">
        <f ca="1">OFFSET(INDEX('T2'!$A$4:$CC$1048576,MATCH('settlement day'!$B$3,'T2'!$A$4:$A$1048576,0),MATCH('settlement day'!BH$3,'T2'!$A$4:$CC$4,0)),-1,0)</f>
        <v>750</v>
      </c>
      <c r="BI6" s="149">
        <f ca="1">OFFSET(INDEX('T2'!$A$4:$CC$1048576,MATCH('settlement day'!$B$3,'T2'!$A$4:$A$1048576,0),MATCH('settlement day'!BI$3,'T2'!$A$4:$CC$4,0)),-1,0)</f>
        <v>682</v>
      </c>
      <c r="BJ6" s="149">
        <f ca="1">OFFSET(INDEX('T2'!$A$4:$CC$1048576,MATCH('settlement day'!$B$3,'T2'!$A$4:$A$1048576,0),MATCH('settlement day'!BJ$3,'T2'!$A$4:$CC$4,0)),-1,0)</f>
        <v>629</v>
      </c>
      <c r="BK6" s="1066">
        <f ca="1">OFFSET(INDEX('T2'!$A$4:$CC$1048576,MATCH('settlement day'!$B$3,'T2'!$A$4:$A$1048576,0),MATCH('settlement day'!BK$3,'T2'!$A$4:$CC$4,0)),-1,0)</f>
        <v>609</v>
      </c>
      <c r="BL6" s="149">
        <f ca="1">OFFSET(INDEX('T2'!$A$4:$CC$1048576,MATCH('settlement day'!$B$3,'T2'!$A$4:$A$1048576,0),MATCH('settlement day'!BL$3,'T2'!$A$4:$CC$4,0)),-1,0)</f>
        <v>614</v>
      </c>
      <c r="BM6" s="149">
        <f ca="1">OFFSET(INDEX('T2'!$A$4:$CC$1048576,MATCH('settlement day'!$B$3,'T2'!$A$4:$A$1048576,0),MATCH('settlement day'!BM$3,'T2'!$A$4:$CC$4,0)),-1,0)</f>
        <v>615</v>
      </c>
      <c r="BN6" s="149">
        <f ca="1">OFFSET(INDEX('T2'!$A$4:$CC$1048576,MATCH('settlement day'!$B$3,'T2'!$A$4:$A$1048576,0),MATCH('settlement day'!BN$3,'T2'!$A$4:$CC$4,0)),-1,0)</f>
        <v>622</v>
      </c>
      <c r="BO6" s="149">
        <f ca="1">OFFSET(INDEX('T2'!$A$4:$CC$1048576,MATCH('settlement day'!$B$3,'T2'!$A$4:$A$1048576,0),MATCH('settlement day'!BO$3,'T2'!$A$4:$CC$4,0)),-1,0)</f>
        <v>623</v>
      </c>
      <c r="BP6" s="149">
        <f ca="1">OFFSET(INDEX('T2'!$A$4:$CC$1048576,MATCH('settlement day'!$B$3,'T2'!$A$4:$A$1048576,0),MATCH('settlement day'!BP$3,'T2'!$A$4:$CC$4,0)),-1,0)</f>
        <v>624</v>
      </c>
      <c r="BQ6" s="149">
        <f ca="1">OFFSET(INDEX('T2'!$A$4:$CC$1048576,MATCH('settlement day'!$B$3,'T2'!$A$4:$A$1048576,0),MATCH('settlement day'!BQ$3,'T2'!$A$4:$CC$4,0)),-1,0)</f>
        <v>616</v>
      </c>
      <c r="BR6" s="149">
        <f ca="1">OFFSET(INDEX('T2'!$A$4:$CC$1048576,MATCH('settlement day'!$B$3,'T2'!$A$4:$A$1048576,0),MATCH('settlement day'!BR$3,'T2'!$A$4:$CC$4,0)),-1,0)</f>
        <v>616</v>
      </c>
      <c r="BS6" s="149">
        <f ca="1">OFFSET(INDEX('T2'!$A$4:$CC$1048576,MATCH('settlement day'!$B$3,'T2'!$A$4:$A$1048576,0),MATCH('settlement day'!BS$3,'T2'!$A$4:$CC$4,0)),-1,0)</f>
        <v>616</v>
      </c>
      <c r="BT6" s="149">
        <f ca="1">OFFSET(INDEX('T2'!$A$4:$CC$1048576,MATCH('settlement day'!$B$3,'T2'!$A$4:$A$1048576,0),MATCH('settlement day'!BT$3,'T2'!$A$4:$CC$4,0)),-1,0)</f>
        <v>596</v>
      </c>
      <c r="BU6" s="149">
        <f ca="1">OFFSET(INDEX('T2'!$A$4:$CC$1048576,MATCH('settlement day'!$B$3,'T2'!$A$4:$A$1048576,0),MATCH('settlement day'!BU$3,'T2'!$A$4:$CC$4,0)),-1,0)</f>
        <v>596</v>
      </c>
      <c r="BV6" s="149">
        <f ca="1">OFFSET(INDEX('T2'!$A$4:$CC$1048576,MATCH('settlement day'!$B$3,'T2'!$A$4:$A$1048576,0),MATCH('settlement day'!BV$3,'T2'!$A$4:$CC$4,0)),-1,0)</f>
        <v>595</v>
      </c>
      <c r="BW6" s="1103">
        <f ca="1">SUM(BH6:BJ6)/3</f>
        <v>687</v>
      </c>
      <c r="BX6" s="1080">
        <f ca="1">SUM(BK6:BV6)/12</f>
        <v>611.83333333333337</v>
      </c>
      <c r="BY6" s="149">
        <f ca="1">SUM(BK6:BM6)/3</f>
        <v>612.66666666666663</v>
      </c>
      <c r="BZ6" s="149">
        <f ca="1">SUM(BN6:BP6)/3</f>
        <v>623</v>
      </c>
      <c r="CA6" s="149">
        <f ca="1">SUM(BQ6:BS6)/3</f>
        <v>616</v>
      </c>
      <c r="CB6" s="995">
        <f ca="1">SUM(BT6:BV6)/3</f>
        <v>595.66666666666663</v>
      </c>
    </row>
    <row r="7" spans="2:82" ht="15.7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-658.35199999999998</v>
      </c>
      <c r="BH7" s="438">
        <f t="shared" ref="BH7:BJ7" ca="1" si="22">BH5-BH6</f>
        <v>40</v>
      </c>
      <c r="BI7" s="438">
        <f t="shared" ca="1" si="22"/>
        <v>33</v>
      </c>
      <c r="BJ7" s="438">
        <f t="shared" ca="1" si="22"/>
        <v>21</v>
      </c>
      <c r="BK7" s="1067">
        <f t="shared" ref="BK7:BP7" ca="1" si="23">BK5-BK6</f>
        <v>19</v>
      </c>
      <c r="BL7" s="438">
        <f t="shared" ca="1" si="23"/>
        <v>16</v>
      </c>
      <c r="BM7" s="438">
        <f t="shared" ca="1" si="23"/>
        <v>18</v>
      </c>
      <c r="BN7" s="438">
        <f t="shared" ca="1" si="23"/>
        <v>19</v>
      </c>
      <c r="BO7" s="438">
        <f t="shared" ca="1" si="23"/>
        <v>19</v>
      </c>
      <c r="BP7" s="438">
        <f t="shared" ca="1" si="23"/>
        <v>19</v>
      </c>
      <c r="BQ7" s="438">
        <f t="shared" ref="BQ7:BV7" ca="1" si="24">BQ5-BQ6</f>
        <v>16</v>
      </c>
      <c r="BR7" s="438">
        <f t="shared" ca="1" si="24"/>
        <v>16</v>
      </c>
      <c r="BS7" s="438">
        <f t="shared" ca="1" si="24"/>
        <v>16</v>
      </c>
      <c r="BT7" s="438">
        <f t="shared" ca="1" si="24"/>
        <v>14</v>
      </c>
      <c r="BU7" s="438">
        <f t="shared" ca="1" si="24"/>
        <v>14</v>
      </c>
      <c r="BV7" s="438">
        <f t="shared" ca="1" si="24"/>
        <v>15</v>
      </c>
      <c r="BW7" s="1104">
        <f t="shared" ref="BW7:CB7" ca="1" si="25">BW5-BW6</f>
        <v>31.333333333333371</v>
      </c>
      <c r="BX7" s="1081">
        <f t="shared" ca="1" si="25"/>
        <v>16.75</v>
      </c>
      <c r="BY7" s="438">
        <f t="shared" ca="1" si="25"/>
        <v>17.666666666666742</v>
      </c>
      <c r="BZ7" s="438">
        <f t="shared" ca="1" si="25"/>
        <v>19</v>
      </c>
      <c r="CA7" s="438">
        <f t="shared" ca="1" si="25"/>
        <v>16</v>
      </c>
      <c r="CB7" s="996">
        <f t="shared" ca="1" si="25"/>
        <v>14.333333333333371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9.2500000000000027E-2</v>
      </c>
      <c r="BJ8" s="362">
        <f t="shared" ref="BJ8" si="27">+BI9-BJ9</f>
        <v>0.14749999999999996</v>
      </c>
      <c r="BK8" s="1068">
        <f t="shared" ref="BK8" si="28">+BJ9-BK9</f>
        <v>8.9999999999999858E-2</v>
      </c>
      <c r="BL8" s="362">
        <f t="shared" ref="BL8" si="29">+BK9-BL9</f>
        <v>5.0000000000001155E-3</v>
      </c>
      <c r="BM8" s="362">
        <f t="shared" ref="BM8" si="30">+BL9-BM9</f>
        <v>-2.2499999999999964E-2</v>
      </c>
      <c r="BN8" s="362">
        <f t="shared" ref="BN8" si="31">+BM9-BN9</f>
        <v>-2.0000000000000018E-2</v>
      </c>
      <c r="BO8" s="362">
        <f t="shared" ref="BO8" si="32">+BN9-BO9</f>
        <v>-2.0000000000000018E-2</v>
      </c>
      <c r="BP8" s="362">
        <f t="shared" ref="BP8" si="33">+BO9-BP9</f>
        <v>-1.2499999999999956E-2</v>
      </c>
      <c r="BQ8" s="362">
        <f t="shared" ref="BQ8" si="34">+BP9-BQ9</f>
        <v>0</v>
      </c>
      <c r="BR8" s="362">
        <f t="shared" ref="BR8" si="35">+BQ9-BR9</f>
        <v>4.9999999999998934E-3</v>
      </c>
      <c r="BS8" s="362">
        <f t="shared" ref="BS8" si="36">+BR9-BS9</f>
        <v>5.0000000000001155E-3</v>
      </c>
      <c r="BT8" s="362">
        <f t="shared" ref="BT8" si="37">+BS9-BT9</f>
        <v>2.4999999999999911E-2</v>
      </c>
      <c r="BU8" s="362">
        <f t="shared" ref="BU8" si="38">+BT9-BU9</f>
        <v>3.499999999999992E-2</v>
      </c>
      <c r="BV8" s="362">
        <f t="shared" ref="BV8" si="39">+BU9-BV9</f>
        <v>2.2500000000000187E-2</v>
      </c>
      <c r="BW8" s="1105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1.9924999999999999</v>
      </c>
      <c r="BI9" s="150">
        <f>INDEX(CU!$A$4:$CC$1048576,MATCH('settlement day'!$B$3,CU!$A$4:$A$1048576,0),MATCH('settlement day'!BI$3,CU!$A$4:$CC$4,0))</f>
        <v>1.9</v>
      </c>
      <c r="BJ9" s="150">
        <f>INDEX(CU!$A$4:$CC$1048576,MATCH('settlement day'!$B$3,CU!$A$4:$A$1048576,0),MATCH('settlement day'!BJ$3,CU!$A$4:$CC$4,0))</f>
        <v>1.7524999999999999</v>
      </c>
      <c r="BK9" s="1069">
        <f>INDEX(CU!$A$4:$CC$1048576,MATCH('settlement day'!$B$3,CU!$A$4:$A$1048576,0),MATCH('settlement day'!BK$3,CU!$A$4:$CC$4,0))</f>
        <v>1.6625000000000001</v>
      </c>
      <c r="BL9" s="150">
        <f>INDEX(CU!$A$4:$CC$1048576,MATCH('settlement day'!$B$3,CU!$A$4:$A$1048576,0),MATCH('settlement day'!BL$3,CU!$A$4:$CC$4,0))</f>
        <v>1.6575</v>
      </c>
      <c r="BM9" s="150">
        <f>INDEX(CU!$A$4:$CC$1048576,MATCH('settlement day'!$B$3,CU!$A$4:$A$1048576,0),MATCH('settlement day'!BM$3,CU!$A$4:$CC$4,0))</f>
        <v>1.68</v>
      </c>
      <c r="BN9" s="150">
        <f>INDEX(CU!$A$4:$CC$1048576,MATCH('settlement day'!$B$3,CU!$A$4:$A$1048576,0),MATCH('settlement day'!BN$3,CU!$A$4:$CC$4,0))</f>
        <v>1.7</v>
      </c>
      <c r="BO9" s="150">
        <f>INDEX(CU!$A$4:$CC$1048576,MATCH('settlement day'!$B$3,CU!$A$4:$A$1048576,0),MATCH('settlement day'!BO$3,CU!$A$4:$CC$4,0))</f>
        <v>1.72</v>
      </c>
      <c r="BP9" s="150">
        <f>INDEX(CU!$A$4:$CC$1048576,MATCH('settlement day'!$B$3,CU!$A$4:$A$1048576,0),MATCH('settlement day'!BP$3,CU!$A$4:$CC$4,0))</f>
        <v>1.7324999999999999</v>
      </c>
      <c r="BQ9" s="150">
        <f>INDEX(CU!$A$4:$CC$1048576,MATCH('settlement day'!$B$3,CU!$A$4:$A$1048576,0),MATCH('settlement day'!BQ$3,CU!$A$4:$CC$4,0))</f>
        <v>1.7324999999999999</v>
      </c>
      <c r="BR9" s="150">
        <f>INDEX(CU!$A$4:$CC$1048576,MATCH('settlement day'!$B$3,CU!$A$4:$A$1048576,0),MATCH('settlement day'!BR$3,CU!$A$4:$CC$4,0))</f>
        <v>1.7275</v>
      </c>
      <c r="BS9" s="150">
        <f>INDEX(CU!$A$4:$CC$1048576,MATCH('settlement day'!$B$3,CU!$A$4:$A$1048576,0),MATCH('settlement day'!BS$3,CU!$A$4:$CC$4,0))</f>
        <v>1.7224999999999999</v>
      </c>
      <c r="BT9" s="150">
        <f>INDEX(CU!$A$4:$CC$1048576,MATCH('settlement day'!$B$3,CU!$A$4:$A$1048576,0),MATCH('settlement day'!BT$3,CU!$A$4:$CC$4,0))</f>
        <v>1.6975</v>
      </c>
      <c r="BU9" s="150">
        <f>INDEX(CU!$A$4:$CC$1048576,MATCH('settlement day'!$B$3,CU!$A$4:$A$1048576,0),MATCH('settlement day'!BU$3,CU!$A$4:$CC$4,0))</f>
        <v>1.6625000000000001</v>
      </c>
      <c r="BV9" s="150">
        <f>INDEX(CU!$A$4:$CC$1048576,MATCH('settlement day'!$B$3,CU!$A$4:$A$1048576,0),MATCH('settlement day'!BV$3,CU!$A$4:$CC$4,0))</f>
        <v>1.64</v>
      </c>
      <c r="BW9" s="1106">
        <f>SUM(BH9:BJ9)/3</f>
        <v>1.8816666666666666</v>
      </c>
      <c r="BX9" s="1083">
        <f>SUM(BK9:BV9)/12</f>
        <v>1.6945833333333338</v>
      </c>
      <c r="BY9" s="150">
        <f>SUM(BK9:BM9)/3</f>
        <v>1.6666666666666667</v>
      </c>
      <c r="BZ9" s="150">
        <f>SUM(BN9:BP9)/3</f>
        <v>1.7175</v>
      </c>
      <c r="CA9" s="150">
        <f>SUM(BQ9:BS9)/3</f>
        <v>1.7275</v>
      </c>
      <c r="CB9" s="998">
        <f>SUM(BT9:BV9)/3</f>
        <v>1.6666666666666667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1.98583</v>
      </c>
      <c r="BH10" s="150">
        <f ca="1">OFFSET(INDEX(CU!$A$4:$CC$1048576,MATCH('settlement day'!$B$3,CU!$A$4:$A$1048576,0),MATCH('settlement day'!BH$3,CU!$A$4:$CC$4,0)),-1,0)</f>
        <v>2.0049999999999999</v>
      </c>
      <c r="BI10" s="150">
        <f ca="1">OFFSET(INDEX(CU!$A$4:$CC$1048576,MATCH('settlement day'!$B$3,CU!$A$4:$A$1048576,0),MATCH('settlement day'!BI$3,CU!$A$4:$CC$4,0)),-1,0)</f>
        <v>1.9125000000000001</v>
      </c>
      <c r="BJ10" s="150">
        <f ca="1">OFFSET(INDEX(CU!$A$4:$CC$1048576,MATCH('settlement day'!$B$3,CU!$A$4:$A$1048576,0),MATCH('settlement day'!BJ$3,CU!$A$4:$CC$4,0)),-1,0)</f>
        <v>1.7575000000000001</v>
      </c>
      <c r="BK10" s="1069">
        <f ca="1">OFFSET(INDEX(CU!$A$4:$CC$1048576,MATCH('settlement day'!$B$3,CU!$A$4:$A$1048576,0),MATCH('settlement day'!BK$3,CU!$A$4:$CC$4,0)),-1,0)</f>
        <v>1.665</v>
      </c>
      <c r="BL10" s="150">
        <f ca="1">OFFSET(INDEX(CU!$A$4:$CC$1048576,MATCH('settlement day'!$B$3,CU!$A$4:$A$1048576,0),MATCH('settlement day'!BL$3,CU!$A$4:$CC$4,0)),-1,0)</f>
        <v>1.66</v>
      </c>
      <c r="BM10" s="150">
        <f ca="1">OFFSET(INDEX(CU!$A$4:$CC$1048576,MATCH('settlement day'!$B$3,CU!$A$4:$A$1048576,0),MATCH('settlement day'!BM$3,CU!$A$4:$CC$4,0)),-1,0)</f>
        <v>1.68</v>
      </c>
      <c r="BN10" s="150">
        <f ca="1">OFFSET(INDEX(CU!$A$4:$CC$1048576,MATCH('settlement day'!$B$3,CU!$A$4:$A$1048576,0),MATCH('settlement day'!BN$3,CU!$A$4:$CC$4,0)),-1,0)</f>
        <v>1.7</v>
      </c>
      <c r="BO10" s="150">
        <f ca="1">OFFSET(INDEX(CU!$A$4:$CC$1048576,MATCH('settlement day'!$B$3,CU!$A$4:$A$1048576,0),MATCH('settlement day'!BO$3,CU!$A$4:$CC$4,0)),-1,0)</f>
        <v>1.72</v>
      </c>
      <c r="BP10" s="150">
        <f ca="1">OFFSET(INDEX(CU!$A$4:$CC$1048576,MATCH('settlement day'!$B$3,CU!$A$4:$A$1048576,0),MATCH('settlement day'!BP$3,CU!$A$4:$CC$4,0)),-1,0)</f>
        <v>1.7324999999999999</v>
      </c>
      <c r="BQ10" s="150">
        <f ca="1">OFFSET(INDEX(CU!$A$4:$CC$1048576,MATCH('settlement day'!$B$3,CU!$A$4:$A$1048576,0),MATCH('settlement day'!BQ$3,CU!$A$4:$CC$4,0)),-1,0)</f>
        <v>1.7324999999999999</v>
      </c>
      <c r="BR10" s="150">
        <f ca="1">OFFSET(INDEX(CU!$A$4:$CC$1048576,MATCH('settlement day'!$B$3,CU!$A$4:$A$1048576,0),MATCH('settlement day'!BR$3,CU!$A$4:$CC$4,0)),-1,0)</f>
        <v>1.7275</v>
      </c>
      <c r="BS10" s="150">
        <f ca="1">OFFSET(INDEX(CU!$A$4:$CC$1048576,MATCH('settlement day'!$B$3,CU!$A$4:$A$1048576,0),MATCH('settlement day'!BS$3,CU!$A$4:$CC$4,0)),-1,0)</f>
        <v>1.7224999999999999</v>
      </c>
      <c r="BT10" s="150">
        <f ca="1">OFFSET(INDEX(CU!$A$4:$CC$1048576,MATCH('settlement day'!$B$3,CU!$A$4:$A$1048576,0),MATCH('settlement day'!BT$3,CU!$A$4:$CC$4,0)),-1,0)</f>
        <v>1.6950000000000001</v>
      </c>
      <c r="BU10" s="150">
        <f ca="1">OFFSET(INDEX(CU!$A$4:$CC$1048576,MATCH('settlement day'!$B$3,CU!$A$4:$A$1048576,0),MATCH('settlement day'!BU$3,CU!$A$4:$CC$4,0)),-1,0)</f>
        <v>1.66</v>
      </c>
      <c r="BV10" s="150">
        <f ca="1">OFFSET(INDEX(CU!$A$4:$CC$1048576,MATCH('settlement day'!$B$3,CU!$A$4:$A$1048576,0),MATCH('settlement day'!BV$3,CU!$A$4:$CC$4,0)),-1,0)</f>
        <v>1.6375</v>
      </c>
      <c r="BW10" s="1106">
        <f ca="1">SUM(BH10:BJ10)/3</f>
        <v>1.8916666666666666</v>
      </c>
      <c r="BX10" s="1083">
        <f ca="1">SUM(BK10:BV10)/12</f>
        <v>1.694375</v>
      </c>
      <c r="BY10" s="150">
        <f ca="1">SUM(BK10:BM10)/3</f>
        <v>1.6683333333333332</v>
      </c>
      <c r="BZ10" s="150">
        <f ca="1">SUM(BN10:BP10)/3</f>
        <v>1.7175</v>
      </c>
      <c r="CA10" s="150">
        <f ca="1">SUM(BQ10:BS10)/3</f>
        <v>1.7275</v>
      </c>
      <c r="CB10" s="998">
        <f ca="1">SUM(BT10:BV10)/3</f>
        <v>1.6641666666666666</v>
      </c>
      <c r="CC10" s="540"/>
      <c r="CD10" s="378"/>
    </row>
    <row r="11" spans="2:82" ht="15.7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-1.98583</v>
      </c>
      <c r="BH11" s="439">
        <f t="shared" ref="BH11:BJ11" ca="1" si="48">BH9-BH10</f>
        <v>-1.2499999999999956E-2</v>
      </c>
      <c r="BI11" s="439">
        <f t="shared" ca="1" si="48"/>
        <v>-1.2500000000000178E-2</v>
      </c>
      <c r="BJ11" s="439">
        <f t="shared" ca="1" si="48"/>
        <v>-5.0000000000001155E-3</v>
      </c>
      <c r="BK11" s="1078">
        <f t="shared" ref="BK11:BP11" ca="1" si="49">BK9-BK10</f>
        <v>-2.4999999999999467E-3</v>
      </c>
      <c r="BL11" s="439">
        <f t="shared" ca="1" si="49"/>
        <v>-2.4999999999999467E-3</v>
      </c>
      <c r="BM11" s="439">
        <f t="shared" ca="1" si="49"/>
        <v>0</v>
      </c>
      <c r="BN11" s="439">
        <f t="shared" ca="1" si="49"/>
        <v>0</v>
      </c>
      <c r="BO11" s="439">
        <f t="shared" ca="1" si="49"/>
        <v>0</v>
      </c>
      <c r="BP11" s="439">
        <f t="shared" ca="1" si="49"/>
        <v>0</v>
      </c>
      <c r="BQ11" s="439">
        <f t="shared" ref="BQ11:BV11" ca="1" si="50">BQ9-BQ10</f>
        <v>0</v>
      </c>
      <c r="BR11" s="439">
        <f t="shared" ca="1" si="50"/>
        <v>0</v>
      </c>
      <c r="BS11" s="439">
        <f t="shared" ca="1" si="50"/>
        <v>0</v>
      </c>
      <c r="BT11" s="439">
        <f t="shared" ca="1" si="50"/>
        <v>2.4999999999999467E-3</v>
      </c>
      <c r="BU11" s="439">
        <f t="shared" ca="1" si="50"/>
        <v>2.5000000000001688E-3</v>
      </c>
      <c r="BV11" s="439">
        <f t="shared" ca="1" si="50"/>
        <v>2.4999999999999467E-3</v>
      </c>
      <c r="BW11" s="1107">
        <f t="shared" ref="BW11:CB11" ca="1" si="51">+BW9-BW10</f>
        <v>-1.0000000000000009E-2</v>
      </c>
      <c r="BX11" s="1084">
        <f t="shared" ca="1" si="51"/>
        <v>2.0833333333380999E-4</v>
      </c>
      <c r="BY11" s="974">
        <f t="shared" ca="1" si="51"/>
        <v>-1.6666666666664831E-3</v>
      </c>
      <c r="BZ11" s="974">
        <f t="shared" ca="1" si="51"/>
        <v>0</v>
      </c>
      <c r="CA11" s="974">
        <f t="shared" ca="1" si="51"/>
        <v>0</v>
      </c>
      <c r="CB11" s="999">
        <f t="shared" ca="1" si="51"/>
        <v>2.5000000000001688E-3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-2833.5</v>
      </c>
      <c r="BI12" s="361">
        <f t="shared" ref="BI12" si="53">+BH13-BI13</f>
        <v>-91.5</v>
      </c>
      <c r="BJ12" s="361">
        <f t="shared" ref="BJ12" si="54">+BI13-BJ13</f>
        <v>-14.5</v>
      </c>
      <c r="BK12" s="1065">
        <f t="shared" ref="BK12" si="55">+BJ13-BK13</f>
        <v>1.5</v>
      </c>
      <c r="BL12" s="361">
        <f t="shared" ref="BL12" si="56">+BK13-BL13</f>
        <v>-20</v>
      </c>
      <c r="BM12" s="361">
        <f t="shared" ref="BM12" si="57">+BL13-BM13</f>
        <v>-8.5</v>
      </c>
      <c r="BN12" s="361">
        <f t="shared" ref="BN12" si="58">+BM13-BN13</f>
        <v>266.5</v>
      </c>
      <c r="BO12" s="361">
        <f t="shared" ref="BO12" si="59">+BN13-BO13</f>
        <v>280</v>
      </c>
      <c r="BP12" s="361">
        <f t="shared" ref="BP12" si="60">+BO13-BP13</f>
        <v>30</v>
      </c>
      <c r="BQ12" s="361">
        <f t="shared" ref="BQ12" si="61">+BP13-BQ13</f>
        <v>-95</v>
      </c>
      <c r="BR12" s="361">
        <f t="shared" ref="BR12" si="62">+BQ13-BR13</f>
        <v>0</v>
      </c>
      <c r="BS12" s="361">
        <f t="shared" ref="BS12" si="63">+BR13-BS13</f>
        <v>0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2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2833.5</v>
      </c>
      <c r="BI13" s="151">
        <f>INDEX('B3 ETH'!$A$4:$CC$1048576,MATCH('settlement day'!$B$3,'B3 ETH'!$A$4:$A$1048576,0),MATCH('settlement day'!BI$3,'B3 ETH'!$A$4:$CC$4,0))</f>
        <v>2925</v>
      </c>
      <c r="BJ13" s="151">
        <f>INDEX('B3 ETH'!$A$4:$CC$1048576,MATCH('settlement day'!$B$3,'B3 ETH'!$A$4:$A$1048576,0),MATCH('settlement day'!BJ$3,'B3 ETH'!$A$4:$CC$4,0))</f>
        <v>2939.5</v>
      </c>
      <c r="BK13" s="1070">
        <f>INDEX('B3 ETH'!$A$4:$CC$1048576,MATCH('settlement day'!$B$3,'B3 ETH'!$A$4:$A$1048576,0),MATCH('settlement day'!BK$3,'B3 ETH'!$A$4:$CC$4,0))</f>
        <v>2938</v>
      </c>
      <c r="BL13" s="151">
        <f>INDEX('B3 ETH'!$A$4:$CC$1048576,MATCH('settlement day'!$B$3,'B3 ETH'!$A$4:$A$1048576,0),MATCH('settlement day'!BL$3,'B3 ETH'!$A$4:$CC$4,0))</f>
        <v>2958</v>
      </c>
      <c r="BM13" s="151">
        <f>INDEX('B3 ETH'!$A$4:$CC$1048576,MATCH('settlement day'!$B$3,'B3 ETH'!$A$4:$A$1048576,0),MATCH('settlement day'!BM$3,'B3 ETH'!$A$4:$CC$4,0))</f>
        <v>2966.5</v>
      </c>
      <c r="BN13" s="151">
        <f>INDEX('B3 ETH'!$A$4:$CC$1048576,MATCH('settlement day'!$B$3,'B3 ETH'!$A$4:$A$1048576,0),MATCH('settlement day'!BN$3,'B3 ETH'!$A$4:$CC$4,0))</f>
        <v>2700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2390</v>
      </c>
      <c r="BQ13" s="151">
        <f>INDEX('B3 ETH'!$A$4:$CC$1048576,MATCH('settlement day'!$B$3,'B3 ETH'!$A$4:$A$1048576,0),MATCH('settlement day'!BQ$3,'B3 ETH'!$A$4:$CC$4,0))</f>
        <v>2485</v>
      </c>
      <c r="BR13" s="151">
        <f>INDEX('B3 ETH'!$A$4:$CC$1048576,MATCH('settlement day'!$B$3,'B3 ETH'!$A$4:$A$1048576,0),MATCH('settlement day'!BR$3,'B3 ETH'!$A$4:$CC$4,0))</f>
        <v>2485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8">
        <f>SUM(BH13:BJ13)/3</f>
        <v>2899.3333333333335</v>
      </c>
      <c r="BX13" s="1085">
        <f>SUM(BK13:BV13)/12</f>
        <v>2632.7083333333335</v>
      </c>
      <c r="BY13" s="151">
        <f>SUM(BK13:BM13)/3</f>
        <v>2954.1666666666665</v>
      </c>
      <c r="BZ13" s="151">
        <f>SUM(BN13:BP13)/3</f>
        <v>2503.3333333333335</v>
      </c>
      <c r="CA13" s="151">
        <f>SUM(BQ13:BS13)/3</f>
        <v>2485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2846.5</v>
      </c>
      <c r="BI14" s="151">
        <f ca="1">OFFSET(INDEX('B3 ETH'!$A$4:$CC$1048576,MATCH('settlement day'!$B$3,'B3 ETH'!$A$4:$A$1048576,0),MATCH('settlement day'!BI$3,'B3 ETH'!$A$4:$CC$4,0)),-1,0)</f>
        <v>2925</v>
      </c>
      <c r="BJ14" s="151">
        <f ca="1">OFFSET(INDEX('B3 ETH'!$A$4:$CC$1048576,MATCH('settlement day'!$B$3,'B3 ETH'!$A$4:$A$1048576,0),MATCH('settlement day'!BJ$3,'B3 ETH'!$A$4:$CC$4,0)),-1,0)</f>
        <v>2939.5</v>
      </c>
      <c r="BK14" s="1070">
        <f ca="1">OFFSET(INDEX('B3 ETH'!$A$4:$CC$1048576,MATCH('settlement day'!$B$3,'B3 ETH'!$A$4:$A$1048576,0),MATCH('settlement day'!BK$3,'B3 ETH'!$A$4:$CC$4,0)),-1,0)</f>
        <v>2938</v>
      </c>
      <c r="BL14" s="151">
        <f ca="1">OFFSET(INDEX('B3 ETH'!$A$4:$CC$1048576,MATCH('settlement day'!$B$3,'B3 ETH'!$A$4:$A$1048576,0),MATCH('settlement day'!BL$3,'B3 ETH'!$A$4:$CC$4,0)),-1,0)</f>
        <v>2958</v>
      </c>
      <c r="BM14" s="151">
        <f ca="1">OFFSET(INDEX('B3 ETH'!$A$4:$CC$1048576,MATCH('settlement day'!$B$3,'B3 ETH'!$A$4:$A$1048576,0),MATCH('settlement day'!BM$3,'B3 ETH'!$A$4:$CC$4,0)),-1,0)</f>
        <v>2966.5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2390</v>
      </c>
      <c r="BQ14" s="151">
        <f ca="1">OFFSET(INDEX('B3 ETH'!$A$4:$CC$1048576,MATCH('settlement day'!$B$3,'B3 ETH'!$A$4:$A$1048576,0),MATCH('settlement day'!BQ$3,'B3 ETH'!$A$4:$CC$4,0)),-1,0)</f>
        <v>2485</v>
      </c>
      <c r="BR14" s="151">
        <f ca="1">OFFSET(INDEX('B3 ETH'!$A$4:$CC$1048576,MATCH('settlement day'!$B$3,'B3 ETH'!$A$4:$A$1048576,0),MATCH('settlement day'!BR$3,'B3 ETH'!$A$4:$CC$4,0)),-1,0)</f>
        <v>2485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8">
        <f ca="1">SUM(BH14:BJ14)/3</f>
        <v>2903.6666666666665</v>
      </c>
      <c r="BX14" s="1085">
        <f ca="1">SUM(BK14:BV14)/12</f>
        <v>2632.7083333333335</v>
      </c>
      <c r="BY14" s="151">
        <f ca="1">SUM(BK14:BM14)/3</f>
        <v>2954.1666666666665</v>
      </c>
      <c r="BZ14" s="151">
        <f ca="1">SUM(BN14:BP14)/3</f>
        <v>2503.3333333333335</v>
      </c>
      <c r="CA14" s="151">
        <f ca="1">SUM(BQ14:BS14)/3</f>
        <v>2485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-13</v>
      </c>
      <c r="BI15" s="440">
        <f t="shared" ca="1" si="77"/>
        <v>0</v>
      </c>
      <c r="BJ15" s="440">
        <f t="shared" ca="1" si="77"/>
        <v>0</v>
      </c>
      <c r="BK15" s="1071">
        <f t="shared" ref="BK15:BP15" ca="1" si="78">BK13-BK14</f>
        <v>0</v>
      </c>
      <c r="BL15" s="440">
        <f t="shared" ca="1" si="78"/>
        <v>0</v>
      </c>
      <c r="BM15" s="440">
        <f t="shared" ca="1" si="78"/>
        <v>0</v>
      </c>
      <c r="BN15" s="440">
        <f t="shared" ca="1" si="78"/>
        <v>0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9">
        <f t="shared" ref="BW15:CB15" ca="1" si="80">+BW13-BW14</f>
        <v>-4.3333333333330302</v>
      </c>
      <c r="BX15" s="1086">
        <f t="shared" ca="1" si="80"/>
        <v>0</v>
      </c>
      <c r="BY15" s="440">
        <f t="shared" ca="1" si="80"/>
        <v>0</v>
      </c>
      <c r="BZ15" s="440">
        <f t="shared" ca="1" si="80"/>
        <v>0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4.6499999999999986E-2</v>
      </c>
      <c r="BK16" s="1068">
        <f t="shared" ref="BK16" si="82">+BJ17-BK17</f>
        <v>1.9900000000000029E-2</v>
      </c>
      <c r="BL16" s="362">
        <f t="shared" ref="BL16" si="83">+BK17-BL17</f>
        <v>-4.5999999999999375E-3</v>
      </c>
      <c r="BM16" s="362">
        <f t="shared" ref="BM16" si="84">+BL17-BM17</f>
        <v>-1.8900000000000139E-2</v>
      </c>
      <c r="BN16" s="362">
        <f t="shared" ref="BN16" si="85">+BM17-BN17</f>
        <v>-0.19740000000000002</v>
      </c>
      <c r="BO16" s="362">
        <f t="shared" ref="BO16" si="86">+BN17-BO17</f>
        <v>-3.4999999999998366E-3</v>
      </c>
      <c r="BP16" s="362">
        <f t="shared" ref="BP16" si="87">+BO17-BP17</f>
        <v>8.1999999999999851E-3</v>
      </c>
      <c r="BQ16" s="362">
        <f t="shared" ref="BQ16" si="88">+BP17-BQ17</f>
        <v>1.7099999999999893E-2</v>
      </c>
      <c r="BR16" s="362">
        <f t="shared" ref="BR16" si="89">+BQ17-BR17</f>
        <v>2.3200000000000109E-2</v>
      </c>
      <c r="BS16" s="362">
        <f t="shared" ref="BS16" si="90">+BR17-BS17</f>
        <v>3.1399999999999872E-2</v>
      </c>
      <c r="BT16" s="362">
        <f t="shared" ref="BT16" si="91">+BS17-BT17</f>
        <v>0.13690000000000002</v>
      </c>
      <c r="BU16" s="362">
        <f t="shared" ref="BU16" si="92">+BT17-BU17</f>
        <v>3.2100000000000017E-2</v>
      </c>
      <c r="BV16" s="362">
        <f t="shared" ref="BV16" si="93">+BU17-BV17</f>
        <v>2.0499999999999963E-2</v>
      </c>
      <c r="BW16" s="1105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1.8605</v>
      </c>
      <c r="BJ17" s="150">
        <f>INDEX(RBOB!$A$4:$CC$1048576,MATCH('settlement day'!$B$3,RBOB!$A$4:$A$1048576,0),MATCH('settlement day'!BJ$3,RBOB!$A$4:$CC$4,0))</f>
        <v>1.8140000000000001</v>
      </c>
      <c r="BK17" s="1069">
        <f>INDEX(RBOB!$A$4:$CC$1048576,MATCH('settlement day'!$B$3,RBOB!$A$4:$A$1048576,0),MATCH('settlement day'!BK$3,RBOB!$A$4:$CC$4,0))</f>
        <v>1.7941</v>
      </c>
      <c r="BL17" s="150">
        <f>INDEX(RBOB!$A$4:$CC$1048576,MATCH('settlement day'!$B$3,RBOB!$A$4:$A$1048576,0),MATCH('settlement day'!BL$3,RBOB!$A$4:$CC$4,0))</f>
        <v>1.7987</v>
      </c>
      <c r="BM17" s="150">
        <f>INDEX(RBOB!$A$4:$CC$1048576,MATCH('settlement day'!$B$3,RBOB!$A$4:$A$1048576,0),MATCH('settlement day'!BM$3,RBOB!$A$4:$CC$4,0))</f>
        <v>1.8176000000000001</v>
      </c>
      <c r="BN17" s="150">
        <f>INDEX(RBOB!$A$4:$CC$1048576,MATCH('settlement day'!$B$3,RBOB!$A$4:$A$1048576,0),MATCH('settlement day'!BN$3,RBOB!$A$4:$CC$4,0))</f>
        <v>2.0150000000000001</v>
      </c>
      <c r="BO17" s="150">
        <f>INDEX(RBOB!$A$4:$CC$1048576,MATCH('settlement day'!$B$3,RBOB!$A$4:$A$1048576,0),MATCH('settlement day'!BO$3,RBOB!$A$4:$CC$4,0))</f>
        <v>2.0185</v>
      </c>
      <c r="BP17" s="150">
        <f>INDEX(RBOB!$A$4:$CC$1048576,MATCH('settlement day'!$B$3,RBOB!$A$4:$A$1048576,0),MATCH('settlement day'!BP$3,RBOB!$A$4:$CC$4,0))</f>
        <v>2.0103</v>
      </c>
      <c r="BQ17" s="150">
        <f>INDEX(RBOB!$A$4:$CC$1048576,MATCH('settlement day'!$B$3,RBOB!$A$4:$A$1048576,0),MATCH('settlement day'!BQ$3,RBOB!$A$4:$CC$4,0))</f>
        <v>1.9932000000000001</v>
      </c>
      <c r="BR17" s="150">
        <f>INDEX(RBOB!$A$4:$CC$1048576,MATCH('settlement day'!$B$3,RBOB!$A$4:$A$1048576,0),MATCH('settlement day'!BR$3,RBOB!$A$4:$CC$4,0))</f>
        <v>1.97</v>
      </c>
      <c r="BS17" s="150">
        <f>INDEX(RBOB!$A$4:$CC$1048576,MATCH('settlement day'!$B$3,RBOB!$A$4:$A$1048576,0),MATCH('settlement day'!BS$3,RBOB!$A$4:$CC$4,0))</f>
        <v>1.9386000000000001</v>
      </c>
      <c r="BT17" s="150">
        <f>INDEX(RBOB!$A$4:$CC$1048576,MATCH('settlement day'!$B$3,RBOB!$A$4:$A$1048576,0),MATCH('settlement day'!BT$3,RBOB!$A$4:$CC$4,0))</f>
        <v>1.8017000000000001</v>
      </c>
      <c r="BU17" s="150">
        <f>INDEX(RBOB!$A$4:$CC$1048576,MATCH('settlement day'!$B$3,RBOB!$A$4:$A$1048576,0),MATCH('settlement day'!BU$3,RBOB!$A$4:$CC$4,0))</f>
        <v>1.7696000000000001</v>
      </c>
      <c r="BV17" s="150">
        <f>INDEX(RBOB!$A$4:$CC$1048576,MATCH('settlement day'!$B$3,RBOB!$A$4:$A$1048576,0),MATCH('settlement day'!BV$3,RBOB!$A$4:$CC$4,0))</f>
        <v>1.7491000000000001</v>
      </c>
      <c r="BW17" s="1106">
        <f>SUM(BH17:BJ17)/3</f>
        <v>1.2248333333333334</v>
      </c>
      <c r="BX17" s="1083">
        <f>SUM(BK17:BV17)/12</f>
        <v>1.8897000000000002</v>
      </c>
      <c r="BY17" s="150">
        <f>SUM(BK17:BM17)/3</f>
        <v>1.8034666666666668</v>
      </c>
      <c r="BZ17" s="150">
        <f>SUM(BN17:BP17)/3</f>
        <v>2.0146000000000002</v>
      </c>
      <c r="CA17" s="150">
        <f>SUM(BQ17:BS17)/3</f>
        <v>1.9672666666666665</v>
      </c>
      <c r="CB17" s="998">
        <f>SUM(BT17:BV17)/3</f>
        <v>1.7734666666666667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1.851</v>
      </c>
      <c r="BJ18" s="150">
        <f ca="1">OFFSET(INDEX(RBOB!$A$4:$CC$1048576,MATCH('settlement day'!$B$3,RBOB!$A$4:$A$1048576,0),MATCH('settlement day'!BJ$3,RBOB!$A$4:$CC$4,0)),-1,0)</f>
        <v>1.8065</v>
      </c>
      <c r="BK18" s="1069">
        <f ca="1">OFFSET(INDEX(RBOB!$A$4:$CC$1048576,MATCH('settlement day'!$B$3,RBOB!$A$4:$A$1048576,0),MATCH('settlement day'!BK$3,RBOB!$A$4:$CC$4,0)),-1,0)</f>
        <v>1.786</v>
      </c>
      <c r="BL18" s="150">
        <f ca="1">OFFSET(INDEX(RBOB!$A$4:$CC$1048576,MATCH('settlement day'!$B$3,RBOB!$A$4:$A$1048576,0),MATCH('settlement day'!BL$3,RBOB!$A$4:$CC$4,0)),-1,0)</f>
        <v>1.7907999999999999</v>
      </c>
      <c r="BM18" s="150">
        <f ca="1">OFFSET(INDEX(RBOB!$A$4:$CC$1048576,MATCH('settlement day'!$B$3,RBOB!$A$4:$A$1048576,0),MATCH('settlement day'!BM$3,RBOB!$A$4:$CC$4,0)),-1,0)</f>
        <v>1.8101</v>
      </c>
      <c r="BN18" s="150">
        <f ca="1">OFFSET(INDEX(RBOB!$A$4:$CC$1048576,MATCH('settlement day'!$B$3,RBOB!$A$4:$A$1048576,0),MATCH('settlement day'!BN$3,RBOB!$A$4:$CC$4,0)),-1,0)</f>
        <v>2.0078999999999998</v>
      </c>
      <c r="BO18" s="150">
        <f ca="1">OFFSET(INDEX(RBOB!$A$4:$CC$1048576,MATCH('settlement day'!$B$3,RBOB!$A$4:$A$1048576,0),MATCH('settlement day'!BO$3,RBOB!$A$4:$CC$4,0)),-1,0)</f>
        <v>2.0114000000000001</v>
      </c>
      <c r="BP18" s="150">
        <f ca="1">OFFSET(INDEX(RBOB!$A$4:$CC$1048576,MATCH('settlement day'!$B$3,RBOB!$A$4:$A$1048576,0),MATCH('settlement day'!BP$3,RBOB!$A$4:$CC$4,0)),-1,0)</f>
        <v>2.0030999999999999</v>
      </c>
      <c r="BQ18" s="150">
        <f ca="1">OFFSET(INDEX(RBOB!$A$4:$CC$1048576,MATCH('settlement day'!$B$3,RBOB!$A$4:$A$1048576,0),MATCH('settlement day'!BQ$3,RBOB!$A$4:$CC$4,0)),-1,0)</f>
        <v>1.9858</v>
      </c>
      <c r="BR18" s="150">
        <f ca="1">OFFSET(INDEX(RBOB!$A$4:$CC$1048576,MATCH('settlement day'!$B$3,RBOB!$A$4:$A$1048576,0),MATCH('settlement day'!BR$3,RBOB!$A$4:$CC$4,0)),-1,0)</f>
        <v>1.9626999999999999</v>
      </c>
      <c r="BS18" s="150">
        <f ca="1">OFFSET(INDEX(RBOB!$A$4:$CC$1048576,MATCH('settlement day'!$B$3,RBOB!$A$4:$A$1048576,0),MATCH('settlement day'!BS$3,RBOB!$A$4:$CC$4,0)),-1,0)</f>
        <v>1.9315</v>
      </c>
      <c r="BT18" s="150">
        <f ca="1">OFFSET(INDEX(RBOB!$A$4:$CC$1048576,MATCH('settlement day'!$B$3,RBOB!$A$4:$A$1048576,0),MATCH('settlement day'!BT$3,RBOB!$A$4:$CC$4,0)),-1,0)</f>
        <v>1.794</v>
      </c>
      <c r="BU18" s="150">
        <f ca="1">OFFSET(INDEX(RBOB!$A$4:$CC$1048576,MATCH('settlement day'!$B$3,RBOB!$A$4:$A$1048576,0),MATCH('settlement day'!BU$3,RBOB!$A$4:$CC$4,0)),-1,0)</f>
        <v>1.7614000000000001</v>
      </c>
      <c r="BV18" s="150">
        <f ca="1">OFFSET(INDEX(RBOB!$A$4:$CC$1048576,MATCH('settlement day'!$B$3,RBOB!$A$4:$A$1048576,0),MATCH('settlement day'!BV$3,RBOB!$A$4:$CC$4,0)),-1,0)</f>
        <v>1.7414000000000001</v>
      </c>
      <c r="BW18" s="1106">
        <f ca="1">SUM(BH18:BJ18)/3</f>
        <v>1.2191666666666665</v>
      </c>
      <c r="BX18" s="1083">
        <f ca="1">SUM(BK18:BV18)/12</f>
        <v>1.8821750000000002</v>
      </c>
      <c r="BY18" s="150">
        <f ca="1">SUM(BK18:BM18)/3</f>
        <v>1.7956333333333332</v>
      </c>
      <c r="BZ18" s="150">
        <f ca="1">SUM(BN18:BP18)/3</f>
        <v>2.0074666666666663</v>
      </c>
      <c r="CA18" s="150">
        <f ca="1">SUM(BQ18:BS18)/3</f>
        <v>1.96</v>
      </c>
      <c r="CB18" s="998">
        <f ca="1">SUM(BT18:BV18)/3</f>
        <v>1.7656000000000001</v>
      </c>
      <c r="CC18" s="1045"/>
      <c r="CD18" s="378"/>
    </row>
    <row r="19" spans="2:82" ht="15.7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9.5000000000000639E-3</v>
      </c>
      <c r="BJ19" s="441">
        <f t="shared" ca="1" si="102"/>
        <v>7.5000000000000622E-3</v>
      </c>
      <c r="BK19" s="1072">
        <f t="shared" ref="BK19:BP19" ca="1" si="103">BK17-BK18</f>
        <v>8.0999999999999961E-3</v>
      </c>
      <c r="BL19" s="441">
        <f t="shared" ca="1" si="103"/>
        <v>7.9000000000000181E-3</v>
      </c>
      <c r="BM19" s="441">
        <f t="shared" ca="1" si="103"/>
        <v>7.5000000000000622E-3</v>
      </c>
      <c r="BN19" s="441">
        <f t="shared" ca="1" si="103"/>
        <v>7.1000000000003283E-3</v>
      </c>
      <c r="BO19" s="441">
        <f t="shared" ca="1" si="103"/>
        <v>7.0999999999998842E-3</v>
      </c>
      <c r="BP19" s="441">
        <f t="shared" ca="1" si="103"/>
        <v>7.2000000000000952E-3</v>
      </c>
      <c r="BQ19" s="441">
        <f t="shared" ref="BQ19:BV19" ca="1" si="104">BQ17-BQ18</f>
        <v>7.4000000000000732E-3</v>
      </c>
      <c r="BR19" s="441">
        <f t="shared" ca="1" si="104"/>
        <v>7.3000000000000842E-3</v>
      </c>
      <c r="BS19" s="441">
        <f t="shared" ca="1" si="104"/>
        <v>7.1000000000001062E-3</v>
      </c>
      <c r="BT19" s="441">
        <f t="shared" ca="1" si="104"/>
        <v>7.7000000000000401E-3</v>
      </c>
      <c r="BU19" s="441">
        <f t="shared" ca="1" si="104"/>
        <v>8.1999999999999851E-3</v>
      </c>
      <c r="BV19" s="441">
        <f t="shared" ca="1" si="104"/>
        <v>7.7000000000000401E-3</v>
      </c>
      <c r="BW19" s="1110">
        <f t="shared" ref="BW19:CB19" ca="1" si="105">BW17-BW18</f>
        <v>5.6666666666669308E-3</v>
      </c>
      <c r="BX19" s="1087">
        <f t="shared" ca="1" si="105"/>
        <v>7.5250000000000039E-3</v>
      </c>
      <c r="BY19" s="441">
        <f t="shared" ca="1" si="105"/>
        <v>7.8333333333335808E-3</v>
      </c>
      <c r="BZ19" s="441">
        <f t="shared" ca="1" si="105"/>
        <v>7.13333333333388E-3</v>
      </c>
      <c r="CA19" s="441">
        <f t="shared" ca="1" si="105"/>
        <v>7.2666666666665325E-3</v>
      </c>
      <c r="CB19" s="1007">
        <f t="shared" ca="1" si="105"/>
        <v>7.8666666666666885E-3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-4.1900000000000004</v>
      </c>
      <c r="BK20" s="1073"/>
      <c r="BL20" s="883"/>
      <c r="BM20" s="362">
        <f>+BJ21-BM21</f>
        <v>-0.16599999999999948</v>
      </c>
      <c r="BN20" s="883"/>
      <c r="BO20" s="362">
        <f>+BM21-BO21</f>
        <v>-9.6000000000000085E-2</v>
      </c>
      <c r="BP20" s="972"/>
      <c r="BQ20" s="362">
        <f>+BO21-BQ21</f>
        <v>-7.0000000000000284E-2</v>
      </c>
      <c r="BR20" s="972"/>
      <c r="BS20" s="362">
        <f>+BQ21-BS21</f>
        <v>1.8000000000000682E-2</v>
      </c>
      <c r="BT20" s="972"/>
      <c r="BU20" s="972"/>
      <c r="BV20" s="362">
        <f>+BS21-BV21</f>
        <v>-0.1120000000000001</v>
      </c>
      <c r="BW20" s="1111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4.1900000000000004</v>
      </c>
      <c r="BK21" s="1074"/>
      <c r="BL21" s="701"/>
      <c r="BM21" s="150">
        <f>IFERROR(INDEX(CORN!$A$4:$BB$1048576,MATCH('settlement day'!$B$3,CORN!$A$4:$A$1048576,0),MATCH('settlement day'!BM$3,CORN!$A$4:$BB$4,0)),"")</f>
        <v>4.3559999999999999</v>
      </c>
      <c r="BN21" s="763"/>
      <c r="BO21" s="150">
        <f>IFERROR(INDEX(CORN!$A$4:$BB$1048576,MATCH('settlement day'!$B$3,CORN!$A$4:$A$1048576,0),MATCH('settlement day'!BO$3,CORN!$A$4:$BB$4,0)),"")</f>
        <v>4.452</v>
      </c>
      <c r="BP21" s="763"/>
      <c r="BQ21" s="150">
        <f>IFERROR(INDEX(CORN!$A$4:$BB$1048576,MATCH('settlement day'!$B$3,CORN!$A$4:$A$1048576,0),MATCH('settlement day'!BQ$3,CORN!$A$4:$BB$4,0)),"")</f>
        <v>4.5220000000000002</v>
      </c>
      <c r="BR21" s="763"/>
      <c r="BS21" s="150">
        <f>IFERROR(INDEX(CORN!$A$4:$BB$1048576,MATCH('settlement day'!$B$3,CORN!$A$4:$A$1048576,0),MATCH('settlement day'!BS$3,CORN!$A$4:$BB$4,0)),"")</f>
        <v>4.5039999999999996</v>
      </c>
      <c r="BT21" s="763"/>
      <c r="BU21" s="763"/>
      <c r="BV21" s="150">
        <f>IFERROR(INDEX(CORN!$A$4:$BB$1048576,MATCH('settlement day'!$B$3,CORN!$A$4:$A$1048576,0),MATCH('settlement day'!BV$3,CORN!$A$4:$BB$4,0)),"")</f>
        <v>4.6159999999999997</v>
      </c>
      <c r="BW21" s="1112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4.2160000000000002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4.38</v>
      </c>
      <c r="BN22" s="763"/>
      <c r="BO22" s="150">
        <f ca="1">IFERROR(OFFSET(INDEX(CORN!$A$4:$BB$1048576,MATCH('settlement day'!$B$3,CORN!$A$4:$A$1048576,0),MATCH('settlement day'!BO$3,CORN!$A$4:$BB$4,0)),-1,0),"")</f>
        <v>4.476</v>
      </c>
      <c r="BP22" s="763"/>
      <c r="BQ22" s="150">
        <f ca="1">IFERROR(OFFSET(INDEX(CORN!$A$4:$BB$1048576,MATCH('settlement day'!$B$3,CORN!$A$4:$A$1048576,0),MATCH('settlement day'!BQ$3,CORN!$A$4:$BB$4,0)),-1,0),"")</f>
        <v>4.5460000000000003</v>
      </c>
      <c r="BR22" s="763"/>
      <c r="BS22" s="150">
        <f ca="1">IFERROR(OFFSET(INDEX(CORN!$A$4:$BB$1048576,MATCH('settlement day'!$B$3,CORN!$A$4:$A$1048576,0),MATCH('settlement day'!BS$3,CORN!$A$4:$BB$4,0)),-1,0),"")</f>
        <v>4.532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4.6440000000000001</v>
      </c>
      <c r="BW22" s="1112"/>
      <c r="BX22" s="763"/>
      <c r="BY22" s="763"/>
      <c r="BZ22" s="763"/>
      <c r="CA22" s="763"/>
      <c r="CB22" s="1003"/>
    </row>
    <row r="23" spans="2:82" ht="15.7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-2.5999999999999801E-2</v>
      </c>
      <c r="BK23" s="1075"/>
      <c r="BL23" s="131"/>
      <c r="BM23" s="131">
        <f t="shared" ref="BM23:BO23" ca="1" si="113">BM21-BM22</f>
        <v>-2.4000000000000021E-2</v>
      </c>
      <c r="BN23" s="127"/>
      <c r="BO23" s="131">
        <f t="shared" ca="1" si="113"/>
        <v>-2.4000000000000021E-2</v>
      </c>
      <c r="BP23" s="127"/>
      <c r="BQ23" s="131">
        <f t="shared" ref="BQ23:BS23" ca="1" si="114">BQ21-BQ22</f>
        <v>-2.4000000000000021E-2</v>
      </c>
      <c r="BR23" s="127"/>
      <c r="BS23" s="131">
        <f t="shared" ca="1" si="114"/>
        <v>-2.8000000000000469E-2</v>
      </c>
      <c r="BT23" s="127"/>
      <c r="BU23" s="127"/>
      <c r="BV23" s="131">
        <f t="shared" ref="BV23" ca="1" si="115">BV21-BV22</f>
        <v>-2.8000000000000469E-2</v>
      </c>
      <c r="BW23" s="1113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11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0.16470000000000001</v>
      </c>
      <c r="BN25" s="763"/>
      <c r="BO25" s="150">
        <f>IFERROR(INDEX('Sugar 11'!$A$4:$CC$1048576,MATCH('settlement day'!$B$3,'Sugar 11'!$A$4:$A$1048576,0),MATCH('settlement day'!BO$3,'Sugar 11'!$A$4:$CC$4,0)),"")</f>
        <v>0.15989999999999999</v>
      </c>
      <c r="BP25" s="763"/>
      <c r="BQ25" s="150">
        <f>IFERROR(INDEX('Sugar 11'!$A$4:$CC$1048576,MATCH('settlement day'!$B$3,'Sugar 11'!$A$4:$A$1048576,0),MATCH('settlement day'!BQ$3,'Sugar 11'!$A$4:$CC$4,0)),"")</f>
        <v>0.15840000000000001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0.16070000000000001</v>
      </c>
      <c r="BU25" s="763"/>
      <c r="BV25" s="763"/>
      <c r="BW25" s="1112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0.16400000000000001</v>
      </c>
      <c r="BN26" s="763"/>
      <c r="BO26" s="150">
        <f ca="1">IFERROR(OFFSET(INDEX('Sugar 11'!$A$4:$CC$1048576,MATCH('settlement day'!$B$3,'Sugar 11'!$A$4:$A$1048576,0),MATCH('settlement day'!BO$3,'Sugar 11'!$A$4:$CC$4,0)),-1,0),"")</f>
        <v>0.15920000000000001</v>
      </c>
      <c r="BP26" s="763"/>
      <c r="BQ26" s="150">
        <f ca="1">IFERROR(OFFSET(INDEX('Sugar 11'!$A$4:$CC$1048576,MATCH('settlement day'!$B$3,'Sugar 11'!$A$4:$A$1048576,0),MATCH('settlement day'!BQ$3,'Sugar 11'!$A$4:$CC$4,0)),-1,0),"")</f>
        <v>0.15790000000000001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0.16020000000000001</v>
      </c>
      <c r="BU26" s="763"/>
      <c r="BV26" s="763"/>
      <c r="BW26" s="1112"/>
      <c r="BX26" s="763"/>
      <c r="BY26" s="763"/>
      <c r="BZ26" s="763"/>
      <c r="CA26" s="763"/>
      <c r="CB26" s="1003"/>
    </row>
    <row r="27" spans="2:82" ht="15.7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7.0000000000000617E-4</v>
      </c>
      <c r="BN27" s="127"/>
      <c r="BO27" s="131">
        <f t="shared" ref="BO27" ca="1" si="126">BO25-BO26</f>
        <v>6.9999999999997842E-4</v>
      </c>
      <c r="BP27" s="127"/>
      <c r="BQ27" s="131">
        <f t="shared" ref="BQ27" ca="1" si="127">BQ25-BQ26</f>
        <v>5.0000000000000044E-4</v>
      </c>
      <c r="BR27" s="127"/>
      <c r="BS27" s="127"/>
      <c r="BT27" s="131">
        <f t="shared" ref="BT27" ca="1" si="128">BT25-BT26</f>
        <v>5.0000000000000044E-4</v>
      </c>
      <c r="BU27" s="127"/>
      <c r="BV27" s="127"/>
      <c r="BW27" s="1113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4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1.1734</v>
      </c>
      <c r="BI29" s="793">
        <f>INDEX('EUR USD'!$A$4:$CM$1048576,MATCH('settlement day'!$B$3,'EUR USD'!$A$4:$A$1048576,0),MATCH('settlement day'!BI$3,'EUR USD'!$A$4:$CM$4,0))</f>
        <v>1.1769000000000001</v>
      </c>
      <c r="BJ29" s="793">
        <f>INDEX('EUR USD'!$A$4:$CM$1048576,MATCH('settlement day'!$B$3,'EUR USD'!$A$4:$A$1048576,0),MATCH('settlement day'!BJ$3,'EUR USD'!$A$4:$CM$4,0))</f>
        <v>1.1787000000000001</v>
      </c>
      <c r="BK29" s="1121">
        <f>INDEX('EUR USD'!$A$4:$CM$1048576,MATCH('settlement day'!$B$3,'EUR USD'!$A$4:$A$1048576,0),MATCH('settlement day'!BK$3,'EUR USD'!$A$4:$CM$4,0))</f>
        <v>1.18075</v>
      </c>
      <c r="BL29" s="869">
        <f>BM29</f>
        <v>1.18405</v>
      </c>
      <c r="BM29" s="793">
        <f>INDEX('EUR USD'!$A$4:$CM$1048576,MATCH('settlement day'!$B$3,'EUR USD'!$A$4:$A$1048576,0),MATCH('settlement day'!BM$3,'EUR USD'!$A$4:$CM$4,0))</f>
        <v>1.18405</v>
      </c>
      <c r="BN29" s="869">
        <f>BP29</f>
        <v>1.1888000000000001</v>
      </c>
      <c r="BO29" s="869">
        <f>BP29</f>
        <v>1.1888000000000001</v>
      </c>
      <c r="BP29" s="793">
        <f>INDEX('EUR USD'!$A$4:$CM$1048576,MATCH('settlement day'!$B$3,'EUR USD'!$A$4:$A$1048576,0),MATCH('settlement day'!BP$3,'EUR USD'!$A$4:$CM$4,0))</f>
        <v>1.1888000000000001</v>
      </c>
      <c r="BQ29" s="869">
        <f>BS29</f>
        <v>1.1930499999999999</v>
      </c>
      <c r="BR29" s="869">
        <f>BS29</f>
        <v>1.1930499999999999</v>
      </c>
      <c r="BS29" s="793">
        <f>INDEX('EUR USD'!$A$4:$CM$1048576,MATCH('settlement day'!$B$3,'EUR USD'!$A$4:$A$1048576,0),MATCH('settlement day'!BS$3,'EUR USD'!$A$4:$CM$4,0))</f>
        <v>1.1930499999999999</v>
      </c>
      <c r="BT29" s="869">
        <f>BV29</f>
        <v>1.19675</v>
      </c>
      <c r="BU29" s="869">
        <f>BV29</f>
        <v>1.19675</v>
      </c>
      <c r="BV29" s="793">
        <f>INDEX('EUR USD'!$A$4:$CM$1048576,MATCH('settlement day'!$B$3,'EUR USD'!$A$4:$A$1048576,0),MATCH('settlement day'!BV$3,'EUR USD'!$A$4:$CM$4,0))</f>
        <v>1.19675</v>
      </c>
      <c r="BW29" s="1112"/>
      <c r="BX29" s="763"/>
      <c r="BY29" s="763"/>
      <c r="BZ29" s="763"/>
      <c r="CA29" s="763"/>
      <c r="CB29" s="1003"/>
    </row>
    <row r="30" spans="2:82" ht="15.7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5.3491999999999997</v>
      </c>
      <c r="BI30" s="153">
        <f>INDEX('BRL USD'!$A$4:$CC$1048576,MATCH('settlement day'!$B$3,'BRL USD'!$A$4:$A$1048576,0),MATCH('settlement day'!BI$3,'BRL USD'!$A$4:$CC$4,0))</f>
        <v>5.3720118184260004</v>
      </c>
      <c r="BJ30" s="153">
        <f>INDEX('BRL USD'!$A$4:$CC$1048576,MATCH('settlement day'!$B$3,'BRL USD'!$A$4:$A$1048576,0),MATCH('settlement day'!BJ$3,'BRL USD'!$A$4:$CC$4,0))</f>
        <v>5.4054054054054053</v>
      </c>
      <c r="BK30" s="1077">
        <f>INDEX('BRL USD'!$A$4:$CC$1048576,MATCH('settlement day'!$B$3,'BRL USD'!$A$4:$A$1048576,0),MATCH('settlement day'!BK$3,'BRL USD'!$A$4:$CC$4,0))</f>
        <v>5.4377379010331701</v>
      </c>
      <c r="BL30" s="153">
        <f>INDEX('BRL USD'!$A$4:$CC$1048576,MATCH('settlement day'!$B$3,'BRL USD'!$A$4:$A$1048576,0),MATCH('settlement day'!BL$3,'BRL USD'!$A$4:$CC$4,0))</f>
        <v>5.4779512462339088</v>
      </c>
      <c r="BM30" s="153">
        <f>INDEX('BRL USD'!$A$4:$CC$1048576,MATCH('settlement day'!$B$3,'BRL USD'!$A$4:$A$1048576,0),MATCH('settlement day'!BM$3,'BRL USD'!$A$4:$CC$4,0))</f>
        <v>5.5157198014340878</v>
      </c>
      <c r="BN30" s="153">
        <f>INDEX('BRL USD'!$A$4:$CC$1048576,MATCH('settlement day'!$B$3,'BRL USD'!$A$4:$A$1048576,0),MATCH('settlement day'!BN$3,'BRL USD'!$A$4:$CC$4,0))</f>
        <v>5.5586436909394106</v>
      </c>
      <c r="BO30" s="153">
        <f>INDEX('BRL USD'!$A$4:$CC$1048576,MATCH('settlement day'!$B$3,'BRL USD'!$A$4:$A$1048576,0),MATCH('settlement day'!BO$3,'BRL USD'!$A$4:$CC$4,0))</f>
        <v>5.5975370836831795</v>
      </c>
      <c r="BP30" s="153">
        <f>INDEX('BRL USD'!$A$4:$CC$1048576,MATCH('settlement day'!$B$3,'BRL USD'!$A$4:$A$1048576,0),MATCH('settlement day'!BP$3,'BRL USD'!$A$4:$CC$4,0))</f>
        <v>5.636978579481398</v>
      </c>
      <c r="BQ30" s="153">
        <f>INDEX('BRL USD'!$A$4:$CC$1048576,MATCH('settlement day'!$B$3,'BRL USD'!$A$4:$A$1048576,0),MATCH('settlement day'!BQ$3,'BRL USD'!$A$4:$CC$4,0))</f>
        <v>5.6785917092561045</v>
      </c>
      <c r="BR30" s="153">
        <f>INDEX('BRL USD'!$A$4:$CC$1048576,MATCH('settlement day'!$B$3,'BRL USD'!$A$4:$A$1048576,0),MATCH('settlement day'!BR$3,'BRL USD'!$A$4:$CC$4,0))</f>
        <v>5.7208237986270021</v>
      </c>
      <c r="BS30" s="153">
        <f>INDEX('BRL USD'!$A$4:$CC$1048576,MATCH('settlement day'!$B$3,'BRL USD'!$A$4:$A$1048576,0),MATCH('settlement day'!BS$3,'BRL USD'!$A$4:$CC$4,0))</f>
        <v>5.762028233938346</v>
      </c>
      <c r="BT30" s="153">
        <f>INDEX('BRL USD'!$A$4:$CC$1048576,MATCH('settlement day'!$B$3,'BRL USD'!$A$4:$A$1048576,0),MATCH('settlement day'!BT$3,'BRL USD'!$A$4:$CC$4,0))</f>
        <v>5.8038305281485778</v>
      </c>
      <c r="BU30" s="153">
        <f>INDEX('BRL USD'!$A$4:$CC$1048576,MATCH('settlement day'!$B$3,'BRL USD'!$A$4:$A$1048576,0),MATCH('settlement day'!BU$3,'BRL USD'!$A$4:$CC$4,0))</f>
        <v>5.8428279287174991</v>
      </c>
      <c r="BV30" s="153">
        <f>INDEX('BRL USD'!$A$4:$CC$1048576,MATCH('settlement day'!$B$3,'BRL USD'!$A$4:$A$1048576,0),MATCH('settlement day'!BV$3,'BRL USD'!$A$4:$CC$4,0))</f>
        <v>5.8823529411764701</v>
      </c>
      <c r="BW30" s="1115"/>
      <c r="BX30" s="136"/>
      <c r="BY30" s="136"/>
      <c r="BZ30" s="136"/>
      <c r="CA30" s="136"/>
      <c r="CB30" s="1006"/>
    </row>
    <row r="32" spans="2:82" ht="15.75" thickBot="1"/>
    <row r="33" spans="2:88" ht="15.7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40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98.25</v>
      </c>
      <c r="BP34" s="152">
        <f>INDEX('PLATTS&amp;OPIS'!$A$4:$BB$1048576,MATCH('settlement day'!$B$3,'PLATTS&amp;OPIS'!$A$4:$A$1048576,0),MATCH(BP33,'PLATTS&amp;OPIS'!$A$4:$BB$4,0))</f>
        <v>102</v>
      </c>
      <c r="BQ34" s="152">
        <f>INDEX('PLATTS&amp;OPIS'!$A$4:$BB$1048576,MATCH('settlement day'!$B$3,'PLATTS&amp;OPIS'!$A$4:$A$1048576,0),MATCH(BQ33,'PLATTS&amp;OPIS'!$A$4:$BB$4,0))</f>
        <v>101.5</v>
      </c>
      <c r="BR34" s="700">
        <f>INDEX('PLATTS&amp;OPIS'!$A$4:$BB$1048576,MATCH('settlement day'!$B$3,'PLATTS&amp;OPIS'!$A$4:$A$1048576,0),MATCH(BR33,'PLATTS&amp;OPIS'!$A$4:$BB$4,0))</f>
        <v>56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41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98.25</v>
      </c>
      <c r="BP35" s="152">
        <f ca="1">OFFSET(INDEX('PLATTS&amp;OPIS'!$A$4:$BB$1048576,MATCH('settlement day'!$B$3,'PLATTS&amp;OPIS'!$A$4:$A$1048576,0),MATCH(BP33,'PLATTS&amp;OPIS'!$A$4:$BB$4,0)),-1,0)</f>
        <v>101.75</v>
      </c>
      <c r="BQ35" s="152">
        <f ca="1">OFFSET(INDEX('PLATTS&amp;OPIS'!$A$4:$BB$1048576,MATCH('settlement day'!$B$3,'PLATTS&amp;OPIS'!$A$4:$A$1048576,0),MATCH(BQ33,'PLATTS&amp;OPIS'!$A$4:$BB$4,0)),-1,0)</f>
        <v>101.25</v>
      </c>
      <c r="BR35" s="700">
        <f ca="1">OFFSET(INDEX('PLATTS&amp;OPIS'!$A$4:$BB$1048576,MATCH('settlement day'!$B$3,'PLATTS&amp;OPIS'!$A$4:$A$1048576,0),MATCH(BR33,'PLATTS&amp;OPIS'!$A$4:$BB$4,0)),-1,0)</f>
        <v>55</v>
      </c>
    </row>
    <row r="36" spans="2:88" ht="15.7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-1</v>
      </c>
      <c r="BN36" s="129" t="s">
        <v>363</v>
      </c>
      <c r="BO36" s="134">
        <f ca="1">BO34-BO35</f>
        <v>0</v>
      </c>
      <c r="BP36" s="134">
        <f ca="1">BP34-BP35</f>
        <v>0.25</v>
      </c>
      <c r="BQ36" s="134">
        <f ca="1">BQ34-BQ35</f>
        <v>0.25</v>
      </c>
      <c r="BR36" s="148">
        <f ca="1">BR34-BR35</f>
        <v>1</v>
      </c>
    </row>
    <row r="37" spans="2:88" ht="15.7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5.7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3.25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5.7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200.5</v>
      </c>
      <c r="AZ40" s="697">
        <f ca="1">OFFSET(INDEX('PLATTS&amp;OPIS'!$A$4:$BB$1048576,MATCH('settlement day'!$B$3,'PLATTS&amp;OPIS'!$A$4:$A$1048576,0),MATCH(B40,'PLATTS&amp;OPIS'!$A$4:$BB$4,0)),-1,0)</f>
        <v>201.6</v>
      </c>
      <c r="BA40" s="597">
        <f t="shared" ref="BA40:BA45" ca="1" si="133">+AY40-AZ40</f>
        <v>-1.0999999999999943</v>
      </c>
    </row>
    <row r="41" spans="2:88" ht="15.7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814</v>
      </c>
      <c r="AZ41" s="697">
        <f ca="1">OFFSET(INDEX('PLATTS&amp;OPIS'!$A$4:$BB$1048576,MATCH('settlement day'!$B$3,'PLATTS&amp;OPIS'!$A$4:$A$1048576,0),MATCH(B41,'PLATTS&amp;OPIS'!$A$4:$BB$4,0)),-1,0)</f>
        <v>790</v>
      </c>
      <c r="BA41" s="597">
        <f t="shared" ca="1" si="133"/>
        <v>24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615</v>
      </c>
      <c r="AZ42" s="697">
        <f ca="1">OFFSET(INDEX('PLATTS&amp;OPIS'!$A$4:$BB$1048576,MATCH('settlement day'!$B$3,'PLATTS&amp;OPIS'!$A$4:$A$1048576,0),MATCH(B42,'PLATTS&amp;OPIS'!$A$4:$BB$4,0)),-1,0)</f>
        <v>615</v>
      </c>
      <c r="BA42" s="597">
        <f t="shared" ca="1" si="133"/>
        <v>0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2817.5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39.75</v>
      </c>
      <c r="BP42" s="560">
        <f>+BO42*BP44</f>
        <v>42.60450160771704</v>
      </c>
      <c r="BQ42" s="560">
        <f>+BO42*BQ44</f>
        <v>48.298906439854193</v>
      </c>
      <c r="BR42" s="560">
        <f>+BO42*BR44</f>
        <v>36.268248175182478</v>
      </c>
    </row>
    <row r="43" spans="2:88" ht="15.7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611</v>
      </c>
      <c r="AZ43" s="697">
        <f ca="1">OFFSET(INDEX('PLATTS&amp;OPIS'!$A$4:$BB$1048576,MATCH('settlement day'!$B$3,'PLATTS&amp;OPIS'!$A$4:$A$1048576,0),MATCH(B43,'PLATTS&amp;OPIS'!$A$4:$BB$4,0)),-1,0)</f>
        <v>610</v>
      </c>
      <c r="BA43" s="597">
        <f t="shared" ca="1" si="133"/>
        <v>1</v>
      </c>
      <c r="BC43" s="706" t="s">
        <v>412</v>
      </c>
      <c r="BD43" s="409">
        <f>INDEX('PLATTS&amp;OPIS'!$A$4:$BB$1048576,MATCH('settlement day'!$B$3,'PLATTS&amp;OPIS'!$A$4:$A$1048576,0),4)</f>
        <v>211</v>
      </c>
      <c r="BE43" s="409">
        <f>INDEX('PLATTS&amp;OPIS'!$A$4:$BB$1048576,MATCH('settlement day'!$B$3,'PLATTS&amp;OPIS'!$A$4:$A$1048576,0),2)</f>
        <v>200.5</v>
      </c>
      <c r="BF43" s="407">
        <f>(+BD43-(BE43/100))*100</f>
        <v>20899.5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7.9776025046661445</v>
      </c>
      <c r="BP43" s="561">
        <f>+BP42/AN30</f>
        <v>8.550484999642169</v>
      </c>
      <c r="BQ43" s="561">
        <f>+BQ42/AN30</f>
        <v>9.6933201757790339</v>
      </c>
      <c r="BR43" s="561">
        <f>+BR42/AN30</f>
        <v>7.2788344020676492</v>
      </c>
    </row>
    <row r="44" spans="2:88" ht="15.7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3300</v>
      </c>
      <c r="AZ44" s="697">
        <f ca="1">OFFSET(INDEX('PLATTS&amp;OPIS'!$A$4:$BB$1048576,MATCH('settlement day'!$B$3,'PLATTS&amp;OPIS'!$A$4:$A$1048576,0),MATCH(B44,'PLATTS&amp;OPIS'!$A$4:$BB$4,0)),-1,0)</f>
        <v>3310</v>
      </c>
      <c r="BA44" s="597">
        <f t="shared" ca="1" si="133"/>
        <v>-10</v>
      </c>
      <c r="BC44" s="707" t="s">
        <v>32</v>
      </c>
      <c r="BD44" s="410">
        <f ca="1">OFFSET(INDEX('PLATTS&amp;OPIS'!$A$4:$BB$1048576,MATCH('settlement day'!$B$3,'PLATTS&amp;OPIS'!$A$4:$A$1048576,0),4),-1,0)</f>
        <v>212.25</v>
      </c>
      <c r="BE44" s="410">
        <f ca="1">OFFSET(INDEX('PLATTS&amp;OPIS'!$A$4:$BB$1048576,MATCH('settlement day'!$B$3,'PLATTS&amp;OPIS'!$A$4:$A$1048576,0),2),-1,0)</f>
        <v>201.6</v>
      </c>
      <c r="BF44" s="421">
        <f ca="1">(+BD44-(BE44/100))*100</f>
        <v>21023.4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5.7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3310</v>
      </c>
      <c r="AZ45" s="699">
        <f ca="1">OFFSET(INDEX('PLATTS&amp;OPIS'!$A$4:$BB$1048576,MATCH('settlement day'!$B$3,'PLATTS&amp;OPIS'!$A$4:$A$1048576,0),MATCH(B45,'PLATTS&amp;OPIS'!$A$4:$BB$4,0)),-1,0)</f>
        <v>3310</v>
      </c>
      <c r="BA45" s="598">
        <f t="shared" ca="1" si="133"/>
        <v>0</v>
      </c>
      <c r="BC45" s="525" t="s">
        <v>416</v>
      </c>
      <c r="BD45" s="526">
        <f ca="1">+BD43-BD44</f>
        <v>-1.25</v>
      </c>
      <c r="BE45" s="526">
        <f ca="1">+BE43-BE44</f>
        <v>-1.0999999999999943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1100.75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5.75" thickBot="1">
      <c r="M47" s="300"/>
    </row>
    <row r="48" spans="2:88" ht="15.7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0.12750000000000017</v>
      </c>
      <c r="BI48" s="590">
        <f t="shared" si="141"/>
        <v>0.12749999999999995</v>
      </c>
      <c r="BJ48" s="590">
        <f t="shared" si="141"/>
        <v>0.12749999999999995</v>
      </c>
      <c r="BK48" s="590">
        <f t="shared" si="141"/>
        <v>-1.6625000000000001</v>
      </c>
      <c r="BL48" s="590">
        <f t="shared" si="141"/>
        <v>-1.6575</v>
      </c>
      <c r="BM48" s="590">
        <f t="shared" si="141"/>
        <v>-1.68</v>
      </c>
      <c r="BN48" s="590">
        <f t="shared" si="141"/>
        <v>-1.7</v>
      </c>
      <c r="BO48" s="590">
        <f t="shared" si="141"/>
        <v>-1.72</v>
      </c>
      <c r="BP48" s="590">
        <f t="shared" si="141"/>
        <v>-1.7324999999999999</v>
      </c>
      <c r="BQ48" s="590">
        <f t="shared" si="141"/>
        <v>-1.7324999999999999</v>
      </c>
      <c r="BR48" s="590">
        <f t="shared" si="141"/>
        <v>-1.7275</v>
      </c>
      <c r="BS48" s="590">
        <f t="shared" si="141"/>
        <v>-1.7224999999999999</v>
      </c>
      <c r="BT48" s="590">
        <f t="shared" si="141"/>
        <v>-1.6975</v>
      </c>
      <c r="BU48" s="590">
        <f t="shared" si="141"/>
        <v>-1.6625000000000001</v>
      </c>
      <c r="BV48" s="590">
        <f t="shared" si="141"/>
        <v>-1.64</v>
      </c>
    </row>
    <row r="49" spans="2:74" ht="7.3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-2.12</v>
      </c>
      <c r="BI50" s="362">
        <f t="shared" si="164"/>
        <v>9.2500000000000249E-2</v>
      </c>
      <c r="BJ50" s="362">
        <f t="shared" si="164"/>
        <v>0.14749999999999996</v>
      </c>
      <c r="BK50" s="362">
        <f t="shared" si="164"/>
        <v>1.88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2.12</v>
      </c>
      <c r="BI51" s="150">
        <f>INDEX(NYH!$A$4:$CC$1048576,MATCH('settlement day'!$B$3,NYH!$A$4:$A$1048576,0),MATCH('settlement day'!BI$3,NYH!$A$4:$CC$4,0))</f>
        <v>2.0274999999999999</v>
      </c>
      <c r="BJ51" s="150">
        <f>INDEX(NYH!$A$4:$CC$1048576,MATCH('settlement day'!$B$3,NYH!$A$4:$A$1048576,0),MATCH('settlement day'!BJ$3,NYH!$A$4:$CC$4,0))</f>
        <v>1.88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2.1038999999999999</v>
      </c>
      <c r="BH52" s="150">
        <f ca="1">OFFSET(INDEX(NYH!$A$4:$CC$1048576,MATCH('settlement day'!$B$3,NYH!$A$4:$A$1048576,0),MATCH('settlement day'!BH$3,NYH!$A$4:$CC$4,0)),-1,0)</f>
        <v>2.1324999999999998</v>
      </c>
      <c r="BI52" s="150">
        <f ca="1">OFFSET(INDEX(NYH!$A$4:$CC$1048576,MATCH('settlement day'!$B$3,NYH!$A$4:$A$1048576,0),MATCH('settlement day'!BI$3,NYH!$A$4:$CC$4,0)),-1,0)</f>
        <v>2.04</v>
      </c>
      <c r="BJ52" s="150">
        <f ca="1">OFFSET(INDEX(NYH!$A$4:$CC$1048576,MATCH('settlement day'!$B$3,NYH!$A$4:$A$1048576,0),MATCH('settlement day'!BJ$3,NYH!$A$4:$CC$4,0)),-1,0)</f>
        <v>1.885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5.7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-2.1038999999999999</v>
      </c>
      <c r="BH53" s="131">
        <f t="shared" ref="BH53:BV53" ca="1" si="174">BH51-BH52</f>
        <v>-1.2499999999999734E-2</v>
      </c>
      <c r="BI53" s="131">
        <f t="shared" ca="1" si="174"/>
        <v>-1.2500000000000178E-2</v>
      </c>
      <c r="BJ53" s="131">
        <f t="shared" ca="1" si="174"/>
        <v>-5.0000000000001155E-3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B1144" activePane="bottomRight" state="frozen"/>
      <selection pane="topRight" activeCell="B1" sqref="B1"/>
      <selection pane="bottomLeft" activeCell="A5" sqref="A5"/>
      <selection pane="bottomRight" activeCell="C1148" sqref="C1148"/>
    </sheetView>
  </sheetViews>
  <sheetFormatPr baseColWidth="10" defaultColWidth="9.140625" defaultRowHeight="15"/>
  <cols>
    <col min="1" max="1" width="14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3" t="s">
        <v>421</v>
      </c>
      <c r="M3" s="1203"/>
      <c r="N3" s="1203"/>
      <c r="O3" s="1203"/>
      <c r="P3" s="1203"/>
      <c r="Q3" s="1203"/>
      <c r="R3" s="1202" t="s">
        <v>422</v>
      </c>
      <c r="S3" s="1202"/>
      <c r="T3" s="1202"/>
      <c r="U3" s="1202"/>
      <c r="V3" s="715" t="s">
        <v>423</v>
      </c>
      <c r="W3" s="1202" t="s">
        <v>424</v>
      </c>
      <c r="X3" s="1202"/>
      <c r="Y3" s="1202"/>
      <c r="Z3" s="1202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</row>
    <row r="1175" spans="1:27">
      <c r="A1175" s="95">
        <v>45937</v>
      </c>
    </row>
    <row r="1176" spans="1:27">
      <c r="A1176" s="95">
        <v>45938</v>
      </c>
    </row>
    <row r="1177" spans="1:27">
      <c r="A1177" s="95">
        <v>45939</v>
      </c>
    </row>
    <row r="1178" spans="1:27">
      <c r="A1178" s="95">
        <v>45940</v>
      </c>
    </row>
    <row r="1179" spans="1:27">
      <c r="A1179" s="95">
        <v>45943</v>
      </c>
    </row>
    <row r="1180" spans="1:27">
      <c r="A1180" s="95">
        <v>45944</v>
      </c>
    </row>
    <row r="1181" spans="1:27">
      <c r="A1181" s="95">
        <v>45945</v>
      </c>
    </row>
    <row r="1182" spans="1:27">
      <c r="A1182" s="95">
        <v>45946</v>
      </c>
    </row>
    <row r="1183" spans="1:27">
      <c r="A1183" s="95">
        <v>45947</v>
      </c>
    </row>
    <row r="1184" spans="1:2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W1231"/>
  <sheetViews>
    <sheetView tabSelected="1" workbookViewId="0" zoomScale="85" zoomScaleNormal="85">
      <pane activePane="bottomRight" state="frozen" topLeftCell="F1149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9.140625" defaultRowHeight="15"/>
  <cols>
    <col customWidth="1" max="1" min="1" width="11.85546875"/>
    <col customWidth="1" max="2" min="2" style="297" width="8.5703125"/>
    <col customWidth="1" max="3" min="3" style="63" width="8.85546875"/>
    <col customWidth="1" hidden="1" max="37" min="4" width="8.85546875"/>
    <col customWidth="1" hidden="1" max="57" min="38" width="8.7109375"/>
    <col customWidth="1" hidden="1" max="58" min="58" width="0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8" si="0" t="shared">+(C5*$A$2)/$A$3</f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6" spans="1:75">
      <c r="A8" s="239">
        <v>44292</v>
      </c>
      <c r="B8" s="299">
        <f si="0" t="shared"/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customFormat="1" r="9" s="176" spans="1:75">
      <c r="A9" s="239">
        <v>44293</v>
      </c>
      <c r="B9" s="299">
        <f si="0" t="shared"/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si="0" t="shared"/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si="0" t="shared"/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si="0" t="shared"/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si="0" t="shared"/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si="0" t="shared"/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si="0" t="shared"/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6" spans="1:18">
      <c r="A17" s="239">
        <v>44305</v>
      </c>
      <c r="B17" s="304">
        <f si="0" t="shared"/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customFormat="1" customHeight="1" ht="14.45" r="18" s="176" spans="1:18">
      <c r="A18" s="239">
        <v>44306</v>
      </c>
      <c r="B18" s="304">
        <f si="0" t="shared"/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customHeight="1" ht="14.45" r="19" spans="1:18">
      <c r="A19" s="95">
        <v>44307</v>
      </c>
      <c r="B19" s="304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6" spans="1:18">
      <c r="A20" s="239">
        <v>44308</v>
      </c>
      <c r="B20" s="304">
        <f si="0" t="shared"/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6" spans="1:18">
      <c r="A26" s="239">
        <v>44316</v>
      </c>
      <c r="B26" s="304">
        <f si="0" t="shared"/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customFormat="1" r="27" s="176" spans="1:18">
      <c r="A27" s="239">
        <v>44319</v>
      </c>
      <c r="B27" s="304">
        <f si="0" t="shared"/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6" spans="1:18">
      <c r="A31" s="239">
        <v>44323</v>
      </c>
      <c r="B31" s="304">
        <f si="0" t="shared"/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customFormat="1" customHeight="1" ht="15" r="32" s="176" spans="1:18">
      <c r="A32" s="239">
        <v>44326</v>
      </c>
      <c r="B32" s="304">
        <f si="0" t="shared"/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customFormat="1" customHeight="1" ht="15" r="33" s="176" spans="1:20">
      <c r="A33" s="239">
        <v>44327</v>
      </c>
      <c r="B33" s="304">
        <f si="0" t="shared"/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customFormat="1" customHeight="1" ht="15" r="34" s="176" spans="1:20">
      <c r="A34" s="239">
        <v>44328</v>
      </c>
      <c r="B34" s="304">
        <f si="0" t="shared"/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customFormat="1" customHeight="1" ht="15" r="35" s="176" spans="1:20">
      <c r="A35" s="239">
        <v>44329</v>
      </c>
      <c r="B35" s="304">
        <f si="0" t="shared"/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customFormat="1" customHeight="1" ht="15" r="36" s="176" spans="1:20">
      <c r="A36" s="239">
        <v>44330</v>
      </c>
      <c r="B36" s="304">
        <f si="0" t="shared"/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5">
        <v>44337</v>
      </c>
      <c r="B41" s="304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5">
        <v>44340</v>
      </c>
      <c r="B42" s="304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5">
        <v>44341</v>
      </c>
      <c r="B43" s="304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5">
        <v>44342</v>
      </c>
      <c r="B44" s="304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5">
        <v>44343</v>
      </c>
      <c r="B45" s="304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si="0" t="shared"/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customHeight="1" ht="15" r="49" spans="1:18">
      <c r="A49" s="95">
        <v>44349</v>
      </c>
      <c r="B49" s="304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5">
        <v>44355</v>
      </c>
      <c r="B53" s="304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si="0" t="shared"/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5">
        <v>44358</v>
      </c>
      <c r="B56" s="304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5">
        <v>44361</v>
      </c>
      <c r="B57" s="304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5">
        <v>44362</v>
      </c>
      <c r="B58" s="304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5">
        <v>44363</v>
      </c>
      <c r="B59" s="304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6" spans="1:18">
      <c r="A60" s="239">
        <v>44364</v>
      </c>
      <c r="B60" s="304">
        <f si="0" t="shared"/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customHeight="1" ht="14.45" r="61" spans="1:18">
      <c r="A61" s="95">
        <v>44365</v>
      </c>
      <c r="B61" s="304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5">
        <v>44368</v>
      </c>
      <c r="B62" s="304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5">
        <v>44369</v>
      </c>
      <c r="B63" s="304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5">
        <v>44370</v>
      </c>
      <c r="B64" s="304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89" spans="1:18">
      <c r="A72" s="103">
        <v>44382</v>
      </c>
      <c r="B72" s="370">
        <f ref="B72:B125" si="2" t="shared">+(C72*$A$2)/$A$3</f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5">
        <v>44386</v>
      </c>
      <c r="B76" s="304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6" spans="1:18">
      <c r="A84" s="239">
        <v>44398</v>
      </c>
      <c r="B84" s="304">
        <f si="2" t="shared"/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89" spans="1:22">
      <c r="A117" s="103">
        <v>44445</v>
      </c>
      <c r="B117" s="370">
        <f si="2" t="shared"/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89" spans="1:63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45937</v>
      </c>
      <c r="C1174">
        <v>3946</v>
      </c>
      <c r="BD1174">
        <v>1.94</v>
      </c>
      <c r="BE1174">
        <v>1.8575</v>
      </c>
      <c r="BF1174">
        <v>1.7275</v>
      </c>
      <c r="BI1174">
        <v>1.94</v>
      </c>
      <c r="BJ1174">
        <v>1.8575</v>
      </c>
      <c r="BK1174">
        <v>1.7275</v>
      </c>
      <c r="BL1174">
        <v>1.6375</v>
      </c>
      <c r="BM1174">
        <v>1.635</v>
      </c>
      <c r="BN1174">
        <v>1.6575</v>
      </c>
      <c r="BO1174">
        <v>1.6775</v>
      </c>
      <c r="BP1174">
        <v>1.6975</v>
      </c>
      <c r="BQ1174">
        <v>1.71</v>
      </c>
      <c r="BR1174">
        <v>1.7125</v>
      </c>
      <c r="BS1174">
        <v>1.7075</v>
      </c>
      <c r="BT1174">
        <v>1.7025</v>
      </c>
      <c r="BU1174">
        <v>1.6775</v>
      </c>
      <c r="BV1174">
        <v>1.6425</v>
      </c>
      <c r="BW1174">
        <v>1.62</v>
      </c>
    </row>
    <row r="1175" spans="1:75">
      <c r="A1175" s="95">
        <v>45938</v>
      </c>
      <c r="C1175">
        <v>6180</v>
      </c>
      <c r="BD1175">
        <v>1.8675</v>
      </c>
      <c r="BE1175">
        <v>1.78</v>
      </c>
      <c r="BF1175">
        <v>1.69</v>
      </c>
      <c r="BI1175">
        <v>1.8675</v>
      </c>
      <c r="BJ1175">
        <v>1.78</v>
      </c>
      <c r="BK1175">
        <v>1.69</v>
      </c>
      <c r="BL1175">
        <v>1.615</v>
      </c>
      <c r="BM1175">
        <v>1.6125</v>
      </c>
      <c r="BN1175">
        <v>1.6375</v>
      </c>
      <c r="BO1175">
        <v>1.6575</v>
      </c>
      <c r="BP1175">
        <v>1.6775</v>
      </c>
      <c r="BQ1175">
        <v>1.69</v>
      </c>
      <c r="BR1175">
        <v>1.6925</v>
      </c>
      <c r="BS1175">
        <v>1.6875</v>
      </c>
      <c r="BT1175">
        <v>1.6825</v>
      </c>
      <c r="BU1175">
        <v>1.6575</v>
      </c>
      <c r="BV1175">
        <v>1.6225</v>
      </c>
      <c r="BW1175">
        <v>1.6</v>
      </c>
    </row>
    <row r="1176" spans="1:75">
      <c r="A1176" s="95">
        <v>45939</v>
      </c>
      <c r="C1176">
        <v>10026</v>
      </c>
      <c r="BD1176">
        <v>1.8325</v>
      </c>
      <c r="BE1176">
        <v>1.74</v>
      </c>
      <c r="BF1176">
        <v>1.67</v>
      </c>
      <c r="BI1176">
        <v>1.8325</v>
      </c>
      <c r="BJ1176">
        <v>1.74</v>
      </c>
      <c r="BK1176">
        <v>1.67</v>
      </c>
      <c r="BL1176">
        <v>1.6025</v>
      </c>
      <c r="BM1176">
        <v>1.6025</v>
      </c>
      <c r="BN1176">
        <v>1.6275</v>
      </c>
      <c r="BO1176">
        <v>1.65</v>
      </c>
      <c r="BP1176">
        <v>1.67</v>
      </c>
      <c r="BQ1176">
        <v>1.6825</v>
      </c>
      <c r="BR1176">
        <v>1.685</v>
      </c>
      <c r="BS1176">
        <v>1.68</v>
      </c>
      <c r="BT1176">
        <v>1.675</v>
      </c>
      <c r="BU1176">
        <v>1.65</v>
      </c>
      <c r="BV1176">
        <v>1.615</v>
      </c>
      <c r="BW1176">
        <v>1.5925</v>
      </c>
    </row>
    <row r="1177" spans="1:75">
      <c r="A1177" s="95">
        <v>45940</v>
      </c>
      <c r="C1177">
        <v>4895</v>
      </c>
      <c r="BD1177">
        <v>1.86</v>
      </c>
      <c r="BE1177">
        <v>1.77</v>
      </c>
      <c r="BF1177">
        <v>1.685</v>
      </c>
      <c r="BI1177">
        <v>1.86</v>
      </c>
      <c r="BJ1177">
        <v>1.77</v>
      </c>
      <c r="BK1177">
        <v>1.685</v>
      </c>
      <c r="BL1177">
        <v>1.6125</v>
      </c>
      <c r="BM1177">
        <v>1.6125</v>
      </c>
      <c r="BN1177">
        <v>1.6375</v>
      </c>
      <c r="BO1177">
        <v>1.66</v>
      </c>
      <c r="BP1177">
        <v>1.68</v>
      </c>
      <c r="BQ1177">
        <v>1.6925</v>
      </c>
      <c r="BR1177">
        <v>1.6975</v>
      </c>
      <c r="BS1177">
        <v>1.6925</v>
      </c>
      <c r="BT1177">
        <v>1.6875</v>
      </c>
      <c r="BU1177">
        <v>1.6625</v>
      </c>
      <c r="BV1177">
        <v>1.63</v>
      </c>
      <c r="BW1177">
        <v>1.6075</v>
      </c>
    </row>
    <row r="1178" spans="1:75">
      <c r="A1178" s="95">
        <v>45943</v>
      </c>
      <c r="C1178">
        <v>2044</v>
      </c>
      <c r="BD1178">
        <v>1.855</v>
      </c>
      <c r="BE1178">
        <v>1.76</v>
      </c>
      <c r="BF1178">
        <v>1.675</v>
      </c>
      <c r="BI1178">
        <v>1.855</v>
      </c>
      <c r="BJ1178">
        <v>1.76</v>
      </c>
      <c r="BK1178">
        <v>1.675</v>
      </c>
      <c r="BL1178">
        <v>1.605</v>
      </c>
      <c r="BM1178">
        <v>1.605</v>
      </c>
      <c r="BN1178">
        <v>1.63</v>
      </c>
      <c r="BO1178">
        <v>1.655</v>
      </c>
      <c r="BP1178">
        <v>1.675</v>
      </c>
      <c r="BQ1178">
        <v>1.6875</v>
      </c>
      <c r="BR1178">
        <v>1.6925</v>
      </c>
      <c r="BS1178">
        <v>1.6875</v>
      </c>
      <c r="BT1178">
        <v>1.6825</v>
      </c>
      <c r="BU1178">
        <v>1.6575</v>
      </c>
      <c r="BV1178">
        <v>1.625</v>
      </c>
      <c r="BW1178">
        <v>1.6025</v>
      </c>
    </row>
    <row r="1179" spans="1:75">
      <c r="A1179" s="95">
        <v>45943</v>
      </c>
      <c r="C1179">
        <v>2044</v>
      </c>
      <c r="BD1179">
        <v>1.855</v>
      </c>
      <c r="BE1179">
        <v>1.76</v>
      </c>
      <c r="BF1179">
        <v>1.675</v>
      </c>
      <c r="BI1179">
        <v>1.855</v>
      </c>
      <c r="BJ1179">
        <v>1.76</v>
      </c>
      <c r="BK1179">
        <v>1.675</v>
      </c>
      <c r="BL1179">
        <v>1.605</v>
      </c>
      <c r="BM1179">
        <v>1.605</v>
      </c>
      <c r="BN1179">
        <v>1.63</v>
      </c>
      <c r="BO1179">
        <v>1.655</v>
      </c>
      <c r="BP1179">
        <v>1.675</v>
      </c>
      <c r="BQ1179">
        <v>1.6875</v>
      </c>
      <c r="BR1179">
        <v>1.6925</v>
      </c>
      <c r="BS1179">
        <v>1.6875</v>
      </c>
      <c r="BT1179">
        <v>1.6825</v>
      </c>
      <c r="BU1179">
        <v>1.6575</v>
      </c>
      <c r="BV1179">
        <v>1.625</v>
      </c>
      <c r="BW1179">
        <v>1.6025</v>
      </c>
    </row>
    <row r="1180" spans="1:75">
      <c r="A1180" s="95">
        <v>45943</v>
      </c>
      <c r="C1180">
        <v>2044</v>
      </c>
      <c r="BD1180">
        <v>1.855</v>
      </c>
      <c r="BE1180">
        <v>1.76</v>
      </c>
      <c r="BF1180">
        <v>1.675</v>
      </c>
      <c r="BI1180">
        <v>1.855</v>
      </c>
      <c r="BJ1180">
        <v>1.76</v>
      </c>
      <c r="BK1180">
        <v>1.675</v>
      </c>
      <c r="BL1180">
        <v>1.605</v>
      </c>
      <c r="BM1180">
        <v>1.605</v>
      </c>
      <c r="BN1180">
        <v>1.63</v>
      </c>
      <c r="BO1180">
        <v>1.655</v>
      </c>
      <c r="BP1180">
        <v>1.675</v>
      </c>
      <c r="BQ1180">
        <v>1.6875</v>
      </c>
      <c r="BR1180">
        <v>1.6925</v>
      </c>
      <c r="BS1180">
        <v>1.6875</v>
      </c>
      <c r="BT1180">
        <v>1.6825</v>
      </c>
      <c r="BU1180">
        <v>1.6575</v>
      </c>
      <c r="BV1180">
        <v>1.625</v>
      </c>
      <c r="BW1180">
        <v>1.6025</v>
      </c>
    </row>
    <row r="1181" spans="1:75">
      <c r="A1181" s="95">
        <v>45943</v>
      </c>
      <c r="C1181">
        <v>2044</v>
      </c>
      <c r="BD1181">
        <v>1.855</v>
      </c>
      <c r="BE1181">
        <v>1.76</v>
      </c>
      <c r="BF1181">
        <v>1.675</v>
      </c>
      <c r="BI1181">
        <v>1.855</v>
      </c>
      <c r="BJ1181">
        <v>1.76</v>
      </c>
      <c r="BK1181">
        <v>1.675</v>
      </c>
      <c r="BL1181">
        <v>1.605</v>
      </c>
      <c r="BM1181">
        <v>1.605</v>
      </c>
      <c r="BN1181">
        <v>1.63</v>
      </c>
      <c r="BO1181">
        <v>1.655</v>
      </c>
      <c r="BP1181">
        <v>1.675</v>
      </c>
      <c r="BQ1181">
        <v>1.6875</v>
      </c>
      <c r="BR1181">
        <v>1.6925</v>
      </c>
      <c r="BS1181">
        <v>1.6875</v>
      </c>
      <c r="BT1181">
        <v>1.6825</v>
      </c>
      <c r="BU1181">
        <v>1.6575</v>
      </c>
      <c r="BV1181">
        <v>1.625</v>
      </c>
      <c r="BW1181">
        <v>1.6025</v>
      </c>
    </row>
    <row r="1182" spans="1:75">
      <c r="A1182" s="95">
        <v>45944</v>
      </c>
      <c r="C1182">
        <v>7480</v>
      </c>
      <c r="BD1182">
        <v>1.83</v>
      </c>
      <c r="BE1182">
        <v>1.715</v>
      </c>
      <c r="BF1182">
        <v>1.645</v>
      </c>
      <c r="BI1182">
        <v>1.83</v>
      </c>
      <c r="BJ1182">
        <v>1.715</v>
      </c>
      <c r="BK1182">
        <v>1.645</v>
      </c>
      <c r="BL1182">
        <v>1.5875</v>
      </c>
      <c r="BM1182">
        <v>1.5925</v>
      </c>
      <c r="BN1182">
        <v>1.6175</v>
      </c>
      <c r="BO1182">
        <v>1.6425</v>
      </c>
      <c r="BP1182">
        <v>1.6625</v>
      </c>
      <c r="BQ1182">
        <v>1.675</v>
      </c>
      <c r="BR1182">
        <v>1.68</v>
      </c>
      <c r="BS1182">
        <v>1.675</v>
      </c>
      <c r="BT1182">
        <v>1.67</v>
      </c>
      <c r="BU1182">
        <v>1.645</v>
      </c>
      <c r="BV1182">
        <v>1.6125</v>
      </c>
      <c r="BW1182">
        <v>1.59</v>
      </c>
    </row>
    <row r="1183" spans="1:75">
      <c r="A1183" s="95">
        <v>45944</v>
      </c>
      <c r="C1183">
        <v>7480</v>
      </c>
      <c r="BD1183">
        <v>1.83</v>
      </c>
      <c r="BE1183">
        <v>1.715</v>
      </c>
      <c r="BF1183">
        <v>1.645</v>
      </c>
      <c r="BI1183">
        <v>1.83</v>
      </c>
      <c r="BJ1183">
        <v>1.715</v>
      </c>
      <c r="BK1183">
        <v>1.645</v>
      </c>
      <c r="BL1183">
        <v>1.5875</v>
      </c>
      <c r="BM1183">
        <v>1.5925</v>
      </c>
      <c r="BN1183">
        <v>1.6175</v>
      </c>
      <c r="BO1183">
        <v>1.6425</v>
      </c>
      <c r="BP1183">
        <v>1.6625</v>
      </c>
      <c r="BQ1183">
        <v>1.675</v>
      </c>
      <c r="BR1183">
        <v>1.68</v>
      </c>
      <c r="BS1183">
        <v>1.675</v>
      </c>
      <c r="BT1183">
        <v>1.67</v>
      </c>
      <c r="BU1183">
        <v>1.645</v>
      </c>
      <c r="BV1183">
        <v>1.6125</v>
      </c>
      <c r="BW1183">
        <v>1.59</v>
      </c>
    </row>
    <row r="1184" spans="1:75">
      <c r="A1184" s="95">
        <v>45944</v>
      </c>
      <c r="C1184">
        <v>7480</v>
      </c>
      <c r="BD1184">
        <v>1.83</v>
      </c>
      <c r="BE1184">
        <v>1.715</v>
      </c>
      <c r="BF1184">
        <v>1.645</v>
      </c>
      <c r="BI1184">
        <v>1.83</v>
      </c>
      <c r="BJ1184">
        <v>1.715</v>
      </c>
      <c r="BK1184">
        <v>1.645</v>
      </c>
      <c r="BL1184">
        <v>1.5875</v>
      </c>
      <c r="BM1184">
        <v>1.5925</v>
      </c>
      <c r="BN1184">
        <v>1.6175</v>
      </c>
      <c r="BO1184">
        <v>1.6425</v>
      </c>
      <c r="BP1184">
        <v>1.6625</v>
      </c>
      <c r="BQ1184">
        <v>1.675</v>
      </c>
      <c r="BR1184">
        <v>1.68</v>
      </c>
      <c r="BS1184">
        <v>1.675</v>
      </c>
      <c r="BT1184">
        <v>1.67</v>
      </c>
      <c r="BU1184">
        <v>1.645</v>
      </c>
      <c r="BV1184">
        <v>1.6125</v>
      </c>
      <c r="BW1184">
        <v>1.59</v>
      </c>
    </row>
    <row r="1185" spans="1:75">
      <c r="A1185" s="95" t="s">
        <v>4558</v>
      </c>
      <c r="C1185" t="s">
        <v>4559</v>
      </c>
      <c r="BD1185" t="s">
        <v>4560</v>
      </c>
      <c r="BE1185" t="s">
        <v>4561</v>
      </c>
      <c r="BF1185" t="s">
        <v>4562</v>
      </c>
      <c r="BI1185" t="s">
        <v>4560</v>
      </c>
      <c r="BJ1185" t="s">
        <v>4561</v>
      </c>
      <c r="BK1185" t="s">
        <v>4562</v>
      </c>
      <c r="BL1185" t="s">
        <v>4563</v>
      </c>
      <c r="BM1185" t="s">
        <v>4564</v>
      </c>
      <c r="BN1185" t="s">
        <v>4565</v>
      </c>
      <c r="BO1185" t="s">
        <v>4566</v>
      </c>
      <c r="BP1185" t="s">
        <v>4567</v>
      </c>
      <c r="BQ1185" t="s">
        <v>4568</v>
      </c>
      <c r="BR1185" t="s">
        <v>4569</v>
      </c>
      <c r="BS1185" t="s">
        <v>4570</v>
      </c>
      <c r="BT1185" t="s">
        <v>4571</v>
      </c>
      <c r="BU1185" t="s">
        <v>4572</v>
      </c>
      <c r="BV1185" t="s">
        <v>4573</v>
      </c>
      <c r="BW1185" t="s">
        <v>4574</v>
      </c>
    </row>
    <row r="1186" spans="1:75">
      <c r="A1186" s="95"/>
    </row>
    <row r="1187" spans="1:75">
      <c r="A1187" s="95"/>
    </row>
    <row r="1188" spans="1:75">
      <c r="A1188" s="95"/>
    </row>
    <row r="1189" spans="1:75">
      <c r="A1189" s="95"/>
    </row>
    <row r="1190" spans="1:75">
      <c r="A1190" s="95"/>
    </row>
    <row r="1191" spans="1:75">
      <c r="A1191" s="95"/>
    </row>
    <row r="1192" spans="1:75">
      <c r="A1192" s="95"/>
    </row>
    <row r="1193" spans="1:75">
      <c r="A1193" s="95"/>
      <c r="BL1193" s="1125">
        <v>5298</v>
      </c>
    </row>
    <row ht="77.25" r="1194" spans="1:75" thickBot="1">
      <c r="A1194" s="95"/>
      <c r="BL1194" s="1126" t="s">
        <v>4457</v>
      </c>
    </row>
    <row ht="29.25" r="1195" spans="1:75" thickBot="1">
      <c r="A1195" s="95"/>
      <c r="BL1195" s="858" t="s">
        <v>4210</v>
      </c>
      <c r="BM1195" s="858" t="s">
        <v>4211</v>
      </c>
      <c r="BN1195" s="858" t="s">
        <v>4212</v>
      </c>
      <c r="BO1195" s="858" t="s">
        <v>4213</v>
      </c>
      <c r="BP1195" s="858" t="s">
        <v>369</v>
      </c>
      <c r="BQ1195" s="858" t="s">
        <v>4214</v>
      </c>
      <c r="BR1195" s="858" t="s">
        <v>4215</v>
      </c>
      <c r="BS1195" s="858" t="s">
        <v>4216</v>
      </c>
      <c r="BT1195" s="859" t="s">
        <v>4217</v>
      </c>
    </row>
    <row ht="15.75" r="1196" spans="1:72" thickBot="1">
      <c r="A1196" s="95"/>
      <c r="BL1196" s="860">
        <v>45931</v>
      </c>
      <c r="BM1196" s="861" t="s">
        <v>436</v>
      </c>
      <c r="BN1196" s="861" t="s">
        <v>436</v>
      </c>
      <c r="BO1196" s="861" t="s">
        <v>436</v>
      </c>
      <c r="BP1196" s="861" t="s">
        <v>436</v>
      </c>
      <c r="BQ1196" s="861">
        <v>-1.2500000000000001E-2</v>
      </c>
      <c r="BR1196" s="861">
        <v>1.9924999999999999</v>
      </c>
      <c r="BS1196" s="861">
        <v>673</v>
      </c>
      <c r="BT1196" s="872">
        <v>11048</v>
      </c>
    </row>
    <row ht="15.75" r="1197" spans="1:72" thickBot="1">
      <c r="A1197" s="95"/>
      <c r="BL1197" s="865">
        <v>45962</v>
      </c>
      <c r="BM1197" s="863" t="s">
        <v>436</v>
      </c>
      <c r="BN1197" s="863" t="s">
        <v>436</v>
      </c>
      <c r="BO1197" s="863" t="s">
        <v>436</v>
      </c>
      <c r="BP1197" s="863" t="s">
        <v>436</v>
      </c>
      <c r="BQ1197" s="863">
        <v>-1.2500000000000001E-2</v>
      </c>
      <c r="BR1197" s="863">
        <v>1.9</v>
      </c>
      <c r="BS1197" s="864">
        <v>1760</v>
      </c>
      <c r="BT1197" s="873">
        <v>9424</v>
      </c>
    </row>
    <row ht="15.75" r="1198" spans="1:72" thickBot="1">
      <c r="A1198" s="95"/>
      <c r="BL1198" s="860">
        <v>45992</v>
      </c>
      <c r="BM1198" s="861" t="s">
        <v>436</v>
      </c>
      <c r="BN1198" s="861" t="s">
        <v>436</v>
      </c>
      <c r="BO1198" s="861" t="s">
        <v>436</v>
      </c>
      <c r="BP1198" s="861" t="s">
        <v>436</v>
      </c>
      <c r="BQ1198" s="861">
        <v>-5.0000000000000001E-3</v>
      </c>
      <c r="BR1198" s="861">
        <v>1.7524999999999999</v>
      </c>
      <c r="BS1198" s="861">
        <v>520</v>
      </c>
      <c r="BT1198" s="872">
        <v>7528</v>
      </c>
    </row>
    <row ht="15.75" r="1199" spans="1:72" thickBot="1">
      <c r="A1199" s="95"/>
      <c r="BL1199" s="865">
        <v>46023</v>
      </c>
      <c r="BM1199" s="863" t="s">
        <v>436</v>
      </c>
      <c r="BN1199" s="863" t="s">
        <v>436</v>
      </c>
      <c r="BO1199" s="863" t="s">
        <v>436</v>
      </c>
      <c r="BP1199" s="863" t="s">
        <v>436</v>
      </c>
      <c r="BQ1199" s="863">
        <v>-2.5000000000000001E-3</v>
      </c>
      <c r="BR1199" s="863">
        <v>1.6625000000000001</v>
      </c>
      <c r="BS1199" s="863">
        <v>526</v>
      </c>
      <c r="BT1199" s="873">
        <v>4066</v>
      </c>
    </row>
    <row ht="15.75" r="1200" spans="1:72" thickBot="1">
      <c r="A1200" s="95"/>
      <c r="BL1200" s="860">
        <v>46054</v>
      </c>
      <c r="BM1200" s="861" t="s">
        <v>436</v>
      </c>
      <c r="BN1200" s="861" t="s">
        <v>436</v>
      </c>
      <c r="BO1200" s="861" t="s">
        <v>436</v>
      </c>
      <c r="BP1200" s="861" t="s">
        <v>436</v>
      </c>
      <c r="BQ1200" s="861">
        <v>-2.5000000000000001E-3</v>
      </c>
      <c r="BR1200" s="861">
        <v>1.6575</v>
      </c>
      <c r="BS1200" s="861">
        <v>401</v>
      </c>
      <c r="BT1200" s="872">
        <v>2865</v>
      </c>
    </row>
    <row ht="15.75" r="1201" spans="1:72" thickBot="1">
      <c r="A1201" s="95"/>
      <c r="BL1201" s="865">
        <v>46082</v>
      </c>
      <c r="BM1201" s="863" t="s">
        <v>436</v>
      </c>
      <c r="BN1201" s="863" t="s">
        <v>436</v>
      </c>
      <c r="BO1201" s="863" t="s">
        <v>436</v>
      </c>
      <c r="BP1201" s="863" t="s">
        <v>436</v>
      </c>
      <c r="BQ1201" s="863">
        <v>0</v>
      </c>
      <c r="BR1201" s="863">
        <v>1.68</v>
      </c>
      <c r="BS1201" s="863">
        <v>346</v>
      </c>
      <c r="BT1201" s="873">
        <v>2397</v>
      </c>
    </row>
    <row ht="15.75" r="1202" spans="1:72" thickBot="1">
      <c r="A1202" s="95"/>
      <c r="BL1202" s="860">
        <v>46113</v>
      </c>
      <c r="BM1202" s="861" t="s">
        <v>436</v>
      </c>
      <c r="BN1202" s="861" t="s">
        <v>436</v>
      </c>
      <c r="BO1202" s="861" t="s">
        <v>436</v>
      </c>
      <c r="BP1202" s="861" t="s">
        <v>436</v>
      </c>
      <c r="BQ1202" s="861">
        <v>0</v>
      </c>
      <c r="BR1202" s="861">
        <v>1.7</v>
      </c>
      <c r="BS1202" s="861">
        <v>8</v>
      </c>
      <c r="BT1202" s="874">
        <v>729</v>
      </c>
    </row>
    <row ht="15.75" r="1203" spans="1:72" thickBot="1">
      <c r="A1203" s="95"/>
      <c r="BL1203" s="865">
        <v>46143</v>
      </c>
      <c r="BM1203" s="863" t="s">
        <v>436</v>
      </c>
      <c r="BN1203" s="863" t="s">
        <v>436</v>
      </c>
      <c r="BO1203" s="863" t="s">
        <v>436</v>
      </c>
      <c r="BP1203" s="863" t="s">
        <v>436</v>
      </c>
      <c r="BQ1203" s="863">
        <v>0</v>
      </c>
      <c r="BR1203" s="863">
        <v>1.72</v>
      </c>
      <c r="BS1203" s="863">
        <v>8</v>
      </c>
      <c r="BT1203" s="875">
        <v>629</v>
      </c>
    </row>
    <row ht="15.75" r="1204" spans="1:72" thickBot="1">
      <c r="A1204" s="95"/>
      <c r="BL1204" s="860">
        <v>46174</v>
      </c>
      <c r="BM1204" s="861" t="s">
        <v>436</v>
      </c>
      <c r="BN1204" s="861" t="s">
        <v>436</v>
      </c>
      <c r="BO1204" s="861" t="s">
        <v>436</v>
      </c>
      <c r="BP1204" s="861" t="s">
        <v>436</v>
      </c>
      <c r="BQ1204" s="861">
        <v>0</v>
      </c>
      <c r="BR1204" s="861">
        <v>1.7324999999999999</v>
      </c>
      <c r="BS1204" s="861">
        <v>8</v>
      </c>
      <c r="BT1204" s="872">
        <v>1186</v>
      </c>
    </row>
    <row ht="15.75" r="1205" spans="1:72" thickBot="1">
      <c r="A1205" s="95"/>
      <c r="BL1205" s="863" t="s">
        <v>444</v>
      </c>
      <c r="BM1205" s="863" t="s">
        <v>436</v>
      </c>
      <c r="BN1205" s="863" t="s">
        <v>436</v>
      </c>
      <c r="BO1205" s="863" t="s">
        <v>436</v>
      </c>
      <c r="BP1205" s="863" t="s">
        <v>436</v>
      </c>
      <c r="BQ1205" s="863">
        <v>0</v>
      </c>
      <c r="BR1205" s="863">
        <v>1.7324999999999999</v>
      </c>
      <c r="BS1205" s="863">
        <v>8</v>
      </c>
      <c r="BT1205" s="875">
        <v>220</v>
      </c>
    </row>
    <row ht="15.75" r="1206" spans="1:72" thickBot="1">
      <c r="A1206" s="95"/>
      <c r="BL1206" s="860">
        <v>46235</v>
      </c>
      <c r="BM1206" s="861" t="s">
        <v>436</v>
      </c>
      <c r="BN1206" s="861" t="s">
        <v>436</v>
      </c>
      <c r="BO1206" s="861" t="s">
        <v>436</v>
      </c>
      <c r="BP1206" s="861" t="s">
        <v>436</v>
      </c>
      <c r="BQ1206" s="861">
        <v>0</v>
      </c>
      <c r="BR1206" s="861">
        <v>1.7275</v>
      </c>
      <c r="BS1206" s="861">
        <v>8</v>
      </c>
      <c r="BT1206" s="874">
        <v>200</v>
      </c>
    </row>
    <row ht="15.75" r="1207" spans="1:72" thickBot="1">
      <c r="A1207" s="95"/>
      <c r="BL1207" s="865">
        <v>46266</v>
      </c>
      <c r="BM1207" s="863" t="s">
        <v>436</v>
      </c>
      <c r="BN1207" s="863" t="s">
        <v>436</v>
      </c>
      <c r="BO1207" s="863" t="s">
        <v>436</v>
      </c>
      <c r="BP1207" s="863" t="s">
        <v>436</v>
      </c>
      <c r="BQ1207" s="863">
        <v>0</v>
      </c>
      <c r="BR1207" s="863">
        <v>1.7224999999999999</v>
      </c>
      <c r="BS1207" s="863">
        <v>508</v>
      </c>
      <c r="BT1207" s="875">
        <v>301</v>
      </c>
    </row>
    <row ht="15.75" r="1208" spans="1:72" thickBot="1">
      <c r="A1208" s="95"/>
      <c r="BL1208" s="860">
        <v>46296</v>
      </c>
      <c r="BM1208" s="861" t="s">
        <v>436</v>
      </c>
      <c r="BN1208" s="861" t="s">
        <v>436</v>
      </c>
      <c r="BO1208" s="861" t="s">
        <v>436</v>
      </c>
      <c r="BP1208" s="861" t="s">
        <v>436</v>
      </c>
      <c r="BQ1208" s="861">
        <v>2.5000000000000001E-3</v>
      </c>
      <c r="BR1208" s="861">
        <v>1.6975</v>
      </c>
      <c r="BS1208" s="861">
        <v>508</v>
      </c>
      <c r="BT1208" s="874">
        <v>362</v>
      </c>
    </row>
    <row ht="15.75" r="1209" spans="1:72" thickBot="1">
      <c r="A1209" s="95"/>
      <c r="BL1209" s="865">
        <v>46327</v>
      </c>
      <c r="BM1209" s="863" t="s">
        <v>436</v>
      </c>
      <c r="BN1209" s="863" t="s">
        <v>436</v>
      </c>
      <c r="BO1209" s="863" t="s">
        <v>436</v>
      </c>
      <c r="BP1209" s="863" t="s">
        <v>436</v>
      </c>
      <c r="BQ1209" s="863">
        <v>2.5000000000000001E-3</v>
      </c>
      <c r="BR1209" s="863">
        <v>1.6625000000000001</v>
      </c>
      <c r="BS1209" s="863">
        <v>8</v>
      </c>
      <c r="BT1209" s="875">
        <v>362</v>
      </c>
    </row>
    <row ht="15.75" r="1210" spans="1:72" thickBot="1">
      <c r="A1210" s="95"/>
      <c r="BL1210" s="866">
        <v>46357</v>
      </c>
      <c r="BM1210" s="867" t="s">
        <v>436</v>
      </c>
      <c r="BN1210" s="867" t="s">
        <v>436</v>
      </c>
      <c r="BO1210" s="867" t="s">
        <v>436</v>
      </c>
      <c r="BP1210" s="867" t="s">
        <v>436</v>
      </c>
      <c r="BQ1210" s="867">
        <v>2.5000000000000001E-3</v>
      </c>
      <c r="BR1210" s="867">
        <v>1.64</v>
      </c>
      <c r="BS1210" s="867">
        <v>8</v>
      </c>
      <c r="BT1210" s="876">
        <v>543</v>
      </c>
    </row>
    <row r="1211" spans="1:72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31"/>
  <sheetViews>
    <sheetView workbookViewId="0">
      <pane activePane="bottomRight" state="frozen" topLeftCell="F1153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8.85546875" defaultRowHeight="15"/>
  <cols>
    <col customWidth="1" max="1" min="1" width="12.140625"/>
    <col customWidth="1" max="2" min="2" style="297" width="8.5703125"/>
    <col max="3" min="3" style="63" width="8.85546875"/>
    <col customWidth="1" hidden="1" max="7" min="4" width="8.85546875"/>
    <col customWidth="1" hidden="1" max="58" min="8" width="0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1" si="0" t="shared">+(C5*$A$2)/$A$3</f>
      </c>
      <c r="D5" s="104"/>
      <c r="E5" s="104"/>
    </row>
    <row r="6" spans="1:75">
      <c r="A6" s="95">
        <v>44287</v>
      </c>
      <c r="B6" s="299">
        <f si="0" t="shared"/>
      </c>
    </row>
    <row r="7" spans="1:75">
      <c r="A7" s="95">
        <v>44291</v>
      </c>
      <c r="B7" s="299">
        <f si="0" t="shared"/>
      </c>
    </row>
    <row customFormat="1" r="8" s="176" spans="1:75">
      <c r="A8" s="239">
        <v>44292</v>
      </c>
      <c r="B8" s="299">
        <f si="0" t="shared"/>
      </c>
      <c r="C8" s="475"/>
    </row>
    <row customFormat="1" r="9" s="176" spans="1:75">
      <c r="A9" s="239">
        <v>44293</v>
      </c>
      <c r="B9" s="299">
        <f si="0" t="shared"/>
      </c>
      <c r="C9" s="475"/>
    </row>
    <row r="10" spans="1:75">
      <c r="A10" s="95">
        <v>44294</v>
      </c>
      <c r="B10" s="299">
        <f si="0" t="shared"/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si="0" t="shared"/>
      </c>
      <c r="C11" s="475"/>
    </row>
    <row r="12" spans="1:75">
      <c r="A12" s="95">
        <v>44298</v>
      </c>
      <c r="B12" s="299">
        <f si="0" t="shared"/>
      </c>
      <c r="C12" s="475"/>
    </row>
    <row r="13" spans="1:75">
      <c r="A13" s="95">
        <v>44299</v>
      </c>
      <c r="B13" s="299">
        <f si="0" t="shared"/>
      </c>
      <c r="C13" s="475"/>
    </row>
    <row r="14" spans="1:75">
      <c r="A14" s="95">
        <v>44300</v>
      </c>
      <c r="B14" s="299">
        <f si="0" t="shared"/>
      </c>
      <c r="C14" s="475"/>
    </row>
    <row r="15" spans="1:75">
      <c r="A15" s="95">
        <v>44301</v>
      </c>
      <c r="B15" s="299">
        <f si="0" t="shared"/>
      </c>
      <c r="C15" s="475"/>
    </row>
    <row r="16" spans="1:75">
      <c r="A16" s="95">
        <v>44302</v>
      </c>
      <c r="B16" s="299">
        <f si="0" t="shared"/>
      </c>
    </row>
    <row customFormat="1" customHeight="1" ht="14.45" r="17" s="176" spans="1:3">
      <c r="A17" s="239">
        <v>44305</v>
      </c>
      <c r="B17" s="304">
        <f si="0" t="shared"/>
      </c>
      <c r="C17" s="475"/>
    </row>
    <row customFormat="1" customHeight="1" ht="14.45" r="18" s="176" spans="1:3">
      <c r="A18" s="239">
        <v>44306</v>
      </c>
      <c r="B18" s="304">
        <f si="0" t="shared"/>
      </c>
      <c r="C18" s="475"/>
    </row>
    <row customHeight="1" ht="14.45" r="19" spans="1:3">
      <c r="A19" s="95">
        <v>44307</v>
      </c>
      <c r="B19" s="304">
        <f si="0" t="shared"/>
      </c>
    </row>
    <row customFormat="1" customHeight="1" ht="15" r="20" s="176" spans="1:3">
      <c r="A20" s="239">
        <v>44308</v>
      </c>
      <c r="B20" s="304">
        <f si="0" t="shared"/>
      </c>
      <c r="C20" s="475"/>
    </row>
    <row r="21" spans="1:3">
      <c r="A21" s="95">
        <v>44309</v>
      </c>
      <c r="B21" s="304">
        <f si="0" t="shared"/>
      </c>
    </row>
    <row r="22" spans="1:3">
      <c r="A22" s="95">
        <v>44312</v>
      </c>
      <c r="B22" s="304">
        <f si="0" t="shared"/>
      </c>
    </row>
    <row r="23" spans="1:3">
      <c r="A23" s="95">
        <v>44313</v>
      </c>
      <c r="B23" s="304">
        <f si="0" t="shared"/>
      </c>
    </row>
    <row r="24" spans="1:3">
      <c r="A24" s="95">
        <v>44314</v>
      </c>
      <c r="B24" s="304">
        <f si="0" t="shared"/>
      </c>
    </row>
    <row r="25" spans="1:3">
      <c r="A25" s="95">
        <v>44315</v>
      </c>
      <c r="B25" s="304">
        <f si="0" t="shared"/>
      </c>
    </row>
    <row customFormat="1" r="26" s="176" spans="1:3">
      <c r="A26" s="239">
        <v>44316</v>
      </c>
      <c r="B26" s="304">
        <f si="0" t="shared"/>
      </c>
      <c r="C26" s="475"/>
    </row>
    <row customFormat="1" r="27" s="176" spans="1:3">
      <c r="A27" s="239">
        <v>44319</v>
      </c>
      <c r="B27" s="304">
        <f si="0" t="shared"/>
      </c>
      <c r="C27" s="475"/>
    </row>
    <row r="28" spans="1:3">
      <c r="A28" s="95">
        <v>44320</v>
      </c>
      <c r="B28" s="304">
        <f si="0" t="shared"/>
      </c>
    </row>
    <row r="29" spans="1:3">
      <c r="A29" s="95">
        <v>44321</v>
      </c>
      <c r="B29" s="304">
        <f si="0" t="shared"/>
      </c>
    </row>
    <row r="30" spans="1:3">
      <c r="A30" s="95">
        <v>44322</v>
      </c>
      <c r="B30" s="304">
        <f si="0" t="shared"/>
      </c>
    </row>
    <row customFormat="1" customHeight="1" ht="15" r="31" s="176" spans="1:3">
      <c r="A31" s="239">
        <v>44323</v>
      </c>
      <c r="B31" s="304">
        <f si="0" t="shared"/>
      </c>
      <c r="C31" s="475"/>
    </row>
    <row customFormat="1" customHeight="1" ht="15" r="32" s="176" spans="1:3">
      <c r="A32" s="239">
        <v>44326</v>
      </c>
      <c r="B32" s="304">
        <f si="0" t="shared"/>
      </c>
      <c r="C32" s="475"/>
    </row>
    <row customFormat="1" customHeight="1" ht="15" r="33" s="176" spans="1:18">
      <c r="A33" s="239">
        <v>44327</v>
      </c>
      <c r="B33" s="304">
        <f si="0" t="shared"/>
      </c>
      <c r="C33" s="475"/>
    </row>
    <row customFormat="1" customHeight="1" ht="15" r="34" s="176" spans="1:18">
      <c r="A34" s="239">
        <v>44328</v>
      </c>
      <c r="B34" s="304">
        <f si="0" t="shared"/>
      </c>
      <c r="C34" s="475"/>
    </row>
    <row customFormat="1" customHeight="1" ht="15" r="35" s="176" spans="1:18">
      <c r="A35" s="239">
        <v>44329</v>
      </c>
      <c r="B35" s="304">
        <f si="0" t="shared"/>
      </c>
      <c r="C35" s="475"/>
    </row>
    <row customFormat="1" customHeight="1" ht="15" r="36" s="176" spans="1:18">
      <c r="A36" s="239">
        <v>44330</v>
      </c>
      <c r="B36" s="304">
        <f si="0" t="shared"/>
      </c>
      <c r="C36" s="475"/>
    </row>
    <row r="37" spans="1:18">
      <c r="A37" s="95">
        <v>44333</v>
      </c>
      <c r="B37" s="304">
        <f si="0" t="shared"/>
      </c>
    </row>
    <row r="38" spans="1:18">
      <c r="A38" s="95">
        <v>44334</v>
      </c>
      <c r="B38" s="304">
        <f si="0" t="shared"/>
      </c>
    </row>
    <row r="39" spans="1:18">
      <c r="A39" s="95">
        <v>44335</v>
      </c>
      <c r="B39" s="304">
        <f si="0" t="shared"/>
      </c>
    </row>
    <row r="40" spans="1:18">
      <c r="A40" s="95">
        <v>44336</v>
      </c>
      <c r="B40" s="304">
        <f si="0" t="shared"/>
      </c>
    </row>
    <row customHeight="1" ht="15" r="41" spans="1:18">
      <c r="A41" s="95">
        <v>44337</v>
      </c>
      <c r="B41" s="304">
        <f si="0" t="shared"/>
      </c>
    </row>
    <row customHeight="1" ht="15" r="42" spans="1:18">
      <c r="A42" s="95">
        <v>44340</v>
      </c>
      <c r="B42" s="304">
        <f si="0" t="shared"/>
      </c>
    </row>
    <row customHeight="1" ht="15" r="43" spans="1:18">
      <c r="A43" s="95">
        <v>44341</v>
      </c>
      <c r="B43" s="304">
        <f si="0" t="shared"/>
      </c>
    </row>
    <row customHeight="1" ht="15" r="44" spans="1:18">
      <c r="A44" s="95">
        <v>44342</v>
      </c>
      <c r="B44" s="304">
        <f si="0" t="shared"/>
      </c>
    </row>
    <row customHeight="1" ht="15" r="45" spans="1:18">
      <c r="A45" s="95">
        <v>44343</v>
      </c>
      <c r="B45" s="304">
        <f si="0" t="shared"/>
      </c>
    </row>
    <row r="46" spans="1:18">
      <c r="A46" s="95">
        <v>44344</v>
      </c>
      <c r="B46" s="304">
        <f si="0" t="shared"/>
      </c>
    </row>
    <row r="47" spans="1:18">
      <c r="A47" s="95">
        <v>44347</v>
      </c>
      <c r="B47" s="370">
        <f si="0" t="shared"/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si="0" t="shared"/>
      </c>
    </row>
    <row customHeight="1" ht="15" r="49" spans="1:12">
      <c r="A49" s="95">
        <v>44349</v>
      </c>
      <c r="B49" s="304">
        <f si="0" t="shared"/>
      </c>
    </row>
    <row r="50" spans="1:12">
      <c r="A50" s="95">
        <v>44350</v>
      </c>
      <c r="B50" s="304">
        <f si="0" t="shared"/>
      </c>
    </row>
    <row r="51" spans="1:12">
      <c r="A51" s="95">
        <v>44351</v>
      </c>
      <c r="B51" s="304">
        <f si="0" t="shared"/>
      </c>
    </row>
    <row r="52" spans="1:12">
      <c r="A52" s="95">
        <v>44354</v>
      </c>
      <c r="B52" s="304">
        <f si="0" t="shared"/>
      </c>
    </row>
    <row customHeight="1" ht="15" r="53" spans="1:12">
      <c r="A53" s="95">
        <v>44355</v>
      </c>
      <c r="B53" s="304">
        <f si="0" t="shared"/>
      </c>
    </row>
    <row r="54" spans="1:12">
      <c r="A54" s="95">
        <v>44356</v>
      </c>
      <c r="B54" s="304">
        <f si="0" t="shared"/>
      </c>
    </row>
    <row r="55" spans="1:12">
      <c r="A55" s="95">
        <v>44357</v>
      </c>
      <c r="B55" s="304">
        <f si="0" t="shared"/>
      </c>
      <c r="C55" s="478"/>
    </row>
    <row customHeight="1" ht="15" r="56" spans="1:12">
      <c r="A56" s="95">
        <v>44358</v>
      </c>
      <c r="B56" s="304">
        <f si="0" t="shared"/>
      </c>
    </row>
    <row customHeight="1" ht="15" r="57" spans="1:12">
      <c r="A57" s="95">
        <v>44361</v>
      </c>
      <c r="B57" s="304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5">
        <v>44362</v>
      </c>
      <c r="B58" s="304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5">
        <v>44363</v>
      </c>
      <c r="B59" s="304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6" spans="1:12">
      <c r="A60" s="239">
        <v>44364</v>
      </c>
      <c r="B60" s="304">
        <f si="0" t="shared"/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customHeight="1" ht="14.45" r="61" spans="1:12">
      <c r="A61" s="95">
        <v>44365</v>
      </c>
      <c r="B61" s="304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4" spans="1:12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customHeight="1" ht="14.45" r="67" spans="1:12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89" spans="1:12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customFormat="1" r="117" s="189" spans="1:15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89" spans="1:48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ht="15.75" r="1137" spans="1:63" thickBot="1">
      <c r="A1137" s="95">
        <v>45883</v>
      </c>
      <c r="C1137" s="63">
        <v>0</v>
      </c>
      <c r="BG1137">
        <v>1.8525</v>
      </c>
      <c r="BH1137">
        <v>1.8325</v>
      </c>
    </row>
    <row ht="15.75" r="1138" spans="1:63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70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70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70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70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70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70">
      <c r="A1174" s="95">
        <v>45937</v>
      </c>
      <c r="C1174" s="63">
        <v>25</v>
      </c>
      <c r="BI1174">
        <v>2.055</v>
      </c>
      <c r="BJ1174">
        <v>1.9775</v>
      </c>
      <c r="BK1174">
        <v>1.8475</v>
      </c>
    </row>
    <row r="1175" spans="1:70">
      <c r="A1175" s="95">
        <v>45938</v>
      </c>
      <c r="C1175" s="63">
        <v>0</v>
      </c>
      <c r="BI1175">
        <v>1.9775</v>
      </c>
      <c r="BJ1175">
        <v>1.895</v>
      </c>
      <c r="BK1175">
        <v>1.805</v>
      </c>
    </row>
    <row r="1176" spans="1:70">
      <c r="A1176" s="95">
        <v>45939</v>
      </c>
      <c r="C1176" s="63">
        <v>0</v>
      </c>
      <c r="BI1176">
        <v>1.9325</v>
      </c>
      <c r="BJ1176">
        <v>1.85</v>
      </c>
      <c r="BK1176">
        <v>1.78</v>
      </c>
    </row>
    <row r="1177" spans="1:70">
      <c r="A1177" s="95">
        <v>45940</v>
      </c>
      <c r="C1177" s="63">
        <v>0</v>
      </c>
      <c r="BI1177">
        <v>1.96</v>
      </c>
      <c r="BJ1177">
        <v>1.88</v>
      </c>
      <c r="BK1177">
        <v>1.795</v>
      </c>
    </row>
    <row r="1178" spans="1:70">
      <c r="A1178" s="95">
        <v>45943</v>
      </c>
      <c r="C1178" s="63">
        <v>0</v>
      </c>
      <c r="BI1178">
        <v>1.955</v>
      </c>
      <c r="BJ1178">
        <v>1.865</v>
      </c>
      <c r="BK1178">
        <v>1.78</v>
      </c>
    </row>
    <row r="1179" spans="1:70">
      <c r="A1179" s="95">
        <v>45943</v>
      </c>
      <c r="C1179" s="63">
        <v>0</v>
      </c>
      <c r="BI1179">
        <v>1.955</v>
      </c>
      <c r="BJ1179">
        <v>1.865</v>
      </c>
      <c r="BK1179">
        <v>1.78</v>
      </c>
    </row>
    <row r="1180" spans="1:70">
      <c r="A1180" s="95">
        <v>45943</v>
      </c>
      <c r="C1180" s="63">
        <v>0</v>
      </c>
      <c r="BI1180">
        <v>1.955</v>
      </c>
      <c r="BJ1180">
        <v>1.865</v>
      </c>
      <c r="BK1180">
        <v>1.78</v>
      </c>
    </row>
    <row r="1181" spans="1:70">
      <c r="A1181" s="95">
        <v>45943</v>
      </c>
      <c r="C1181" s="63">
        <v>0</v>
      </c>
      <c r="BI1181">
        <v>1.955</v>
      </c>
      <c r="BJ1181">
        <v>1.865</v>
      </c>
      <c r="BK1181">
        <v>1.78</v>
      </c>
    </row>
    <row r="1182" spans="1:70">
      <c r="A1182" s="95">
        <v>45944</v>
      </c>
      <c r="C1182" s="63">
        <v>0</v>
      </c>
      <c r="BI1182">
        <v>1.93</v>
      </c>
      <c r="BJ1182">
        <v>1.815</v>
      </c>
      <c r="BK1182">
        <v>1.745</v>
      </c>
    </row>
    <row r="1183" spans="1:70">
      <c r="A1183" s="95">
        <v>45944</v>
      </c>
      <c r="C1183" s="63">
        <v>0</v>
      </c>
      <c r="BI1183">
        <v>1.93</v>
      </c>
      <c r="BJ1183">
        <v>1.815</v>
      </c>
      <c r="BK1183">
        <v>1.745</v>
      </c>
    </row>
    <row r="1184" spans="1:70">
      <c r="A1184" s="95">
        <v>45944</v>
      </c>
      <c r="C1184" s="63">
        <v>0</v>
      </c>
      <c r="BI1184">
        <v>1.93</v>
      </c>
      <c r="BJ1184">
        <v>1.815</v>
      </c>
      <c r="BK1184">
        <v>1.745</v>
      </c>
    </row>
    <row r="1185" spans="1:70">
      <c r="A1185" s="95" t="s">
        <v>4575</v>
      </c>
      <c r="C1185" s="63" t="s">
        <v>4576</v>
      </c>
      <c r="BI1185" t="s">
        <v>4577</v>
      </c>
      <c r="BJ1185" t="s">
        <v>4578</v>
      </c>
      <c r="BK1185" t="s">
        <v>4579</v>
      </c>
    </row>
    <row r="1186" spans="1:70">
      <c r="A1186" s="95"/>
    </row>
    <row r="1187" spans="1:70">
      <c r="A1187" s="95"/>
    </row>
    <row r="1188" spans="1:70">
      <c r="A1188" s="95"/>
    </row>
    <row r="1189" spans="1:70">
      <c r="A1189" s="95"/>
    </row>
    <row r="1190" spans="1:70">
      <c r="A1190" s="95"/>
    </row>
    <row r="1191" spans="1:70">
      <c r="A1191" s="95"/>
      <c r="BJ1191" s="1127">
        <v>0</v>
      </c>
    </row>
    <row ht="64.5" r="1192" spans="1:70" thickBot="1">
      <c r="A1192" s="95"/>
      <c r="BJ1192" s="1126" t="s">
        <v>4458</v>
      </c>
    </row>
    <row ht="29.25" r="1193" spans="1:70" thickBot="1">
      <c r="A1193" s="95"/>
      <c r="BJ1193" s="858" t="s">
        <v>4210</v>
      </c>
      <c r="BK1193" s="858" t="s">
        <v>4211</v>
      </c>
      <c r="BL1193" s="858" t="s">
        <v>4212</v>
      </c>
      <c r="BM1193" s="858" t="s">
        <v>4213</v>
      </c>
      <c r="BN1193" s="858" t="s">
        <v>369</v>
      </c>
      <c r="BO1193" s="858" t="s">
        <v>4214</v>
      </c>
      <c r="BP1193" s="858" t="s">
        <v>4215</v>
      </c>
      <c r="BQ1193" s="858" t="s">
        <v>4216</v>
      </c>
      <c r="BR1193" s="859" t="s">
        <v>4217</v>
      </c>
    </row>
    <row ht="15.75" r="1194" spans="1:70" thickBot="1">
      <c r="A1194" s="95"/>
      <c r="BJ1194" s="860">
        <v>45931</v>
      </c>
      <c r="BK1194" s="861" t="s">
        <v>436</v>
      </c>
      <c r="BL1194" s="861" t="s">
        <v>436</v>
      </c>
      <c r="BM1194" s="861" t="s">
        <v>436</v>
      </c>
      <c r="BN1194" s="861" t="s">
        <v>436</v>
      </c>
      <c r="BO1194" s="861">
        <v>-1.2500000000000001E-2</v>
      </c>
      <c r="BP1194" s="861">
        <v>2.12</v>
      </c>
      <c r="BQ1194" s="861">
        <v>0</v>
      </c>
      <c r="BR1194" s="874">
        <v>335</v>
      </c>
    </row>
    <row ht="15.75" r="1195" spans="1:70" thickBot="1">
      <c r="A1195" s="95"/>
      <c r="BJ1195" s="865">
        <v>45962</v>
      </c>
      <c r="BK1195" s="863" t="s">
        <v>436</v>
      </c>
      <c r="BL1195" s="863" t="s">
        <v>436</v>
      </c>
      <c r="BM1195" s="863" t="s">
        <v>436</v>
      </c>
      <c r="BN1195" s="863" t="s">
        <v>436</v>
      </c>
      <c r="BO1195" s="863">
        <v>-1.2500000000000001E-2</v>
      </c>
      <c r="BP1195" s="863">
        <v>2.0274999999999999</v>
      </c>
      <c r="BQ1195" s="863">
        <v>0</v>
      </c>
      <c r="BR1195" s="875">
        <v>230</v>
      </c>
    </row>
    <row ht="15.75" r="1196" spans="1:70" thickBot="1">
      <c r="A1196" s="95"/>
      <c r="BJ1196" s="866">
        <v>45992</v>
      </c>
      <c r="BK1196" s="867" t="s">
        <v>436</v>
      </c>
      <c r="BL1196" s="867" t="s">
        <v>436</v>
      </c>
      <c r="BM1196" s="867" t="s">
        <v>436</v>
      </c>
      <c r="BN1196" s="867" t="s">
        <v>436</v>
      </c>
      <c r="BO1196" s="867">
        <v>-5.0000000000000001E-3</v>
      </c>
      <c r="BP1196" s="867">
        <v>1.88</v>
      </c>
      <c r="BQ1196" s="867">
        <v>0</v>
      </c>
      <c r="BR1196" s="876">
        <v>230</v>
      </c>
    </row>
    <row r="1197" spans="1:70">
      <c r="A1197" s="95"/>
    </row>
    <row r="1198" spans="1:70">
      <c r="A1198" s="95"/>
    </row>
    <row r="1199" spans="1:70">
      <c r="A1199" s="95"/>
    </row>
    <row r="1200" spans="1:70">
      <c r="A1200" s="95"/>
    </row>
    <row r="1201" spans="1:70">
      <c r="A1201" s="95"/>
    </row>
    <row r="1202" spans="1:70">
      <c r="A1202" s="95"/>
    </row>
    <row r="1203" spans="1:70">
      <c r="A1203" s="95"/>
    </row>
    <row r="1204" spans="1:70">
      <c r="A1204" s="95"/>
    </row>
    <row r="1205" spans="1:70">
      <c r="A1205" s="95"/>
    </row>
    <row r="1206" spans="1:70">
      <c r="A1206" s="95"/>
    </row>
    <row r="1207" spans="1:70">
      <c r="A1207" s="95"/>
    </row>
    <row r="1208" spans="1:70">
      <c r="A1208" s="95"/>
    </row>
    <row r="1209" spans="1:70">
      <c r="A1209" s="95"/>
    </row>
    <row r="1210" spans="1:70">
      <c r="A1210" s="95"/>
    </row>
    <row r="1211" spans="1:70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31"/>
  <sheetViews>
    <sheetView workbookViewId="0" zoomScale="98" zoomScaleNormal="98">
      <pane activePane="bottomRight" state="frozen" topLeftCell="B1158" xSplit="1" ySplit="4"/>
      <selection activeCell="B1" pane="topRight" sqref="B1"/>
      <selection activeCell="A5" pane="bottomLeft" sqref="A5"/>
      <selection activeCell="B1174" pane="bottomRight" sqref="B1174"/>
    </sheetView>
  </sheetViews>
  <sheetFormatPr baseColWidth="10" defaultColWidth="9.140625" defaultRowHeight="15"/>
  <cols>
    <col customWidth="1" max="1" min="1" width="13.7109375"/>
    <col max="2" min="2" style="63" width="8.85546875"/>
    <col customWidth="1" hidden="1" max="56" min="3" width="0"/>
  </cols>
  <sheetData>
    <row r="1" spans="1:74">
      <c r="A1" s="56" t="s">
        <v>438</v>
      </c>
    </row>
    <row r="2" spans="1:74">
      <c r="BF2">
        <v>1000</v>
      </c>
    </row>
    <row customFormat="1" r="3" s="63" spans="1:74"/>
    <row customFormat="1" ht="15.75" r="4" s="96" spans="1:74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customFormat="1" r="7" s="189" spans="1:74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customFormat="1" r="8" s="176" spans="1:74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customFormat="1" r="9" s="176" spans="1:74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customFormat="1" r="10" s="176" spans="1:74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customFormat="1" r="11" s="176" spans="1:74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customFormat="1" r="12" s="176" spans="1:74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customFormat="1" r="13" s="176" spans="1:74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customFormat="1" r="14" s="176" spans="1:74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customFormat="1" customHeight="1" ht="15" r="15" s="176" spans="1:74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customFormat="1" customHeight="1" ht="15" r="16" s="176" spans="1:74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customFormat="1" r="17" s="176" spans="1:23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customFormat="1" r="18" s="176" spans="1:23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customFormat="1" customHeight="1" ht="14.45" r="19" s="176" spans="1:23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customFormat="1" customHeight="1" ht="15" r="20" s="176" spans="1:23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customFormat="1" customHeight="1" ht="15" r="21" s="176" spans="1:23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customFormat="1" r="22" s="176" spans="1:23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customFormat="1" r="23" s="176" spans="1:23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customFormat="1" r="24" s="176" spans="1:23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customFormat="1" r="25" s="176" spans="1:23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customFormat="1" r="26" s="176" spans="1:23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customFormat="1" r="27" s="176" spans="1:23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customFormat="1" r="28" s="176" spans="1:23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customFormat="1" r="29" s="176" spans="1:23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customFormat="1" r="30" s="176" spans="1:23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customFormat="1" r="31" s="176" spans="1:23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customFormat="1" r="32" s="176" spans="1:23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customFormat="1" r="33" s="176" spans="1:23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customFormat="1" r="34" s="176" spans="1:23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customFormat="1" r="35" s="176" spans="1:23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customFormat="1" r="36" s="176" spans="1:23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customHeight="1" ht="14.45" r="37" spans="1:23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6" spans="1:23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customFormat="1" customHeight="1" ht="14.45" r="44" s="176" spans="1:23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customFormat="1" customHeight="1" ht="14.45" r="45" s="176" spans="1:23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customFormat="1" customHeight="1" ht="14.45" r="46" s="176" spans="1:23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customFormat="1" customHeight="1" ht="14.45" r="48" s="176" spans="1:23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4" spans="1:23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89" spans="1:23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customFormat="1" r="839" s="189" spans="1:62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45937</v>
      </c>
      <c r="B1174">
        <v>185</v>
      </c>
      <c r="BH1174">
        <v>800</v>
      </c>
      <c r="BI1174">
        <v>700</v>
      </c>
      <c r="BJ1174">
        <v>640</v>
      </c>
      <c r="BK1174">
        <v>615</v>
      </c>
      <c r="BL1174">
        <v>625</v>
      </c>
      <c r="BM1174">
        <v>635</v>
      </c>
      <c r="BN1174">
        <v>642</v>
      </c>
      <c r="BO1174">
        <v>645</v>
      </c>
      <c r="BP1174">
        <v>642</v>
      </c>
      <c r="BQ1174">
        <v>630</v>
      </c>
      <c r="BR1174">
        <v>630</v>
      </c>
      <c r="BS1174">
        <v>630</v>
      </c>
      <c r="BT1174">
        <v>608</v>
      </c>
      <c r="BU1174">
        <v>608</v>
      </c>
      <c r="BV1174">
        <v>608</v>
      </c>
    </row>
    <row r="1175" spans="1:74">
      <c r="A1175" s="95">
        <v>45938</v>
      </c>
      <c r="B1175">
        <v>70</v>
      </c>
      <c r="BH1175">
        <v>755</v>
      </c>
      <c r="BI1175">
        <v>675</v>
      </c>
      <c r="BJ1175">
        <v>625</v>
      </c>
      <c r="BK1175">
        <v>608</v>
      </c>
      <c r="BL1175">
        <v>617</v>
      </c>
      <c r="BM1175">
        <v>627</v>
      </c>
      <c r="BN1175">
        <v>635</v>
      </c>
      <c r="BO1175">
        <v>635</v>
      </c>
      <c r="BP1175">
        <v>635</v>
      </c>
      <c r="BQ1175">
        <v>625</v>
      </c>
      <c r="BR1175">
        <v>625</v>
      </c>
      <c r="BS1175">
        <v>625</v>
      </c>
      <c r="BT1175">
        <v>603</v>
      </c>
      <c r="BU1175">
        <v>603</v>
      </c>
      <c r="BV1175">
        <v>603</v>
      </c>
    </row>
    <row r="1176" spans="1:74">
      <c r="A1176" s="95">
        <v>45939</v>
      </c>
      <c r="B1176">
        <v>276</v>
      </c>
      <c r="BH1176">
        <v>725</v>
      </c>
      <c r="BI1176">
        <v>675</v>
      </c>
      <c r="BJ1176">
        <v>620</v>
      </c>
      <c r="BK1176">
        <v>598</v>
      </c>
      <c r="BL1176">
        <v>607</v>
      </c>
      <c r="BM1176">
        <v>620</v>
      </c>
      <c r="BN1176">
        <v>630</v>
      </c>
      <c r="BO1176">
        <v>631</v>
      </c>
      <c r="BP1176">
        <v>631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45940</v>
      </c>
      <c r="B1177">
        <v>200</v>
      </c>
      <c r="BH1177">
        <v>715</v>
      </c>
      <c r="BI1177">
        <v>665</v>
      </c>
      <c r="BJ1177">
        <v>620</v>
      </c>
      <c r="BK1177">
        <v>605</v>
      </c>
      <c r="BL1177">
        <v>615</v>
      </c>
      <c r="BM1177">
        <v>625</v>
      </c>
      <c r="BN1177">
        <v>640</v>
      </c>
      <c r="BO1177">
        <v>640</v>
      </c>
      <c r="BP1177">
        <v>640</v>
      </c>
      <c r="BQ1177">
        <v>630</v>
      </c>
      <c r="BR1177">
        <v>630</v>
      </c>
      <c r="BS1177">
        <v>630</v>
      </c>
      <c r="BT1177">
        <v>608</v>
      </c>
      <c r="BU1177">
        <v>608</v>
      </c>
      <c r="BV1177">
        <v>608</v>
      </c>
    </row>
    <row r="1178" spans="1:74">
      <c r="A1178" s="95">
        <v>45943</v>
      </c>
      <c r="B1178">
        <v>10</v>
      </c>
      <c r="BH1178">
        <v>730</v>
      </c>
      <c r="BI1178">
        <v>665</v>
      </c>
      <c r="BJ1178">
        <v>620</v>
      </c>
      <c r="BK1178">
        <v>605</v>
      </c>
      <c r="BL1178">
        <v>615</v>
      </c>
      <c r="BM1178">
        <v>627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605</v>
      </c>
    </row>
    <row r="1179" spans="1:74">
      <c r="A1179" s="95">
        <v>45943</v>
      </c>
      <c r="B1179">
        <v>10</v>
      </c>
      <c r="BH1179">
        <v>730</v>
      </c>
      <c r="BI1179">
        <v>665</v>
      </c>
      <c r="BJ1179">
        <v>620</v>
      </c>
      <c r="BK1179">
        <v>605</v>
      </c>
      <c r="BL1179">
        <v>615</v>
      </c>
      <c r="BM1179">
        <v>627</v>
      </c>
      <c r="BN1179">
        <v>640</v>
      </c>
      <c r="BO1179">
        <v>640</v>
      </c>
      <c r="BP1179">
        <v>640</v>
      </c>
      <c r="BQ1179">
        <v>630</v>
      </c>
      <c r="BR1179">
        <v>630</v>
      </c>
      <c r="BS1179">
        <v>630</v>
      </c>
      <c r="BT1179">
        <v>608</v>
      </c>
      <c r="BU1179">
        <v>608</v>
      </c>
      <c r="BV1179">
        <v>605</v>
      </c>
    </row>
    <row r="1180" spans="1:74">
      <c r="A1180" s="95">
        <v>45943</v>
      </c>
      <c r="B1180">
        <v>10</v>
      </c>
      <c r="BH1180">
        <v>730</v>
      </c>
      <c r="BI1180">
        <v>665</v>
      </c>
      <c r="BJ1180">
        <v>620</v>
      </c>
      <c r="BK1180">
        <v>605</v>
      </c>
      <c r="BL1180">
        <v>615</v>
      </c>
      <c r="BM1180">
        <v>627</v>
      </c>
      <c r="BN1180">
        <v>640</v>
      </c>
      <c r="BO1180">
        <v>640</v>
      </c>
      <c r="BP1180">
        <v>640</v>
      </c>
      <c r="BQ1180">
        <v>630</v>
      </c>
      <c r="BR1180">
        <v>630</v>
      </c>
      <c r="BS1180">
        <v>630</v>
      </c>
      <c r="BT1180">
        <v>608</v>
      </c>
      <c r="BU1180">
        <v>608</v>
      </c>
      <c r="BV1180">
        <v>605</v>
      </c>
    </row>
    <row r="1181" spans="1:74">
      <c r="A1181" s="95">
        <v>45943</v>
      </c>
      <c r="B1181">
        <v>10</v>
      </c>
      <c r="BH1181">
        <v>730</v>
      </c>
      <c r="BI1181">
        <v>665</v>
      </c>
      <c r="BJ1181">
        <v>620</v>
      </c>
      <c r="BK1181">
        <v>605</v>
      </c>
      <c r="BL1181">
        <v>615</v>
      </c>
      <c r="BM1181">
        <v>627</v>
      </c>
      <c r="BN1181">
        <v>640</v>
      </c>
      <c r="BO1181">
        <v>640</v>
      </c>
      <c r="BP1181">
        <v>640</v>
      </c>
      <c r="BQ1181">
        <v>630</v>
      </c>
      <c r="BR1181">
        <v>630</v>
      </c>
      <c r="BS1181">
        <v>630</v>
      </c>
      <c r="BT1181">
        <v>608</v>
      </c>
      <c r="BU1181">
        <v>608</v>
      </c>
      <c r="BV1181">
        <v>605</v>
      </c>
    </row>
    <row r="1182" spans="1:74">
      <c r="A1182" s="95">
        <v>45944</v>
      </c>
      <c r="B1182">
        <v>90</v>
      </c>
      <c r="BH1182">
        <v>745</v>
      </c>
      <c r="BI1182">
        <v>670</v>
      </c>
      <c r="BJ1182">
        <v>620</v>
      </c>
      <c r="BK1182">
        <v>602</v>
      </c>
      <c r="BL1182">
        <v>610</v>
      </c>
      <c r="BM1182">
        <v>622</v>
      </c>
      <c r="BN1182">
        <v>634</v>
      </c>
      <c r="BO1182">
        <v>634</v>
      </c>
      <c r="BP1182">
        <v>634</v>
      </c>
      <c r="BQ1182">
        <v>626</v>
      </c>
      <c r="BR1182">
        <v>626</v>
      </c>
      <c r="BS1182">
        <v>626</v>
      </c>
      <c r="BT1182">
        <v>604</v>
      </c>
      <c r="BU1182">
        <v>604</v>
      </c>
      <c r="BV1182">
        <v>604</v>
      </c>
    </row>
    <row r="1183" spans="1:74">
      <c r="A1183" s="95">
        <v>45944</v>
      </c>
      <c r="B1183">
        <v>90</v>
      </c>
      <c r="BH1183">
        <v>745</v>
      </c>
      <c r="BI1183">
        <v>670</v>
      </c>
      <c r="BJ1183">
        <v>620</v>
      </c>
      <c r="BK1183">
        <v>602</v>
      </c>
      <c r="BL1183">
        <v>610</v>
      </c>
      <c r="BM1183">
        <v>622</v>
      </c>
      <c r="BN1183">
        <v>634</v>
      </c>
      <c r="BO1183">
        <v>634</v>
      </c>
      <c r="BP1183">
        <v>634</v>
      </c>
      <c r="BQ1183">
        <v>626</v>
      </c>
      <c r="BR1183">
        <v>626</v>
      </c>
      <c r="BS1183">
        <v>626</v>
      </c>
      <c r="BT1183">
        <v>604</v>
      </c>
      <c r="BU1183">
        <v>604</v>
      </c>
      <c r="BV1183">
        <v>604</v>
      </c>
    </row>
    <row r="1184" spans="1:74">
      <c r="A1184" s="95">
        <v>45944</v>
      </c>
      <c r="B1184">
        <v>90</v>
      </c>
      <c r="BH1184">
        <v>745</v>
      </c>
      <c r="BI1184">
        <v>670</v>
      </c>
      <c r="BJ1184">
        <v>620</v>
      </c>
      <c r="BK1184">
        <v>602</v>
      </c>
      <c r="BL1184">
        <v>610</v>
      </c>
      <c r="BM1184">
        <v>622</v>
      </c>
      <c r="BN1184">
        <v>634</v>
      </c>
      <c r="BO1184">
        <v>634</v>
      </c>
      <c r="BP1184">
        <v>634</v>
      </c>
      <c r="BQ1184">
        <v>626</v>
      </c>
      <c r="BR1184">
        <v>626</v>
      </c>
      <c r="BS1184">
        <v>626</v>
      </c>
      <c r="BT1184">
        <v>604</v>
      </c>
      <c r="BU1184">
        <v>604</v>
      </c>
      <c r="BV1184">
        <v>604</v>
      </c>
    </row>
    <row r="1185" spans="1:74">
      <c r="A1185" s="95" t="s">
        <v>4580</v>
      </c>
      <c r="B1185" t="s">
        <v>4581</v>
      </c>
      <c r="BH1185" t="s">
        <v>4582</v>
      </c>
      <c r="BI1185" t="s">
        <v>4583</v>
      </c>
      <c r="BJ1185" t="s">
        <v>4584</v>
      </c>
      <c r="BK1185" t="s">
        <v>4585</v>
      </c>
      <c r="BL1185" t="s">
        <v>4586</v>
      </c>
      <c r="BM1185" t="s">
        <v>4587</v>
      </c>
      <c r="BN1185" t="s">
        <v>4588</v>
      </c>
      <c r="BO1185" t="s">
        <v>4589</v>
      </c>
      <c r="BP1185" t="s">
        <v>4590</v>
      </c>
      <c r="BQ1185" t="s">
        <v>4591</v>
      </c>
      <c r="BR1185" t="s">
        <v>4592</v>
      </c>
      <c r="BS1185" t="s">
        <v>4593</v>
      </c>
      <c r="BT1185" t="s">
        <v>4594</v>
      </c>
      <c r="BU1185" t="s">
        <v>4595</v>
      </c>
      <c r="BV1185" t="s">
        <v>4596</v>
      </c>
    </row>
    <row r="1186" spans="1:74">
      <c r="A1186" s="95"/>
    </row>
    <row r="1187" spans="1:74">
      <c r="A1187" s="95"/>
    </row>
    <row r="1188" spans="1:74">
      <c r="A1188" s="95"/>
    </row>
    <row r="1189" spans="1:74">
      <c r="A1189" s="95"/>
    </row>
    <row r="1190" spans="1:74">
      <c r="A1190" s="95"/>
    </row>
    <row r="1191" spans="1:74">
      <c r="A1191" s="95"/>
    </row>
    <row r="1192" spans="1:74">
      <c r="A1192" s="95"/>
    </row>
    <row r="1193" spans="1:74">
      <c r="A1193" s="95"/>
      <c r="BI1193" s="1127">
        <v>585</v>
      </c>
    </row>
    <row ht="77.25" r="1194" spans="1:74" thickBot="1">
      <c r="A1194" s="95"/>
      <c r="BI1194" s="1126" t="s">
        <v>4459</v>
      </c>
    </row>
    <row ht="29.25" r="1195" spans="1:74" thickBot="1">
      <c r="A1195" s="95"/>
      <c r="BI1195" s="858" t="s">
        <v>4210</v>
      </c>
      <c r="BJ1195" s="858" t="s">
        <v>4211</v>
      </c>
      <c r="BK1195" s="858" t="s">
        <v>4212</v>
      </c>
      <c r="BL1195" s="858" t="s">
        <v>4213</v>
      </c>
      <c r="BM1195" s="858" t="s">
        <v>369</v>
      </c>
      <c r="BN1195" s="858" t="s">
        <v>4214</v>
      </c>
      <c r="BO1195" s="858" t="s">
        <v>4215</v>
      </c>
      <c r="BP1195" s="858" t="s">
        <v>4216</v>
      </c>
      <c r="BQ1195" s="859" t="s">
        <v>4217</v>
      </c>
    </row>
    <row ht="15.75" r="1196" spans="1:69" thickBot="1">
      <c r="A1196" s="95"/>
      <c r="BI1196" s="860">
        <v>45931</v>
      </c>
      <c r="BJ1196" s="861" t="s">
        <v>436</v>
      </c>
      <c r="BK1196" s="861" t="s">
        <v>436</v>
      </c>
      <c r="BL1196" s="861" t="s">
        <v>436</v>
      </c>
      <c r="BM1196" s="861" t="s">
        <v>436</v>
      </c>
      <c r="BN1196" s="861">
        <v>40</v>
      </c>
      <c r="BO1196" s="861">
        <v>790</v>
      </c>
      <c r="BP1196" s="861">
        <v>0</v>
      </c>
      <c r="BQ1196" s="874">
        <v>967</v>
      </c>
    </row>
    <row ht="15.75" r="1197" spans="1:69" thickBot="1">
      <c r="A1197" s="95"/>
      <c r="BI1197" s="865">
        <v>45962</v>
      </c>
      <c r="BJ1197" s="863" t="s">
        <v>436</v>
      </c>
      <c r="BK1197" s="863" t="s">
        <v>436</v>
      </c>
      <c r="BL1197" s="863" t="s">
        <v>436</v>
      </c>
      <c r="BM1197" s="863" t="s">
        <v>436</v>
      </c>
      <c r="BN1197" s="863">
        <v>33</v>
      </c>
      <c r="BO1197" s="863">
        <v>715</v>
      </c>
      <c r="BP1197" s="863">
        <v>10</v>
      </c>
      <c r="BQ1197" s="875">
        <v>813</v>
      </c>
    </row>
    <row ht="15.75" r="1198" spans="1:69" thickBot="1">
      <c r="A1198" s="95"/>
      <c r="BI1198" s="860">
        <v>45992</v>
      </c>
      <c r="BJ1198" s="861" t="s">
        <v>436</v>
      </c>
      <c r="BK1198" s="861" t="s">
        <v>436</v>
      </c>
      <c r="BL1198" s="861" t="s">
        <v>436</v>
      </c>
      <c r="BM1198" s="861" t="s">
        <v>436</v>
      </c>
      <c r="BN1198" s="861">
        <v>21</v>
      </c>
      <c r="BO1198" s="861">
        <v>650</v>
      </c>
      <c r="BP1198" s="861">
        <v>50</v>
      </c>
      <c r="BQ1198" s="874">
        <v>766</v>
      </c>
    </row>
    <row ht="15.75" r="1199" spans="1:69" thickBot="1">
      <c r="A1199" s="95"/>
      <c r="BI1199" s="865">
        <v>46023</v>
      </c>
      <c r="BJ1199" s="863" t="s">
        <v>436</v>
      </c>
      <c r="BK1199" s="863" t="s">
        <v>436</v>
      </c>
      <c r="BL1199" s="863" t="s">
        <v>436</v>
      </c>
      <c r="BM1199" s="863" t="s">
        <v>436</v>
      </c>
      <c r="BN1199" s="863">
        <v>19</v>
      </c>
      <c r="BO1199" s="863">
        <v>628</v>
      </c>
      <c r="BP1199" s="863">
        <v>90</v>
      </c>
      <c r="BQ1199" s="875">
        <v>576</v>
      </c>
    </row>
    <row ht="15.75" r="1200" spans="1:69" thickBot="1">
      <c r="A1200" s="95"/>
      <c r="BI1200" s="860">
        <v>46054</v>
      </c>
      <c r="BJ1200" s="861" t="s">
        <v>436</v>
      </c>
      <c r="BK1200" s="861" t="s">
        <v>436</v>
      </c>
      <c r="BL1200" s="861" t="s">
        <v>436</v>
      </c>
      <c r="BM1200" s="861" t="s">
        <v>436</v>
      </c>
      <c r="BN1200" s="861">
        <v>16</v>
      </c>
      <c r="BO1200" s="861">
        <v>630</v>
      </c>
      <c r="BP1200" s="861">
        <v>90</v>
      </c>
      <c r="BQ1200" s="874">
        <v>478</v>
      </c>
    </row>
    <row ht="15.75" r="1201" spans="1:69" thickBot="1">
      <c r="A1201" s="95"/>
      <c r="BI1201" s="865">
        <v>46082</v>
      </c>
      <c r="BJ1201" s="863" t="s">
        <v>436</v>
      </c>
      <c r="BK1201" s="863" t="s">
        <v>436</v>
      </c>
      <c r="BL1201" s="863" t="s">
        <v>436</v>
      </c>
      <c r="BM1201" s="863" t="s">
        <v>436</v>
      </c>
      <c r="BN1201" s="863">
        <v>18</v>
      </c>
      <c r="BO1201" s="863">
        <v>633</v>
      </c>
      <c r="BP1201" s="863">
        <v>90</v>
      </c>
      <c r="BQ1201" s="875">
        <v>518</v>
      </c>
    </row>
    <row ht="15.75" r="1202" spans="1:69" thickBot="1">
      <c r="A1202" s="95"/>
      <c r="BI1202" s="860">
        <v>46113</v>
      </c>
      <c r="BJ1202" s="861" t="s">
        <v>436</v>
      </c>
      <c r="BK1202" s="861" t="s">
        <v>436</v>
      </c>
      <c r="BL1202" s="861" t="s">
        <v>436</v>
      </c>
      <c r="BM1202" s="861" t="s">
        <v>436</v>
      </c>
      <c r="BN1202" s="861">
        <v>19</v>
      </c>
      <c r="BO1202" s="861">
        <v>641</v>
      </c>
      <c r="BP1202" s="861">
        <v>45</v>
      </c>
      <c r="BQ1202" s="874">
        <v>207</v>
      </c>
    </row>
    <row ht="15.75" r="1203" spans="1:69" thickBot="1">
      <c r="A1203" s="95"/>
      <c r="BI1203" s="865">
        <v>46143</v>
      </c>
      <c r="BJ1203" s="863" t="s">
        <v>436</v>
      </c>
      <c r="BK1203" s="863" t="s">
        <v>436</v>
      </c>
      <c r="BL1203" s="863" t="s">
        <v>436</v>
      </c>
      <c r="BM1203" s="863" t="s">
        <v>436</v>
      </c>
      <c r="BN1203" s="863">
        <v>19</v>
      </c>
      <c r="BO1203" s="863">
        <v>642</v>
      </c>
      <c r="BP1203" s="863">
        <v>45</v>
      </c>
      <c r="BQ1203" s="875">
        <v>221</v>
      </c>
    </row>
    <row ht="15.75" r="1204" spans="1:69" thickBot="1">
      <c r="A1204" s="95"/>
      <c r="BI1204" s="860">
        <v>46174</v>
      </c>
      <c r="BJ1204" s="861" t="s">
        <v>436</v>
      </c>
      <c r="BK1204" s="861" t="s">
        <v>436</v>
      </c>
      <c r="BL1204" s="861" t="s">
        <v>436</v>
      </c>
      <c r="BM1204" s="861" t="s">
        <v>436</v>
      </c>
      <c r="BN1204" s="861">
        <v>19</v>
      </c>
      <c r="BO1204" s="861">
        <v>643</v>
      </c>
      <c r="BP1204" s="861">
        <v>45</v>
      </c>
      <c r="BQ1204" s="874">
        <v>221</v>
      </c>
    </row>
    <row ht="15.75" r="1205" spans="1:69" thickBot="1">
      <c r="A1205" s="95"/>
      <c r="BI1205" s="863" t="s">
        <v>444</v>
      </c>
      <c r="BJ1205" s="863" t="s">
        <v>436</v>
      </c>
      <c r="BK1205" s="863" t="s">
        <v>436</v>
      </c>
      <c r="BL1205" s="863" t="s">
        <v>436</v>
      </c>
      <c r="BM1205" s="863" t="s">
        <v>436</v>
      </c>
      <c r="BN1205" s="863">
        <v>16</v>
      </c>
      <c r="BO1205" s="863">
        <v>632</v>
      </c>
      <c r="BP1205" s="863">
        <v>20</v>
      </c>
      <c r="BQ1205" s="875">
        <v>122</v>
      </c>
    </row>
    <row ht="15.75" r="1206" spans="1:69" thickBot="1">
      <c r="A1206" s="95"/>
      <c r="BI1206" s="860">
        <v>46235</v>
      </c>
      <c r="BJ1206" s="861" t="s">
        <v>436</v>
      </c>
      <c r="BK1206" s="861" t="s">
        <v>436</v>
      </c>
      <c r="BL1206" s="861" t="s">
        <v>436</v>
      </c>
      <c r="BM1206" s="861" t="s">
        <v>436</v>
      </c>
      <c r="BN1206" s="861">
        <v>16</v>
      </c>
      <c r="BO1206" s="861">
        <v>632</v>
      </c>
      <c r="BP1206" s="861">
        <v>20</v>
      </c>
      <c r="BQ1206" s="874">
        <v>136</v>
      </c>
    </row>
    <row ht="15.75" r="1207" spans="1:69" thickBot="1">
      <c r="A1207" s="95"/>
      <c r="BI1207" s="865">
        <v>46266</v>
      </c>
      <c r="BJ1207" s="863" t="s">
        <v>436</v>
      </c>
      <c r="BK1207" s="863" t="s">
        <v>436</v>
      </c>
      <c r="BL1207" s="863" t="s">
        <v>436</v>
      </c>
      <c r="BM1207" s="863" t="s">
        <v>436</v>
      </c>
      <c r="BN1207" s="863">
        <v>16</v>
      </c>
      <c r="BO1207" s="863">
        <v>632</v>
      </c>
      <c r="BP1207" s="863">
        <v>20</v>
      </c>
      <c r="BQ1207" s="875">
        <v>122</v>
      </c>
    </row>
    <row ht="15.75" r="1208" spans="1:69" thickBot="1">
      <c r="A1208" s="95"/>
      <c r="BI1208" s="860">
        <v>46296</v>
      </c>
      <c r="BJ1208" s="861" t="s">
        <v>436</v>
      </c>
      <c r="BK1208" s="861" t="s">
        <v>436</v>
      </c>
      <c r="BL1208" s="861" t="s">
        <v>436</v>
      </c>
      <c r="BM1208" s="861" t="s">
        <v>436</v>
      </c>
      <c r="BN1208" s="861">
        <v>14</v>
      </c>
      <c r="BO1208" s="861">
        <v>610</v>
      </c>
      <c r="BP1208" s="861">
        <v>20</v>
      </c>
      <c r="BQ1208" s="874">
        <v>97</v>
      </c>
    </row>
    <row ht="15.75" r="1209" spans="1:69" thickBot="1">
      <c r="A1209" s="95"/>
      <c r="BI1209" s="865">
        <v>46327</v>
      </c>
      <c r="BJ1209" s="863" t="s">
        <v>436</v>
      </c>
      <c r="BK1209" s="863" t="s">
        <v>436</v>
      </c>
      <c r="BL1209" s="863" t="s">
        <v>436</v>
      </c>
      <c r="BM1209" s="863" t="s">
        <v>436</v>
      </c>
      <c r="BN1209" s="863">
        <v>14</v>
      </c>
      <c r="BO1209" s="863">
        <v>610</v>
      </c>
      <c r="BP1209" s="863">
        <v>20</v>
      </c>
      <c r="BQ1209" s="875">
        <v>111</v>
      </c>
    </row>
    <row ht="15.75" r="1210" spans="1:69" thickBot="1">
      <c r="A1210" s="95"/>
      <c r="BI1210" s="866">
        <v>46357</v>
      </c>
      <c r="BJ1210" s="867" t="s">
        <v>436</v>
      </c>
      <c r="BK1210" s="867" t="s">
        <v>436</v>
      </c>
      <c r="BL1210" s="867" t="s">
        <v>436</v>
      </c>
      <c r="BM1210" s="867" t="s">
        <v>436</v>
      </c>
      <c r="BN1210" s="867">
        <v>15</v>
      </c>
      <c r="BO1210" s="867">
        <v>610</v>
      </c>
      <c r="BP1210" s="867">
        <v>20</v>
      </c>
      <c r="BQ1210" s="876">
        <v>97</v>
      </c>
    </row>
    <row r="1211" spans="1:69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65" activePane="bottomRight" state="frozen"/>
      <selection pane="topRight" activeCell="B1" sqref="B1"/>
      <selection pane="bottomLeft" activeCell="A5" sqref="A5"/>
      <selection pane="bottomRight" activeCell="BJ1181" sqref="BJ1181:BJ1198"/>
    </sheetView>
  </sheetViews>
  <sheetFormatPr baseColWidth="10" defaultColWidth="9.140625" defaultRowHeight="15"/>
  <cols>
    <col min="1" max="1" width="12.85546875" customWidth="1"/>
    <col min="2" max="2" width="6.85546875" style="490" bestFit="1" customWidth="1"/>
    <col min="3" max="3" width="9.42578125" style="486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8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5.7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73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</row>
    <row r="1175" spans="1:79">
      <c r="A1175" s="95">
        <v>45937</v>
      </c>
    </row>
    <row r="1176" spans="1:79">
      <c r="A1176" s="95">
        <v>45938</v>
      </c>
    </row>
    <row r="1177" spans="1:79">
      <c r="A1177" s="95">
        <v>45939</v>
      </c>
    </row>
    <row r="1178" spans="1:79">
      <c r="A1178" s="95">
        <v>45940</v>
      </c>
    </row>
    <row r="1179" spans="1:79">
      <c r="A1179" s="95">
        <v>45943</v>
      </c>
    </row>
    <row r="1180" spans="1:79">
      <c r="A1180" s="95">
        <v>45944</v>
      </c>
      <c r="BI1180" t="s">
        <v>4319</v>
      </c>
      <c r="BJ1180" t="s">
        <v>4320</v>
      </c>
      <c r="BK1180" t="s">
        <v>4321</v>
      </c>
      <c r="BL1180" t="s">
        <v>4322</v>
      </c>
      <c r="BM1180" t="s">
        <v>202</v>
      </c>
      <c r="BN1180" t="s">
        <v>4323</v>
      </c>
      <c r="BO1180" t="s">
        <v>4324</v>
      </c>
      <c r="BP1180" t="s">
        <v>4325</v>
      </c>
      <c r="BQ1180" t="s">
        <v>4326</v>
      </c>
      <c r="BR1180" t="s">
        <v>4327</v>
      </c>
      <c r="BS1180" t="s">
        <v>4328</v>
      </c>
      <c r="BT1180" t="s">
        <v>4329</v>
      </c>
      <c r="BU1180" t="s">
        <v>4330</v>
      </c>
      <c r="BV1180" t="s">
        <v>4331</v>
      </c>
    </row>
    <row r="1181" spans="1:79">
      <c r="A1181" s="95">
        <v>45945</v>
      </c>
      <c r="BI1181" t="s">
        <v>4218</v>
      </c>
      <c r="BJ1181">
        <v>2060</v>
      </c>
      <c r="BK1181">
        <v>2</v>
      </c>
      <c r="BL1181">
        <v>5</v>
      </c>
      <c r="BM1181">
        <v>42675</v>
      </c>
      <c r="BN1181">
        <v>2845</v>
      </c>
      <c r="BO1181">
        <v>2845</v>
      </c>
      <c r="BP1181">
        <v>2845</v>
      </c>
      <c r="BQ1181">
        <v>2845</v>
      </c>
      <c r="BR1181">
        <v>2845</v>
      </c>
      <c r="BS1181">
        <v>2833.5</v>
      </c>
      <c r="BT1181" t="s">
        <v>4550</v>
      </c>
      <c r="BU1181" t="s">
        <v>4431</v>
      </c>
      <c r="BV1181" t="s">
        <v>4434</v>
      </c>
    </row>
    <row r="1182" spans="1:79">
      <c r="A1182" s="95">
        <v>45946</v>
      </c>
      <c r="BI1182" t="s">
        <v>4240</v>
      </c>
      <c r="BJ1182">
        <v>1736</v>
      </c>
      <c r="BK1182" t="s">
        <v>436</v>
      </c>
      <c r="BL1182" t="s">
        <v>436</v>
      </c>
      <c r="BM1182" t="s">
        <v>436</v>
      </c>
      <c r="BN1182" t="s">
        <v>436</v>
      </c>
      <c r="BO1182" t="s">
        <v>436</v>
      </c>
      <c r="BP1182" t="s">
        <v>436</v>
      </c>
      <c r="BQ1182" t="s">
        <v>436</v>
      </c>
      <c r="BR1182" t="s">
        <v>436</v>
      </c>
      <c r="BS1182">
        <v>2925</v>
      </c>
      <c r="BT1182" t="s">
        <v>4360</v>
      </c>
      <c r="BU1182" t="s">
        <v>4551</v>
      </c>
      <c r="BV1182" t="s">
        <v>4430</v>
      </c>
    </row>
    <row r="1183" spans="1:79">
      <c r="A1183" s="95">
        <v>45947</v>
      </c>
      <c r="BI1183" t="s">
        <v>4241</v>
      </c>
      <c r="BJ1183">
        <v>1504</v>
      </c>
      <c r="BK1183" t="s">
        <v>436</v>
      </c>
      <c r="BL1183" t="s">
        <v>436</v>
      </c>
      <c r="BM1183" t="s">
        <v>436</v>
      </c>
      <c r="BN1183" t="s">
        <v>436</v>
      </c>
      <c r="BO1183" t="s">
        <v>436</v>
      </c>
      <c r="BP1183" t="s">
        <v>436</v>
      </c>
      <c r="BQ1183" t="s">
        <v>436</v>
      </c>
      <c r="BR1183" t="s">
        <v>436</v>
      </c>
      <c r="BS1183">
        <v>2939.5</v>
      </c>
      <c r="BT1183" t="s">
        <v>4360</v>
      </c>
      <c r="BU1183" t="s">
        <v>4552</v>
      </c>
      <c r="BV1183" t="s">
        <v>4553</v>
      </c>
    </row>
    <row r="1184" spans="1:79">
      <c r="A1184" s="95">
        <v>45950</v>
      </c>
      <c r="BI1184" t="s">
        <v>4273</v>
      </c>
      <c r="BJ1184">
        <v>1246</v>
      </c>
      <c r="BK1184" t="s">
        <v>436</v>
      </c>
      <c r="BL1184" t="s">
        <v>436</v>
      </c>
      <c r="BM1184" t="s">
        <v>436</v>
      </c>
      <c r="BN1184" t="s">
        <v>436</v>
      </c>
      <c r="BO1184" t="s">
        <v>436</v>
      </c>
      <c r="BP1184" t="s">
        <v>436</v>
      </c>
      <c r="BQ1184" t="s">
        <v>436</v>
      </c>
      <c r="BR1184" t="s">
        <v>436</v>
      </c>
      <c r="BS1184">
        <v>2938</v>
      </c>
      <c r="BT1184" t="s">
        <v>4360</v>
      </c>
      <c r="BU1184" t="s">
        <v>4554</v>
      </c>
      <c r="BV1184" t="s">
        <v>4425</v>
      </c>
    </row>
    <row r="1185" spans="1:74">
      <c r="A1185" s="95">
        <v>45951</v>
      </c>
      <c r="BI1185" t="s">
        <v>4274</v>
      </c>
      <c r="BJ1185">
        <v>1257</v>
      </c>
      <c r="BK1185" t="s">
        <v>436</v>
      </c>
      <c r="BL1185" t="s">
        <v>436</v>
      </c>
      <c r="BM1185" t="s">
        <v>436</v>
      </c>
      <c r="BN1185" t="s">
        <v>436</v>
      </c>
      <c r="BO1185" t="s">
        <v>436</v>
      </c>
      <c r="BP1185" t="s">
        <v>436</v>
      </c>
      <c r="BQ1185" t="s">
        <v>436</v>
      </c>
      <c r="BR1185" t="s">
        <v>436</v>
      </c>
      <c r="BS1185">
        <v>2958</v>
      </c>
      <c r="BT1185" t="s">
        <v>4360</v>
      </c>
      <c r="BU1185" t="s">
        <v>436</v>
      </c>
      <c r="BV1185" t="s">
        <v>4555</v>
      </c>
    </row>
    <row r="1186" spans="1:74">
      <c r="A1186" s="95">
        <v>45952</v>
      </c>
      <c r="BI1186" t="s">
        <v>4275</v>
      </c>
      <c r="BJ1186">
        <v>434</v>
      </c>
      <c r="BK1186" t="s">
        <v>436</v>
      </c>
      <c r="BL1186" t="s">
        <v>436</v>
      </c>
      <c r="BM1186" t="s">
        <v>436</v>
      </c>
      <c r="BN1186" t="s">
        <v>436</v>
      </c>
      <c r="BO1186" t="s">
        <v>436</v>
      </c>
      <c r="BP1186" t="s">
        <v>436</v>
      </c>
      <c r="BQ1186" t="s">
        <v>436</v>
      </c>
      <c r="BR1186" t="s">
        <v>436</v>
      </c>
      <c r="BS1186">
        <v>2966.5</v>
      </c>
      <c r="BT1186" t="s">
        <v>4360</v>
      </c>
      <c r="BU1186" t="s">
        <v>436</v>
      </c>
      <c r="BV1186" t="s">
        <v>4432</v>
      </c>
    </row>
    <row r="1187" spans="1:74">
      <c r="A1187" s="95">
        <v>45953</v>
      </c>
      <c r="BI1187" t="s">
        <v>4393</v>
      </c>
      <c r="BJ1187">
        <v>180</v>
      </c>
      <c r="BK1187" t="s">
        <v>436</v>
      </c>
      <c r="BL1187" t="s">
        <v>436</v>
      </c>
      <c r="BM1187" t="s">
        <v>436</v>
      </c>
      <c r="BN1187" t="s">
        <v>436</v>
      </c>
      <c r="BO1187" t="s">
        <v>436</v>
      </c>
      <c r="BP1187" t="s">
        <v>436</v>
      </c>
      <c r="BQ1187" t="s">
        <v>436</v>
      </c>
      <c r="BR1187" t="s">
        <v>436</v>
      </c>
      <c r="BS1187">
        <v>2700</v>
      </c>
      <c r="BT1187" t="s">
        <v>4360</v>
      </c>
      <c r="BU1187" t="s">
        <v>436</v>
      </c>
      <c r="BV1187" t="s">
        <v>4556</v>
      </c>
    </row>
    <row r="1188" spans="1:74">
      <c r="A1188" s="95">
        <v>45954</v>
      </c>
      <c r="BI1188" t="s">
        <v>4366</v>
      </c>
      <c r="BJ1188">
        <v>90</v>
      </c>
      <c r="BK1188">
        <v>1</v>
      </c>
      <c r="BL1188">
        <v>30</v>
      </c>
      <c r="BM1188">
        <v>2178000</v>
      </c>
      <c r="BN1188">
        <v>2420</v>
      </c>
      <c r="BO1188">
        <v>2420</v>
      </c>
      <c r="BP1188">
        <v>2420</v>
      </c>
      <c r="BQ1188">
        <v>2420</v>
      </c>
      <c r="BR1188">
        <v>2420</v>
      </c>
      <c r="BS1188">
        <v>2420</v>
      </c>
      <c r="BT1188" t="s">
        <v>4360</v>
      </c>
      <c r="BU1188" t="s">
        <v>4557</v>
      </c>
      <c r="BV1188" t="s">
        <v>436</v>
      </c>
    </row>
    <row r="1189" spans="1:74">
      <c r="A1189" s="95">
        <v>45957</v>
      </c>
      <c r="BI1189" t="s">
        <v>4394</v>
      </c>
      <c r="BJ1189">
        <v>40</v>
      </c>
      <c r="BK1189">
        <v>1</v>
      </c>
      <c r="BL1189">
        <v>30</v>
      </c>
      <c r="BM1189">
        <v>2151000</v>
      </c>
      <c r="BN1189">
        <v>2390</v>
      </c>
      <c r="BO1189">
        <v>2390</v>
      </c>
      <c r="BP1189">
        <v>2390</v>
      </c>
      <c r="BQ1189">
        <v>2390</v>
      </c>
      <c r="BR1189">
        <v>2390</v>
      </c>
      <c r="BS1189">
        <v>2390</v>
      </c>
      <c r="BT1189" t="s">
        <v>4360</v>
      </c>
      <c r="BU1189" t="s">
        <v>4557</v>
      </c>
      <c r="BV1189" t="s">
        <v>436</v>
      </c>
    </row>
    <row r="1190" spans="1:74">
      <c r="A1190" s="95">
        <v>45958</v>
      </c>
      <c r="BI1190" t="s">
        <v>4395</v>
      </c>
      <c r="BJ1190">
        <v>40</v>
      </c>
      <c r="BK1190" t="s">
        <v>436</v>
      </c>
      <c r="BL1190" t="s">
        <v>436</v>
      </c>
      <c r="BM1190" t="s">
        <v>436</v>
      </c>
      <c r="BN1190" t="s">
        <v>436</v>
      </c>
      <c r="BO1190" t="s">
        <v>436</v>
      </c>
      <c r="BP1190" t="s">
        <v>436</v>
      </c>
      <c r="BQ1190" t="s">
        <v>436</v>
      </c>
      <c r="BR1190" t="s">
        <v>436</v>
      </c>
      <c r="BS1190">
        <v>2485</v>
      </c>
      <c r="BT1190" t="s">
        <v>4360</v>
      </c>
      <c r="BU1190" t="s">
        <v>4557</v>
      </c>
      <c r="BV1190" t="s">
        <v>436</v>
      </c>
    </row>
    <row r="1191" spans="1:74">
      <c r="A1191" s="95">
        <v>45959</v>
      </c>
      <c r="BI1191" t="s">
        <v>4396</v>
      </c>
      <c r="BJ1191">
        <v>60</v>
      </c>
      <c r="BK1191" t="s">
        <v>436</v>
      </c>
      <c r="BL1191" t="s">
        <v>436</v>
      </c>
      <c r="BM1191" t="s">
        <v>436</v>
      </c>
      <c r="BN1191" t="s">
        <v>436</v>
      </c>
      <c r="BO1191" t="s">
        <v>436</v>
      </c>
      <c r="BP1191" t="s">
        <v>436</v>
      </c>
      <c r="BQ1191" t="s">
        <v>436</v>
      </c>
      <c r="BR1191" t="s">
        <v>436</v>
      </c>
      <c r="BS1191">
        <v>2485</v>
      </c>
      <c r="BT1191" t="s">
        <v>4360</v>
      </c>
      <c r="BU1191" t="s">
        <v>4557</v>
      </c>
      <c r="BV1191" t="s">
        <v>436</v>
      </c>
    </row>
    <row r="1192" spans="1:74">
      <c r="A1192" s="95">
        <v>45960</v>
      </c>
      <c r="BI1192" t="s">
        <v>4397</v>
      </c>
      <c r="BJ1192">
        <v>85</v>
      </c>
      <c r="BK1192" t="s">
        <v>436</v>
      </c>
      <c r="BL1192" t="s">
        <v>436</v>
      </c>
      <c r="BM1192" t="s">
        <v>436</v>
      </c>
      <c r="BN1192" t="s">
        <v>436</v>
      </c>
      <c r="BO1192" t="s">
        <v>436</v>
      </c>
      <c r="BP1192" t="s">
        <v>436</v>
      </c>
      <c r="BQ1192" t="s">
        <v>436</v>
      </c>
      <c r="BR1192" t="s">
        <v>436</v>
      </c>
      <c r="BS1192">
        <v>2485</v>
      </c>
      <c r="BT1192" t="s">
        <v>4360</v>
      </c>
      <c r="BU1192" t="s">
        <v>4557</v>
      </c>
      <c r="BV1192" t="s">
        <v>436</v>
      </c>
    </row>
    <row r="1193" spans="1:74">
      <c r="A1193" s="95">
        <v>45961</v>
      </c>
      <c r="BI1193" t="s">
        <v>4411</v>
      </c>
      <c r="BJ1193">
        <v>75</v>
      </c>
      <c r="BK1193" t="s">
        <v>436</v>
      </c>
      <c r="BL1193" t="s">
        <v>436</v>
      </c>
      <c r="BM1193" t="s">
        <v>436</v>
      </c>
      <c r="BN1193" t="s">
        <v>436</v>
      </c>
      <c r="BO1193" t="s">
        <v>436</v>
      </c>
      <c r="BP1193" t="s">
        <v>436</v>
      </c>
      <c r="BQ1193" t="s">
        <v>436</v>
      </c>
      <c r="BR1193" t="s">
        <v>436</v>
      </c>
      <c r="BS1193">
        <v>2575</v>
      </c>
      <c r="BT1193" t="s">
        <v>4360</v>
      </c>
      <c r="BU1193" t="s">
        <v>436</v>
      </c>
      <c r="BV1193" t="s">
        <v>436</v>
      </c>
    </row>
    <row r="1194" spans="1:74">
      <c r="A1194" s="95">
        <v>45964</v>
      </c>
      <c r="BI1194" t="s">
        <v>4412</v>
      </c>
      <c r="BJ1194">
        <v>75</v>
      </c>
      <c r="BK1194" t="s">
        <v>436</v>
      </c>
      <c r="BL1194" t="s">
        <v>436</v>
      </c>
      <c r="BM1194" t="s">
        <v>436</v>
      </c>
      <c r="BN1194" t="s">
        <v>436</v>
      </c>
      <c r="BO1194" t="s">
        <v>436</v>
      </c>
      <c r="BP1194" t="s">
        <v>436</v>
      </c>
      <c r="BQ1194" t="s">
        <v>436</v>
      </c>
      <c r="BR1194" t="s">
        <v>436</v>
      </c>
      <c r="BS1194">
        <v>2585</v>
      </c>
      <c r="BT1194" t="s">
        <v>4360</v>
      </c>
      <c r="BU1194" t="s">
        <v>436</v>
      </c>
      <c r="BV1194" t="s">
        <v>436</v>
      </c>
    </row>
    <row r="1195" spans="1:74">
      <c r="A1195" s="95">
        <v>45965</v>
      </c>
      <c r="BI1195" t="s">
        <v>4413</v>
      </c>
      <c r="BJ1195">
        <v>75</v>
      </c>
      <c r="BK1195" t="s">
        <v>436</v>
      </c>
      <c r="BL1195" t="s">
        <v>436</v>
      </c>
      <c r="BM1195" t="s">
        <v>436</v>
      </c>
      <c r="BN1195" t="s">
        <v>436</v>
      </c>
      <c r="BO1195" t="s">
        <v>436</v>
      </c>
      <c r="BP1195" t="s">
        <v>436</v>
      </c>
      <c r="BQ1195" t="s">
        <v>436</v>
      </c>
      <c r="BR1195" t="s">
        <v>436</v>
      </c>
      <c r="BS1195">
        <v>2605</v>
      </c>
      <c r="BT1195" t="s">
        <v>4360</v>
      </c>
      <c r="BU1195" t="s">
        <v>436</v>
      </c>
      <c r="BV1195" t="s">
        <v>436</v>
      </c>
    </row>
    <row r="1196" spans="1:74">
      <c r="A1196" s="95">
        <v>45966</v>
      </c>
      <c r="BI1196" t="s">
        <v>4414</v>
      </c>
      <c r="BJ1196">
        <v>55</v>
      </c>
      <c r="BK1196" t="s">
        <v>436</v>
      </c>
      <c r="BL1196" t="s">
        <v>436</v>
      </c>
      <c r="BM1196" t="s">
        <v>436</v>
      </c>
      <c r="BN1196" t="s">
        <v>436</v>
      </c>
      <c r="BO1196" t="s">
        <v>436</v>
      </c>
      <c r="BP1196" t="s">
        <v>436</v>
      </c>
      <c r="BQ1196" t="s">
        <v>436</v>
      </c>
      <c r="BR1196" t="s">
        <v>436</v>
      </c>
      <c r="BS1196">
        <v>2625</v>
      </c>
      <c r="BT1196" t="s">
        <v>4360</v>
      </c>
      <c r="BU1196" t="s">
        <v>436</v>
      </c>
      <c r="BV1196" t="s">
        <v>436</v>
      </c>
    </row>
    <row r="1197" spans="1:74">
      <c r="A1197" s="95">
        <v>45967</v>
      </c>
      <c r="BI1197" t="s">
        <v>4415</v>
      </c>
      <c r="BJ1197">
        <v>55</v>
      </c>
      <c r="BK1197" t="s">
        <v>436</v>
      </c>
      <c r="BL1197" t="s">
        <v>436</v>
      </c>
      <c r="BM1197" t="s">
        <v>436</v>
      </c>
      <c r="BN1197" t="s">
        <v>436</v>
      </c>
      <c r="BO1197" t="s">
        <v>436</v>
      </c>
      <c r="BP1197" t="s">
        <v>436</v>
      </c>
      <c r="BQ1197" t="s">
        <v>436</v>
      </c>
      <c r="BR1197" t="s">
        <v>436</v>
      </c>
      <c r="BS1197">
        <v>2625</v>
      </c>
      <c r="BT1197" t="s">
        <v>4360</v>
      </c>
      <c r="BU1197" t="s">
        <v>436</v>
      </c>
      <c r="BV1197" t="s">
        <v>436</v>
      </c>
    </row>
    <row r="1198" spans="1:74">
      <c r="A1198" s="95">
        <v>45968</v>
      </c>
      <c r="BI1198" t="s">
        <v>4416</v>
      </c>
      <c r="BJ1198">
        <v>55</v>
      </c>
      <c r="BK1198" t="s">
        <v>436</v>
      </c>
      <c r="BL1198" t="s">
        <v>436</v>
      </c>
      <c r="BM1198" t="s">
        <v>436</v>
      </c>
      <c r="BN1198" t="s">
        <v>436</v>
      </c>
      <c r="BO1198" t="s">
        <v>436</v>
      </c>
      <c r="BP1198" t="s">
        <v>436</v>
      </c>
      <c r="BQ1198" t="s">
        <v>436</v>
      </c>
      <c r="BR1198" t="s">
        <v>436</v>
      </c>
      <c r="BS1198">
        <v>2625</v>
      </c>
      <c r="BT1198" t="s">
        <v>4360</v>
      </c>
      <c r="BU1198" t="s">
        <v>436</v>
      </c>
      <c r="BV1198" t="s">
        <v>436</v>
      </c>
    </row>
    <row r="1199" spans="1:74">
      <c r="A1199" s="95">
        <v>45971</v>
      </c>
    </row>
    <row r="1200" spans="1:74">
      <c r="A1200" s="95">
        <v>45972</v>
      </c>
    </row>
    <row r="1201" spans="1:64">
      <c r="A1201" s="95">
        <v>45973</v>
      </c>
    </row>
    <row r="1202" spans="1:64">
      <c r="A1202" s="95">
        <v>45974</v>
      </c>
      <c r="BJ1202">
        <f>SUM(BJ1180:BJ1201)</f>
        <v>9122</v>
      </c>
      <c r="BK1202">
        <f t="shared" ref="BK1202:BL1202" si="21">SUM(BK1180:BK1201)</f>
        <v>4</v>
      </c>
      <c r="BL1202">
        <f t="shared" si="21"/>
        <v>65</v>
      </c>
    </row>
    <row r="1203" spans="1:64">
      <c r="A1203" s="95">
        <v>45975</v>
      </c>
    </row>
    <row r="1204" spans="1:64">
      <c r="A1204" s="95">
        <v>45978</v>
      </c>
    </row>
    <row r="1205" spans="1:64">
      <c r="A1205" s="95">
        <v>45979</v>
      </c>
    </row>
    <row r="1206" spans="1:64">
      <c r="A1206" s="95">
        <v>45980</v>
      </c>
    </row>
    <row r="1207" spans="1:64">
      <c r="A1207" s="95">
        <v>45981</v>
      </c>
    </row>
    <row r="1208" spans="1:64">
      <c r="A1208" s="95">
        <v>45982</v>
      </c>
    </row>
    <row r="1209" spans="1:64">
      <c r="A1209" s="95">
        <v>45985</v>
      </c>
    </row>
    <row r="1210" spans="1:64">
      <c r="A1210" s="95">
        <v>45986</v>
      </c>
    </row>
    <row r="1211" spans="1:64">
      <c r="A1211" s="95">
        <v>45987</v>
      </c>
    </row>
    <row r="1212" spans="1:64">
      <c r="A1212" s="95">
        <v>45988</v>
      </c>
    </row>
    <row r="1213" spans="1:64">
      <c r="A1213" s="95">
        <v>45989</v>
      </c>
    </row>
    <row r="1214" spans="1:64">
      <c r="A1214" s="95">
        <v>45992</v>
      </c>
    </row>
    <row r="1215" spans="1:64">
      <c r="A1215" s="95">
        <v>45993</v>
      </c>
    </row>
    <row r="1216" spans="1:64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59" activePane="bottomRight" state="frozen"/>
      <selection pane="topRight" activeCell="B1" sqref="B1"/>
      <selection pane="bottomLeft" activeCell="A5" sqref="A5"/>
      <selection pane="bottomRight" activeCell="BH1172" sqref="BH1172:BY1172"/>
    </sheetView>
  </sheetViews>
  <sheetFormatPr baseColWidth="10" defaultColWidth="9.14062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6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5.7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74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0</v>
      </c>
    </row>
    <row r="1174" spans="1:77">
      <c r="A1174" s="95">
        <v>45936</v>
      </c>
      <c r="B1174" s="63">
        <f t="shared" si="22"/>
        <v>0</v>
      </c>
    </row>
    <row r="1175" spans="1:77">
      <c r="A1175" s="95">
        <v>45937</v>
      </c>
    </row>
    <row r="1176" spans="1:77">
      <c r="A1176" s="95">
        <v>45938</v>
      </c>
    </row>
    <row r="1177" spans="1:77">
      <c r="A1177" s="95">
        <v>45939</v>
      </c>
    </row>
    <row r="1178" spans="1:77">
      <c r="A1178" s="95">
        <v>45940</v>
      </c>
    </row>
    <row r="1179" spans="1:77">
      <c r="A1179" s="95">
        <v>45943</v>
      </c>
    </row>
    <row r="1180" spans="1:77">
      <c r="A1180" s="95">
        <v>45944</v>
      </c>
    </row>
    <row r="1181" spans="1:77">
      <c r="A1181" s="95">
        <v>45945</v>
      </c>
    </row>
    <row r="1182" spans="1:77">
      <c r="A1182" s="95">
        <v>45946</v>
      </c>
    </row>
    <row r="1183" spans="1:77">
      <c r="A1183" s="95">
        <v>45947</v>
      </c>
    </row>
    <row r="1184" spans="1:7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32"/>
  <sheetViews>
    <sheetView workbookViewId="0" zoomScaleNormal="100">
      <pane activePane="bottomRight" state="frozen" topLeftCell="B1160" xSplit="1" ySplit="4"/>
      <selection activeCell="B1" pane="topRight" sqref="B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  <col customWidth="1" hidden="1" max="24" min="23" width="0"/>
  </cols>
  <sheetData>
    <row r="1" spans="1:39">
      <c r="A1" s="56" t="s">
        <v>443</v>
      </c>
    </row>
    <row r="2" spans="1:39">
      <c r="B2">
        <v>1000</v>
      </c>
    </row>
    <row customFormat="1" ht="15.75" r="4" s="109" spans="1:39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customFormat="1" r="7" s="176" spans="1:39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6" spans="1:39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6" spans="1:39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customFormat="1" r="11" s="176" spans="1:39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6" spans="1:39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6" spans="1:39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6" spans="1:39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6" spans="1:39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6" spans="1:39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6" spans="1:30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6" spans="1:30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6" spans="1:30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6" spans="1:30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6" spans="1:30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6" spans="1:30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6" spans="1:30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6" spans="1:30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6" spans="1:30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6" spans="1:30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6" spans="1:30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6" spans="1:22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customFormat="1" r="61" s="176" spans="1:22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customFormat="1" r="62" s="176" spans="1:22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customFormat="1" r="63" s="176" spans="1:22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customFormat="1" r="64" s="176" spans="1:22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customFormat="1" r="65" s="176" spans="1:22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customFormat="1" r="66" s="176" spans="1:22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customFormat="1" r="67" s="176" spans="1:22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customFormat="1" r="68" s="176" spans="1:22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customFormat="1" r="69" s="176" spans="1:22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customFormat="1" r="70" s="176" spans="1:22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customFormat="1" r="71" s="176" spans="1:22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customFormat="1" r="72" s="189" spans="1:22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customFormat="1" r="73" s="176" spans="1:22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6" spans="1:22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6" spans="1:22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89" spans="1:34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45943</v>
      </c>
      <c r="B1174">
        <v>266115</v>
      </c>
      <c r="AA1174">
        <v>410</v>
      </c>
      <c r="AB1174">
        <v>427</v>
      </c>
      <c r="AC1174">
        <v>436</v>
      </c>
      <c r="AD1174">
        <v>443</v>
      </c>
      <c r="AE1174">
        <v>440</v>
      </c>
      <c r="AF1174">
        <v>452</v>
      </c>
      <c r="AG1174">
        <v>465</v>
      </c>
      <c r="AH1174">
        <v>473</v>
      </c>
      <c r="AI1174">
        <v>476</v>
      </c>
      <c r="AJ1174">
        <v>460</v>
      </c>
      <c r="AK1174">
        <v>463</v>
      </c>
      <c r="AL1174">
        <v>481</v>
      </c>
      <c r="AM1174">
        <v>467</v>
      </c>
    </row>
    <row r="1175" spans="1:39">
      <c r="A1175" s="95">
        <v>45937</v>
      </c>
      <c r="B1175">
        <v>382482</v>
      </c>
      <c r="AA1175">
        <v>419</v>
      </c>
      <c r="AB1175">
        <v>436</v>
      </c>
      <c r="AC1175">
        <v>445</v>
      </c>
      <c r="AD1175">
        <v>451</v>
      </c>
      <c r="AE1175">
        <v>447</v>
      </c>
      <c r="AF1175">
        <v>458</v>
      </c>
      <c r="AG1175">
        <v>471</v>
      </c>
      <c r="AH1175">
        <v>478</v>
      </c>
      <c r="AI1175">
        <v>482</v>
      </c>
      <c r="AJ1175">
        <v>465</v>
      </c>
      <c r="AK1175">
        <v>467</v>
      </c>
      <c r="AL1175">
        <v>485</v>
      </c>
      <c r="AM1175">
        <v>466</v>
      </c>
    </row>
    <row r="1176" spans="1:39">
      <c r="A1176" s="95">
        <v>45938</v>
      </c>
      <c r="B1176">
        <v>276477</v>
      </c>
      <c r="AA1176">
        <v>422</v>
      </c>
      <c r="AB1176">
        <v>437</v>
      </c>
      <c r="AC1176">
        <v>446</v>
      </c>
      <c r="AD1176">
        <v>452</v>
      </c>
      <c r="AE1176">
        <v>448</v>
      </c>
      <c r="AF1176">
        <v>458</v>
      </c>
      <c r="AG1176">
        <v>471</v>
      </c>
      <c r="AH1176">
        <v>478</v>
      </c>
      <c r="AI1176">
        <v>482</v>
      </c>
      <c r="AJ1176">
        <v>465</v>
      </c>
      <c r="AK1176">
        <v>467</v>
      </c>
      <c r="AL1176">
        <v>485</v>
      </c>
      <c r="AM1176">
        <v>467</v>
      </c>
    </row>
    <row r="1177" spans="1:39">
      <c r="A1177" s="95">
        <v>45939</v>
      </c>
      <c r="B1177">
        <v>364756</v>
      </c>
      <c r="AA1177">
        <v>418</v>
      </c>
      <c r="AB1177">
        <v>434</v>
      </c>
      <c r="AC1177">
        <v>442</v>
      </c>
      <c r="AD1177">
        <v>448</v>
      </c>
      <c r="AE1177">
        <v>444</v>
      </c>
      <c r="AF1177">
        <v>455</v>
      </c>
      <c r="AG1177">
        <v>468</v>
      </c>
      <c r="AH1177">
        <v>476</v>
      </c>
      <c r="AI1177">
        <v>479</v>
      </c>
      <c r="AJ1177">
        <v>463</v>
      </c>
      <c r="AK1177">
        <v>465</v>
      </c>
      <c r="AL1177">
        <v>483</v>
      </c>
      <c r="AM1177">
        <v>466</v>
      </c>
    </row>
    <row r="1178" spans="1:39">
      <c r="A1178" s="95">
        <v>45940</v>
      </c>
      <c r="B1178">
        <v>338634</v>
      </c>
      <c r="AA1178">
        <v>413</v>
      </c>
      <c r="AB1178">
        <v>429</v>
      </c>
      <c r="AC1178">
        <v>438</v>
      </c>
      <c r="AD1178">
        <v>444</v>
      </c>
      <c r="AE1178">
        <v>442</v>
      </c>
      <c r="AF1178">
        <v>453</v>
      </c>
      <c r="AG1178">
        <v>466</v>
      </c>
      <c r="AH1178">
        <v>473</v>
      </c>
      <c r="AI1178">
        <v>477</v>
      </c>
      <c r="AJ1178">
        <v>461</v>
      </c>
      <c r="AK1178">
        <v>464</v>
      </c>
      <c r="AL1178">
        <v>482</v>
      </c>
      <c r="AM1178">
        <v>467</v>
      </c>
    </row>
    <row r="1179" spans="1:39">
      <c r="A1179" s="95">
        <v>45943</v>
      </c>
      <c r="B1179">
        <v>266115</v>
      </c>
      <c r="AA1179">
        <v>410</v>
      </c>
      <c r="AB1179">
        <v>427</v>
      </c>
      <c r="AC1179">
        <v>436</v>
      </c>
      <c r="AD1179">
        <v>443</v>
      </c>
      <c r="AE1179">
        <v>440</v>
      </c>
      <c r="AF1179">
        <v>452</v>
      </c>
      <c r="AG1179">
        <v>465</v>
      </c>
      <c r="AH1179">
        <v>473</v>
      </c>
      <c r="AI1179">
        <v>476</v>
      </c>
      <c r="AJ1179">
        <v>460</v>
      </c>
      <c r="AK1179">
        <v>463</v>
      </c>
      <c r="AL1179">
        <v>481</v>
      </c>
      <c r="AM1179">
        <v>467</v>
      </c>
    </row>
    <row r="1180" spans="1:39">
      <c r="A1180" s="95">
        <v>45943</v>
      </c>
      <c r="B1180">
        <v>266115</v>
      </c>
      <c r="AA1180">
        <v>410</v>
      </c>
      <c r="AB1180">
        <v>427</v>
      </c>
      <c r="AC1180">
        <v>436</v>
      </c>
      <c r="AD1180">
        <v>443</v>
      </c>
      <c r="AE1180">
        <v>440</v>
      </c>
      <c r="AF1180">
        <v>452</v>
      </c>
      <c r="AG1180">
        <v>465</v>
      </c>
      <c r="AH1180">
        <v>473</v>
      </c>
      <c r="AI1180">
        <v>476</v>
      </c>
      <c r="AJ1180">
        <v>460</v>
      </c>
      <c r="AK1180">
        <v>463</v>
      </c>
      <c r="AL1180">
        <v>481</v>
      </c>
      <c r="AM1180">
        <v>467</v>
      </c>
    </row>
    <row r="1181" spans="1:39">
      <c r="A1181" s="95">
        <v>45943</v>
      </c>
      <c r="B1181">
        <v>266115</v>
      </c>
      <c r="AA1181">
        <v>410</v>
      </c>
      <c r="AB1181">
        <v>427</v>
      </c>
      <c r="AC1181">
        <v>436</v>
      </c>
      <c r="AD1181">
        <v>443</v>
      </c>
      <c r="AE1181">
        <v>440</v>
      </c>
      <c r="AF1181">
        <v>452</v>
      </c>
      <c r="AG1181">
        <v>465</v>
      </c>
      <c r="AH1181">
        <v>473</v>
      </c>
      <c r="AI1181">
        <v>476</v>
      </c>
      <c r="AJ1181">
        <v>460</v>
      </c>
      <c r="AK1181">
        <v>463</v>
      </c>
      <c r="AL1181">
        <v>481</v>
      </c>
      <c r="AM1181">
        <v>467</v>
      </c>
    </row>
    <row r="1182" spans="1:39">
      <c r="A1182" s="95">
        <v>45943</v>
      </c>
      <c r="B1182">
        <v>266115</v>
      </c>
      <c r="AA1182">
        <v>410</v>
      </c>
      <c r="AB1182">
        <v>427</v>
      </c>
      <c r="AC1182">
        <v>436</v>
      </c>
      <c r="AD1182">
        <v>443</v>
      </c>
      <c r="AE1182">
        <v>440</v>
      </c>
      <c r="AF1182">
        <v>452</v>
      </c>
      <c r="AG1182">
        <v>465</v>
      </c>
      <c r="AH1182">
        <v>473</v>
      </c>
      <c r="AI1182">
        <v>476</v>
      </c>
      <c r="AJ1182">
        <v>460</v>
      </c>
      <c r="AK1182">
        <v>463</v>
      </c>
      <c r="AL1182">
        <v>481</v>
      </c>
      <c r="AM1182">
        <v>467</v>
      </c>
    </row>
    <row r="1183" spans="1:39">
      <c r="A1183" s="95">
        <v>45944</v>
      </c>
      <c r="B1183">
        <v>316044</v>
      </c>
      <c r="AA1183">
        <v>413</v>
      </c>
      <c r="AB1183">
        <v>429</v>
      </c>
      <c r="AC1183">
        <v>438</v>
      </c>
      <c r="AD1183">
        <v>444</v>
      </c>
      <c r="AE1183">
        <v>441</v>
      </c>
      <c r="AF1183">
        <v>452</v>
      </c>
      <c r="AG1183">
        <v>465</v>
      </c>
      <c r="AH1183">
        <v>473</v>
      </c>
      <c r="AI1183">
        <v>476</v>
      </c>
      <c r="AJ1183">
        <v>460</v>
      </c>
      <c r="AK1183">
        <v>462</v>
      </c>
      <c r="AL1183">
        <v>480</v>
      </c>
      <c r="AM1183">
        <v>465</v>
      </c>
    </row>
    <row r="1184" spans="1:39">
      <c r="A1184" s="95">
        <v>45944</v>
      </c>
      <c r="B1184">
        <v>316044</v>
      </c>
      <c r="AA1184">
        <v>413</v>
      </c>
      <c r="AB1184">
        <v>429</v>
      </c>
      <c r="AC1184">
        <v>438</v>
      </c>
      <c r="AD1184">
        <v>444</v>
      </c>
      <c r="AE1184">
        <v>441</v>
      </c>
      <c r="AF1184">
        <v>452</v>
      </c>
      <c r="AG1184">
        <v>465</v>
      </c>
      <c r="AH1184">
        <v>473</v>
      </c>
      <c r="AI1184">
        <v>476</v>
      </c>
      <c r="AJ1184">
        <v>460</v>
      </c>
      <c r="AK1184">
        <v>462</v>
      </c>
      <c r="AL1184">
        <v>480</v>
      </c>
      <c r="AM1184">
        <v>465</v>
      </c>
    </row>
    <row r="1185" spans="1:39">
      <c r="A1185" s="95">
        <v>45944</v>
      </c>
      <c r="B1185">
        <v>316044</v>
      </c>
      <c r="AA1185">
        <v>413</v>
      </c>
      <c r="AB1185">
        <v>429</v>
      </c>
      <c r="AC1185">
        <v>438</v>
      </c>
      <c r="AD1185">
        <v>444</v>
      </c>
      <c r="AE1185">
        <v>441</v>
      </c>
      <c r="AF1185">
        <v>452</v>
      </c>
      <c r="AG1185">
        <v>465</v>
      </c>
      <c r="AH1185">
        <v>473</v>
      </c>
      <c r="AI1185">
        <v>476</v>
      </c>
      <c r="AJ1185">
        <v>460</v>
      </c>
      <c r="AK1185">
        <v>462</v>
      </c>
      <c r="AL1185">
        <v>480</v>
      </c>
      <c r="AM1185">
        <v>465</v>
      </c>
    </row>
    <row r="1186" spans="1:39">
      <c r="A1186" s="95" t="s">
        <v>4597</v>
      </c>
      <c r="B1186" t="s">
        <v>4598</v>
      </c>
      <c r="AA1186" t="s">
        <v>4599</v>
      </c>
      <c r="AB1186" t="s">
        <v>4600</v>
      </c>
      <c r="AC1186" t="s">
        <v>4601</v>
      </c>
      <c r="AD1186" t="s">
        <v>4602</v>
      </c>
      <c r="AE1186" t="s">
        <v>4603</v>
      </c>
      <c r="AF1186" t="s">
        <v>4604</v>
      </c>
      <c r="AG1186" t="s">
        <v>4605</v>
      </c>
      <c r="AH1186" t="s">
        <v>4606</v>
      </c>
      <c r="AI1186" t="s">
        <v>4607</v>
      </c>
      <c r="AJ1186" t="s">
        <v>4608</v>
      </c>
      <c r="AK1186" t="s">
        <v>4609</v>
      </c>
      <c r="AL1186" t="s">
        <v>4610</v>
      </c>
      <c r="AM1186" t="s">
        <v>4611</v>
      </c>
    </row>
    <row r="1187" spans="1:39">
      <c r="A1187" s="95"/>
    </row>
    <row r="1188" spans="1:39">
      <c r="A1188" s="95"/>
    </row>
    <row r="1189" spans="1:39">
      <c r="A1189" s="95"/>
    </row>
    <row r="1190" spans="1:39">
      <c r="A1190" s="95"/>
    </row>
    <row r="1191" spans="1:39">
      <c r="A1191" s="95"/>
    </row>
    <row r="1192" spans="1:39">
      <c r="A1192" s="95"/>
    </row>
    <row r="1193" spans="1:39">
      <c r="A1193" s="95"/>
    </row>
    <row r="1194" spans="1:39">
      <c r="A1194" s="95"/>
      <c r="AC1194" s="1125">
        <v>274534</v>
      </c>
    </row>
    <row ht="77.25" r="1195" spans="1:39" thickBot="1">
      <c r="A1195" s="95"/>
      <c r="AC1195" s="1126" t="s">
        <v>4460</v>
      </c>
    </row>
    <row ht="29.25" r="1196" spans="1:37" thickBot="1">
      <c r="A1196" s="95"/>
      <c r="AC1196" s="858" t="s">
        <v>4210</v>
      </c>
      <c r="AD1196" s="858" t="s">
        <v>4211</v>
      </c>
      <c r="AE1196" s="858" t="s">
        <v>4212</v>
      </c>
      <c r="AF1196" s="858" t="s">
        <v>4213</v>
      </c>
      <c r="AG1196" s="858" t="s">
        <v>369</v>
      </c>
      <c r="AH1196" s="858" t="s">
        <v>4214</v>
      </c>
      <c r="AI1196" s="858" t="s">
        <v>4215</v>
      </c>
      <c r="AJ1196" s="858" t="s">
        <v>4216</v>
      </c>
      <c r="AK1196" s="859" t="s">
        <v>4217</v>
      </c>
    </row>
    <row ht="15.75" r="1197" spans="1:37" thickBot="1">
      <c r="A1197" s="95"/>
      <c r="AC1197" s="860">
        <v>45992</v>
      </c>
      <c r="AD1197" s="861" t="s">
        <v>4461</v>
      </c>
      <c r="AE1197" s="861" t="s">
        <v>4462</v>
      </c>
      <c r="AF1197" s="861" t="s">
        <v>4463</v>
      </c>
      <c r="AG1197" s="861" t="s">
        <v>4464</v>
      </c>
      <c r="AH1197" s="861" t="s">
        <v>4465</v>
      </c>
      <c r="AI1197" s="861" t="s">
        <v>4466</v>
      </c>
      <c r="AJ1197" s="862">
        <v>151547</v>
      </c>
      <c r="AK1197" s="872">
        <v>806589</v>
      </c>
    </row>
    <row ht="15.75" r="1198" spans="1:37" thickBot="1">
      <c r="A1198" s="95"/>
      <c r="AC1198" s="865">
        <v>46082</v>
      </c>
      <c r="AD1198" s="863" t="s">
        <v>4467</v>
      </c>
      <c r="AE1198" s="863" t="s">
        <v>4468</v>
      </c>
      <c r="AF1198" s="863" t="s">
        <v>4469</v>
      </c>
      <c r="AG1198" s="863" t="s">
        <v>4470</v>
      </c>
      <c r="AH1198" s="863" t="s">
        <v>4471</v>
      </c>
      <c r="AI1198" s="863" t="s">
        <v>4472</v>
      </c>
      <c r="AJ1198" s="864">
        <v>67689</v>
      </c>
      <c r="AK1198" s="873">
        <v>338405</v>
      </c>
    </row>
    <row ht="15.75" r="1199" spans="1:37" thickBot="1">
      <c r="A1199" s="95"/>
      <c r="AC1199" s="860">
        <v>46143</v>
      </c>
      <c r="AD1199" s="861" t="s">
        <v>4473</v>
      </c>
      <c r="AE1199" s="861" t="s">
        <v>4429</v>
      </c>
      <c r="AF1199" s="861" t="s">
        <v>4474</v>
      </c>
      <c r="AG1199" s="861" t="s">
        <v>4475</v>
      </c>
      <c r="AH1199" s="861" t="s">
        <v>4476</v>
      </c>
      <c r="AI1199" s="861" t="s">
        <v>4474</v>
      </c>
      <c r="AJ1199" s="862">
        <v>15636</v>
      </c>
      <c r="AK1199" s="872">
        <v>120497</v>
      </c>
    </row>
    <row ht="15.75" r="1200" spans="1:37" thickBot="1">
      <c r="A1200" s="95"/>
      <c r="AC1200" s="863" t="s">
        <v>444</v>
      </c>
      <c r="AD1200" s="863" t="s">
        <v>4426</v>
      </c>
      <c r="AE1200" s="863" t="s">
        <v>4477</v>
      </c>
      <c r="AF1200" s="863" t="s">
        <v>4478</v>
      </c>
      <c r="AG1200" s="863" t="s">
        <v>4479</v>
      </c>
      <c r="AH1200" s="863" t="s">
        <v>4476</v>
      </c>
      <c r="AI1200" s="863" t="s">
        <v>4480</v>
      </c>
      <c r="AJ1200" s="864">
        <v>18499</v>
      </c>
      <c r="AK1200" s="873">
        <v>145919</v>
      </c>
    </row>
    <row ht="15.75" r="1201" spans="1:37" thickBot="1">
      <c r="A1201" s="95"/>
      <c r="AC1201" s="860">
        <v>46266</v>
      </c>
      <c r="AD1201" s="861" t="s">
        <v>4481</v>
      </c>
      <c r="AE1201" s="861" t="s">
        <v>4426</v>
      </c>
      <c r="AF1201" s="861" t="s">
        <v>4427</v>
      </c>
      <c r="AG1201" s="861" t="s">
        <v>4482</v>
      </c>
      <c r="AH1201" s="861" t="s">
        <v>4465</v>
      </c>
      <c r="AI1201" s="861" t="s">
        <v>4483</v>
      </c>
      <c r="AJ1201" s="862">
        <v>10511</v>
      </c>
      <c r="AK1201" s="872">
        <v>56941</v>
      </c>
    </row>
    <row ht="15.75" r="1202" spans="1:37" thickBot="1">
      <c r="A1202" s="95"/>
      <c r="AC1202" s="865">
        <v>46357</v>
      </c>
      <c r="AD1202" s="863" t="s">
        <v>4484</v>
      </c>
      <c r="AE1202" s="863" t="s">
        <v>4485</v>
      </c>
      <c r="AF1202" s="863" t="s">
        <v>4486</v>
      </c>
      <c r="AG1202" s="863" t="s">
        <v>4487</v>
      </c>
      <c r="AH1202" s="863" t="s">
        <v>4465</v>
      </c>
      <c r="AI1202" s="863" t="s">
        <v>4428</v>
      </c>
      <c r="AJ1202" s="864">
        <v>10148</v>
      </c>
      <c r="AK1202" s="873">
        <v>105941</v>
      </c>
    </row>
    <row ht="15.75" r="1203" spans="1:37" thickBot="1">
      <c r="A1203" s="95"/>
      <c r="AC1203" s="860">
        <v>46447</v>
      </c>
      <c r="AD1203" s="861" t="s">
        <v>4488</v>
      </c>
      <c r="AE1203" s="861" t="s">
        <v>4489</v>
      </c>
      <c r="AF1203" s="861" t="s">
        <v>4490</v>
      </c>
      <c r="AG1203" s="861" t="s">
        <v>4491</v>
      </c>
      <c r="AH1203" s="861" t="s">
        <v>4465</v>
      </c>
      <c r="AI1203" s="861" t="s">
        <v>4492</v>
      </c>
      <c r="AJ1203" s="861">
        <v>418</v>
      </c>
      <c r="AK1203" s="872">
        <v>6228</v>
      </c>
    </row>
    <row ht="15.75" r="1204" spans="1:37" thickBot="1">
      <c r="A1204" s="95"/>
      <c r="AC1204" s="865">
        <v>46508</v>
      </c>
      <c r="AD1204" s="863" t="s">
        <v>4435</v>
      </c>
      <c r="AE1204" s="863" t="s">
        <v>4435</v>
      </c>
      <c r="AF1204" s="863" t="s">
        <v>4493</v>
      </c>
      <c r="AG1204" s="863" t="s">
        <v>4494</v>
      </c>
      <c r="AH1204" s="863" t="s">
        <v>4476</v>
      </c>
      <c r="AI1204" s="863" t="s">
        <v>4495</v>
      </c>
      <c r="AJ1204" s="863">
        <v>39</v>
      </c>
      <c r="AK1204" s="873">
        <v>1329</v>
      </c>
    </row>
    <row ht="15.75" r="1205" spans="1:37" thickBot="1">
      <c r="A1205" s="95"/>
      <c r="AC1205" s="861" t="s">
        <v>445</v>
      </c>
      <c r="AD1205" s="861" t="s">
        <v>4496</v>
      </c>
      <c r="AE1205" s="861" t="s">
        <v>4497</v>
      </c>
      <c r="AF1205" s="861" t="s">
        <v>4498</v>
      </c>
      <c r="AG1205" s="861" t="s">
        <v>4499</v>
      </c>
      <c r="AH1205" s="861" t="s">
        <v>4476</v>
      </c>
      <c r="AI1205" s="861" t="s">
        <v>4500</v>
      </c>
      <c r="AJ1205" s="861">
        <v>10</v>
      </c>
      <c r="AK1205" s="874">
        <v>561</v>
      </c>
    </row>
    <row ht="15.75" r="1206" spans="1:37" thickBot="1">
      <c r="A1206" s="95"/>
      <c r="AC1206" s="865">
        <v>46631</v>
      </c>
      <c r="AD1206" s="863" t="s">
        <v>436</v>
      </c>
      <c r="AE1206" s="863" t="s">
        <v>436</v>
      </c>
      <c r="AF1206" s="863" t="s">
        <v>436</v>
      </c>
      <c r="AG1206" s="863" t="s">
        <v>4501</v>
      </c>
      <c r="AH1206" s="863" t="s">
        <v>4502</v>
      </c>
      <c r="AI1206" s="863" t="s">
        <v>4503</v>
      </c>
      <c r="AJ1206" s="863">
        <v>0</v>
      </c>
      <c r="AK1206" s="875">
        <v>83</v>
      </c>
    </row>
    <row ht="15.75" r="1207" spans="1:37" thickBot="1">
      <c r="A1207" s="95"/>
      <c r="AC1207" s="860">
        <v>46722</v>
      </c>
      <c r="AD1207" s="861" t="s">
        <v>4504</v>
      </c>
      <c r="AE1207" s="861" t="s">
        <v>4439</v>
      </c>
      <c r="AF1207" s="861" t="s">
        <v>4505</v>
      </c>
      <c r="AG1207" s="861" t="s">
        <v>4506</v>
      </c>
      <c r="AH1207" s="861" t="s">
        <v>4502</v>
      </c>
      <c r="AI1207" s="861" t="s">
        <v>4438</v>
      </c>
      <c r="AJ1207" s="861">
        <v>37</v>
      </c>
      <c r="AK1207" s="872">
        <v>2412</v>
      </c>
    </row>
    <row ht="15.75" r="1208" spans="1:37" thickBot="1">
      <c r="A1208" s="95"/>
      <c r="AC1208" s="863" t="s">
        <v>4277</v>
      </c>
      <c r="AD1208" s="863" t="s">
        <v>436</v>
      </c>
      <c r="AE1208" s="863" t="s">
        <v>4440</v>
      </c>
      <c r="AF1208" s="863" t="s">
        <v>436</v>
      </c>
      <c r="AG1208" s="863" t="s">
        <v>4441</v>
      </c>
      <c r="AH1208" s="863" t="s">
        <v>4502</v>
      </c>
      <c r="AI1208" s="863" t="s">
        <v>4437</v>
      </c>
      <c r="AJ1208" s="863">
        <v>0</v>
      </c>
      <c r="AK1208" s="875">
        <v>21</v>
      </c>
    </row>
    <row ht="15.75" r="1209" spans="1:37" thickBot="1">
      <c r="A1209" s="95"/>
      <c r="AC1209" s="866">
        <v>47088</v>
      </c>
      <c r="AD1209" s="867" t="s">
        <v>436</v>
      </c>
      <c r="AE1209" s="867" t="s">
        <v>436</v>
      </c>
      <c r="AF1209" s="867" t="s">
        <v>436</v>
      </c>
      <c r="AG1209" s="867" t="s">
        <v>436</v>
      </c>
      <c r="AH1209" s="867" t="s">
        <v>4502</v>
      </c>
      <c r="AI1209" s="867" t="s">
        <v>4507</v>
      </c>
      <c r="AJ1209" s="867">
        <v>0</v>
      </c>
      <c r="AK1209" s="876">
        <v>41</v>
      </c>
    </row>
    <row r="1210" spans="1:37">
      <c r="A1210" s="95"/>
    </row>
    <row r="1211" spans="1:37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33"/>
  <sheetViews>
    <sheetView workbookViewId="0" zoomScaleNormal="100">
      <pane activePane="bottomRight" state="frozen" topLeftCell="F1157" xSplit="5" ySplit="4"/>
      <selection activeCell="F1" pane="topRight" sqref="F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7" min="28" width="0"/>
  </cols>
  <sheetData>
    <row r="1" spans="1:87">
      <c r="A1" s="56" t="s">
        <v>446</v>
      </c>
    </row>
    <row ht="15.75" r="3" spans="1:87" thickBot="1"/>
    <row customFormat="1" ht="15.75" r="4" s="109" spans="1:87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customFormat="1" r="7" s="176" spans="1:87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customFormat="1" r="8" s="176" spans="1:87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customFormat="1" r="9" s="176" spans="1:87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customFormat="1" r="10" s="176" spans="1:87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customFormat="1" r="11" s="176" spans="1:87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customFormat="1" r="12" s="176" spans="1:87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customFormat="1" r="13" s="176" spans="1:87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customFormat="1" r="14" s="176" spans="1:87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customFormat="1" r="15" s="176" spans="1:87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customFormat="1" r="16" s="176" spans="1:87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customFormat="1" r="17" s="176" spans="1:5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customFormat="1" r="18" s="176" spans="1:5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customFormat="1" r="19" s="176" spans="1:5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customFormat="1" r="20" s="176" spans="1:5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customFormat="1" r="21" s="176" spans="1:5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customFormat="1" r="22" s="176" spans="1:5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customFormat="1" r="23" s="176" spans="1:5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customFormat="1" r="24" s="176" spans="1:5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customFormat="1" r="25" s="176" spans="1:5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customFormat="1" r="26" s="176" spans="1:5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customFormat="1" r="27" s="176" spans="1:5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customFormat="1" r="28" s="176" spans="1:5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customFormat="1" r="29" s="176" spans="1:5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customFormat="1" r="30" s="176" spans="1:5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customFormat="1" r="31" s="176" spans="1:5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customFormat="1" r="32" s="176" spans="1:5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customFormat="1" r="33" s="176" spans="1:5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customFormat="1" r="34" s="176" spans="1:5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customFormat="1" customHeight="1" ht="12.6" r="35" s="176" spans="1:5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customFormat="1" r="36" s="176" spans="1:5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customFormat="1" r="37" s="176" spans="1:5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customFormat="1" r="38" s="176" spans="1:5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customFormat="1" r="39" s="176" spans="1:5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customFormat="1" r="40" s="176" spans="1:5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customFormat="1" r="41" s="176" spans="1:5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customFormat="1" r="42" s="176" spans="1:5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customFormat="1" r="43" s="176" spans="1:5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customFormat="1" r="44" s="176" spans="1:5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customFormat="1" r="45" s="176" spans="1:5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customFormat="1" r="46" s="176" spans="1:5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customFormat="1" r="47" s="176" spans="1:5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customFormat="1" r="48" s="176" spans="1:5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89" spans="1:5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89" spans="1:87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45943</v>
      </c>
      <c r="B1174">
        <v>141700</v>
      </c>
      <c r="BI1174">
        <v>1.8438000000000001</v>
      </c>
      <c r="BJ1174">
        <v>1.7976000000000001</v>
      </c>
      <c r="BK1174">
        <v>1.7770999999999999</v>
      </c>
      <c r="BL1174">
        <v>1.7819</v>
      </c>
      <c r="BM1174">
        <v>1.7998000000000001</v>
      </c>
      <c r="BN1174">
        <v>1.9993000000000001</v>
      </c>
      <c r="BO1174">
        <v>2.0034999999999998</v>
      </c>
      <c r="BP1174">
        <v>1.9953000000000001</v>
      </c>
      <c r="BQ1174">
        <v>1.9773000000000001</v>
      </c>
      <c r="BR1174">
        <v>1.9539</v>
      </c>
      <c r="BS1174">
        <v>1.9229000000000001</v>
      </c>
      <c r="BT1174">
        <v>1.7886</v>
      </c>
      <c r="BU1174">
        <v>1.7564</v>
      </c>
      <c r="BV1174">
        <v>1.7351000000000001</v>
      </c>
      <c r="BW1174">
        <v>1.7272000000000001</v>
      </c>
      <c r="BX1174">
        <v>1.7323999999999999</v>
      </c>
      <c r="BY1174">
        <v>1.7464</v>
      </c>
      <c r="BZ1174">
        <v>1.9407000000000001</v>
      </c>
      <c r="CA1174">
        <v>1.9468000000000001</v>
      </c>
      <c r="CB1174">
        <v>1.9444999999999999</v>
      </c>
      <c r="CC1174">
        <v>1.9325000000000001</v>
      </c>
      <c r="CD1174">
        <v>1.9167000000000001</v>
      </c>
      <c r="CE1174">
        <v>1.8868</v>
      </c>
      <c r="CF1174">
        <v>1.758</v>
      </c>
      <c r="CG1174">
        <v>1.7302</v>
      </c>
      <c r="CH1174">
        <v>1.7116</v>
      </c>
      <c r="CI1174">
        <v>1.7101</v>
      </c>
      <c r="CJ1174">
        <v>1.7226999999999999</v>
      </c>
      <c r="CK1174">
        <v>1.7418</v>
      </c>
      <c r="CL1174">
        <v>1.9305000000000001</v>
      </c>
      <c r="CM1174">
        <v>1.9464999999999999</v>
      </c>
      <c r="CN1174">
        <v>1.9419999999999999</v>
      </c>
      <c r="CO1174">
        <v>1.9318</v>
      </c>
      <c r="CP1174">
        <v>1.9158999999999999</v>
      </c>
      <c r="CQ1174">
        <v>1.8852</v>
      </c>
      <c r="CR1174">
        <v>1.7579</v>
      </c>
      <c r="CS1174">
        <v>1.7281</v>
      </c>
      <c r="CT1174">
        <v>1.7121</v>
      </c>
      <c r="CU1174">
        <v>1.7084999999999999</v>
      </c>
    </row>
    <row r="1175" spans="1:99">
      <c r="A1175" s="95">
        <v>45937</v>
      </c>
      <c r="B1175">
        <v>160235</v>
      </c>
      <c r="BI1175">
        <v>1.8939</v>
      </c>
      <c r="BJ1175">
        <v>1.8434</v>
      </c>
      <c r="BK1175">
        <v>1.8219</v>
      </c>
      <c r="BL1175">
        <v>1.8255</v>
      </c>
      <c r="BM1175">
        <v>1.8436</v>
      </c>
      <c r="BN1175">
        <v>2.0408</v>
      </c>
      <c r="BO1175">
        <v>2.0435</v>
      </c>
      <c r="BP1175">
        <v>2.0343</v>
      </c>
      <c r="BQ1175">
        <v>2.0163</v>
      </c>
      <c r="BR1175">
        <v>1.9926</v>
      </c>
      <c r="BS1175">
        <v>1.9612</v>
      </c>
      <c r="BT1175">
        <v>1.8256</v>
      </c>
      <c r="BU1175">
        <v>1.7927</v>
      </c>
      <c r="BV1175">
        <v>1.7718</v>
      </c>
      <c r="BW1175">
        <v>1.7647</v>
      </c>
      <c r="BX1175">
        <v>1.7694</v>
      </c>
      <c r="BY1175">
        <v>1.7837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1.7666</v>
      </c>
      <c r="CH1175">
        <v>1.7479</v>
      </c>
      <c r="CI1175">
        <v>1.7464</v>
      </c>
      <c r="CJ1175">
        <v>1.759</v>
      </c>
      <c r="CK1175">
        <v>1.7781</v>
      </c>
      <c r="CL1175">
        <v>1.9668</v>
      </c>
      <c r="CM1175">
        <v>1.9828</v>
      </c>
      <c r="CN1175">
        <v>1.9783</v>
      </c>
      <c r="CO1175">
        <v>1.9681</v>
      </c>
      <c r="CP1175">
        <v>1.9522</v>
      </c>
      <c r="CQ1175">
        <v>1.9215</v>
      </c>
      <c r="CR1175">
        <v>1.7942</v>
      </c>
      <c r="CS1175">
        <v>1.7644</v>
      </c>
      <c r="CT1175">
        <v>1.7484</v>
      </c>
      <c r="CU1175">
        <v>1.7448</v>
      </c>
    </row>
    <row r="1176" spans="1:99">
      <c r="A1176" s="95">
        <v>45938</v>
      </c>
      <c r="B1176">
        <v>152276</v>
      </c>
      <c r="BI1176">
        <v>1.9095</v>
      </c>
      <c r="BJ1176">
        <v>1.8614</v>
      </c>
      <c r="BK1176">
        <v>1.8408</v>
      </c>
      <c r="BL1176">
        <v>1.8449</v>
      </c>
      <c r="BM1176">
        <v>1.8628</v>
      </c>
      <c r="BN1176">
        <v>2.0594</v>
      </c>
      <c r="BO1176">
        <v>2.0617</v>
      </c>
      <c r="BP1176">
        <v>2.0518</v>
      </c>
      <c r="BQ1176">
        <v>2.0332</v>
      </c>
      <c r="BR1176">
        <v>2.009</v>
      </c>
      <c r="BS1176">
        <v>1.9772</v>
      </c>
      <c r="BT1176">
        <v>1.8417</v>
      </c>
      <c r="BU1176">
        <v>1.8086</v>
      </c>
      <c r="BV1176">
        <v>1.7872</v>
      </c>
      <c r="BW1176">
        <v>1.7796</v>
      </c>
      <c r="BX1176">
        <v>1.7843</v>
      </c>
      <c r="BY1176">
        <v>1.7986</v>
      </c>
      <c r="BZ1176">
        <v>1.9929</v>
      </c>
      <c r="CA1176">
        <v>1.9989</v>
      </c>
      <c r="CB1176">
        <v>1.9966</v>
      </c>
      <c r="CC1176">
        <v>1.9843</v>
      </c>
      <c r="CD1176">
        <v>1.9684</v>
      </c>
      <c r="CE1176">
        <v>1.9384</v>
      </c>
      <c r="CF1176">
        <v>1.8095</v>
      </c>
      <c r="CG1176">
        <v>1.7815</v>
      </c>
      <c r="CH1176">
        <v>1.7628</v>
      </c>
      <c r="CI1176">
        <v>1.7613</v>
      </c>
      <c r="CJ1176">
        <v>1.7739</v>
      </c>
      <c r="CK1176">
        <v>1.793</v>
      </c>
      <c r="CL1176">
        <v>1.9817</v>
      </c>
      <c r="CM1176">
        <v>1.9977</v>
      </c>
      <c r="CN1176">
        <v>1.9932</v>
      </c>
      <c r="CO1176">
        <v>1.983</v>
      </c>
      <c r="CP1176">
        <v>1.9671</v>
      </c>
      <c r="CQ1176">
        <v>1.9364</v>
      </c>
      <c r="CR1176">
        <v>1.8091</v>
      </c>
      <c r="CS1176">
        <v>1.7793</v>
      </c>
      <c r="CT1176">
        <v>1.7633</v>
      </c>
      <c r="CU1176">
        <v>1.7597</v>
      </c>
    </row>
    <row r="1177" spans="1:99">
      <c r="A1177" s="95">
        <v>45939</v>
      </c>
      <c r="B1177">
        <v>167809</v>
      </c>
      <c r="BI1177">
        <v>1.8826</v>
      </c>
      <c r="BJ1177">
        <v>1.8375</v>
      </c>
      <c r="BK1177">
        <v>1.8181</v>
      </c>
      <c r="BL1177">
        <v>1.8229</v>
      </c>
      <c r="BM1177">
        <v>1.8415</v>
      </c>
      <c r="BN1177">
        <v>2.0396</v>
      </c>
      <c r="BO1177">
        <v>2.0425</v>
      </c>
      <c r="BP1177">
        <v>2.0329</v>
      </c>
      <c r="BQ1177">
        <v>2.0141</v>
      </c>
      <c r="BR1177">
        <v>1.9899</v>
      </c>
      <c r="BS1177">
        <v>1.9583</v>
      </c>
      <c r="BT1177">
        <v>1.8234</v>
      </c>
      <c r="BU1177">
        <v>1.7906</v>
      </c>
      <c r="BV1177">
        <v>1.7693</v>
      </c>
      <c r="BW1177">
        <v>1.7619</v>
      </c>
      <c r="BX1177">
        <v>1.7666</v>
      </c>
      <c r="BY1177">
        <v>1.7809</v>
      </c>
      <c r="BZ1177">
        <v>1.9752</v>
      </c>
      <c r="CA1177">
        <v>1.9812</v>
      </c>
      <c r="CB1177">
        <v>1.9789</v>
      </c>
      <c r="CC1177">
        <v>1.9666</v>
      </c>
      <c r="CD1177">
        <v>1.9507</v>
      </c>
      <c r="CE1177">
        <v>1.9207</v>
      </c>
      <c r="CF1177">
        <v>1.7918</v>
      </c>
      <c r="CG1177">
        <v>1.7638</v>
      </c>
      <c r="CH1177">
        <v>1.7451</v>
      </c>
      <c r="CI1177">
        <v>1.7436</v>
      </c>
      <c r="CJ1177">
        <v>1.7562</v>
      </c>
      <c r="CK1177">
        <v>1.7753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</v>
      </c>
      <c r="CR1177">
        <v>1.7914</v>
      </c>
      <c r="CS1177">
        <v>1.7616</v>
      </c>
      <c r="CT1177">
        <v>1.7456</v>
      </c>
      <c r="CU1177">
        <v>1.742</v>
      </c>
    </row>
    <row r="1178" spans="1:99">
      <c r="A1178" s="95">
        <v>45940</v>
      </c>
      <c r="B1178">
        <v>182101</v>
      </c>
      <c r="BI1178">
        <v>1.8204</v>
      </c>
      <c r="BJ1178">
        <v>1.7759</v>
      </c>
      <c r="BK1178">
        <v>1.7574</v>
      </c>
      <c r="BL1178">
        <v>1.7632</v>
      </c>
      <c r="BM1178">
        <v>1.7823</v>
      </c>
      <c r="BN1178">
        <v>1.9816</v>
      </c>
      <c r="BO1178">
        <v>1.9858</v>
      </c>
      <c r="BP1178">
        <v>1.9773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</v>
      </c>
      <c r="BW1178">
        <v>1.709</v>
      </c>
      <c r="BX1178">
        <v>1.7143</v>
      </c>
      <c r="BY1178">
        <v>1.7283</v>
      </c>
      <c r="BZ1178">
        <v>1.9226</v>
      </c>
      <c r="CA1178">
        <v>1.9287</v>
      </c>
      <c r="CB1178">
        <v>1.9264</v>
      </c>
      <c r="CC1178">
        <v>1.9144</v>
      </c>
      <c r="CD1178">
        <v>1.8986</v>
      </c>
      <c r="CE1178">
        <v>1.8687</v>
      </c>
      <c r="CF1178">
        <v>1.7399</v>
      </c>
      <c r="CG1178">
        <v>1.7121</v>
      </c>
      <c r="CH1178">
        <v>1.6935</v>
      </c>
      <c r="CI1178">
        <v>1.692</v>
      </c>
      <c r="CJ1178">
        <v>1.7046</v>
      </c>
      <c r="CK1178">
        <v>1.7237</v>
      </c>
      <c r="CL1178">
        <v>1.9124</v>
      </c>
      <c r="CM1178">
        <v>1.9284</v>
      </c>
      <c r="CN1178">
        <v>1.9239</v>
      </c>
      <c r="CO1178">
        <v>1.9137</v>
      </c>
      <c r="CP1178">
        <v>1.8978</v>
      </c>
      <c r="CQ1178">
        <v>1.8671</v>
      </c>
      <c r="CR1178">
        <v>1.7398</v>
      </c>
      <c r="CS1178">
        <v>1.71</v>
      </c>
      <c r="CT1178">
        <v>1.694</v>
      </c>
      <c r="CU1178">
        <v>1.6904</v>
      </c>
    </row>
    <row r="1179" spans="1:99">
      <c r="A1179" s="95">
        <v>45943</v>
      </c>
      <c r="B1179">
        <v>141700</v>
      </c>
      <c r="BI1179">
        <v>1.8438</v>
      </c>
      <c r="BJ1179">
        <v>1.7976</v>
      </c>
      <c r="BK1179">
        <v>1.7771</v>
      </c>
      <c r="BL1179">
        <v>1.7819</v>
      </c>
      <c r="BM1179">
        <v>1.7998</v>
      </c>
      <c r="BN1179">
        <v>1.9993</v>
      </c>
      <c r="BO1179">
        <v>2.0035</v>
      </c>
      <c r="BP1179">
        <v>1.9953</v>
      </c>
      <c r="BQ1179">
        <v>1.9773</v>
      </c>
      <c r="BR1179">
        <v>1.9539</v>
      </c>
      <c r="BS1179">
        <v>1.9229</v>
      </c>
      <c r="BT1179">
        <v>1.7886</v>
      </c>
      <c r="BU1179">
        <v>1.7564</v>
      </c>
      <c r="BV1179">
        <v>1.7351</v>
      </c>
      <c r="BW1179">
        <v>1.7272</v>
      </c>
      <c r="BX1179">
        <v>1.7324</v>
      </c>
      <c r="BY1179">
        <v>1.7464</v>
      </c>
      <c r="BZ1179">
        <v>1.9407</v>
      </c>
      <c r="CA1179">
        <v>1.9468</v>
      </c>
      <c r="CB1179">
        <v>1.9445</v>
      </c>
      <c r="CC1179">
        <v>1.9325</v>
      </c>
      <c r="CD1179">
        <v>1.9167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1.7227</v>
      </c>
      <c r="CK1179">
        <v>1.7418</v>
      </c>
      <c r="CL1179">
        <v>1.9305</v>
      </c>
      <c r="CM1179">
        <v>1.9465</v>
      </c>
      <c r="CN1179">
        <v>1.942</v>
      </c>
      <c r="CO1179">
        <v>1.9318</v>
      </c>
      <c r="CP1179">
        <v>1.9159</v>
      </c>
      <c r="CQ1179">
        <v>1.8852</v>
      </c>
      <c r="CR1179">
        <v>1.7579</v>
      </c>
      <c r="CS1179">
        <v>1.7281</v>
      </c>
      <c r="CT1179">
        <v>1.7121</v>
      </c>
      <c r="CU1179">
        <v>1.7085</v>
      </c>
    </row>
    <row r="1180" spans="1:99">
      <c r="A1180" s="95">
        <v>45943</v>
      </c>
      <c r="B1180">
        <v>141700</v>
      </c>
      <c r="BI1180">
        <v>1.8438</v>
      </c>
      <c r="BJ1180">
        <v>1.7976</v>
      </c>
      <c r="BK1180">
        <v>1.7771</v>
      </c>
      <c r="BL1180">
        <v>1.7819</v>
      </c>
      <c r="BM1180">
        <v>1.7998</v>
      </c>
      <c r="BN1180">
        <v>1.9993</v>
      </c>
      <c r="BO1180">
        <v>2.0035</v>
      </c>
      <c r="BP1180">
        <v>1.9953</v>
      </c>
      <c r="BQ1180">
        <v>1.9773</v>
      </c>
      <c r="BR1180">
        <v>1.9539</v>
      </c>
      <c r="BS1180">
        <v>1.9229</v>
      </c>
      <c r="BT1180">
        <v>1.7886</v>
      </c>
      <c r="BU1180">
        <v>1.7564</v>
      </c>
      <c r="BV1180">
        <v>1.7351</v>
      </c>
      <c r="BW1180">
        <v>1.7272</v>
      </c>
      <c r="BX1180">
        <v>1.7324</v>
      </c>
      <c r="BY1180">
        <v>1.7464</v>
      </c>
      <c r="BZ1180">
        <v>1.9407</v>
      </c>
      <c r="CA1180">
        <v>1.9468</v>
      </c>
      <c r="CB1180">
        <v>1.9445</v>
      </c>
      <c r="CC1180">
        <v>1.9325</v>
      </c>
      <c r="CD1180">
        <v>1.9167</v>
      </c>
      <c r="CE1180">
        <v>1.8868</v>
      </c>
      <c r="CF1180">
        <v>1.758</v>
      </c>
      <c r="CG1180">
        <v>1.7302</v>
      </c>
      <c r="CH1180">
        <v>1.7116</v>
      </c>
      <c r="CI1180">
        <v>1.7101</v>
      </c>
      <c r="CJ1180">
        <v>1.7227</v>
      </c>
      <c r="CK1180">
        <v>1.7418</v>
      </c>
      <c r="CL1180">
        <v>1.9305</v>
      </c>
      <c r="CM1180">
        <v>1.9465</v>
      </c>
      <c r="CN1180">
        <v>1.942</v>
      </c>
      <c r="CO1180">
        <v>1.9318</v>
      </c>
      <c r="CP1180">
        <v>1.9159</v>
      </c>
      <c r="CQ1180">
        <v>1.8852</v>
      </c>
      <c r="CR1180">
        <v>1.7579</v>
      </c>
      <c r="CS1180">
        <v>1.7281</v>
      </c>
      <c r="CT1180">
        <v>1.7121</v>
      </c>
      <c r="CU1180">
        <v>1.7085</v>
      </c>
    </row>
    <row r="1181" spans="1:99">
      <c r="A1181" s="95">
        <v>45943</v>
      </c>
      <c r="B1181">
        <v>141700</v>
      </c>
      <c r="BI1181">
        <v>1.8438</v>
      </c>
      <c r="BJ1181">
        <v>1.7976</v>
      </c>
      <c r="BK1181">
        <v>1.7771</v>
      </c>
      <c r="BL1181">
        <v>1.7819</v>
      </c>
      <c r="BM1181">
        <v>1.7998</v>
      </c>
      <c r="BN1181">
        <v>1.9993</v>
      </c>
      <c r="BO1181">
        <v>2.0035</v>
      </c>
      <c r="BP1181">
        <v>1.9953</v>
      </c>
      <c r="BQ1181">
        <v>1.9773</v>
      </c>
      <c r="BR1181">
        <v>1.9539</v>
      </c>
      <c r="BS1181">
        <v>1.9229</v>
      </c>
      <c r="BT1181">
        <v>1.7886</v>
      </c>
      <c r="BU1181">
        <v>1.7564</v>
      </c>
      <c r="BV1181">
        <v>1.7351</v>
      </c>
      <c r="BW1181">
        <v>1.7272</v>
      </c>
      <c r="BX1181">
        <v>1.7324</v>
      </c>
      <c r="BY1181">
        <v>1.7464</v>
      </c>
      <c r="BZ1181">
        <v>1.9407</v>
      </c>
      <c r="CA1181">
        <v>1.9468</v>
      </c>
      <c r="CB1181">
        <v>1.9445</v>
      </c>
      <c r="CC1181">
        <v>1.9325</v>
      </c>
      <c r="CD1181">
        <v>1.9167</v>
      </c>
      <c r="CE1181">
        <v>1.8868</v>
      </c>
      <c r="CF1181">
        <v>1.758</v>
      </c>
      <c r="CG1181">
        <v>1.7302</v>
      </c>
      <c r="CH1181">
        <v>1.7116</v>
      </c>
      <c r="CI1181">
        <v>1.7101</v>
      </c>
      <c r="CJ1181">
        <v>1.7227</v>
      </c>
      <c r="CK1181">
        <v>1.7418</v>
      </c>
      <c r="CL1181">
        <v>1.9305</v>
      </c>
      <c r="CM1181">
        <v>1.9465</v>
      </c>
      <c r="CN1181">
        <v>1.942</v>
      </c>
      <c r="CO1181">
        <v>1.9318</v>
      </c>
      <c r="CP1181">
        <v>1.9159</v>
      </c>
      <c r="CQ1181">
        <v>1.8852</v>
      </c>
      <c r="CR1181">
        <v>1.7579</v>
      </c>
      <c r="CS1181">
        <v>1.7281</v>
      </c>
      <c r="CT1181">
        <v>1.7121</v>
      </c>
      <c r="CU1181">
        <v>1.7085</v>
      </c>
    </row>
    <row r="1182" spans="1:99">
      <c r="A1182" s="95">
        <v>45943</v>
      </c>
      <c r="B1182">
        <v>141700</v>
      </c>
      <c r="BI1182">
        <v>1.8438</v>
      </c>
      <c r="BJ1182">
        <v>1.7976</v>
      </c>
      <c r="BK1182">
        <v>1.7771</v>
      </c>
      <c r="BL1182">
        <v>1.7819</v>
      </c>
      <c r="BM1182">
        <v>1.7998</v>
      </c>
      <c r="BN1182">
        <v>1.9993</v>
      </c>
      <c r="BO1182">
        <v>2.0035</v>
      </c>
      <c r="BP1182">
        <v>1.9953</v>
      </c>
      <c r="BQ1182">
        <v>1.9773</v>
      </c>
      <c r="BR1182">
        <v>1.9539</v>
      </c>
      <c r="BS1182">
        <v>1.9229</v>
      </c>
      <c r="BT1182">
        <v>1.7886</v>
      </c>
      <c r="BU1182">
        <v>1.7564</v>
      </c>
      <c r="BV1182">
        <v>1.7351</v>
      </c>
      <c r="BW1182">
        <v>1.7272</v>
      </c>
      <c r="BX1182">
        <v>1.7324</v>
      </c>
      <c r="BY1182">
        <v>1.7464</v>
      </c>
      <c r="BZ1182">
        <v>1.9407</v>
      </c>
      <c r="CA1182">
        <v>1.9468</v>
      </c>
      <c r="CB1182">
        <v>1.9445</v>
      </c>
      <c r="CC1182">
        <v>1.9325</v>
      </c>
      <c r="CD1182">
        <v>1.9167</v>
      </c>
      <c r="CE1182">
        <v>1.8868</v>
      </c>
      <c r="CF1182">
        <v>1.758</v>
      </c>
      <c r="CG1182">
        <v>1.7302</v>
      </c>
      <c r="CH1182">
        <v>1.7116</v>
      </c>
      <c r="CI1182">
        <v>1.7101</v>
      </c>
      <c r="CJ1182">
        <v>1.7227</v>
      </c>
      <c r="CK1182">
        <v>1.7418</v>
      </c>
      <c r="CL1182">
        <v>1.9305</v>
      </c>
      <c r="CM1182">
        <v>1.9465</v>
      </c>
      <c r="CN1182">
        <v>1.942</v>
      </c>
      <c r="CO1182">
        <v>1.9318</v>
      </c>
      <c r="CP1182">
        <v>1.9159</v>
      </c>
      <c r="CQ1182">
        <v>1.8852</v>
      </c>
      <c r="CR1182">
        <v>1.7579</v>
      </c>
      <c r="CS1182">
        <v>1.7281</v>
      </c>
      <c r="CT1182">
        <v>1.7121</v>
      </c>
      <c r="CU1182">
        <v>1.7085</v>
      </c>
    </row>
    <row r="1183" spans="1:99">
      <c r="A1183" s="95">
        <v>45944</v>
      </c>
      <c r="B1183">
        <v>159352</v>
      </c>
      <c r="BI1183">
        <v>1.8286</v>
      </c>
      <c r="BJ1183">
        <v>1.7823</v>
      </c>
      <c r="BK1183">
        <v>1.7611</v>
      </c>
      <c r="BL1183">
        <v>1.766</v>
      </c>
      <c r="BM1183">
        <v>1.7842</v>
      </c>
      <c r="BN1183">
        <v>1.9852</v>
      </c>
      <c r="BO1183">
        <v>1.9887</v>
      </c>
      <c r="BP1183">
        <v>1.9798</v>
      </c>
      <c r="BQ1183">
        <v>1.9613</v>
      </c>
      <c r="BR1183">
        <v>1.9376</v>
      </c>
      <c r="BS1183">
        <v>1.9067</v>
      </c>
      <c r="BT1183">
        <v>1.7706</v>
      </c>
      <c r="BU1183">
        <v>1.7387</v>
      </c>
      <c r="BV1183">
        <v>1.7178</v>
      </c>
      <c r="BW1183">
        <v>1.7103</v>
      </c>
      <c r="BX1183">
        <v>1.7164</v>
      </c>
      <c r="BY1183">
        <v>1.7307</v>
      </c>
      <c r="BZ1183">
        <v>1.9244</v>
      </c>
      <c r="CA1183">
        <v>1.93</v>
      </c>
      <c r="CB1183">
        <v>1.9277</v>
      </c>
      <c r="CC1183">
        <v>1.9157</v>
      </c>
      <c r="CD1183">
        <v>1.8999</v>
      </c>
      <c r="CE1183">
        <v>1.87</v>
      </c>
      <c r="CF1183">
        <v>1.7412</v>
      </c>
      <c r="CG1183">
        <v>1.7134</v>
      </c>
      <c r="CH1183">
        <v>1.6948</v>
      </c>
      <c r="CI1183">
        <v>1.6933</v>
      </c>
      <c r="CJ1183">
        <v>1.7059</v>
      </c>
      <c r="CK1183">
        <v>1.725</v>
      </c>
      <c r="CL1183">
        <v>1.9137</v>
      </c>
      <c r="CM1183">
        <v>1.9297</v>
      </c>
      <c r="CN1183">
        <v>1.9252</v>
      </c>
      <c r="CO1183">
        <v>1.915</v>
      </c>
      <c r="CP1183">
        <v>1.8991</v>
      </c>
      <c r="CQ1183">
        <v>1.8684</v>
      </c>
      <c r="CR1183">
        <v>1.7411</v>
      </c>
      <c r="CS1183">
        <v>1.7113</v>
      </c>
      <c r="CT1183">
        <v>1.6953</v>
      </c>
      <c r="CU1183">
        <v>1.6917</v>
      </c>
    </row>
    <row r="1184" spans="1:99">
      <c r="A1184" s="95">
        <v>45944</v>
      </c>
      <c r="B1184">
        <v>159352</v>
      </c>
      <c r="BI1184">
        <v>1.8286</v>
      </c>
      <c r="BJ1184">
        <v>1.7823</v>
      </c>
      <c r="BK1184">
        <v>1.7611</v>
      </c>
      <c r="BL1184">
        <v>1.766</v>
      </c>
      <c r="BM1184">
        <v>1.7842</v>
      </c>
      <c r="BN1184">
        <v>1.9852</v>
      </c>
      <c r="BO1184">
        <v>1.9887</v>
      </c>
      <c r="BP1184">
        <v>1.9798</v>
      </c>
      <c r="BQ1184">
        <v>1.9613</v>
      </c>
      <c r="BR1184">
        <v>1.9376</v>
      </c>
      <c r="BS1184">
        <v>1.9067</v>
      </c>
      <c r="BT1184">
        <v>1.7706</v>
      </c>
      <c r="BU1184">
        <v>1.7387</v>
      </c>
      <c r="BV1184">
        <v>1.7178</v>
      </c>
      <c r="BW1184">
        <v>1.7103</v>
      </c>
      <c r="BX1184">
        <v>1.7164</v>
      </c>
      <c r="BY1184">
        <v>1.7307</v>
      </c>
      <c r="BZ1184">
        <v>1.9244</v>
      </c>
      <c r="CA1184">
        <v>1.93</v>
      </c>
      <c r="CB1184">
        <v>1.9277</v>
      </c>
      <c r="CC1184">
        <v>1.9157</v>
      </c>
      <c r="CD1184">
        <v>1.8999</v>
      </c>
      <c r="CE1184">
        <v>1.87</v>
      </c>
      <c r="CF1184">
        <v>1.7412</v>
      </c>
      <c r="CG1184">
        <v>1.7134</v>
      </c>
      <c r="CH1184">
        <v>1.6948</v>
      </c>
      <c r="CI1184">
        <v>1.6933</v>
      </c>
      <c r="CJ1184">
        <v>1.7059</v>
      </c>
      <c r="CK1184">
        <v>1.725</v>
      </c>
      <c r="CL1184">
        <v>1.9137</v>
      </c>
      <c r="CM1184">
        <v>1.9297</v>
      </c>
      <c r="CN1184">
        <v>1.9252</v>
      </c>
      <c r="CO1184">
        <v>1.915</v>
      </c>
      <c r="CP1184">
        <v>1.8991</v>
      </c>
      <c r="CQ1184">
        <v>1.8684</v>
      </c>
      <c r="CR1184">
        <v>1.7411</v>
      </c>
      <c r="CS1184">
        <v>1.7113</v>
      </c>
      <c r="CT1184">
        <v>1.6953</v>
      </c>
      <c r="CU1184">
        <v>1.6917</v>
      </c>
    </row>
    <row r="1185" spans="1:99">
      <c r="A1185" s="95">
        <v>45944</v>
      </c>
      <c r="B1185">
        <v>159352</v>
      </c>
      <c r="BI1185">
        <v>1.8286</v>
      </c>
      <c r="BJ1185">
        <v>1.7823</v>
      </c>
      <c r="BK1185">
        <v>1.7611</v>
      </c>
      <c r="BL1185">
        <v>1.766</v>
      </c>
      <c r="BM1185">
        <v>1.7842</v>
      </c>
      <c r="BN1185">
        <v>1.9852</v>
      </c>
      <c r="BO1185">
        <v>1.9887</v>
      </c>
      <c r="BP1185">
        <v>1.9798</v>
      </c>
      <c r="BQ1185">
        <v>1.9613</v>
      </c>
      <c r="BR1185">
        <v>1.9376</v>
      </c>
      <c r="BS1185">
        <v>1.9067</v>
      </c>
      <c r="BT1185">
        <v>1.7706</v>
      </c>
      <c r="BU1185">
        <v>1.7387</v>
      </c>
      <c r="BV1185">
        <v>1.7178</v>
      </c>
      <c r="BW1185">
        <v>1.7103</v>
      </c>
      <c r="BX1185">
        <v>1.7164</v>
      </c>
      <c r="BY1185">
        <v>1.7307</v>
      </c>
      <c r="BZ1185">
        <v>1.9244</v>
      </c>
      <c r="CA1185">
        <v>1.93</v>
      </c>
      <c r="CB1185">
        <v>1.9277</v>
      </c>
      <c r="CC1185">
        <v>1.9157</v>
      </c>
      <c r="CD1185">
        <v>1.8999</v>
      </c>
      <c r="CE1185">
        <v>1.87</v>
      </c>
      <c r="CF1185">
        <v>1.7412</v>
      </c>
      <c r="CG1185">
        <v>1.7134</v>
      </c>
      <c r="CH1185">
        <v>1.6948</v>
      </c>
      <c r="CI1185">
        <v>1.6933</v>
      </c>
      <c r="CJ1185">
        <v>1.7059</v>
      </c>
      <c r="CK1185">
        <v>1.725</v>
      </c>
      <c r="CL1185">
        <v>1.9137</v>
      </c>
      <c r="CM1185">
        <v>1.9297</v>
      </c>
      <c r="CN1185">
        <v>1.9252</v>
      </c>
      <c r="CO1185">
        <v>1.915</v>
      </c>
      <c r="CP1185">
        <v>1.8991</v>
      </c>
      <c r="CQ1185">
        <v>1.8684</v>
      </c>
      <c r="CR1185">
        <v>1.7411</v>
      </c>
      <c r="CS1185">
        <v>1.7113</v>
      </c>
      <c r="CT1185">
        <v>1.6953</v>
      </c>
      <c r="CU1185">
        <v>1.6917</v>
      </c>
    </row>
    <row r="1186" spans="1:99">
      <c r="A1186" s="95" t="s">
        <v>4612</v>
      </c>
      <c r="B1186" t="s">
        <v>4613</v>
      </c>
      <c r="BI1186" t="s">
        <v>4614</v>
      </c>
      <c r="BJ1186" t="s">
        <v>4615</v>
      </c>
      <c r="BK1186" t="s">
        <v>4616</v>
      </c>
      <c r="BL1186" t="s">
        <v>4617</v>
      </c>
      <c r="BM1186" t="s">
        <v>4618</v>
      </c>
      <c r="BN1186" t="s">
        <v>4619</v>
      </c>
      <c r="BO1186" t="s">
        <v>4620</v>
      </c>
      <c r="BP1186" t="s">
        <v>4621</v>
      </c>
      <c r="BQ1186" t="s">
        <v>4622</v>
      </c>
      <c r="BR1186" t="s">
        <v>4623</v>
      </c>
      <c r="BS1186" t="s">
        <v>4624</v>
      </c>
      <c r="BT1186" t="s">
        <v>4625</v>
      </c>
      <c r="BU1186" t="s">
        <v>4626</v>
      </c>
      <c r="BV1186" t="s">
        <v>4627</v>
      </c>
      <c r="BW1186" t="s">
        <v>4628</v>
      </c>
      <c r="BX1186" t="s">
        <v>4629</v>
      </c>
      <c r="BY1186" t="s">
        <v>4630</v>
      </c>
      <c r="BZ1186" t="s">
        <v>4631</v>
      </c>
      <c r="CA1186" t="s">
        <v>4632</v>
      </c>
      <c r="CB1186" t="s">
        <v>4633</v>
      </c>
      <c r="CC1186" t="s">
        <v>4634</v>
      </c>
      <c r="CD1186" t="s">
        <v>4635</v>
      </c>
      <c r="CE1186" t="s">
        <v>4636</v>
      </c>
      <c r="CF1186" t="s">
        <v>4637</v>
      </c>
      <c r="CG1186" t="s">
        <v>4638</v>
      </c>
      <c r="CH1186" t="s">
        <v>4639</v>
      </c>
      <c r="CI1186" t="s">
        <v>4640</v>
      </c>
      <c r="CJ1186" t="s">
        <v>4641</v>
      </c>
      <c r="CK1186" t="s">
        <v>4642</v>
      </c>
      <c r="CL1186" t="s">
        <v>4643</v>
      </c>
      <c r="CM1186" t="s">
        <v>4644</v>
      </c>
      <c r="CN1186" t="s">
        <v>4645</v>
      </c>
      <c r="CO1186" t="s">
        <v>4646</v>
      </c>
      <c r="CP1186" t="s">
        <v>4647</v>
      </c>
      <c r="CQ1186" t="s">
        <v>4648</v>
      </c>
      <c r="CR1186" t="s">
        <v>4649</v>
      </c>
      <c r="CS1186" t="s">
        <v>4650</v>
      </c>
      <c r="CT1186" t="s">
        <v>4651</v>
      </c>
      <c r="CU1186" t="s">
        <v>4652</v>
      </c>
    </row>
    <row r="1187" spans="1:99">
      <c r="A1187" s="95"/>
    </row>
    <row r="1188" spans="1:99">
      <c r="A1188" s="95"/>
    </row>
    <row r="1189" spans="1:99">
      <c r="A1189" s="95"/>
    </row>
    <row r="1190" spans="1:99">
      <c r="A1190" s="95"/>
    </row>
    <row r="1191" spans="1:99">
      <c r="A1191" s="95"/>
    </row>
    <row r="1192" spans="1:99">
      <c r="A1192" s="95"/>
      <c r="BK1192" s="1125">
        <v>147767</v>
      </c>
    </row>
    <row ht="77.25" r="1193" spans="1:99" thickBot="1">
      <c r="A1193" s="95"/>
      <c r="BK1193" s="1126" t="s">
        <v>4508</v>
      </c>
    </row>
    <row ht="29.25" r="1194" spans="1:99" thickBot="1">
      <c r="A1194" s="95"/>
      <c r="BK1194" s="858" t="s">
        <v>4210</v>
      </c>
      <c r="BL1194" s="858" t="s">
        <v>4211</v>
      </c>
      <c r="BM1194" s="858" t="s">
        <v>4212</v>
      </c>
      <c r="BN1194" s="858" t="s">
        <v>4213</v>
      </c>
      <c r="BO1194" s="858" t="s">
        <v>369</v>
      </c>
      <c r="BP1194" s="858" t="s">
        <v>4214</v>
      </c>
      <c r="BQ1194" s="858" t="s">
        <v>4215</v>
      </c>
      <c r="BR1194" s="858" t="s">
        <v>4216</v>
      </c>
      <c r="BS1194" s="859" t="s">
        <v>4217</v>
      </c>
    </row>
    <row ht="15.75" r="1195" spans="1:99" thickBot="1">
      <c r="A1195" s="95"/>
      <c r="BK1195" s="860">
        <v>45962</v>
      </c>
      <c r="BL1195" s="861">
        <v>1.8503000000000001</v>
      </c>
      <c r="BM1195" s="861">
        <v>1.8818999999999999</v>
      </c>
      <c r="BN1195" s="861">
        <v>1.849</v>
      </c>
      <c r="BO1195" s="861" t="s">
        <v>4509</v>
      </c>
      <c r="BP1195" s="861">
        <v>9.4999999999999998E-3</v>
      </c>
      <c r="BQ1195" s="861">
        <v>1.8605</v>
      </c>
      <c r="BR1195" s="862">
        <v>61435</v>
      </c>
      <c r="BS1195" s="872">
        <v>129915</v>
      </c>
    </row>
    <row ht="15.75" r="1196" spans="1:71" thickBot="1">
      <c r="A1196" s="95"/>
      <c r="BK1196" s="865">
        <v>45992</v>
      </c>
      <c r="BL1196" s="863">
        <v>1.8095000000000001</v>
      </c>
      <c r="BM1196" s="863">
        <v>1.8342000000000001</v>
      </c>
      <c r="BN1196" s="863">
        <v>1.8051999999999999</v>
      </c>
      <c r="BO1196" s="863" t="s">
        <v>4510</v>
      </c>
      <c r="BP1196" s="863">
        <v>7.4999999999999997E-3</v>
      </c>
      <c r="BQ1196" s="863">
        <v>1.8140000000000001</v>
      </c>
      <c r="BR1196" s="864">
        <v>45667</v>
      </c>
      <c r="BS1196" s="873">
        <v>86170</v>
      </c>
    </row>
    <row ht="15.75" r="1197" spans="1:71" thickBot="1">
      <c r="A1197" s="95"/>
      <c r="BK1197" s="860">
        <v>46023</v>
      </c>
      <c r="BL1197" s="861">
        <v>1.7881</v>
      </c>
      <c r="BM1197" s="861" t="s">
        <v>4511</v>
      </c>
      <c r="BN1197" s="861">
        <v>1.7846</v>
      </c>
      <c r="BO1197" s="861" t="s">
        <v>4512</v>
      </c>
      <c r="BP1197" s="861">
        <v>8.0999999999999996E-3</v>
      </c>
      <c r="BQ1197" s="861">
        <v>1.7941</v>
      </c>
      <c r="BR1197" s="862">
        <v>20390</v>
      </c>
      <c r="BS1197" s="872">
        <v>47604</v>
      </c>
    </row>
    <row ht="15.75" r="1198" spans="1:71" thickBot="1">
      <c r="A1198" s="95"/>
      <c r="BK1198" s="865">
        <v>46054</v>
      </c>
      <c r="BL1198" s="863">
        <v>1.7966</v>
      </c>
      <c r="BM1198" s="863" t="s">
        <v>4513</v>
      </c>
      <c r="BN1198" s="863">
        <v>1.7908999999999999</v>
      </c>
      <c r="BO1198" s="863" t="s">
        <v>4514</v>
      </c>
      <c r="BP1198" s="863">
        <v>7.9000000000000008E-3</v>
      </c>
      <c r="BQ1198" s="863">
        <v>1.7987</v>
      </c>
      <c r="BR1198" s="864">
        <v>6179</v>
      </c>
      <c r="BS1198" s="873">
        <v>16610</v>
      </c>
    </row>
    <row ht="15.75" r="1199" spans="1:71" thickBot="1">
      <c r="A1199" s="95"/>
      <c r="BK1199" s="860">
        <v>46082</v>
      </c>
      <c r="BL1199" s="861">
        <v>1.8162</v>
      </c>
      <c r="BM1199" s="861">
        <v>1.8309</v>
      </c>
      <c r="BN1199" s="861">
        <v>1.8082</v>
      </c>
      <c r="BO1199" s="861" t="s">
        <v>4515</v>
      </c>
      <c r="BP1199" s="861">
        <v>7.4999999999999997E-3</v>
      </c>
      <c r="BQ1199" s="861">
        <v>1.8176000000000001</v>
      </c>
      <c r="BR1199" s="862">
        <v>4063</v>
      </c>
      <c r="BS1199" s="872">
        <v>20959</v>
      </c>
    </row>
    <row ht="15.75" r="1200" spans="1:71" thickBot="1">
      <c r="A1200" s="95"/>
      <c r="BK1200" s="865">
        <v>46113</v>
      </c>
      <c r="BL1200" s="863">
        <v>2.0091999999999999</v>
      </c>
      <c r="BM1200" s="863" t="s">
        <v>4516</v>
      </c>
      <c r="BN1200" s="863">
        <v>2.0089000000000001</v>
      </c>
      <c r="BO1200" s="863" t="s">
        <v>4517</v>
      </c>
      <c r="BP1200" s="863">
        <v>7.1000000000000004E-3</v>
      </c>
      <c r="BQ1200" s="863">
        <v>2.0150000000000001</v>
      </c>
      <c r="BR1200" s="864">
        <v>2161</v>
      </c>
      <c r="BS1200" s="873">
        <v>9985</v>
      </c>
    </row>
    <row ht="15.75" r="1201" spans="1:71" thickBot="1">
      <c r="A1201" s="95"/>
      <c r="BK1201" s="860">
        <v>46143</v>
      </c>
      <c r="BL1201" s="861">
        <v>2.0152000000000001</v>
      </c>
      <c r="BM1201" s="861" t="s">
        <v>4518</v>
      </c>
      <c r="BN1201" s="861">
        <v>2.0125000000000002</v>
      </c>
      <c r="BO1201" s="861" t="s">
        <v>4519</v>
      </c>
      <c r="BP1201" s="861">
        <v>7.1000000000000004E-3</v>
      </c>
      <c r="BQ1201" s="861">
        <v>2.0185</v>
      </c>
      <c r="BR1201" s="862">
        <v>2362</v>
      </c>
      <c r="BS1201" s="872">
        <v>8809</v>
      </c>
    </row>
    <row ht="15.75" r="1202" spans="1:71" thickBot="1">
      <c r="A1202" s="95"/>
      <c r="BK1202" s="865">
        <v>46174</v>
      </c>
      <c r="BL1202" s="863">
        <v>2.0024000000000002</v>
      </c>
      <c r="BM1202" s="863" t="s">
        <v>4520</v>
      </c>
      <c r="BN1202" s="863">
        <v>2.0024000000000002</v>
      </c>
      <c r="BO1202" s="863" t="s">
        <v>4521</v>
      </c>
      <c r="BP1202" s="863">
        <v>7.1999999999999998E-3</v>
      </c>
      <c r="BQ1202" s="863">
        <v>2.0103</v>
      </c>
      <c r="BR1202" s="864">
        <v>2956</v>
      </c>
      <c r="BS1202" s="873">
        <v>13781</v>
      </c>
    </row>
    <row ht="15.75" r="1203" spans="1:71" thickBot="1">
      <c r="A1203" s="95"/>
      <c r="BK1203" s="861" t="s">
        <v>444</v>
      </c>
      <c r="BL1203" s="861">
        <v>1.9933000000000001</v>
      </c>
      <c r="BM1203" s="861" t="s">
        <v>4522</v>
      </c>
      <c r="BN1203" s="861">
        <v>1.9908999999999999</v>
      </c>
      <c r="BO1203" s="861" t="s">
        <v>4523</v>
      </c>
      <c r="BP1203" s="861">
        <v>7.4000000000000003E-3</v>
      </c>
      <c r="BQ1203" s="861">
        <v>1.9932000000000001</v>
      </c>
      <c r="BR1203" s="861">
        <v>451</v>
      </c>
      <c r="BS1203" s="872">
        <v>3123</v>
      </c>
    </row>
    <row ht="15.75" r="1204" spans="1:71" thickBot="1">
      <c r="A1204" s="95"/>
      <c r="BK1204" s="865">
        <v>46235</v>
      </c>
      <c r="BL1204" s="863">
        <v>1.9684999999999999</v>
      </c>
      <c r="BM1204" s="863" t="s">
        <v>4524</v>
      </c>
      <c r="BN1204" s="863">
        <v>1.9677</v>
      </c>
      <c r="BO1204" s="863" t="s">
        <v>4525</v>
      </c>
      <c r="BP1204" s="863">
        <v>7.3000000000000001E-3</v>
      </c>
      <c r="BQ1204" s="863">
        <v>1.97</v>
      </c>
      <c r="BR1204" s="863">
        <v>226</v>
      </c>
      <c r="BS1204" s="873">
        <v>1827</v>
      </c>
    </row>
    <row ht="15.75" r="1205" spans="1:71" thickBot="1">
      <c r="A1205" s="95"/>
      <c r="BK1205" s="860">
        <v>46266</v>
      </c>
      <c r="BL1205" s="861">
        <v>1.9372</v>
      </c>
      <c r="BM1205" s="861" t="s">
        <v>4526</v>
      </c>
      <c r="BN1205" s="861">
        <v>1.9371</v>
      </c>
      <c r="BO1205" s="861" t="s">
        <v>4527</v>
      </c>
      <c r="BP1205" s="861">
        <v>7.1000000000000004E-3</v>
      </c>
      <c r="BQ1205" s="861">
        <v>1.9386000000000001</v>
      </c>
      <c r="BR1205" s="861">
        <v>388</v>
      </c>
      <c r="BS1205" s="872">
        <v>3580</v>
      </c>
    </row>
    <row ht="15.75" r="1206" spans="1:71" thickBot="1">
      <c r="A1206" s="95"/>
      <c r="BK1206" s="865">
        <v>46296</v>
      </c>
      <c r="BL1206" s="863">
        <v>1.8026</v>
      </c>
      <c r="BM1206" s="863">
        <v>1.81</v>
      </c>
      <c r="BN1206" s="863" t="s">
        <v>4528</v>
      </c>
      <c r="BO1206" s="863">
        <v>1.8049999999999999</v>
      </c>
      <c r="BP1206" s="863">
        <v>7.7000000000000002E-3</v>
      </c>
      <c r="BQ1206" s="863">
        <v>1.8017000000000001</v>
      </c>
      <c r="BR1206" s="863">
        <v>550</v>
      </c>
      <c r="BS1206" s="873">
        <v>1737</v>
      </c>
    </row>
    <row ht="15.75" r="1207" spans="1:71" thickBot="1">
      <c r="A1207" s="95"/>
      <c r="BK1207" s="860">
        <v>46327</v>
      </c>
      <c r="BL1207" s="861">
        <v>1.7706</v>
      </c>
      <c r="BM1207" s="861" t="s">
        <v>4529</v>
      </c>
      <c r="BN1207" s="861" t="s">
        <v>4530</v>
      </c>
      <c r="BO1207" s="861" t="s">
        <v>4531</v>
      </c>
      <c r="BP1207" s="861">
        <v>8.2000000000000007E-3</v>
      </c>
      <c r="BQ1207" s="861">
        <v>1.7696000000000001</v>
      </c>
      <c r="BR1207" s="861">
        <v>321</v>
      </c>
      <c r="BS1207" s="872">
        <v>1575</v>
      </c>
    </row>
    <row ht="15.75" r="1208" spans="1:71" thickBot="1">
      <c r="A1208" s="95"/>
      <c r="BK1208" s="865">
        <v>46357</v>
      </c>
      <c r="BL1208" s="863">
        <v>1.7453000000000001</v>
      </c>
      <c r="BM1208" s="863">
        <v>1.754</v>
      </c>
      <c r="BN1208" s="863">
        <v>1.7427999999999999</v>
      </c>
      <c r="BO1208" s="863" t="s">
        <v>4532</v>
      </c>
      <c r="BP1208" s="863">
        <v>7.7000000000000002E-3</v>
      </c>
      <c r="BQ1208" s="863">
        <v>1.7491000000000001</v>
      </c>
      <c r="BR1208" s="863">
        <v>481</v>
      </c>
      <c r="BS1208" s="873">
        <v>4382</v>
      </c>
    </row>
    <row ht="15.75" r="1209" spans="1:71" thickBot="1">
      <c r="A1209" s="95"/>
      <c r="BK1209" s="860">
        <v>46388</v>
      </c>
      <c r="BL1209" s="861" t="s">
        <v>436</v>
      </c>
      <c r="BM1209" s="861" t="s">
        <v>436</v>
      </c>
      <c r="BN1209" s="861" t="s">
        <v>436</v>
      </c>
      <c r="BO1209" s="861" t="s">
        <v>436</v>
      </c>
      <c r="BP1209" s="861">
        <v>7.3000000000000001E-3</v>
      </c>
      <c r="BQ1209" s="861">
        <v>1.7421</v>
      </c>
      <c r="BR1209" s="861">
        <v>136</v>
      </c>
      <c r="BS1209" s="872">
        <v>1232</v>
      </c>
    </row>
    <row ht="15.75" r="1210" spans="1:71" thickBot="1">
      <c r="A1210" s="95"/>
      <c r="BK1210" s="865">
        <v>46419</v>
      </c>
      <c r="BL1210" s="863" t="s">
        <v>436</v>
      </c>
      <c r="BM1210" s="863" t="s">
        <v>436</v>
      </c>
      <c r="BN1210" s="863" t="s">
        <v>436</v>
      </c>
      <c r="BO1210" s="863" t="s">
        <v>436</v>
      </c>
      <c r="BP1210" s="863">
        <v>7.3000000000000001E-3</v>
      </c>
      <c r="BQ1210" s="863">
        <v>1.7473000000000001</v>
      </c>
      <c r="BR1210" s="863">
        <v>0</v>
      </c>
      <c r="BS1210" s="875">
        <v>49</v>
      </c>
    </row>
    <row ht="15.75" r="1211" spans="1:71" thickBot="1">
      <c r="A1211" s="95"/>
      <c r="BK1211" s="860">
        <v>46447</v>
      </c>
      <c r="BL1211" s="861" t="s">
        <v>436</v>
      </c>
      <c r="BM1211" s="861" t="s">
        <v>436</v>
      </c>
      <c r="BN1211" s="861" t="s">
        <v>436</v>
      </c>
      <c r="BO1211" s="861" t="s">
        <v>436</v>
      </c>
      <c r="BP1211" s="861">
        <v>7.3000000000000001E-3</v>
      </c>
      <c r="BQ1211" s="861">
        <v>1.7617</v>
      </c>
      <c r="BR1211" s="861">
        <v>0</v>
      </c>
      <c r="BS1211" s="874">
        <v>15</v>
      </c>
    </row>
    <row ht="15.75" r="1212" spans="1:71" thickBot="1">
      <c r="A1212" s="95"/>
      <c r="BK1212" s="865">
        <v>46478</v>
      </c>
      <c r="BL1212" s="863" t="s">
        <v>436</v>
      </c>
      <c r="BM1212" s="863" t="s">
        <v>436</v>
      </c>
      <c r="BN1212" s="863" t="s">
        <v>436</v>
      </c>
      <c r="BO1212" s="863" t="s">
        <v>436</v>
      </c>
      <c r="BP1212" s="863">
        <v>7.4000000000000003E-3</v>
      </c>
      <c r="BQ1212" s="863">
        <v>1.9560999999999999</v>
      </c>
      <c r="BR1212" s="863">
        <v>0</v>
      </c>
      <c r="BS1212" s="875">
        <v>21</v>
      </c>
    </row>
    <row ht="15.75" r="1213" spans="1:71" thickBot="1">
      <c r="A1213" s="95"/>
      <c r="BK1213" s="860">
        <v>46508</v>
      </c>
      <c r="BL1213" s="861" t="s">
        <v>436</v>
      </c>
      <c r="BM1213" s="861" t="s">
        <v>436</v>
      </c>
      <c r="BN1213" s="861" t="s">
        <v>436</v>
      </c>
      <c r="BO1213" s="861" t="s">
        <v>436</v>
      </c>
      <c r="BP1213" s="861">
        <v>7.3000000000000001E-3</v>
      </c>
      <c r="BQ1213" s="861">
        <v>1.9621</v>
      </c>
      <c r="BR1213" s="861">
        <v>0</v>
      </c>
      <c r="BS1213" s="874">
        <v>113</v>
      </c>
    </row>
    <row ht="15.75" r="1214" spans="1:71" thickBot="1">
      <c r="A1214" s="95"/>
      <c r="BK1214" s="865">
        <v>46539</v>
      </c>
      <c r="BL1214" s="863" t="s">
        <v>436</v>
      </c>
      <c r="BM1214" s="863" t="s">
        <v>436</v>
      </c>
      <c r="BN1214" s="863" t="s">
        <v>436</v>
      </c>
      <c r="BO1214" s="863" t="s">
        <v>4533</v>
      </c>
      <c r="BP1214" s="863">
        <v>7.4000000000000003E-3</v>
      </c>
      <c r="BQ1214" s="863">
        <v>1.9599</v>
      </c>
      <c r="BR1214" s="863">
        <v>0</v>
      </c>
      <c r="BS1214" s="875">
        <v>42</v>
      </c>
    </row>
    <row ht="15.75" r="1215" spans="1:71" thickBot="1">
      <c r="A1215" s="95"/>
      <c r="BK1215" s="861" t="s">
        <v>445</v>
      </c>
      <c r="BL1215" s="861" t="s">
        <v>436</v>
      </c>
      <c r="BM1215" s="861" t="s">
        <v>436</v>
      </c>
      <c r="BN1215" s="861" t="s">
        <v>436</v>
      </c>
      <c r="BO1215" s="861" t="s">
        <v>436</v>
      </c>
      <c r="BP1215" s="861">
        <v>7.4000000000000003E-3</v>
      </c>
      <c r="BQ1215" s="861">
        <v>1.9477</v>
      </c>
      <c r="BR1215" s="861">
        <v>0</v>
      </c>
      <c r="BS1215" s="874">
        <v>16</v>
      </c>
    </row>
    <row ht="15.75" r="1216" spans="1:71" thickBot="1">
      <c r="A1216" s="95"/>
      <c r="BK1216" s="865">
        <v>46600</v>
      </c>
      <c r="BL1216" s="863" t="s">
        <v>436</v>
      </c>
      <c r="BM1216" s="863" t="s">
        <v>436</v>
      </c>
      <c r="BN1216" s="863" t="s">
        <v>436</v>
      </c>
      <c r="BO1216" s="863" t="s">
        <v>436</v>
      </c>
      <c r="BP1216" s="863">
        <v>7.4000000000000003E-3</v>
      </c>
      <c r="BQ1216" s="863">
        <v>1.9319</v>
      </c>
      <c r="BR1216" s="863">
        <v>0</v>
      </c>
      <c r="BS1216" s="875">
        <v>12</v>
      </c>
    </row>
    <row ht="15.75" r="1217" spans="1:71" thickBot="1">
      <c r="A1217" s="95"/>
      <c r="BK1217" s="860">
        <v>46631</v>
      </c>
      <c r="BL1217" s="861" t="s">
        <v>436</v>
      </c>
      <c r="BM1217" s="861" t="s">
        <v>436</v>
      </c>
      <c r="BN1217" s="861" t="s">
        <v>436</v>
      </c>
      <c r="BO1217" s="861" t="s">
        <v>436</v>
      </c>
      <c r="BP1217" s="861">
        <v>7.4000000000000003E-3</v>
      </c>
      <c r="BQ1217" s="861">
        <v>1.9019999999999999</v>
      </c>
      <c r="BR1217" s="861">
        <v>0</v>
      </c>
      <c r="BS1217" s="874">
        <v>9</v>
      </c>
    </row>
    <row ht="15.75" r="1218" spans="1:71" thickBot="1">
      <c r="A1218" s="95"/>
      <c r="BK1218" s="865">
        <v>46661</v>
      </c>
      <c r="BL1218" s="863" t="s">
        <v>436</v>
      </c>
      <c r="BM1218" s="863" t="s">
        <v>436</v>
      </c>
      <c r="BN1218" s="863" t="s">
        <v>436</v>
      </c>
      <c r="BO1218" s="863" t="s">
        <v>436</v>
      </c>
      <c r="BP1218" s="863">
        <v>7.4999999999999997E-3</v>
      </c>
      <c r="BQ1218" s="863">
        <v>1.7732000000000001</v>
      </c>
      <c r="BR1218" s="863">
        <v>0</v>
      </c>
      <c r="BS1218" s="875">
        <v>12</v>
      </c>
    </row>
    <row ht="15.75" r="1219" spans="1:71" thickBot="1">
      <c r="A1219" s="95"/>
      <c r="BK1219" s="860">
        <v>46692</v>
      </c>
      <c r="BL1219" s="861" t="s">
        <v>436</v>
      </c>
      <c r="BM1219" s="861" t="s">
        <v>436</v>
      </c>
      <c r="BN1219" s="861" t="s">
        <v>436</v>
      </c>
      <c r="BO1219" s="861" t="s">
        <v>436</v>
      </c>
      <c r="BP1219" s="861">
        <v>7.4999999999999997E-3</v>
      </c>
      <c r="BQ1219" s="861">
        <v>1.7453000000000001</v>
      </c>
      <c r="BR1219" s="861">
        <v>0</v>
      </c>
      <c r="BS1219" s="874">
        <v>13</v>
      </c>
    </row>
    <row ht="15.75" r="1220" spans="1:71" thickBot="1">
      <c r="A1220" s="95"/>
      <c r="BK1220" s="865">
        <v>46722</v>
      </c>
      <c r="BL1220" s="863" t="s">
        <v>436</v>
      </c>
      <c r="BM1220" s="863" t="s">
        <v>4534</v>
      </c>
      <c r="BN1220" s="863" t="s">
        <v>436</v>
      </c>
      <c r="BO1220" s="863" t="s">
        <v>4535</v>
      </c>
      <c r="BP1220" s="863">
        <v>7.4999999999999997E-3</v>
      </c>
      <c r="BQ1220" s="863">
        <v>1.7266999999999999</v>
      </c>
      <c r="BR1220" s="863">
        <v>1</v>
      </c>
      <c r="BS1220" s="875">
        <v>472</v>
      </c>
    </row>
    <row ht="15.75" r="1221" spans="1:71" thickBot="1">
      <c r="A1221" s="95"/>
      <c r="BK1221" s="860">
        <v>46753</v>
      </c>
      <c r="BL1221" s="861" t="s">
        <v>436</v>
      </c>
      <c r="BM1221" s="861" t="s">
        <v>436</v>
      </c>
      <c r="BN1221" s="861" t="s">
        <v>436</v>
      </c>
      <c r="BO1221" s="861" t="s">
        <v>436</v>
      </c>
      <c r="BP1221" s="861">
        <v>7.4999999999999997E-3</v>
      </c>
      <c r="BQ1221" s="861">
        <v>1.7252000000000001</v>
      </c>
      <c r="BR1221" s="861">
        <v>0</v>
      </c>
      <c r="BS1221" s="874">
        <v>10</v>
      </c>
    </row>
    <row ht="15.75" r="1222" spans="1:71" thickBot="1">
      <c r="A1222" s="95"/>
      <c r="BK1222" s="865">
        <v>46784</v>
      </c>
      <c r="BL1222" s="863" t="s">
        <v>436</v>
      </c>
      <c r="BM1222" s="863" t="s">
        <v>436</v>
      </c>
      <c r="BN1222" s="863" t="s">
        <v>436</v>
      </c>
      <c r="BO1222" s="863" t="s">
        <v>436</v>
      </c>
      <c r="BP1222" s="863">
        <v>7.4999999999999997E-3</v>
      </c>
      <c r="BQ1222" s="863">
        <v>1.7379</v>
      </c>
      <c r="BR1222" s="863">
        <v>0</v>
      </c>
      <c r="BS1222" s="875">
        <v>12</v>
      </c>
    </row>
    <row ht="15.75" r="1223" spans="1:71" thickBot="1">
      <c r="A1223" s="95"/>
      <c r="BK1223" s="860">
        <v>46813</v>
      </c>
      <c r="BL1223" s="861" t="s">
        <v>436</v>
      </c>
      <c r="BM1223" s="861" t="s">
        <v>436</v>
      </c>
      <c r="BN1223" s="861" t="s">
        <v>436</v>
      </c>
      <c r="BO1223" s="861" t="s">
        <v>436</v>
      </c>
      <c r="BP1223" s="861">
        <v>7.4999999999999997E-3</v>
      </c>
      <c r="BQ1223" s="861">
        <v>1.7571000000000001</v>
      </c>
      <c r="BR1223" s="861">
        <v>0</v>
      </c>
      <c r="BS1223" s="874">
        <v>9</v>
      </c>
    </row>
    <row ht="15.75" r="1224" spans="1:71" thickBot="1">
      <c r="A1224" s="95"/>
      <c r="BK1224" s="865">
        <v>46844</v>
      </c>
      <c r="BL1224" s="863" t="s">
        <v>436</v>
      </c>
      <c r="BM1224" s="863" t="s">
        <v>436</v>
      </c>
      <c r="BN1224" s="863" t="s">
        <v>436</v>
      </c>
      <c r="BO1224" s="863" t="s">
        <v>436</v>
      </c>
      <c r="BP1224" s="863">
        <v>7.4999999999999997E-3</v>
      </c>
      <c r="BQ1224" s="863">
        <v>1.9459</v>
      </c>
      <c r="BR1224" s="863">
        <v>0</v>
      </c>
      <c r="BS1224" s="875">
        <v>13</v>
      </c>
    </row>
    <row ht="15.75" r="1225" spans="1:71" thickBot="1">
      <c r="A1225" s="95"/>
      <c r="BK1225" s="860">
        <v>46874</v>
      </c>
      <c r="BL1225" s="861" t="s">
        <v>436</v>
      </c>
      <c r="BM1225" s="861" t="s">
        <v>436</v>
      </c>
      <c r="BN1225" s="861" t="s">
        <v>436</v>
      </c>
      <c r="BO1225" s="861" t="s">
        <v>436</v>
      </c>
      <c r="BP1225" s="861">
        <v>7.4999999999999997E-3</v>
      </c>
      <c r="BQ1225" s="861">
        <v>1.962</v>
      </c>
      <c r="BR1225" s="861">
        <v>0</v>
      </c>
      <c r="BS1225" s="874">
        <v>10</v>
      </c>
    </row>
    <row ht="15.75" r="1226" spans="1:71" thickBot="1">
      <c r="A1226" s="95"/>
      <c r="BK1226" s="865">
        <v>46905</v>
      </c>
      <c r="BL1226" s="863" t="s">
        <v>436</v>
      </c>
      <c r="BM1226" s="863" t="s">
        <v>436</v>
      </c>
      <c r="BN1226" s="863" t="s">
        <v>436</v>
      </c>
      <c r="BO1226" s="863" t="s">
        <v>436</v>
      </c>
      <c r="BP1226" s="863">
        <v>7.4999999999999997E-3</v>
      </c>
      <c r="BQ1226" s="863">
        <v>1.9576</v>
      </c>
      <c r="BR1226" s="863">
        <v>0</v>
      </c>
      <c r="BS1226" s="875">
        <v>14</v>
      </c>
    </row>
    <row ht="15.75" r="1227" spans="1:71" thickBot="1">
      <c r="A1227" s="95"/>
      <c r="BK1227" s="861" t="s">
        <v>4277</v>
      </c>
      <c r="BL1227" s="861" t="s">
        <v>436</v>
      </c>
      <c r="BM1227" s="861" t="s">
        <v>436</v>
      </c>
      <c r="BN1227" s="861" t="s">
        <v>436</v>
      </c>
      <c r="BO1227" s="861" t="s">
        <v>436</v>
      </c>
      <c r="BP1227" s="861">
        <v>7.4999999999999997E-3</v>
      </c>
      <c r="BQ1227" s="861">
        <v>1.9475</v>
      </c>
      <c r="BR1227" s="861">
        <v>0</v>
      </c>
      <c r="BS1227" s="874">
        <v>10</v>
      </c>
    </row>
    <row ht="15.75" r="1228" spans="1:71" thickBot="1">
      <c r="A1228" s="95"/>
      <c r="BK1228" s="865">
        <v>46966</v>
      </c>
      <c r="BL1228" s="863" t="s">
        <v>436</v>
      </c>
      <c r="BM1228" s="863" t="s">
        <v>436</v>
      </c>
      <c r="BN1228" s="863" t="s">
        <v>436</v>
      </c>
      <c r="BO1228" s="863" t="s">
        <v>436</v>
      </c>
      <c r="BP1228" s="863">
        <v>7.4999999999999997E-3</v>
      </c>
      <c r="BQ1228" s="863">
        <v>1.9317</v>
      </c>
      <c r="BR1228" s="863">
        <v>0</v>
      </c>
      <c r="BS1228" s="875">
        <v>7</v>
      </c>
    </row>
    <row ht="15.75" r="1229" spans="1:71" thickBot="1">
      <c r="A1229" s="95"/>
      <c r="BK1229" s="860">
        <v>46997</v>
      </c>
      <c r="BL1229" s="861" t="s">
        <v>436</v>
      </c>
      <c r="BM1229" s="861" t="s">
        <v>436</v>
      </c>
      <c r="BN1229" s="861" t="s">
        <v>436</v>
      </c>
      <c r="BO1229" s="861" t="s">
        <v>436</v>
      </c>
      <c r="BP1229" s="861">
        <v>7.4999999999999997E-3</v>
      </c>
      <c r="BQ1229" s="861">
        <v>1.901</v>
      </c>
      <c r="BR1229" s="861">
        <v>0</v>
      </c>
      <c r="BS1229" s="874">
        <v>7</v>
      </c>
    </row>
    <row ht="15.75" r="1230" spans="1:71" thickBot="1">
      <c r="A1230" s="95"/>
      <c r="BK1230" s="865">
        <v>47027</v>
      </c>
      <c r="BL1230" s="863" t="s">
        <v>436</v>
      </c>
      <c r="BM1230" s="863" t="s">
        <v>436</v>
      </c>
      <c r="BN1230" s="863" t="s">
        <v>436</v>
      </c>
      <c r="BO1230" s="863" t="s">
        <v>436</v>
      </c>
      <c r="BP1230" s="863">
        <v>7.4999999999999997E-3</v>
      </c>
      <c r="BQ1230" s="863">
        <v>1.7738</v>
      </c>
      <c r="BR1230" s="863">
        <v>0</v>
      </c>
      <c r="BS1230" s="875">
        <v>0</v>
      </c>
    </row>
    <row ht="15.75" r="1231" spans="1:71" thickBot="1">
      <c r="A1231" s="95"/>
      <c r="BK1231" s="860">
        <v>47058</v>
      </c>
      <c r="BL1231" s="861" t="s">
        <v>436</v>
      </c>
      <c r="BM1231" s="861" t="s">
        <v>436</v>
      </c>
      <c r="BN1231" s="861" t="s">
        <v>436</v>
      </c>
      <c r="BO1231" s="861" t="s">
        <v>436</v>
      </c>
      <c r="BP1231" s="861">
        <v>7.4999999999999997E-3</v>
      </c>
      <c r="BQ1231" s="861">
        <v>1.7441</v>
      </c>
      <c r="BR1231" s="861">
        <v>0</v>
      </c>
      <c r="BS1231" s="874">
        <v>0</v>
      </c>
    </row>
    <row ht="15.75" r="1232" spans="1:71" thickBot="1">
      <c r="A1232" s="95"/>
      <c r="BK1232" s="865">
        <v>47088</v>
      </c>
      <c r="BL1232" s="863" t="s">
        <v>436</v>
      </c>
      <c r="BM1232" s="863" t="s">
        <v>436</v>
      </c>
      <c r="BN1232" s="863" t="s">
        <v>436</v>
      </c>
      <c r="BO1232" s="863" t="s">
        <v>436</v>
      </c>
      <c r="BP1232" s="863">
        <v>7.4999999999999997E-3</v>
      </c>
      <c r="BQ1232" s="863">
        <v>1.7292000000000001</v>
      </c>
      <c r="BR1232" s="863">
        <v>0</v>
      </c>
      <c r="BS1232" s="875">
        <v>0</v>
      </c>
    </row>
    <row ht="15.75" r="1233" spans="1:71" thickBot="1">
      <c r="BK1233" s="866">
        <v>47119</v>
      </c>
      <c r="BL1233" s="867" t="s">
        <v>436</v>
      </c>
      <c r="BM1233" s="867" t="s">
        <v>436</v>
      </c>
      <c r="BN1233" s="867" t="s">
        <v>436</v>
      </c>
      <c r="BO1233" s="867" t="s">
        <v>436</v>
      </c>
      <c r="BP1233" s="867">
        <v>7.4999999999999997E-3</v>
      </c>
      <c r="BQ1233" s="867">
        <v>1.7256</v>
      </c>
      <c r="BR1233" s="867">
        <v>0</v>
      </c>
      <c r="BS1233" s="876">
        <v>0</v>
      </c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32"/>
  <sheetViews>
    <sheetView workbookViewId="0">
      <pane activePane="bottomRight" state="frozen" topLeftCell="C1155" xSplit="2" ySplit="4"/>
      <selection activeCell="C1" pane="topRight" sqref="C1"/>
      <selection activeCell="A5" pane="bottomLeft" sqref="A5"/>
      <selection activeCell="S1175" pane="bottomRight" sqref="S1175"/>
    </sheetView>
  </sheetViews>
  <sheetFormatPr baseColWidth="10" defaultColWidth="9.14062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9">
      <c r="A1" s="56" t="s">
        <v>447</v>
      </c>
      <c r="B1" s="56"/>
    </row>
    <row ht="15.75" r="3" spans="1:29" thickBot="1"/>
    <row customFormat="1" ht="15.75" r="4" s="96" spans="1:29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</row>
    <row r="5" spans="1:29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9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customFormat="1" r="7" s="104" spans="1:29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customFormat="1" r="8" s="176" spans="1:29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6" spans="1:29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9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29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29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29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29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29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9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customFormat="1" r="17" s="176" spans="1:26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6" spans="1:26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6" spans="1:26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6" spans="1:26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customHeight="1" ht="15" r="22" spans="1:26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customHeight="1" ht="15" r="23" spans="1:26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customHeight="1" ht="15" r="24" spans="1:26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customHeight="1" ht="15" r="25" spans="1:26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customHeight="1" ht="15" r="26" spans="1:26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customHeight="1" ht="15" r="27" spans="1:26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4" spans="1:12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89" spans="1:12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customHeight="1" ht="14.45" r="73" spans="1:12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89" spans="1:24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31">
      <c r="A1169" s="95">
        <v>45929</v>
      </c>
      <c r="U1169">
        <v>0.16020000000000001</v>
      </c>
      <c r="V1169">
        <v>0.16450000000000001</v>
      </c>
      <c r="W1169" s="1127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31">
      <c r="A1170" s="95">
        <v>45930</v>
      </c>
      <c r="U1170">
        <v>0.161</v>
      </c>
      <c r="V1170">
        <v>0.16600000000000001</v>
      </c>
      <c r="W1170" s="1126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31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31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31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31">
      <c r="A1174" s="95">
        <v>45943</v>
      </c>
      <c r="V1174">
        <v>0.15609999999999999</v>
      </c>
      <c r="W1174">
        <v>0.15160000000000001</v>
      </c>
      <c r="X1174">
        <v>0.15060000000000001</v>
      </c>
      <c r="Y1174">
        <v>0.15279999999999999</v>
      </c>
      <c r="Z1174">
        <v>0.15809999999999999</v>
      </c>
      <c r="AA1174">
        <v>0.15509999999999999</v>
      </c>
      <c r="AB1174">
        <v>0.154</v>
      </c>
      <c r="AC1174">
        <v>0.15540000000000001</v>
      </c>
    </row>
    <row r="1175" spans="1:31">
      <c r="A1175" s="95">
        <v>45937</v>
      </c>
      <c r="V1175">
        <v>0.1663</v>
      </c>
      <c r="W1175">
        <v>0.1614</v>
      </c>
      <c r="X1175">
        <v>0.1599</v>
      </c>
      <c r="Y1175">
        <v>0.162</v>
      </c>
      <c r="Z1175">
        <v>0.1672</v>
      </c>
      <c r="AA1175">
        <v>0.1636</v>
      </c>
      <c r="AB1175">
        <v>0.1618</v>
      </c>
      <c r="AC1175">
        <v>0.1628</v>
      </c>
    </row>
    <row r="1176" spans="1:31">
      <c r="A1176" s="95">
        <v>45938</v>
      </c>
      <c r="V1176">
        <v>0.1629</v>
      </c>
      <c r="W1176">
        <v>0.1583</v>
      </c>
      <c r="X1176">
        <v>0.1569</v>
      </c>
      <c r="Y1176">
        <v>0.159</v>
      </c>
      <c r="Z1176">
        <v>0.1641</v>
      </c>
      <c r="AA1176">
        <v>0.1608</v>
      </c>
      <c r="AB1176">
        <v>0.1594</v>
      </c>
      <c r="AC1176">
        <v>0.1607</v>
      </c>
    </row>
    <row r="1177" spans="1:31">
      <c r="A1177" s="95">
        <v>45939</v>
      </c>
      <c r="V1177">
        <v>0.1626</v>
      </c>
      <c r="W1177">
        <v>0.1578</v>
      </c>
      <c r="X1177">
        <v>0.1564</v>
      </c>
      <c r="Y1177">
        <v>0.1583</v>
      </c>
      <c r="Z1177">
        <v>0.1634</v>
      </c>
      <c r="AA1177">
        <v>0.1601</v>
      </c>
      <c r="AB1177">
        <v>0.1587</v>
      </c>
      <c r="AC1177">
        <v>0.16</v>
      </c>
    </row>
    <row r="1178" spans="1:31">
      <c r="A1178" s="95">
        <v>45940</v>
      </c>
      <c r="V1178">
        <v>0.161</v>
      </c>
      <c r="W1178">
        <v>0.1562</v>
      </c>
      <c r="X1178">
        <v>0.1549</v>
      </c>
      <c r="Y1178">
        <v>0.1568</v>
      </c>
      <c r="Z1178">
        <v>0.162</v>
      </c>
      <c r="AA1178">
        <v>0.1587</v>
      </c>
      <c r="AB1178">
        <v>0.1574</v>
      </c>
      <c r="AC1178">
        <v>0.1587</v>
      </c>
    </row>
    <row r="1179" spans="1:31">
      <c r="A1179" s="95">
        <v>45943</v>
      </c>
      <c r="V1179">
        <v>0.1561</v>
      </c>
      <c r="W1179">
        <v>0.1516</v>
      </c>
      <c r="X1179">
        <v>0.1506</v>
      </c>
      <c r="Y1179">
        <v>0.1528</v>
      </c>
      <c r="Z1179">
        <v>0.1581</v>
      </c>
      <c r="AA1179">
        <v>0.1551</v>
      </c>
      <c r="AB1179">
        <v>0.154</v>
      </c>
      <c r="AC1179">
        <v>0.1554</v>
      </c>
    </row>
    <row r="1180" spans="1:31">
      <c r="A1180" s="95">
        <v>45943</v>
      </c>
      <c r="V1180">
        <v>0.1561</v>
      </c>
      <c r="W1180">
        <v>0.1516</v>
      </c>
      <c r="X1180">
        <v>0.1506</v>
      </c>
      <c r="Y1180">
        <v>0.1528</v>
      </c>
      <c r="Z1180">
        <v>0.1581</v>
      </c>
      <c r="AA1180">
        <v>0.1551</v>
      </c>
      <c r="AB1180">
        <v>0.154</v>
      </c>
      <c r="AC1180">
        <v>0.1554</v>
      </c>
    </row>
    <row r="1181" spans="1:31">
      <c r="A1181" s="95">
        <v>45943</v>
      </c>
      <c r="V1181">
        <v>0.1561</v>
      </c>
      <c r="W1181">
        <v>0.1516</v>
      </c>
      <c r="X1181">
        <v>0.1506</v>
      </c>
      <c r="Y1181">
        <v>0.1528</v>
      </c>
      <c r="Z1181">
        <v>0.1581</v>
      </c>
      <c r="AA1181">
        <v>0.1551</v>
      </c>
      <c r="AB1181">
        <v>0.154</v>
      </c>
      <c r="AC1181">
        <v>0.1554</v>
      </c>
    </row>
    <row r="1182" spans="1:31">
      <c r="A1182" s="95">
        <v>45943</v>
      </c>
      <c r="V1182">
        <v>0.1561</v>
      </c>
      <c r="W1182">
        <v>0.1516</v>
      </c>
      <c r="X1182">
        <v>0.1506</v>
      </c>
      <c r="Y1182">
        <v>0.1528</v>
      </c>
      <c r="Z1182">
        <v>0.1581</v>
      </c>
      <c r="AA1182">
        <v>0.1551</v>
      </c>
      <c r="AB1182">
        <v>0.154</v>
      </c>
      <c r="AC1182">
        <v>0.1554</v>
      </c>
    </row>
    <row r="1183" spans="1:31">
      <c r="A1183" s="95">
        <v>45944</v>
      </c>
      <c r="V1183">
        <v>0.1588</v>
      </c>
      <c r="W1183">
        <v>0.1537</v>
      </c>
      <c r="X1183">
        <v>0.1521</v>
      </c>
      <c r="Y1183">
        <v>0.1541</v>
      </c>
      <c r="Z1183">
        <v>0.1592</v>
      </c>
      <c r="AA1183">
        <v>0.156</v>
      </c>
      <c r="AB1183">
        <v>0.1546</v>
      </c>
      <c r="AC1183">
        <v>0.1558</v>
      </c>
    </row>
    <row r="1184" spans="1:31">
      <c r="A1184" s="95">
        <v>45944</v>
      </c>
      <c r="V1184">
        <v>0.1588</v>
      </c>
      <c r="W1184">
        <v>0.1537</v>
      </c>
      <c r="X1184">
        <v>0.1521</v>
      </c>
      <c r="Y1184">
        <v>0.1541</v>
      </c>
      <c r="Z1184">
        <v>0.1592</v>
      </c>
      <c r="AA1184">
        <v>0.156</v>
      </c>
      <c r="AB1184">
        <v>0.1546</v>
      </c>
      <c r="AC1184">
        <v>0.1558</v>
      </c>
    </row>
    <row r="1185" spans="1:31">
      <c r="A1185" s="95">
        <v>45944</v>
      </c>
      <c r="V1185">
        <v>0.1588</v>
      </c>
      <c r="W1185">
        <v>0.1537</v>
      </c>
      <c r="X1185">
        <v>0.1521</v>
      </c>
      <c r="Y1185">
        <v>0.1541</v>
      </c>
      <c r="Z1185">
        <v>0.1592</v>
      </c>
      <c r="AA1185">
        <v>0.156</v>
      </c>
      <c r="AB1185">
        <v>0.1546</v>
      </c>
      <c r="AC1185">
        <v>0.1558</v>
      </c>
    </row>
    <row r="1186" spans="1:31">
      <c r="A1186" s="95" t="s">
        <v>4653</v>
      </c>
      <c r="V1186" t="s">
        <v>4654</v>
      </c>
      <c r="W1186" t="s">
        <v>4655</v>
      </c>
      <c r="X1186" t="s">
        <v>4656</v>
      </c>
      <c r="Y1186" t="s">
        <v>4657</v>
      </c>
      <c r="Z1186" t="s">
        <v>4658</v>
      </c>
      <c r="AA1186" t="s">
        <v>4659</v>
      </c>
      <c r="AB1186" t="s">
        <v>4660</v>
      </c>
      <c r="AC1186" t="s">
        <v>4661</v>
      </c>
    </row>
    <row r="1187" spans="1:31">
      <c r="A1187" s="95"/>
    </row>
    <row r="1188" spans="1:31">
      <c r="A1188" s="95"/>
    </row>
    <row r="1189" spans="1:31">
      <c r="A1189" s="95"/>
    </row>
    <row r="1190" spans="1:31">
      <c r="A1190" s="95"/>
    </row>
    <row r="1191" spans="1:31">
      <c r="A1191" s="95"/>
    </row>
    <row ht="15.75" r="1192" spans="1:31" thickBot="1">
      <c r="A1192" s="95"/>
    </row>
    <row ht="26.25" r="1193" spans="1:31" thickBot="1">
      <c r="A1193" s="95"/>
      <c r="W1193" s="1128" t="s">
        <v>4210</v>
      </c>
      <c r="X1193" s="1128" t="s">
        <v>4211</v>
      </c>
      <c r="Y1193" s="1128" t="s">
        <v>4212</v>
      </c>
      <c r="Z1193" s="1128" t="s">
        <v>4213</v>
      </c>
      <c r="AA1193" s="1128" t="s">
        <v>369</v>
      </c>
      <c r="AB1193" s="1128" t="s">
        <v>4214</v>
      </c>
      <c r="AC1193" s="1128" t="s">
        <v>4215</v>
      </c>
      <c r="AD1193" s="1128" t="s">
        <v>4216</v>
      </c>
      <c r="AE1193" s="1129" t="s">
        <v>4217</v>
      </c>
    </row>
    <row ht="15.75" r="1194" spans="1:31" thickBot="1">
      <c r="A1194" s="95"/>
      <c r="W1194" s="1130">
        <v>46082</v>
      </c>
      <c r="X1194" s="1131" t="s">
        <v>436</v>
      </c>
      <c r="Y1194" s="1131" t="s">
        <v>436</v>
      </c>
      <c r="Z1194" s="1131" t="s">
        <v>436</v>
      </c>
      <c r="AA1194" s="1131" t="s">
        <v>436</v>
      </c>
      <c r="AB1194" s="1131">
        <v>6.9999999999999999E-4</v>
      </c>
      <c r="AC1194" s="1131">
        <v>0.16470000000000001</v>
      </c>
      <c r="AD1194" s="1131">
        <v>0</v>
      </c>
      <c r="AE1194" s="1132">
        <v>0</v>
      </c>
    </row>
    <row ht="15.75" r="1195" spans="1:31" thickBot="1">
      <c r="A1195" s="95"/>
      <c r="W1195" s="1133">
        <v>46143</v>
      </c>
      <c r="X1195" s="1134" t="s">
        <v>436</v>
      </c>
      <c r="Y1195" s="1134" t="s">
        <v>436</v>
      </c>
      <c r="Z1195" s="1134" t="s">
        <v>436</v>
      </c>
      <c r="AA1195" s="1134" t="s">
        <v>436</v>
      </c>
      <c r="AB1195" s="1134">
        <v>6.9999999999999999E-4</v>
      </c>
      <c r="AC1195" s="1134">
        <v>0.15989999999999999</v>
      </c>
      <c r="AD1195" s="1134">
        <v>0</v>
      </c>
      <c r="AE1195" s="1135">
        <v>0</v>
      </c>
    </row>
    <row ht="15.75" r="1196" spans="1:31" thickBot="1">
      <c r="A1196" s="95"/>
      <c r="W1196" s="1131" t="s">
        <v>444</v>
      </c>
      <c r="X1196" s="1131" t="s">
        <v>436</v>
      </c>
      <c r="Y1196" s="1131" t="s">
        <v>436</v>
      </c>
      <c r="Z1196" s="1131" t="s">
        <v>436</v>
      </c>
      <c r="AA1196" s="1131" t="s">
        <v>436</v>
      </c>
      <c r="AB1196" s="1131">
        <v>5.0000000000000001E-4</v>
      </c>
      <c r="AC1196" s="1131">
        <v>0.15840000000000001</v>
      </c>
      <c r="AD1196" s="1131">
        <v>0</v>
      </c>
      <c r="AE1196" s="1132">
        <v>0</v>
      </c>
    </row>
    <row ht="15.75" r="1197" spans="1:31" thickBot="1">
      <c r="A1197" s="95"/>
      <c r="W1197" s="1133">
        <v>46296</v>
      </c>
      <c r="X1197" s="1134" t="s">
        <v>436</v>
      </c>
      <c r="Y1197" s="1134" t="s">
        <v>436</v>
      </c>
      <c r="Z1197" s="1134" t="s">
        <v>436</v>
      </c>
      <c r="AA1197" s="1134" t="s">
        <v>436</v>
      </c>
      <c r="AB1197" s="1134">
        <v>5.0000000000000001E-4</v>
      </c>
      <c r="AC1197" s="1134">
        <v>0.16070000000000001</v>
      </c>
      <c r="AD1197" s="1134">
        <v>0</v>
      </c>
      <c r="AE1197" s="1135">
        <v>0</v>
      </c>
    </row>
    <row ht="15.75" r="1198" spans="1:31" thickBot="1">
      <c r="A1198" s="95"/>
      <c r="W1198" s="1130">
        <v>46447</v>
      </c>
      <c r="X1198" s="1131" t="s">
        <v>436</v>
      </c>
      <c r="Y1198" s="1131" t="s">
        <v>436</v>
      </c>
      <c r="Z1198" s="1131" t="s">
        <v>436</v>
      </c>
      <c r="AA1198" s="1131" t="s">
        <v>436</v>
      </c>
      <c r="AB1198" s="1131">
        <v>2.0000000000000001E-4</v>
      </c>
      <c r="AC1198" s="1131">
        <v>0.16569999999999999</v>
      </c>
      <c r="AD1198" s="1131">
        <v>0</v>
      </c>
      <c r="AE1198" s="1132">
        <v>0</v>
      </c>
    </row>
    <row ht="15.75" r="1199" spans="1:31" thickBot="1">
      <c r="A1199" s="95"/>
      <c r="W1199" s="1133">
        <v>46508</v>
      </c>
      <c r="X1199" s="1134" t="s">
        <v>436</v>
      </c>
      <c r="Y1199" s="1134" t="s">
        <v>436</v>
      </c>
      <c r="Z1199" s="1134" t="s">
        <v>436</v>
      </c>
      <c r="AA1199" s="1134" t="s">
        <v>436</v>
      </c>
      <c r="AB1199" s="1134">
        <v>0</v>
      </c>
      <c r="AC1199" s="1134">
        <v>0.16220000000000001</v>
      </c>
      <c r="AD1199" s="1134">
        <v>0</v>
      </c>
      <c r="AE1199" s="1135">
        <v>0</v>
      </c>
    </row>
    <row ht="15.75" r="1200" spans="1:31" thickBot="1">
      <c r="A1200" s="95"/>
      <c r="W1200" s="1131" t="s">
        <v>445</v>
      </c>
      <c r="X1200" s="1131" t="s">
        <v>436</v>
      </c>
      <c r="Y1200" s="1131" t="s">
        <v>436</v>
      </c>
      <c r="Z1200" s="1131" t="s">
        <v>436</v>
      </c>
      <c r="AA1200" s="1131" t="s">
        <v>436</v>
      </c>
      <c r="AB1200" s="1131">
        <v>-2.9999999999999997E-4</v>
      </c>
      <c r="AC1200" s="1131">
        <v>0.16039999999999999</v>
      </c>
      <c r="AD1200" s="1131">
        <v>0</v>
      </c>
      <c r="AE1200" s="1132">
        <v>0</v>
      </c>
    </row>
    <row ht="15.75" r="1201" spans="1:31" thickBot="1">
      <c r="A1201" s="95"/>
      <c r="W1201" s="1144">
        <v>46661</v>
      </c>
      <c r="X1201" s="1136" t="s">
        <v>436</v>
      </c>
      <c r="Y1201" s="1136" t="s">
        <v>436</v>
      </c>
      <c r="Z1201" s="1136" t="s">
        <v>436</v>
      </c>
      <c r="AA1201" s="1136" t="s">
        <v>436</v>
      </c>
      <c r="AB1201" s="1136">
        <v>-5.9999999999999995E-4</v>
      </c>
      <c r="AC1201" s="1136">
        <v>0.1615</v>
      </c>
      <c r="AD1201" s="1136">
        <v>0</v>
      </c>
      <c r="AE1201" s="1137">
        <v>0</v>
      </c>
    </row>
    <row r="1202" spans="1:31">
      <c r="A1202" s="95"/>
    </row>
    <row r="1203" spans="1:31">
      <c r="A1203" s="95"/>
    </row>
    <row r="1204" spans="1:31">
      <c r="A1204" s="95"/>
    </row>
    <row r="1205" spans="1:31">
      <c r="A1205" s="95"/>
    </row>
    <row r="1206" spans="1:31">
      <c r="A1206" s="95"/>
    </row>
    <row r="1207" spans="1:31">
      <c r="A1207" s="95"/>
    </row>
    <row r="1208" spans="1:31">
      <c r="A1208" s="95"/>
    </row>
    <row r="1209" spans="1:31">
      <c r="A1209" s="95"/>
    </row>
    <row r="1210" spans="1:31">
      <c r="A1210" s="95"/>
    </row>
    <row r="1211" spans="1:31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  <row r="1227" spans="1:1">
      <c r="A1227" s="95"/>
    </row>
    <row r="1228" spans="1:1">
      <c r="A1228" s="95"/>
    </row>
    <row r="1229" spans="1:1">
      <c r="A1229" s="95"/>
    </row>
    <row r="1230" spans="1:1">
      <c r="A1230" s="95"/>
    </row>
    <row r="1231" spans="1:1">
      <c r="A1231" s="95"/>
    </row>
    <row r="1232" spans="1:1">
      <c r="A1232" s="95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AZ1166" activePane="bottomRight" state="frozen"/>
      <selection pane="topRight" activeCell="E1" sqref="E1"/>
      <selection pane="bottomLeft" activeCell="A5" sqref="A5"/>
      <selection pane="bottomRight" activeCell="BM1178" sqref="BM1178"/>
    </sheetView>
  </sheetViews>
  <sheetFormatPr baseColWidth="10" defaultColWidth="9.14062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5.7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1053"/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</row>
    <row r="1184" spans="1:73" ht="15.75" thickBot="1">
      <c r="A1184" s="95">
        <v>45950</v>
      </c>
      <c r="BN1184" s="107">
        <v>1</v>
      </c>
    </row>
    <row r="1185" spans="1:69" ht="26.25" thickBot="1">
      <c r="A1185" s="95">
        <v>45951</v>
      </c>
      <c r="BH1185" s="1128" t="s">
        <v>4210</v>
      </c>
      <c r="BI1185" s="1128" t="s">
        <v>4211</v>
      </c>
      <c r="BJ1185" s="1128" t="s">
        <v>4212</v>
      </c>
      <c r="BK1185" s="1128" t="s">
        <v>4213</v>
      </c>
      <c r="BL1185" s="1128" t="s">
        <v>369</v>
      </c>
      <c r="BM1185" s="1128" t="s">
        <v>4214</v>
      </c>
      <c r="BN1185" s="1128" t="s">
        <v>4215</v>
      </c>
      <c r="BO1185" s="1128" t="s">
        <v>4216</v>
      </c>
      <c r="BP1185" s="1129" t="s">
        <v>4217</v>
      </c>
      <c r="BQ1185" s="107"/>
    </row>
    <row r="1186" spans="1:69" ht="15.75" thickBot="1">
      <c r="A1186" s="95">
        <v>45952</v>
      </c>
      <c r="BH1186" s="1130">
        <v>45962</v>
      </c>
      <c r="BI1186" s="1131">
        <v>0.18584999999999999</v>
      </c>
      <c r="BJ1186" s="1131">
        <v>0.1865</v>
      </c>
      <c r="BK1186" s="1131">
        <v>0.18525</v>
      </c>
      <c r="BL1186" s="1131" t="s">
        <v>4536</v>
      </c>
      <c r="BM1186" s="1131">
        <v>2.5000000000000001E-4</v>
      </c>
      <c r="BN1186" s="1131">
        <v>0.18615000000000001</v>
      </c>
      <c r="BO1186" s="1138">
        <v>13951</v>
      </c>
      <c r="BP1186" s="1139">
        <v>103714</v>
      </c>
      <c r="BQ1186" s="113">
        <f t="shared" ref="BQ1186:BQ1199" si="0">+$BN$1184/BN1186</f>
        <v>5.3720118184260004</v>
      </c>
    </row>
    <row r="1187" spans="1:69" ht="15.75" thickBot="1">
      <c r="A1187" s="95">
        <v>45953</v>
      </c>
      <c r="BH1187" s="1133">
        <v>45992</v>
      </c>
      <c r="BI1187" s="1134">
        <v>0.18440000000000001</v>
      </c>
      <c r="BJ1187" s="1134" t="s">
        <v>4537</v>
      </c>
      <c r="BK1187" s="1134" t="s">
        <v>4538</v>
      </c>
      <c r="BL1187" s="1134" t="s">
        <v>4539</v>
      </c>
      <c r="BM1187" s="1134">
        <v>2.5000000000000001E-4</v>
      </c>
      <c r="BN1187" s="1134">
        <v>0.185</v>
      </c>
      <c r="BO1187" s="1134">
        <v>214</v>
      </c>
      <c r="BP1187" s="1135">
        <v>265</v>
      </c>
      <c r="BQ1187" s="113">
        <f t="shared" si="0"/>
        <v>5.4054054054054053</v>
      </c>
    </row>
    <row r="1188" spans="1:69" ht="15.75" thickBot="1">
      <c r="A1188" s="95">
        <v>45954</v>
      </c>
      <c r="BH1188" s="1130">
        <v>46023</v>
      </c>
      <c r="BI1188" s="1131" t="s">
        <v>436</v>
      </c>
      <c r="BJ1188" s="1131" t="s">
        <v>436</v>
      </c>
      <c r="BK1188" s="1131" t="s">
        <v>436</v>
      </c>
      <c r="BL1188" s="1131" t="s">
        <v>436</v>
      </c>
      <c r="BM1188" s="1131">
        <v>2.9999999999999997E-4</v>
      </c>
      <c r="BN1188" s="1131">
        <v>0.18390000000000001</v>
      </c>
      <c r="BO1188" s="1131">
        <v>0</v>
      </c>
      <c r="BP1188" s="1132">
        <v>1</v>
      </c>
      <c r="BQ1188" s="113">
        <f t="shared" si="0"/>
        <v>5.4377379010331701</v>
      </c>
    </row>
    <row r="1189" spans="1:69" ht="15.75" thickBot="1">
      <c r="A1189" s="95">
        <v>45957</v>
      </c>
      <c r="BH1189" s="1133">
        <v>46054</v>
      </c>
      <c r="BI1189" s="1134" t="s">
        <v>436</v>
      </c>
      <c r="BJ1189" s="1134" t="s">
        <v>436</v>
      </c>
      <c r="BK1189" s="1134" t="s">
        <v>436</v>
      </c>
      <c r="BL1189" s="1134" t="s">
        <v>436</v>
      </c>
      <c r="BM1189" s="1134">
        <v>2.9999999999999997E-4</v>
      </c>
      <c r="BN1189" s="1134">
        <v>0.18254999999999999</v>
      </c>
      <c r="BO1189" s="1134">
        <v>0</v>
      </c>
      <c r="BP1189" s="1135">
        <v>0</v>
      </c>
      <c r="BQ1189" s="113">
        <f t="shared" si="0"/>
        <v>5.4779512462339088</v>
      </c>
    </row>
    <row r="1190" spans="1:69" ht="15.75" thickBot="1">
      <c r="A1190" s="95">
        <v>45958</v>
      </c>
      <c r="BH1190" s="1130">
        <v>46082</v>
      </c>
      <c r="BI1190" s="1131" t="s">
        <v>436</v>
      </c>
      <c r="BJ1190" s="1131" t="s">
        <v>436</v>
      </c>
      <c r="BK1190" s="1131" t="s">
        <v>436</v>
      </c>
      <c r="BL1190" s="1131" t="s">
        <v>436</v>
      </c>
      <c r="BM1190" s="1131">
        <v>2.9999999999999997E-4</v>
      </c>
      <c r="BN1190" s="1131">
        <v>0.18129999999999999</v>
      </c>
      <c r="BO1190" s="1131">
        <v>0</v>
      </c>
      <c r="BP1190" s="1132">
        <v>0</v>
      </c>
      <c r="BQ1190" s="113">
        <f t="shared" si="0"/>
        <v>5.5157198014340878</v>
      </c>
    </row>
    <row r="1191" spans="1:69" ht="15.75" thickBot="1">
      <c r="A1191" s="95">
        <v>45959</v>
      </c>
      <c r="BH1191" s="1133">
        <v>46113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2.5000000000000001E-4</v>
      </c>
      <c r="BN1191" s="1134">
        <v>0.1799</v>
      </c>
      <c r="BO1191" s="1134">
        <v>0</v>
      </c>
      <c r="BP1191" s="1135">
        <v>0</v>
      </c>
      <c r="BQ1191" s="113">
        <f t="shared" si="0"/>
        <v>5.5586436909394106</v>
      </c>
    </row>
    <row r="1192" spans="1:69" ht="15.75" thickBot="1">
      <c r="A1192" s="95">
        <v>45960</v>
      </c>
      <c r="BH1192" s="1130">
        <v>46143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2.9999999999999997E-4</v>
      </c>
      <c r="BN1192" s="1131">
        <v>0.17865</v>
      </c>
      <c r="BO1192" s="1131">
        <v>0</v>
      </c>
      <c r="BP1192" s="1132">
        <v>0</v>
      </c>
      <c r="BQ1192" s="113">
        <f t="shared" si="0"/>
        <v>5.5975370836831795</v>
      </c>
    </row>
    <row r="1193" spans="1:69" ht="15.75" thickBot="1">
      <c r="A1193" s="95">
        <v>45961</v>
      </c>
      <c r="BH1193" s="1133">
        <v>46174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2.5000000000000001E-4</v>
      </c>
      <c r="BN1193" s="1134">
        <v>0.1774</v>
      </c>
      <c r="BO1193" s="1134">
        <v>0</v>
      </c>
      <c r="BP1193" s="1135">
        <v>0</v>
      </c>
      <c r="BQ1193" s="113">
        <f t="shared" si="0"/>
        <v>5.636978579481398</v>
      </c>
    </row>
    <row r="1194" spans="1:69" ht="15.75" thickBot="1">
      <c r="A1194" s="95">
        <v>45964</v>
      </c>
      <c r="BH1194" s="1131" t="s">
        <v>444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2.5000000000000001E-4</v>
      </c>
      <c r="BN1194" s="1131">
        <v>0.17610000000000001</v>
      </c>
      <c r="BO1194" s="1131">
        <v>0</v>
      </c>
      <c r="BP1194" s="1132">
        <v>0</v>
      </c>
      <c r="BQ1194" s="113">
        <f t="shared" si="0"/>
        <v>5.6785917092561045</v>
      </c>
    </row>
    <row r="1195" spans="1:69" ht="15.75" thickBot="1">
      <c r="A1195" s="95">
        <v>45965</v>
      </c>
      <c r="BH1195" s="1133">
        <v>46235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2.5000000000000001E-4</v>
      </c>
      <c r="BN1195" s="1134">
        <v>0.17480000000000001</v>
      </c>
      <c r="BO1195" s="1134">
        <v>0</v>
      </c>
      <c r="BP1195" s="1135">
        <v>0</v>
      </c>
      <c r="BQ1195" s="113">
        <f t="shared" si="0"/>
        <v>5.7208237986270021</v>
      </c>
    </row>
    <row r="1196" spans="1:69" ht="15.75" thickBot="1">
      <c r="A1196" s="95">
        <v>45966</v>
      </c>
      <c r="BH1196" s="1130">
        <v>46266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2.9999999999999997E-4</v>
      </c>
      <c r="BN1196" s="1131">
        <v>0.17355000000000001</v>
      </c>
      <c r="BO1196" s="1131">
        <v>0</v>
      </c>
      <c r="BP1196" s="1132">
        <v>0</v>
      </c>
      <c r="BQ1196" s="113">
        <f t="shared" si="0"/>
        <v>5.762028233938346</v>
      </c>
    </row>
    <row r="1197" spans="1:69" ht="15.75" thickBot="1">
      <c r="A1197" s="95">
        <v>45967</v>
      </c>
      <c r="BH1197" s="1133">
        <v>46296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2.9999999999999997E-4</v>
      </c>
      <c r="BN1197" s="1134">
        <v>0.17230000000000001</v>
      </c>
      <c r="BO1197" s="1134">
        <v>0</v>
      </c>
      <c r="BP1197" s="1135">
        <v>0</v>
      </c>
      <c r="BQ1197" s="113">
        <f t="shared" si="0"/>
        <v>5.8038305281485778</v>
      </c>
    </row>
    <row r="1198" spans="1:69" ht="15.75" thickBot="1">
      <c r="A1198" s="95">
        <v>45968</v>
      </c>
      <c r="BH1198" s="1130">
        <v>46327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2.9999999999999997E-4</v>
      </c>
      <c r="BN1198" s="1131">
        <v>0.17115</v>
      </c>
      <c r="BO1198" s="1131">
        <v>0</v>
      </c>
      <c r="BP1198" s="1132">
        <v>0</v>
      </c>
      <c r="BQ1198" s="113">
        <f t="shared" si="0"/>
        <v>5.8428279287174991</v>
      </c>
    </row>
    <row r="1199" spans="1:69" ht="15.75" thickBot="1">
      <c r="A1199" s="95">
        <v>45971</v>
      </c>
      <c r="BH1199" s="1140">
        <v>46357</v>
      </c>
      <c r="BI1199" s="1141" t="s">
        <v>436</v>
      </c>
      <c r="BJ1199" s="1141" t="s">
        <v>436</v>
      </c>
      <c r="BK1199" s="1141" t="s">
        <v>436</v>
      </c>
      <c r="BL1199" s="1141" t="s">
        <v>436</v>
      </c>
      <c r="BM1199" s="1141">
        <v>2.9999999999999997E-4</v>
      </c>
      <c r="BN1199" s="1141">
        <v>0.17</v>
      </c>
      <c r="BO1199" s="1141">
        <v>0</v>
      </c>
      <c r="BP1199" s="1142">
        <v>0</v>
      </c>
      <c r="BQ1199" s="113">
        <f t="shared" si="0"/>
        <v>5.8823529411764701</v>
      </c>
    </row>
    <row r="1200" spans="1:69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Z1219"/>
  <sheetViews>
    <sheetView workbookViewId="0">
      <pane xSplit="1" ySplit="4" topLeftCell="AX1167" activePane="bottomRight" state="frozen"/>
      <selection pane="topRight" activeCell="B1" sqref="B1"/>
      <selection pane="bottomLeft" activeCell="A5" sqref="A5"/>
      <selection pane="bottomRight" activeCell="BD1173" sqref="BD1173"/>
    </sheetView>
  </sheetViews>
  <sheetFormatPr baseColWidth="10" defaultColWidth="9.14062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5.7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1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1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1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1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1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1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1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1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1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1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1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1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1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1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1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8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8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8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8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8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8">
      <c r="A1174" s="95">
        <v>45936</v>
      </c>
    </row>
    <row r="1175" spans="1:78">
      <c r="A1175" s="95">
        <v>45937</v>
      </c>
    </row>
    <row r="1176" spans="1:78">
      <c r="A1176" s="95">
        <v>45938</v>
      </c>
    </row>
    <row r="1177" spans="1:78">
      <c r="A1177" s="95">
        <v>45939</v>
      </c>
    </row>
    <row r="1178" spans="1:78">
      <c r="A1178" s="95">
        <v>45940</v>
      </c>
    </row>
    <row r="1179" spans="1:78">
      <c r="A1179" s="95">
        <v>45943</v>
      </c>
    </row>
    <row r="1180" spans="1:78" ht="15.75" thickBot="1">
      <c r="A1180" s="95">
        <v>45944</v>
      </c>
    </row>
    <row r="1181" spans="1:78" ht="26.25" thickBot="1">
      <c r="A1181" s="95">
        <v>45945</v>
      </c>
      <c r="BH1181" s="1128" t="s">
        <v>4210</v>
      </c>
      <c r="BI1181" s="1128" t="s">
        <v>4211</v>
      </c>
      <c r="BJ1181" s="1128" t="s">
        <v>4212</v>
      </c>
      <c r="BK1181" s="1128" t="s">
        <v>4213</v>
      </c>
      <c r="BL1181" s="1128" t="s">
        <v>369</v>
      </c>
      <c r="BM1181" s="1128" t="s">
        <v>4214</v>
      </c>
      <c r="BN1181" s="1128" t="s">
        <v>4215</v>
      </c>
      <c r="BO1181" s="1128" t="s">
        <v>4216</v>
      </c>
      <c r="BP1181" s="1129" t="s">
        <v>4217</v>
      </c>
    </row>
    <row r="1182" spans="1:78" ht="26.25" thickBot="1">
      <c r="A1182" s="95">
        <v>45946</v>
      </c>
      <c r="BH1182" s="1130">
        <v>45931</v>
      </c>
      <c r="BI1182" s="1131">
        <v>1.1729000000000001</v>
      </c>
      <c r="BJ1182" s="1131">
        <v>1.1765000000000001</v>
      </c>
      <c r="BK1182" s="1131" t="s">
        <v>4540</v>
      </c>
      <c r="BL1182" s="1131" t="s">
        <v>4541</v>
      </c>
      <c r="BM1182" s="1131">
        <v>1.75E-3</v>
      </c>
      <c r="BN1182" s="1131">
        <v>1.17455</v>
      </c>
      <c r="BO1182" s="1131">
        <v>988</v>
      </c>
      <c r="BP1182" s="1139">
        <v>3762</v>
      </c>
    </row>
    <row r="1183" spans="1:78" ht="26.25" thickBot="1">
      <c r="A1183" s="95">
        <v>45947</v>
      </c>
      <c r="BH1183" s="1133">
        <v>45962</v>
      </c>
      <c r="BI1183" s="1134">
        <v>1.1749499999999999</v>
      </c>
      <c r="BJ1183" s="1134">
        <v>1.1788000000000001</v>
      </c>
      <c r="BK1183" s="1134">
        <v>1.1749499999999999</v>
      </c>
      <c r="BL1183" s="1134" t="s">
        <v>4542</v>
      </c>
      <c r="BM1183" s="1134">
        <v>1.6999999999999999E-3</v>
      </c>
      <c r="BN1183" s="1134">
        <v>1.1769000000000001</v>
      </c>
      <c r="BO1183" s="1134">
        <v>381</v>
      </c>
      <c r="BP1183" s="1143">
        <v>5753</v>
      </c>
    </row>
    <row r="1184" spans="1:78" ht="15.75" thickBot="1">
      <c r="A1184" s="95">
        <v>45950</v>
      </c>
      <c r="BH1184" s="1130">
        <v>45992</v>
      </c>
      <c r="BI1184" s="1131">
        <v>1.1762999999999999</v>
      </c>
      <c r="BJ1184" s="1131">
        <v>1.1807000000000001</v>
      </c>
      <c r="BK1184" s="1131">
        <v>1.17625</v>
      </c>
      <c r="BL1184" s="1131">
        <v>1.179</v>
      </c>
      <c r="BM1184" s="1131">
        <v>1.75E-3</v>
      </c>
      <c r="BN1184" s="1131">
        <v>1.1787000000000001</v>
      </c>
      <c r="BO1184" s="1138">
        <v>105661</v>
      </c>
      <c r="BP1184" s="1139">
        <v>824992</v>
      </c>
    </row>
    <row r="1185" spans="1:68" ht="26.25" thickBot="1">
      <c r="A1185" s="95">
        <v>45951</v>
      </c>
      <c r="BH1185" s="1133">
        <v>46023</v>
      </c>
      <c r="BI1185" s="1134" t="s">
        <v>436</v>
      </c>
      <c r="BJ1185" s="1134" t="s">
        <v>436</v>
      </c>
      <c r="BK1185" s="1134" t="s">
        <v>436</v>
      </c>
      <c r="BL1185" s="1134" t="s">
        <v>4543</v>
      </c>
      <c r="BM1185" s="1134">
        <v>1.75E-3</v>
      </c>
      <c r="BN1185" s="1134">
        <v>1.18075</v>
      </c>
      <c r="BO1185" s="1134">
        <v>0</v>
      </c>
      <c r="BP1185" s="1135">
        <v>242</v>
      </c>
    </row>
    <row r="1186" spans="1:68" ht="26.25" thickBot="1">
      <c r="A1186" s="95">
        <v>45952</v>
      </c>
      <c r="BH1186" s="1130">
        <v>46082</v>
      </c>
      <c r="BI1186" s="1131">
        <v>1.1830499999999999</v>
      </c>
      <c r="BJ1186" s="1131">
        <v>1.1859</v>
      </c>
      <c r="BK1186" s="1131" t="s">
        <v>4442</v>
      </c>
      <c r="BL1186" s="1131" t="s">
        <v>4443</v>
      </c>
      <c r="BM1186" s="1131">
        <v>1.8E-3</v>
      </c>
      <c r="BN1186" s="1131">
        <v>1.18405</v>
      </c>
      <c r="BO1186" s="1131">
        <v>548</v>
      </c>
      <c r="BP1186" s="1139">
        <v>11692</v>
      </c>
    </row>
    <row r="1187" spans="1:68" ht="26.25" thickBot="1">
      <c r="A1187" s="95">
        <v>45953</v>
      </c>
      <c r="BH1187" s="1133">
        <v>46174</v>
      </c>
      <c r="BI1187" s="1134">
        <v>1.1890000000000001</v>
      </c>
      <c r="BJ1187" s="1134">
        <v>1.1891</v>
      </c>
      <c r="BK1187" s="1134">
        <v>1.1890000000000001</v>
      </c>
      <c r="BL1187" s="1134" t="s">
        <v>4544</v>
      </c>
      <c r="BM1187" s="1134">
        <v>1.8500000000000001E-3</v>
      </c>
      <c r="BN1187" s="1134">
        <v>1.1888000000000001</v>
      </c>
      <c r="BO1187" s="1134">
        <v>2</v>
      </c>
      <c r="BP1187" s="1143">
        <v>2260</v>
      </c>
    </row>
    <row r="1188" spans="1:68" ht="26.25" thickBot="1">
      <c r="A1188" s="95">
        <v>45954</v>
      </c>
      <c r="BH1188" s="1130">
        <v>46266</v>
      </c>
      <c r="BI1188" s="1131">
        <v>1.1915500000000001</v>
      </c>
      <c r="BJ1188" s="1131">
        <v>1.1915500000000001</v>
      </c>
      <c r="BK1188" s="1131">
        <v>1.1915500000000001</v>
      </c>
      <c r="BL1188" s="1131" t="s">
        <v>4545</v>
      </c>
      <c r="BM1188" s="1131">
        <v>1.8500000000000001E-3</v>
      </c>
      <c r="BN1188" s="1131">
        <v>1.1930499999999999</v>
      </c>
      <c r="BO1188" s="1131">
        <v>251</v>
      </c>
      <c r="BP1188" s="1139">
        <v>4051</v>
      </c>
    </row>
    <row r="1189" spans="1:68" ht="26.25" thickBot="1">
      <c r="A1189" s="95">
        <v>45957</v>
      </c>
      <c r="BH1189" s="1133">
        <v>46357</v>
      </c>
      <c r="BI1189" s="1134">
        <v>1.1963999999999999</v>
      </c>
      <c r="BJ1189" s="1134" t="s">
        <v>4546</v>
      </c>
      <c r="BK1189" s="1134" t="s">
        <v>4547</v>
      </c>
      <c r="BL1189" s="1134" t="s">
        <v>4548</v>
      </c>
      <c r="BM1189" s="1134">
        <v>1.9E-3</v>
      </c>
      <c r="BN1189" s="1134">
        <v>1.19675</v>
      </c>
      <c r="BO1189" s="1134">
        <v>36</v>
      </c>
      <c r="BP1189" s="1135">
        <v>502</v>
      </c>
    </row>
    <row r="1190" spans="1:68" ht="26.25" thickBot="1">
      <c r="A1190" s="95">
        <v>45958</v>
      </c>
      <c r="BH1190" s="1130">
        <v>46447</v>
      </c>
      <c r="BI1190" s="1131" t="s">
        <v>436</v>
      </c>
      <c r="BJ1190" s="1131" t="s">
        <v>4549</v>
      </c>
      <c r="BK1190" s="1131" t="s">
        <v>436</v>
      </c>
      <c r="BL1190" s="1131" t="s">
        <v>4549</v>
      </c>
      <c r="BM1190" s="1131">
        <v>1.9499999999999999E-3</v>
      </c>
      <c r="BN1190" s="1131">
        <v>1.2002999999999999</v>
      </c>
      <c r="BO1190" s="1131">
        <v>0</v>
      </c>
      <c r="BP1190" s="1132">
        <v>8</v>
      </c>
    </row>
    <row r="1191" spans="1:68" ht="15.75" thickBot="1">
      <c r="A1191" s="95">
        <v>45959</v>
      </c>
      <c r="BH1191" s="1133">
        <v>46539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2E-3</v>
      </c>
      <c r="BN1191" s="1134">
        <v>1.2038500000000001</v>
      </c>
      <c r="BO1191" s="1134">
        <v>0</v>
      </c>
      <c r="BP1191" s="1135">
        <v>0</v>
      </c>
    </row>
    <row r="1192" spans="1:68" ht="15.75" thickBot="1">
      <c r="A1192" s="95">
        <v>45960</v>
      </c>
      <c r="BH1192" s="1130">
        <v>46631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2.0500000000000002E-3</v>
      </c>
      <c r="BN1192" s="1131">
        <v>1.2074</v>
      </c>
      <c r="BO1192" s="1131">
        <v>0</v>
      </c>
      <c r="BP1192" s="1132">
        <v>0</v>
      </c>
    </row>
    <row r="1193" spans="1:68" ht="15.75" thickBot="1">
      <c r="A1193" s="95">
        <v>45961</v>
      </c>
      <c r="BH1193" s="1133">
        <v>46722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2.0999999999999999E-3</v>
      </c>
      <c r="BN1193" s="1134">
        <v>1.21075</v>
      </c>
      <c r="BO1193" s="1134">
        <v>0</v>
      </c>
      <c r="BP1193" s="1135">
        <v>2</v>
      </c>
    </row>
    <row r="1194" spans="1:68" ht="15.75" thickBot="1">
      <c r="A1194" s="95">
        <v>45964</v>
      </c>
      <c r="BH1194" s="1130">
        <v>46813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2.15E-3</v>
      </c>
      <c r="BN1194" s="1131">
        <v>1.214</v>
      </c>
      <c r="BO1194" s="1131">
        <v>0</v>
      </c>
      <c r="BP1194" s="1132">
        <v>0</v>
      </c>
    </row>
    <row r="1195" spans="1:68" ht="15.75" thickBot="1">
      <c r="A1195" s="95">
        <v>45965</v>
      </c>
      <c r="BH1195" s="1133">
        <v>46905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2.2499999999999998E-3</v>
      </c>
      <c r="BN1195" s="1134">
        <v>1.2174499999999999</v>
      </c>
      <c r="BO1195" s="1134">
        <v>0</v>
      </c>
      <c r="BP1195" s="1135">
        <v>0</v>
      </c>
    </row>
    <row r="1196" spans="1:68" ht="15.75" thickBot="1">
      <c r="A1196" s="95">
        <v>45966</v>
      </c>
      <c r="BH1196" s="1130">
        <v>46997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2.2499999999999998E-3</v>
      </c>
      <c r="BN1196" s="1131">
        <v>1.2208000000000001</v>
      </c>
      <c r="BO1196" s="1131">
        <v>0</v>
      </c>
      <c r="BP1196" s="1132">
        <v>0</v>
      </c>
    </row>
    <row r="1197" spans="1:68" ht="15.75" thickBot="1">
      <c r="A1197" s="95">
        <v>45967</v>
      </c>
      <c r="BH1197" s="1133">
        <v>47088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2.3500000000000001E-3</v>
      </c>
      <c r="BN1197" s="1134">
        <v>1.2241</v>
      </c>
      <c r="BO1197" s="1134">
        <v>0</v>
      </c>
      <c r="BP1197" s="1135">
        <v>0</v>
      </c>
    </row>
    <row r="1198" spans="1:68" ht="15.75" thickBot="1">
      <c r="A1198" s="95">
        <v>45968</v>
      </c>
      <c r="BH1198" s="1130">
        <v>47178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2.3999999999999998E-3</v>
      </c>
      <c r="BN1198" s="1131">
        <v>1.2273499999999999</v>
      </c>
      <c r="BO1198" s="1131">
        <v>0</v>
      </c>
      <c r="BP1198" s="1132">
        <v>0</v>
      </c>
    </row>
    <row r="1199" spans="1:68" ht="15.75" thickBot="1">
      <c r="A1199" s="95">
        <v>45971</v>
      </c>
      <c r="BH1199" s="1133">
        <v>47270</v>
      </c>
      <c r="BI1199" s="1134" t="s">
        <v>436</v>
      </c>
      <c r="BJ1199" s="1134" t="s">
        <v>436</v>
      </c>
      <c r="BK1199" s="1134" t="s">
        <v>436</v>
      </c>
      <c r="BL1199" s="1134" t="s">
        <v>436</v>
      </c>
      <c r="BM1199" s="1134">
        <v>2.5000000000000001E-3</v>
      </c>
      <c r="BN1199" s="1134">
        <v>1.23055</v>
      </c>
      <c r="BO1199" s="1134">
        <v>0</v>
      </c>
      <c r="BP1199" s="1135">
        <v>0</v>
      </c>
    </row>
    <row r="1200" spans="1:68" ht="15.75" thickBot="1">
      <c r="A1200" s="95">
        <v>45972</v>
      </c>
      <c r="BH1200" s="1130">
        <v>47362</v>
      </c>
      <c r="BI1200" s="1131" t="s">
        <v>436</v>
      </c>
      <c r="BJ1200" s="1131" t="s">
        <v>436</v>
      </c>
      <c r="BK1200" s="1131" t="s">
        <v>436</v>
      </c>
      <c r="BL1200" s="1131" t="s">
        <v>436</v>
      </c>
      <c r="BM1200" s="1131">
        <v>2.5500000000000002E-3</v>
      </c>
      <c r="BN1200" s="1131">
        <v>1.2339500000000001</v>
      </c>
      <c r="BO1200" s="1131">
        <v>0</v>
      </c>
      <c r="BP1200" s="1132">
        <v>0</v>
      </c>
    </row>
    <row r="1201" spans="1:68" ht="15.75" thickBot="1">
      <c r="A1201" s="95">
        <v>45973</v>
      </c>
      <c r="BH1201" s="1133">
        <v>47453</v>
      </c>
      <c r="BI1201" s="1134" t="s">
        <v>436</v>
      </c>
      <c r="BJ1201" s="1134" t="s">
        <v>436</v>
      </c>
      <c r="BK1201" s="1134" t="s">
        <v>436</v>
      </c>
      <c r="BL1201" s="1134" t="s">
        <v>436</v>
      </c>
      <c r="BM1201" s="1134">
        <v>2.5999999999999999E-3</v>
      </c>
      <c r="BN1201" s="1134">
        <v>1.2372000000000001</v>
      </c>
      <c r="BO1201" s="1134">
        <v>0</v>
      </c>
      <c r="BP1201" s="1135">
        <v>0</v>
      </c>
    </row>
    <row r="1202" spans="1:68" ht="15.75" thickBot="1">
      <c r="A1202" s="95">
        <v>45974</v>
      </c>
      <c r="BH1202" s="1130">
        <v>11018</v>
      </c>
      <c r="BI1202" s="1131" t="s">
        <v>436</v>
      </c>
      <c r="BJ1202" s="1131" t="s">
        <v>436</v>
      </c>
      <c r="BK1202" s="1131" t="s">
        <v>436</v>
      </c>
      <c r="BL1202" s="1131" t="s">
        <v>436</v>
      </c>
      <c r="BM1202" s="1131">
        <v>2.7000000000000001E-3</v>
      </c>
      <c r="BN1202" s="1131">
        <v>1.2404999999999999</v>
      </c>
      <c r="BO1202" s="1131">
        <v>0</v>
      </c>
      <c r="BP1202" s="1132">
        <v>0</v>
      </c>
    </row>
    <row r="1203" spans="1:68" ht="15.75" thickBot="1">
      <c r="A1203" s="95">
        <v>45975</v>
      </c>
      <c r="BH1203" s="1133">
        <v>11110</v>
      </c>
      <c r="BI1203" s="1134" t="s">
        <v>436</v>
      </c>
      <c r="BJ1203" s="1134" t="s">
        <v>436</v>
      </c>
      <c r="BK1203" s="1134" t="s">
        <v>436</v>
      </c>
      <c r="BL1203" s="1134" t="s">
        <v>436</v>
      </c>
      <c r="BM1203" s="1134">
        <v>2.7499999999999998E-3</v>
      </c>
      <c r="BN1203" s="1134">
        <v>1.2437499999999999</v>
      </c>
      <c r="BO1203" s="1134">
        <v>0</v>
      </c>
      <c r="BP1203" s="1135">
        <v>0</v>
      </c>
    </row>
    <row r="1204" spans="1:68" ht="15.75" thickBot="1">
      <c r="A1204" s="95">
        <v>45978</v>
      </c>
      <c r="BH1204" s="1144">
        <v>11202</v>
      </c>
      <c r="BI1204" s="1136" t="s">
        <v>436</v>
      </c>
      <c r="BJ1204" s="1136" t="s">
        <v>436</v>
      </c>
      <c r="BK1204" s="1136" t="s">
        <v>436</v>
      </c>
      <c r="BL1204" s="1136" t="s">
        <v>436</v>
      </c>
      <c r="BM1204" s="1136">
        <v>2.8500000000000001E-3</v>
      </c>
      <c r="BN1204" s="1136">
        <v>1.24705</v>
      </c>
      <c r="BO1204" s="1136">
        <v>0</v>
      </c>
      <c r="BP1204" s="1137">
        <v>0</v>
      </c>
    </row>
    <row r="1205" spans="1:68">
      <c r="A1205" s="95">
        <v>45979</v>
      </c>
    </row>
    <row r="1206" spans="1:68">
      <c r="A1206" s="95">
        <v>45980</v>
      </c>
    </row>
    <row r="1207" spans="1:68">
      <c r="A1207" s="95">
        <v>45981</v>
      </c>
    </row>
    <row r="1208" spans="1:68">
      <c r="A1208" s="95">
        <v>45982</v>
      </c>
    </row>
    <row r="1209" spans="1:68">
      <c r="A1209" s="95">
        <v>45985</v>
      </c>
    </row>
    <row r="1210" spans="1:68">
      <c r="A1210" s="95">
        <v>45986</v>
      </c>
    </row>
    <row r="1211" spans="1:68">
      <c r="A1211" s="95">
        <v>45987</v>
      </c>
    </row>
    <row r="1212" spans="1:68">
      <c r="A1212" s="95">
        <v>45988</v>
      </c>
    </row>
    <row r="1213" spans="1:68">
      <c r="A1213" s="95">
        <v>45989</v>
      </c>
    </row>
    <row r="1214" spans="1:68">
      <c r="A1214" s="95">
        <v>45992</v>
      </c>
    </row>
    <row r="1215" spans="1:68">
      <c r="A1215" s="95">
        <v>45993</v>
      </c>
    </row>
    <row r="1216" spans="1:68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17" activePane="bottomRight" state="frozen"/>
      <selection pane="topRight" activeCell="B1" sqref="B1"/>
      <selection pane="bottomLeft" activeCell="A5" sqref="A5"/>
      <selection pane="bottomRight" activeCell="F3928" sqref="F3928:G3928"/>
    </sheetView>
  </sheetViews>
  <sheetFormatPr baseColWidth="10" defaultColWidth="9.14062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204" t="s">
        <v>460</v>
      </c>
      <c r="B1" s="1204"/>
      <c r="C1" s="1204"/>
      <c r="D1" s="1204"/>
      <c r="E1" s="1204"/>
      <c r="F1" s="1204"/>
      <c r="G1" s="1204"/>
      <c r="H1" s="1204"/>
      <c r="I1" s="1204"/>
      <c r="J1" s="1204"/>
    </row>
    <row r="2" spans="1:11">
      <c r="A2" s="1205"/>
      <c r="B2" s="1205"/>
      <c r="C2" s="1205"/>
      <c r="D2" s="1205"/>
      <c r="E2" s="1205"/>
      <c r="F2" s="1205"/>
      <c r="G2" s="1205"/>
      <c r="H2" s="1205"/>
      <c r="I2" s="1205"/>
      <c r="J2" s="1205"/>
      <c r="K2" s="334"/>
    </row>
    <row r="3" spans="1:11">
      <c r="A3" s="1205" t="s">
        <v>461</v>
      </c>
      <c r="B3" s="1205"/>
      <c r="C3" s="1205"/>
      <c r="D3" s="1205"/>
      <c r="E3" s="1205"/>
      <c r="F3" s="1205"/>
      <c r="G3" s="1205"/>
      <c r="H3" s="1205"/>
      <c r="I3" s="1205"/>
      <c r="J3" s="1205"/>
      <c r="K3" t="s">
        <v>462</v>
      </c>
    </row>
    <row r="4" spans="1:11" ht="17.25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5.7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5.7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5.7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5.7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5.7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5.7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5.7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5.7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5.7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5.7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5.7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5.7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5.7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5.7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5.7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5.7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5.7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5.7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5.7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5.7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30" si="601">+B3923/B3922</f>
        <v>0.99911660777385158</v>
      </c>
      <c r="E3923" s="176">
        <f t="shared" ref="E3923:E3930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D3929" s="176">
        <f t="shared" si="601"/>
        <v>0</v>
      </c>
      <c r="E3929" s="176">
        <f t="shared" si="602"/>
        <v>100</v>
      </c>
    </row>
    <row r="3930" spans="1:7">
      <c r="A3930" s="95">
        <v>45937</v>
      </c>
      <c r="D3930" s="176" t="e">
        <f t="shared" si="601"/>
        <v>#DIV/0!</v>
      </c>
      <c r="E3930" s="176" t="e">
        <f t="shared" si="602"/>
        <v>#DIV/0!</v>
      </c>
    </row>
    <row r="3931" spans="1:7">
      <c r="A3931" s="95">
        <v>45938</v>
      </c>
    </row>
    <row r="3932" spans="1:7">
      <c r="A3932" s="95">
        <v>45939</v>
      </c>
    </row>
    <row r="3933" spans="1:7">
      <c r="A3933" s="95">
        <v>45940</v>
      </c>
    </row>
    <row r="3934" spans="1:7">
      <c r="A3934" s="95">
        <v>45943</v>
      </c>
    </row>
    <row r="3935" spans="1:7">
      <c r="A3935" s="95">
        <v>45944</v>
      </c>
    </row>
    <row r="3936" spans="1:7">
      <c r="A3936" s="95">
        <v>45945</v>
      </c>
    </row>
    <row r="3937" spans="1:1">
      <c r="A3937" s="95">
        <v>45946</v>
      </c>
    </row>
    <row r="3938" spans="1:1">
      <c r="A3938" s="95">
        <v>45947</v>
      </c>
    </row>
    <row r="3939" spans="1:1">
      <c r="A3939" s="95">
        <v>45950</v>
      </c>
    </row>
    <row r="3940" spans="1:1">
      <c r="A3940" s="95">
        <v>45951</v>
      </c>
    </row>
    <row r="3941" spans="1:1">
      <c r="A3941" s="95">
        <v>45952</v>
      </c>
    </row>
    <row r="3942" spans="1:1">
      <c r="A3942" s="95">
        <v>45953</v>
      </c>
    </row>
    <row r="3943" spans="1:1">
      <c r="A3943" s="95">
        <v>45954</v>
      </c>
    </row>
    <row r="3944" spans="1:1">
      <c r="A3944" s="95">
        <v>45957</v>
      </c>
    </row>
    <row r="3945" spans="1:1">
      <c r="A3945" s="95">
        <v>45958</v>
      </c>
    </row>
    <row r="3946" spans="1:1">
      <c r="A3946" s="95">
        <v>45959</v>
      </c>
    </row>
    <row r="3947" spans="1:1">
      <c r="A3947" s="95">
        <v>45960</v>
      </c>
    </row>
    <row r="3948" spans="1:1">
      <c r="A3948" s="95">
        <v>45961</v>
      </c>
    </row>
    <row r="3949" spans="1:1">
      <c r="A3949" s="95">
        <v>45964</v>
      </c>
    </row>
    <row r="3950" spans="1:1">
      <c r="A3950" s="95">
        <v>45965</v>
      </c>
    </row>
    <row r="3951" spans="1:1">
      <c r="A3951" s="95">
        <v>45966</v>
      </c>
    </row>
    <row r="3952" spans="1:1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140625" defaultRowHeight="1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5.7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09"/>
      <c r="C4" s="1209"/>
      <c r="D4" s="1209"/>
      <c r="E4" s="1209"/>
      <c r="F4" s="1209"/>
      <c r="G4" s="1209"/>
      <c r="H4" s="1206">
        <v>1</v>
      </c>
      <c r="J4" s="1209"/>
      <c r="K4" s="1209"/>
      <c r="L4" s="828">
        <v>1</v>
      </c>
      <c r="M4" s="828">
        <v>2</v>
      </c>
      <c r="N4" s="828">
        <v>3</v>
      </c>
      <c r="O4" s="1206">
        <v>4</v>
      </c>
      <c r="P4" s="1206">
        <v>5</v>
      </c>
    </row>
    <row r="5" spans="2:16" ht="15.75" thickBot="1">
      <c r="B5" s="1210"/>
      <c r="C5" s="1210"/>
      <c r="D5" s="1210"/>
      <c r="E5" s="1210"/>
      <c r="F5" s="1210"/>
      <c r="G5" s="1210"/>
      <c r="H5" s="1208"/>
      <c r="J5" s="1210"/>
      <c r="K5" s="1210"/>
      <c r="L5" s="827">
        <v>1.0893999999999999</v>
      </c>
      <c r="M5" s="827">
        <v>1.0988</v>
      </c>
      <c r="N5" s="827">
        <v>1.0936999999999999</v>
      </c>
      <c r="O5" s="1208"/>
      <c r="P5" s="1208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06">
        <v>7</v>
      </c>
      <c r="H6" s="1206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06">
        <v>11</v>
      </c>
      <c r="P6" s="1206">
        <v>12</v>
      </c>
    </row>
    <row r="7" spans="2:16" ht="15.7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08"/>
      <c r="H7" s="1208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08"/>
      <c r="P7" s="1208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06">
        <v>14</v>
      </c>
      <c r="H8" s="1206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06">
        <v>18</v>
      </c>
      <c r="P8" s="1206">
        <v>19</v>
      </c>
    </row>
    <row r="9" spans="2:16" ht="15.7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08"/>
      <c r="H9" s="1208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08"/>
      <c r="P9" s="1208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06">
        <v>21</v>
      </c>
      <c r="H10" s="1206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06">
        <v>25</v>
      </c>
      <c r="P10" s="1206">
        <v>26</v>
      </c>
    </row>
    <row r="11" spans="2:16" ht="15.7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08"/>
      <c r="H11" s="1208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07"/>
      <c r="P11" s="1207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06">
        <v>28</v>
      </c>
      <c r="H12" s="1206">
        <v>29</v>
      </c>
      <c r="J12" s="828">
        <v>27</v>
      </c>
      <c r="K12" s="828">
        <v>28</v>
      </c>
    </row>
    <row r="13" spans="2:16" ht="15.7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07"/>
      <c r="H13" s="1207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09"/>
    </row>
    <row r="15" spans="2:16">
      <c r="B15" s="827">
        <v>1.0903</v>
      </c>
      <c r="C15" s="853">
        <v>1.0832999999999999</v>
      </c>
      <c r="D15" s="1217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5.7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14"/>
      <c r="C20" s="1214"/>
      <c r="D20" s="833">
        <v>1</v>
      </c>
      <c r="E20" s="833">
        <v>2</v>
      </c>
      <c r="F20" s="833">
        <v>3</v>
      </c>
      <c r="G20" s="1211">
        <v>4</v>
      </c>
      <c r="H20" s="1211">
        <v>5</v>
      </c>
      <c r="J20" s="1214"/>
      <c r="K20" s="1214"/>
      <c r="L20" s="1214"/>
      <c r="M20" s="1214"/>
      <c r="N20" s="1214"/>
      <c r="O20" s="1211">
        <v>1</v>
      </c>
      <c r="P20" s="1211">
        <v>2</v>
      </c>
    </row>
    <row r="21" spans="2:16" ht="15.75" thickBot="1">
      <c r="B21" s="1215"/>
      <c r="C21" s="1215"/>
      <c r="D21" s="832">
        <v>1.0684</v>
      </c>
      <c r="E21" s="832">
        <v>1.0605</v>
      </c>
      <c r="F21" s="832">
        <v>1.0615000000000001</v>
      </c>
      <c r="G21" s="1212"/>
      <c r="H21" s="1212"/>
      <c r="J21" s="1215"/>
      <c r="K21" s="1215"/>
      <c r="L21" s="1215"/>
      <c r="M21" s="1215"/>
      <c r="N21" s="1215"/>
      <c r="O21" s="1212"/>
      <c r="P21" s="1212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11">
        <v>11</v>
      </c>
      <c r="H22" s="1211">
        <v>12</v>
      </c>
      <c r="J22" s="833">
        <v>3</v>
      </c>
      <c r="K22" s="833">
        <v>4</v>
      </c>
      <c r="L22" s="833">
        <v>5</v>
      </c>
      <c r="M22" s="833">
        <v>6</v>
      </c>
      <c r="N22" s="1211">
        <v>7</v>
      </c>
      <c r="O22" s="1211">
        <v>8</v>
      </c>
      <c r="P22" s="1211">
        <v>9</v>
      </c>
    </row>
    <row r="23" spans="2:16" ht="15.7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2"/>
      <c r="H23" s="1212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2"/>
      <c r="O23" s="1212"/>
      <c r="P23" s="1212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11">
        <v>18</v>
      </c>
      <c r="H24" s="1211">
        <v>19</v>
      </c>
      <c r="J24" s="1211">
        <v>10</v>
      </c>
      <c r="K24" s="833">
        <v>11</v>
      </c>
      <c r="L24" s="833">
        <v>12</v>
      </c>
      <c r="M24" s="833">
        <v>13</v>
      </c>
      <c r="N24" s="833">
        <v>14</v>
      </c>
      <c r="O24" s="1211">
        <v>15</v>
      </c>
      <c r="P24" s="1211">
        <v>16</v>
      </c>
    </row>
    <row r="25" spans="2:16" ht="15.7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2"/>
      <c r="H25" s="1212"/>
      <c r="J25" s="1212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2"/>
      <c r="P25" s="1212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11">
        <v>25</v>
      </c>
      <c r="H26" s="1211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11">
        <v>22</v>
      </c>
      <c r="P26" s="1211">
        <v>23</v>
      </c>
    </row>
    <row r="27" spans="2:16" ht="15.7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13"/>
      <c r="H27" s="1213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2"/>
      <c r="P27" s="1212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11">
        <v>29</v>
      </c>
      <c r="P28" s="1211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13"/>
      <c r="P29" s="1213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5.7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11">
        <v>1</v>
      </c>
      <c r="C34" s="833">
        <v>2</v>
      </c>
      <c r="D34" s="833">
        <v>3</v>
      </c>
      <c r="E34" s="833">
        <v>4</v>
      </c>
      <c r="F34" s="833">
        <v>5</v>
      </c>
      <c r="G34" s="1211">
        <v>6</v>
      </c>
      <c r="H34" s="1211">
        <v>7</v>
      </c>
      <c r="J34" s="1214"/>
      <c r="K34" s="1214"/>
      <c r="L34" s="1214"/>
      <c r="M34" s="833">
        <v>1</v>
      </c>
      <c r="N34" s="833">
        <v>2</v>
      </c>
      <c r="O34" s="1211">
        <v>3</v>
      </c>
      <c r="P34" s="1211">
        <v>4</v>
      </c>
    </row>
    <row r="35" spans="2:16" ht="15.75" thickBot="1">
      <c r="B35" s="1212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2"/>
      <c r="H35" s="1212"/>
      <c r="J35" s="1215"/>
      <c r="K35" s="1215"/>
      <c r="L35" s="1215"/>
      <c r="M35" s="832">
        <v>1.0697000000000001</v>
      </c>
      <c r="N35" s="832">
        <v>1.0763</v>
      </c>
      <c r="O35" s="1212"/>
      <c r="P35" s="1212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11">
        <v>13</v>
      </c>
      <c r="H36" s="1211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11">
        <v>10</v>
      </c>
      <c r="P36" s="1211">
        <v>11</v>
      </c>
    </row>
    <row r="37" spans="2:16" ht="15.7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2"/>
      <c r="H37" s="1212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2"/>
      <c r="P37" s="1212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11">
        <v>20</v>
      </c>
      <c r="H38" s="1211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11">
        <v>17</v>
      </c>
      <c r="P38" s="1211">
        <v>18</v>
      </c>
    </row>
    <row r="39" spans="2:16" ht="15.7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2"/>
      <c r="H39" s="1212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2"/>
      <c r="P39" s="1212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11">
        <v>27</v>
      </c>
      <c r="H40" s="1211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11">
        <v>24</v>
      </c>
      <c r="P40" s="1211">
        <v>25</v>
      </c>
    </row>
    <row r="41" spans="2:16" ht="15.7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13"/>
      <c r="H41" s="1213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13"/>
      <c r="P41" s="1213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5.7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09"/>
      <c r="C48" s="1209"/>
      <c r="D48" s="1209"/>
      <c r="E48" s="1209"/>
      <c r="F48" s="1209"/>
      <c r="G48" s="1206">
        <v>1</v>
      </c>
      <c r="H48" s="1206">
        <v>2</v>
      </c>
      <c r="J48" s="1209"/>
      <c r="K48" s="828">
        <v>1</v>
      </c>
      <c r="L48" s="828">
        <v>2</v>
      </c>
      <c r="M48" s="828">
        <v>3</v>
      </c>
      <c r="N48" s="828">
        <v>4</v>
      </c>
      <c r="O48" s="1206">
        <v>5</v>
      </c>
      <c r="P48" s="1206">
        <v>6</v>
      </c>
    </row>
    <row r="49" spans="2:16" ht="15.75" thickBot="1">
      <c r="B49" s="1210"/>
      <c r="C49" s="1210"/>
      <c r="D49" s="1210"/>
      <c r="E49" s="1210"/>
      <c r="F49" s="1210"/>
      <c r="G49" s="1208"/>
      <c r="H49" s="1208"/>
      <c r="J49" s="1210"/>
      <c r="K49" s="827">
        <v>1.097</v>
      </c>
      <c r="L49" s="827">
        <v>1.0985</v>
      </c>
      <c r="M49" s="827">
        <v>1.0931999999999999</v>
      </c>
      <c r="N49" s="827">
        <v>1.0946</v>
      </c>
      <c r="O49" s="1208"/>
      <c r="P49" s="1208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06">
        <v>8</v>
      </c>
      <c r="H50" s="1206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06">
        <v>12</v>
      </c>
      <c r="P50" s="1206">
        <v>13</v>
      </c>
    </row>
    <row r="51" spans="2:16" ht="15.7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08"/>
      <c r="H51" s="1208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08"/>
      <c r="P51" s="1208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06">
        <v>15</v>
      </c>
      <c r="H52" s="1206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06">
        <v>19</v>
      </c>
      <c r="P52" s="1206">
        <v>20</v>
      </c>
    </row>
    <row r="53" spans="2:16" ht="15.7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08"/>
      <c r="H53" s="1208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08"/>
      <c r="P53" s="1208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06">
        <v>22</v>
      </c>
      <c r="H54" s="1206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06">
        <v>26</v>
      </c>
      <c r="P54" s="1206">
        <v>27</v>
      </c>
    </row>
    <row r="55" spans="2:16" ht="15.7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08"/>
      <c r="H55" s="1208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07"/>
      <c r="P55" s="1207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06">
        <v>29</v>
      </c>
      <c r="H56" s="1206">
        <v>30</v>
      </c>
      <c r="J56" s="828">
        <v>28</v>
      </c>
      <c r="K56" s="828">
        <v>29</v>
      </c>
      <c r="L56" s="828">
        <v>30</v>
      </c>
      <c r="M56" s="828">
        <v>31</v>
      </c>
      <c r="N56" s="1209"/>
    </row>
    <row r="57" spans="2:16" ht="15.7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07"/>
      <c r="H57" s="1207"/>
      <c r="J57" s="827">
        <v>1.0808</v>
      </c>
      <c r="K57" s="827">
        <v>1.0803</v>
      </c>
      <c r="L57" s="827">
        <v>1.0886</v>
      </c>
      <c r="M57" s="868">
        <v>1.0868</v>
      </c>
      <c r="N57" s="1217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5.7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14"/>
      <c r="C64" s="1214"/>
      <c r="D64" s="1214"/>
      <c r="E64" s="1214"/>
      <c r="F64" s="833">
        <v>1</v>
      </c>
      <c r="G64" s="1211">
        <v>2</v>
      </c>
      <c r="H64" s="1211">
        <v>3</v>
      </c>
      <c r="J64" s="1209"/>
      <c r="K64" s="1209"/>
      <c r="L64" s="1209"/>
      <c r="M64" s="1209"/>
      <c r="N64" s="1209"/>
      <c r="O64" s="1209"/>
      <c r="P64" s="1206">
        <v>1</v>
      </c>
    </row>
    <row r="65" spans="2:16" ht="15.75" thickBot="1">
      <c r="B65" s="1215"/>
      <c r="C65" s="1215"/>
      <c r="D65" s="1215"/>
      <c r="E65" s="1215"/>
      <c r="F65" s="832">
        <v>1.0844</v>
      </c>
      <c r="G65" s="1212"/>
      <c r="H65" s="1212"/>
      <c r="J65" s="1210"/>
      <c r="K65" s="1210"/>
      <c r="L65" s="1210"/>
      <c r="M65" s="1210"/>
      <c r="N65" s="1210"/>
      <c r="O65" s="1210"/>
      <c r="P65" s="1208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11">
        <v>9</v>
      </c>
      <c r="H66" s="1211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06">
        <v>7</v>
      </c>
      <c r="P66" s="1206">
        <v>8</v>
      </c>
    </row>
    <row r="67" spans="2:16" ht="15.7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2"/>
      <c r="H67" s="1212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08"/>
      <c r="P67" s="1208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11">
        <v>16</v>
      </c>
      <c r="H68" s="1211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06">
        <v>14</v>
      </c>
      <c r="P68" s="1206">
        <v>15</v>
      </c>
    </row>
    <row r="69" spans="2:16" ht="15.7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2"/>
      <c r="H69" s="1212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08"/>
      <c r="P69" s="1208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11">
        <v>23</v>
      </c>
      <c r="H70" s="1211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06">
        <v>21</v>
      </c>
      <c r="P70" s="1206">
        <v>22</v>
      </c>
    </row>
    <row r="71" spans="2:16" ht="15.7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2"/>
      <c r="H71" s="1213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08"/>
      <c r="P71" s="1208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11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06">
        <v>28</v>
      </c>
      <c r="P72" s="1206">
        <v>29</v>
      </c>
    </row>
    <row r="73" spans="2:16" ht="15.7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13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07"/>
      <c r="P73" s="1207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5.7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09"/>
      <c r="C80" s="1209"/>
      <c r="D80" s="828">
        <v>1</v>
      </c>
      <c r="E80" s="828">
        <v>2</v>
      </c>
      <c r="F80" s="828">
        <v>3</v>
      </c>
      <c r="G80" s="1206">
        <v>4</v>
      </c>
      <c r="H80" s="1206">
        <v>5</v>
      </c>
      <c r="J80" s="1218"/>
      <c r="K80" s="1218"/>
      <c r="L80" s="1218"/>
      <c r="M80" s="1218"/>
      <c r="N80" s="833">
        <v>1</v>
      </c>
      <c r="O80" s="1211">
        <v>2</v>
      </c>
      <c r="P80" s="1211">
        <v>3</v>
      </c>
    </row>
    <row r="81" spans="2:16" ht="15.75" thickBot="1">
      <c r="B81" s="1210"/>
      <c r="C81" s="1210"/>
      <c r="D81" s="827">
        <v>1.0537000000000001</v>
      </c>
      <c r="E81" s="827">
        <v>1.0661</v>
      </c>
      <c r="F81" s="827">
        <v>1.0702</v>
      </c>
      <c r="G81" s="1208"/>
      <c r="H81" s="1208"/>
      <c r="J81" s="1219"/>
      <c r="K81" s="1219"/>
      <c r="L81" s="1219"/>
      <c r="M81" s="1219"/>
      <c r="N81" s="907">
        <v>1.0874999999999999</v>
      </c>
      <c r="O81" s="1212"/>
      <c r="P81" s="1212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06">
        <v>11</v>
      </c>
      <c r="H82" s="1206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11">
        <v>9</v>
      </c>
      <c r="P82" s="1211">
        <v>10</v>
      </c>
    </row>
    <row r="83" spans="2:16" ht="15.7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08"/>
      <c r="H83" s="1208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2"/>
      <c r="P83" s="1212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06">
        <v>18</v>
      </c>
      <c r="H84" s="1206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11">
        <v>16</v>
      </c>
      <c r="P84" s="1211">
        <v>17</v>
      </c>
    </row>
    <row r="85" spans="2:16" ht="15.7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08"/>
      <c r="H85" s="1208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2"/>
      <c r="P85" s="1212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06">
        <v>25</v>
      </c>
      <c r="H86" s="1206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11">
        <v>23</v>
      </c>
      <c r="P86" s="1211">
        <v>24</v>
      </c>
    </row>
    <row r="87" spans="2:16" ht="15.7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07"/>
      <c r="H87" s="1207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2"/>
      <c r="P87" s="1212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11">
        <v>25</v>
      </c>
      <c r="K88" s="1211">
        <v>26</v>
      </c>
      <c r="L88" s="833">
        <v>27</v>
      </c>
      <c r="M88" s="833">
        <v>28</v>
      </c>
      <c r="N88" s="833">
        <v>29</v>
      </c>
      <c r="O88" s="1211">
        <v>30</v>
      </c>
      <c r="P88" s="1211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13"/>
      <c r="K89" s="1213"/>
      <c r="L89" s="907">
        <v>1.1065</v>
      </c>
      <c r="M89" s="907">
        <v>1.1113999999999999</v>
      </c>
      <c r="N89" s="868">
        <v>1.105</v>
      </c>
      <c r="O89" s="1213"/>
      <c r="P89" s="1213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5.7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11">
        <v>1</v>
      </c>
      <c r="C94" s="833">
        <v>2</v>
      </c>
      <c r="D94" s="833">
        <v>3</v>
      </c>
      <c r="E94" s="833">
        <v>4</v>
      </c>
      <c r="F94" s="833">
        <v>5</v>
      </c>
      <c r="G94" s="1211">
        <v>6</v>
      </c>
      <c r="H94" s="1211">
        <v>7</v>
      </c>
      <c r="J94" s="1214"/>
      <c r="K94" s="1214"/>
      <c r="L94" s="1214"/>
      <c r="M94" s="833">
        <v>1</v>
      </c>
      <c r="N94" s="833">
        <v>2</v>
      </c>
      <c r="O94" s="1211">
        <v>3</v>
      </c>
      <c r="P94" s="1211">
        <v>4</v>
      </c>
    </row>
    <row r="95" spans="2:16" ht="15.75" thickBot="1">
      <c r="B95" s="1212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2"/>
      <c r="H95" s="1212"/>
      <c r="J95" s="1215"/>
      <c r="K95" s="1215"/>
      <c r="L95" s="1215"/>
      <c r="M95" s="832">
        <v>1.0813999999999999</v>
      </c>
      <c r="N95" s="832">
        <v>1.0883</v>
      </c>
      <c r="O95" s="1212"/>
      <c r="P95" s="1212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11">
        <v>13</v>
      </c>
      <c r="H96" s="1211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11">
        <v>10</v>
      </c>
      <c r="P96" s="1211">
        <v>11</v>
      </c>
    </row>
    <row r="97" spans="2:16" ht="15.7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2"/>
      <c r="H97" s="1212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2"/>
      <c r="P97" s="1212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11">
        <v>20</v>
      </c>
      <c r="H98" s="1211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11">
        <v>17</v>
      </c>
      <c r="P98" s="1211">
        <v>18</v>
      </c>
    </row>
    <row r="99" spans="2:16" ht="15.7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2"/>
      <c r="H99" s="1212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2"/>
      <c r="P99" s="1212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11">
        <v>27</v>
      </c>
      <c r="H100" s="1211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11">
        <v>24</v>
      </c>
      <c r="P100" s="1211">
        <v>25</v>
      </c>
    </row>
    <row r="101" spans="2:16" ht="15.7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13"/>
      <c r="H101" s="1213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13"/>
      <c r="P101" s="1213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5.7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14"/>
      <c r="C108" s="1214"/>
      <c r="D108" s="1214"/>
      <c r="E108" s="1214"/>
      <c r="F108" s="833">
        <v>1</v>
      </c>
      <c r="G108" s="1211">
        <v>2</v>
      </c>
      <c r="H108" s="1211">
        <v>3</v>
      </c>
      <c r="J108" s="1211">
        <v>1</v>
      </c>
      <c r="K108" s="833">
        <v>2</v>
      </c>
      <c r="L108" s="833">
        <v>3</v>
      </c>
      <c r="M108" s="833">
        <v>4</v>
      </c>
      <c r="N108" s="833">
        <v>5</v>
      </c>
      <c r="O108" s="1211">
        <v>6</v>
      </c>
      <c r="P108" s="1211">
        <v>7</v>
      </c>
    </row>
    <row r="109" spans="2:16" ht="15.75" thickBot="1">
      <c r="B109" s="1215"/>
      <c r="C109" s="1215"/>
      <c r="D109" s="1215"/>
      <c r="E109" s="1215"/>
      <c r="F109" s="832">
        <v>1.0812999999999999</v>
      </c>
      <c r="G109" s="1212"/>
      <c r="H109" s="1212"/>
      <c r="J109" s="1212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2"/>
      <c r="P109" s="1212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11">
        <v>9</v>
      </c>
      <c r="H110" s="1211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11">
        <v>13</v>
      </c>
      <c r="P110" s="1211">
        <v>14</v>
      </c>
    </row>
    <row r="111" spans="2:16" ht="15.7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2"/>
      <c r="H111" s="1212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2"/>
      <c r="P111" s="1212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11">
        <v>16</v>
      </c>
      <c r="H112" s="1211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11">
        <v>20</v>
      </c>
      <c r="P112" s="1211">
        <v>21</v>
      </c>
    </row>
    <row r="113" spans="2:16" ht="15.7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2"/>
      <c r="H113" s="1212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2"/>
      <c r="P113" s="1212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11">
        <v>23</v>
      </c>
      <c r="H114" s="1211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11">
        <v>27</v>
      </c>
      <c r="P114" s="1211">
        <v>28</v>
      </c>
    </row>
    <row r="115" spans="2:16" ht="15.7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2"/>
      <c r="H115" s="1212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13"/>
      <c r="P115" s="1213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11">
        <v>29</v>
      </c>
      <c r="G116" s="1211">
        <v>30</v>
      </c>
      <c r="H116" s="1211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13"/>
      <c r="G117" s="1213"/>
      <c r="H117" s="1213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5.7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14"/>
      <c r="C122" s="1214"/>
      <c r="D122" s="1211">
        <v>1</v>
      </c>
      <c r="E122" s="833">
        <v>2</v>
      </c>
      <c r="F122" s="833">
        <v>3</v>
      </c>
      <c r="G122" s="1211">
        <v>4</v>
      </c>
      <c r="H122" s="1211">
        <v>5</v>
      </c>
      <c r="J122" s="1214"/>
      <c r="K122" s="1214"/>
      <c r="L122" s="1214"/>
      <c r="M122" s="1214"/>
      <c r="N122" s="1214"/>
      <c r="O122" s="1211">
        <v>1</v>
      </c>
      <c r="P122" s="1211">
        <v>2</v>
      </c>
    </row>
    <row r="123" spans="2:16" ht="15.75" thickBot="1">
      <c r="B123" s="1215"/>
      <c r="C123" s="1215"/>
      <c r="D123" s="1212"/>
      <c r="E123" s="832">
        <v>1.0698000000000001</v>
      </c>
      <c r="F123" s="832">
        <v>1.0744</v>
      </c>
      <c r="G123" s="1212"/>
      <c r="H123" s="1212"/>
      <c r="J123" s="1215"/>
      <c r="K123" s="1215"/>
      <c r="L123" s="1215"/>
      <c r="M123" s="1215"/>
      <c r="N123" s="1215"/>
      <c r="O123" s="1212"/>
      <c r="P123" s="1212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11">
        <v>11</v>
      </c>
      <c r="H124" s="1211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11">
        <v>8</v>
      </c>
      <c r="P124" s="1211">
        <v>9</v>
      </c>
    </row>
    <row r="125" spans="2:16" ht="15.7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2"/>
      <c r="H125" s="1212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2"/>
      <c r="P125" s="1212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11">
        <v>18</v>
      </c>
      <c r="H126" s="1211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11">
        <v>15</v>
      </c>
      <c r="P126" s="1211">
        <v>16</v>
      </c>
    </row>
    <row r="127" spans="2:16" ht="15.7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2"/>
      <c r="H127" s="1212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2"/>
      <c r="P127" s="1212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11">
        <v>25</v>
      </c>
      <c r="H128" s="1211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11">
        <v>22</v>
      </c>
      <c r="P128" s="1211">
        <v>23</v>
      </c>
    </row>
    <row r="129" spans="2:16" ht="15.7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2"/>
      <c r="H129" s="1213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2"/>
      <c r="P129" s="1212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14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11">
        <v>29</v>
      </c>
      <c r="P130" s="1211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6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13"/>
      <c r="P131" s="1213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5.7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11">
        <v>6</v>
      </c>
      <c r="H136" s="1211">
        <v>7</v>
      </c>
      <c r="J136" s="1209"/>
      <c r="K136" s="1209"/>
      <c r="L136" s="1209"/>
      <c r="M136" s="828">
        <v>1</v>
      </c>
      <c r="N136" s="828">
        <v>2</v>
      </c>
      <c r="O136" s="1206">
        <v>3</v>
      </c>
      <c r="P136" s="1206">
        <v>4</v>
      </c>
    </row>
    <row r="137" spans="2:16" ht="15.7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2"/>
      <c r="H137" s="1212"/>
      <c r="J137" s="1210"/>
      <c r="K137" s="1210"/>
      <c r="L137" s="1210"/>
      <c r="M137" s="827">
        <v>1.0789</v>
      </c>
      <c r="N137" s="827">
        <v>1.0834999999999999</v>
      </c>
      <c r="O137" s="1208"/>
      <c r="P137" s="1208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11">
        <v>13</v>
      </c>
      <c r="H138" s="1211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06">
        <v>10</v>
      </c>
      <c r="P138" s="1206">
        <v>11</v>
      </c>
    </row>
    <row r="139" spans="2:16" ht="15.7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2"/>
      <c r="H139" s="1212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08"/>
      <c r="P139" s="1208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11">
        <v>20</v>
      </c>
      <c r="H140" s="1211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06">
        <v>17</v>
      </c>
      <c r="P140" s="1206">
        <v>18</v>
      </c>
    </row>
    <row r="141" spans="2:16" ht="15.7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2"/>
      <c r="H141" s="1212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08"/>
      <c r="P141" s="1208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11">
        <v>27</v>
      </c>
      <c r="H142" s="1211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06">
        <v>24</v>
      </c>
      <c r="P142" s="1206">
        <v>25</v>
      </c>
    </row>
    <row r="143" spans="2:16" ht="15.7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13"/>
      <c r="H143" s="1213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08"/>
      <c r="P143" s="1208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06">
        <v>31</v>
      </c>
      <c r="P144" s="1209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07"/>
      <c r="P145" s="1217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5.7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09"/>
      <c r="C150" s="1209"/>
      <c r="D150" s="1209"/>
      <c r="E150" s="1209"/>
      <c r="F150" s="1209"/>
      <c r="G150" s="1209"/>
      <c r="H150" s="1206">
        <v>1</v>
      </c>
      <c r="J150" s="1214"/>
      <c r="K150" s="833">
        <v>1</v>
      </c>
      <c r="L150" s="833">
        <v>2</v>
      </c>
      <c r="M150" s="833">
        <v>3</v>
      </c>
      <c r="N150" s="833">
        <v>4</v>
      </c>
      <c r="O150" s="1211">
        <v>5</v>
      </c>
      <c r="P150" s="1211">
        <v>6</v>
      </c>
    </row>
    <row r="151" spans="2:16" ht="15.75" thickBot="1">
      <c r="B151" s="1210"/>
      <c r="C151" s="1210"/>
      <c r="D151" s="1210"/>
      <c r="E151" s="1210"/>
      <c r="F151" s="1210"/>
      <c r="G151" s="1210"/>
      <c r="H151" s="1208"/>
      <c r="J151" s="1215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2"/>
      <c r="P151" s="1212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06">
        <v>7</v>
      </c>
      <c r="H152" s="1206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11">
        <v>12</v>
      </c>
      <c r="P152" s="1211">
        <v>13</v>
      </c>
    </row>
    <row r="153" spans="2:16" ht="15.7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08"/>
      <c r="H153" s="1208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2"/>
      <c r="P153" s="1212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06">
        <v>14</v>
      </c>
      <c r="H154" s="1206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11">
        <v>19</v>
      </c>
      <c r="P154" s="1211">
        <v>20</v>
      </c>
    </row>
    <row r="155" spans="2:16" ht="15.7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08"/>
      <c r="H155" s="1208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2"/>
      <c r="P155" s="1212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06">
        <v>21</v>
      </c>
      <c r="H156" s="1206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11">
        <v>26</v>
      </c>
      <c r="P156" s="1211">
        <v>27</v>
      </c>
    </row>
    <row r="157" spans="2:16" ht="15.7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08"/>
      <c r="H157" s="1208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13"/>
      <c r="P157" s="1213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06">
        <v>28</v>
      </c>
      <c r="H158" s="1206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5.7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07"/>
      <c r="H159" s="1207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5.7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14"/>
      <c r="C166" s="1214"/>
      <c r="D166" s="1214"/>
      <c r="E166" s="1214"/>
      <c r="F166" s="833">
        <v>1</v>
      </c>
      <c r="G166" s="1211">
        <v>2</v>
      </c>
      <c r="H166" s="1211">
        <v>3</v>
      </c>
      <c r="J166" s="1214"/>
      <c r="K166" s="1214"/>
      <c r="L166" s="1214"/>
      <c r="M166" s="1214"/>
      <c r="N166" s="1214"/>
      <c r="O166" s="1214"/>
      <c r="P166" s="1211">
        <v>1</v>
      </c>
    </row>
    <row r="167" spans="2:16" ht="15.75" thickBot="1">
      <c r="B167" s="1215"/>
      <c r="C167" s="1215"/>
      <c r="D167" s="1215"/>
      <c r="E167" s="1215"/>
      <c r="F167" s="832">
        <v>1.0885</v>
      </c>
      <c r="G167" s="1212"/>
      <c r="H167" s="1212"/>
      <c r="J167" s="1215"/>
      <c r="K167" s="1215"/>
      <c r="L167" s="1215"/>
      <c r="M167" s="1215"/>
      <c r="N167" s="1215"/>
      <c r="O167" s="1215"/>
      <c r="P167" s="1212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11">
        <v>9</v>
      </c>
      <c r="H168" s="1211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11">
        <v>7</v>
      </c>
      <c r="P168" s="1211">
        <v>8</v>
      </c>
    </row>
    <row r="169" spans="2:16" ht="15.7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2"/>
      <c r="H169" s="1212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2"/>
      <c r="P169" s="1212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11">
        <v>16</v>
      </c>
      <c r="H170" s="1211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11">
        <v>14</v>
      </c>
      <c r="P170" s="1211">
        <v>15</v>
      </c>
    </row>
    <row r="171" spans="2:16" ht="15.7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2"/>
      <c r="H171" s="1212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2"/>
      <c r="P171" s="1212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11">
        <v>23</v>
      </c>
      <c r="H172" s="1211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11">
        <v>21</v>
      </c>
      <c r="P172" s="1211">
        <v>22</v>
      </c>
    </row>
    <row r="173" spans="2:16" ht="15.7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2"/>
      <c r="H173" s="1213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2"/>
      <c r="P173" s="1212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11">
        <v>30</v>
      </c>
      <c r="J174" s="833">
        <v>23</v>
      </c>
      <c r="K174" s="833">
        <v>24</v>
      </c>
      <c r="L174" s="1211">
        <v>25</v>
      </c>
      <c r="M174" s="1211">
        <v>26</v>
      </c>
      <c r="N174" s="833">
        <v>27</v>
      </c>
      <c r="O174" s="1211">
        <v>28</v>
      </c>
      <c r="P174" s="1211">
        <v>29</v>
      </c>
    </row>
    <row r="175" spans="2:16" ht="15.7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13"/>
      <c r="J175" s="832">
        <v>1.0392999999999999</v>
      </c>
      <c r="K175" s="832">
        <v>1.0395000000000001</v>
      </c>
      <c r="L175" s="1213"/>
      <c r="M175" s="1213"/>
      <c r="N175" s="832">
        <v>1.0435000000000001</v>
      </c>
      <c r="O175" s="1213"/>
      <c r="P175" s="1213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5.7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14"/>
      <c r="C182" s="1214"/>
      <c r="D182" s="1211">
        <v>1</v>
      </c>
      <c r="E182" s="833">
        <v>2</v>
      </c>
      <c r="F182" s="833">
        <v>3</v>
      </c>
      <c r="G182" s="1211">
        <v>4</v>
      </c>
      <c r="H182" s="1211">
        <v>5</v>
      </c>
      <c r="J182" s="1209"/>
      <c r="K182" s="1209"/>
      <c r="L182" s="1209"/>
      <c r="M182" s="1209"/>
      <c r="N182" s="1209"/>
      <c r="O182" s="1206">
        <v>1</v>
      </c>
      <c r="P182" s="1206">
        <v>2</v>
      </c>
    </row>
    <row r="183" spans="2:16" ht="15.75" thickBot="1">
      <c r="B183" s="1215"/>
      <c r="C183" s="1215"/>
      <c r="D183" s="1212"/>
      <c r="E183" s="832">
        <v>1.0321</v>
      </c>
      <c r="F183" s="832">
        <v>1.0299</v>
      </c>
      <c r="G183" s="1212"/>
      <c r="H183" s="1212"/>
      <c r="J183" s="1210"/>
      <c r="K183" s="1210"/>
      <c r="L183" s="1210"/>
      <c r="M183" s="1210"/>
      <c r="N183" s="1210"/>
      <c r="O183" s="1208"/>
      <c r="P183" s="1208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11">
        <v>11</v>
      </c>
      <c r="H184" s="1211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06">
        <v>8</v>
      </c>
      <c r="P184" s="1206">
        <v>9</v>
      </c>
    </row>
    <row r="185" spans="2:16" ht="15.7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2"/>
      <c r="H185" s="1212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08"/>
      <c r="P185" s="1208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11">
        <v>18</v>
      </c>
      <c r="H186" s="1211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06">
        <v>15</v>
      </c>
      <c r="P186" s="1206">
        <v>16</v>
      </c>
    </row>
    <row r="187" spans="2:16" ht="15.7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2"/>
      <c r="H187" s="1212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08"/>
      <c r="P187" s="1208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11">
        <v>25</v>
      </c>
      <c r="H188" s="1211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06">
        <v>22</v>
      </c>
      <c r="P188" s="1206">
        <v>23</v>
      </c>
    </row>
    <row r="189" spans="2:16" ht="15.7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13"/>
      <c r="H189" s="1213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07"/>
      <c r="P189" s="1207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5.7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09"/>
      <c r="C196" s="1209"/>
      <c r="D196" s="1209"/>
      <c r="E196" s="1209"/>
      <c r="F196" s="1209"/>
      <c r="G196" s="1206">
        <v>1</v>
      </c>
      <c r="H196" s="1206">
        <v>2</v>
      </c>
      <c r="J196" s="1209"/>
      <c r="K196" s="828">
        <v>1</v>
      </c>
      <c r="L196" s="828">
        <v>2</v>
      </c>
      <c r="M196" s="828">
        <v>3</v>
      </c>
      <c r="N196" s="828">
        <v>4</v>
      </c>
      <c r="O196" s="1206">
        <v>5</v>
      </c>
      <c r="P196" s="1206">
        <v>6</v>
      </c>
    </row>
    <row r="197" spans="2:16" ht="15.75" thickBot="1">
      <c r="B197" s="1210"/>
      <c r="C197" s="1210"/>
      <c r="D197" s="1210"/>
      <c r="E197" s="1210"/>
      <c r="F197" s="1210"/>
      <c r="G197" s="1208"/>
      <c r="H197" s="1208"/>
      <c r="J197" s="1210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08"/>
      <c r="P197" s="1208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06">
        <v>8</v>
      </c>
      <c r="H198" s="1206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06">
        <v>12</v>
      </c>
      <c r="P198" s="1206">
        <v>13</v>
      </c>
    </row>
    <row r="199" spans="2:16" ht="15.7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08"/>
      <c r="H199" s="1208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08"/>
      <c r="P199" s="1208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06">
        <v>15</v>
      </c>
      <c r="H200" s="1206">
        <v>16</v>
      </c>
      <c r="J200" s="828">
        <v>14</v>
      </c>
      <c r="K200" s="828">
        <v>15</v>
      </c>
      <c r="L200" s="828">
        <v>16</v>
      </c>
      <c r="M200" s="828">
        <v>17</v>
      </c>
      <c r="N200" s="1206">
        <v>18</v>
      </c>
      <c r="O200" s="1206">
        <v>19</v>
      </c>
      <c r="P200" s="1206">
        <v>20</v>
      </c>
    </row>
    <row r="201" spans="2:16" ht="15.7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08"/>
      <c r="H201" s="1208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08"/>
      <c r="O201" s="1208"/>
      <c r="P201" s="1208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06">
        <v>22</v>
      </c>
      <c r="H202" s="1206">
        <v>23</v>
      </c>
      <c r="J202" s="1206">
        <v>21</v>
      </c>
      <c r="K202" s="828">
        <v>22</v>
      </c>
      <c r="L202" s="828">
        <v>23</v>
      </c>
      <c r="M202" s="828">
        <v>24</v>
      </c>
      <c r="N202" s="828">
        <v>25</v>
      </c>
      <c r="O202" s="1206">
        <v>26</v>
      </c>
      <c r="P202" s="1206">
        <v>27</v>
      </c>
    </row>
    <row r="203" spans="2:16" ht="15.7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08"/>
      <c r="H203" s="1208"/>
      <c r="J203" s="1208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07"/>
      <c r="P203" s="1207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06">
        <v>29</v>
      </c>
      <c r="H204" s="1206">
        <v>30</v>
      </c>
      <c r="J204" s="828">
        <v>28</v>
      </c>
      <c r="K204" s="828">
        <v>29</v>
      </c>
      <c r="L204" s="828">
        <v>30</v>
      </c>
      <c r="M204" s="1209"/>
    </row>
    <row r="205" spans="2:16" ht="15.7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07"/>
      <c r="H205" s="1207"/>
      <c r="J205" s="827">
        <v>1.1357999999999999</v>
      </c>
      <c r="K205" s="827">
        <v>1.1373</v>
      </c>
      <c r="L205" s="868">
        <v>1.1373</v>
      </c>
      <c r="M205" s="1217"/>
    </row>
    <row r="206" spans="2:16">
      <c r="B206" s="828">
        <v>31</v>
      </c>
      <c r="C206" s="1209"/>
      <c r="D206" s="1209"/>
    </row>
    <row r="207" spans="2:16">
      <c r="B207" s="868">
        <v>1.0814999999999999</v>
      </c>
      <c r="C207" s="1217"/>
      <c r="D207" s="1217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5.7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14"/>
      <c r="C212" s="1214"/>
      <c r="D212" s="1214"/>
      <c r="E212" s="1211">
        <v>1</v>
      </c>
      <c r="F212" s="833">
        <v>2</v>
      </c>
      <c r="G212" s="1211">
        <v>3</v>
      </c>
      <c r="H212" s="1211">
        <v>4</v>
      </c>
      <c r="J212" s="1214"/>
      <c r="K212" s="1214"/>
      <c r="L212" s="1214"/>
      <c r="M212" s="1214"/>
      <c r="N212" s="1214"/>
      <c r="O212" s="1214"/>
      <c r="P212" s="1211">
        <v>1</v>
      </c>
    </row>
    <row r="213" spans="2:16" ht="15.75" thickBot="1">
      <c r="B213" s="1215"/>
      <c r="C213" s="1215"/>
      <c r="D213" s="1215"/>
      <c r="E213" s="1212"/>
      <c r="F213" s="832">
        <v>1.1343000000000001</v>
      </c>
      <c r="G213" s="1212"/>
      <c r="H213" s="1212"/>
      <c r="J213" s="1215"/>
      <c r="K213" s="1215"/>
      <c r="L213" s="1215"/>
      <c r="M213" s="1215"/>
      <c r="N213" s="1215"/>
      <c r="O213" s="1215"/>
      <c r="P213" s="1212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11">
        <v>10</v>
      </c>
      <c r="H214" s="1211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11">
        <v>7</v>
      </c>
      <c r="P214" s="1211">
        <v>8</v>
      </c>
    </row>
    <row r="215" spans="2:16" ht="15.7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2"/>
      <c r="H215" s="1212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2"/>
      <c r="P215" s="1212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11">
        <v>17</v>
      </c>
      <c r="H216" s="1211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11">
        <v>14</v>
      </c>
      <c r="P216" s="1211">
        <v>15</v>
      </c>
    </row>
    <row r="217" spans="2:16" ht="15.7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2"/>
      <c r="H217" s="1212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2"/>
      <c r="P217" s="1212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11">
        <v>24</v>
      </c>
      <c r="H218" s="1211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11">
        <v>21</v>
      </c>
      <c r="P218" s="1211">
        <v>22</v>
      </c>
    </row>
    <row r="219" spans="2:16" ht="15.7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2"/>
      <c r="H219" s="1212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2"/>
      <c r="P219" s="1212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11">
        <v>31</v>
      </c>
      <c r="H220" s="1214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11">
        <v>28</v>
      </c>
      <c r="P220" s="1211">
        <v>29</v>
      </c>
    </row>
    <row r="221" spans="2:16" ht="15.7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13"/>
      <c r="H221" s="1216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13"/>
      <c r="P221" s="1213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47">
        <v>45839</v>
      </c>
      <c r="C226" s="28">
        <f>AVERAGE(B231:F231,B233:F233,B235:F235,B237:E237,C229:F229)</f>
        <v>1.1676869565217394</v>
      </c>
      <c r="J226" s="1147">
        <v>45870</v>
      </c>
      <c r="K226" s="28">
        <f>AVERAGE(J231:N231,J233:N233,J235:N235,J237:N237,N229)</f>
        <v>1.1631428571428575</v>
      </c>
    </row>
    <row r="227" spans="2:16" ht="15.7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09"/>
      <c r="C228" s="828">
        <v>1</v>
      </c>
      <c r="D228" s="828">
        <v>2</v>
      </c>
      <c r="E228" s="828">
        <v>3</v>
      </c>
      <c r="F228" s="828">
        <v>4</v>
      </c>
      <c r="G228" s="1206">
        <v>5</v>
      </c>
      <c r="H228" s="1206">
        <v>6</v>
      </c>
      <c r="J228" s="1209"/>
      <c r="K228" s="1209"/>
      <c r="L228" s="1209"/>
      <c r="M228" s="1209"/>
      <c r="N228" s="828">
        <v>1</v>
      </c>
      <c r="O228" s="1206">
        <v>2</v>
      </c>
      <c r="P228" s="1206">
        <v>3</v>
      </c>
    </row>
    <row r="229" spans="2:16" ht="15.75" thickBot="1">
      <c r="B229" s="1210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08"/>
      <c r="H229" s="1208"/>
      <c r="J229" s="1210"/>
      <c r="K229" s="1210"/>
      <c r="L229" s="1210"/>
      <c r="M229" s="1210"/>
      <c r="N229" s="827">
        <v>1.1404000000000001</v>
      </c>
      <c r="O229" s="1208"/>
      <c r="P229" s="1208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06">
        <v>12</v>
      </c>
      <c r="H230" s="1206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06">
        <v>9</v>
      </c>
      <c r="P230" s="1206">
        <v>10</v>
      </c>
    </row>
    <row r="231" spans="2:16" ht="15.7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08"/>
      <c r="H231" s="1208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08"/>
      <c r="P231" s="1208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06">
        <v>19</v>
      </c>
      <c r="H232" s="1206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06">
        <v>16</v>
      </c>
      <c r="P232" s="1206">
        <v>17</v>
      </c>
    </row>
    <row r="233" spans="2:16" ht="15.7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08"/>
      <c r="H233" s="1208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08"/>
      <c r="P233" s="1208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06">
        <v>26</v>
      </c>
      <c r="H234" s="1206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06">
        <v>23</v>
      </c>
      <c r="P234" s="1206">
        <v>24</v>
      </c>
    </row>
    <row r="235" spans="2:16" ht="15.7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07"/>
      <c r="H235" s="1207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08"/>
      <c r="P235" s="1208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06">
        <v>30</v>
      </c>
      <c r="P236" s="1206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07"/>
      <c r="P237" s="1207"/>
    </row>
    <row r="240" spans="2:16">
      <c r="B240" s="1147">
        <v>45901</v>
      </c>
      <c r="C240" s="28">
        <f>AVERAGE(B245:F245,B247:F247,B249:F249,B251:C251,B243:F243)</f>
        <v>1.1732227272727271</v>
      </c>
    </row>
    <row r="241" spans="2:8" ht="15.7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06">
        <v>6</v>
      </c>
      <c r="H242" s="1206">
        <v>7</v>
      </c>
    </row>
    <row r="243" spans="2:8" ht="15.7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08"/>
      <c r="H243" s="1208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06">
        <v>13</v>
      </c>
      <c r="H244" s="1206">
        <v>14</v>
      </c>
    </row>
    <row r="245" spans="2:8" ht="15.7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08"/>
      <c r="H245" s="1208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06">
        <v>20</v>
      </c>
      <c r="H246" s="1206">
        <v>21</v>
      </c>
    </row>
    <row r="247" spans="2:8" ht="15.7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08"/>
      <c r="H247" s="1208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06">
        <v>27</v>
      </c>
      <c r="H248" s="1206">
        <v>28</v>
      </c>
    </row>
    <row r="249" spans="2:8" ht="15.7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07"/>
      <c r="H249" s="1207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96"/>
  <sheetViews>
    <sheetView workbookViewId="0">
      <pane xSplit="1" ySplit="5" topLeftCell="B1193" activePane="bottomRight" state="frozen"/>
      <selection pane="topRight" activeCell="B1" sqref="B1"/>
      <selection pane="bottomLeft" activeCell="A5" sqref="A5"/>
      <selection pane="bottomRight" activeCell="G1196" sqref="G1196:J1196"/>
    </sheetView>
  </sheetViews>
  <sheetFormatPr baseColWidth="10" defaultColWidth="9.14062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8.85546875" style="102"/>
  </cols>
  <sheetData>
    <row r="1" spans="1:12">
      <c r="A1" s="1220" t="s">
        <v>3423</v>
      </c>
      <c r="B1" s="1220"/>
      <c r="C1" s="1220"/>
      <c r="D1" s="1220"/>
      <c r="E1" s="1220"/>
      <c r="F1" s="1220"/>
      <c r="G1" s="1220"/>
      <c r="H1" s="1220"/>
      <c r="I1" s="1220"/>
      <c r="J1" s="1220"/>
      <c r="L1" t="s">
        <v>3424</v>
      </c>
    </row>
    <row r="2" spans="1:12" ht="17.25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1" t="s">
        <v>3426</v>
      </c>
      <c r="B3" s="1221"/>
      <c r="C3" s="1221"/>
      <c r="D3" s="1221"/>
      <c r="E3" s="1221"/>
      <c r="F3" s="1221"/>
      <c r="G3" s="1221"/>
      <c r="H3" s="1221"/>
      <c r="I3" s="1221"/>
      <c r="J3" s="1221"/>
    </row>
    <row r="4" spans="1:12">
      <c r="A4" s="1221" t="s">
        <v>461</v>
      </c>
      <c r="B4" s="1221"/>
      <c r="C4" s="1221"/>
      <c r="D4" s="1221"/>
      <c r="E4" s="1221"/>
      <c r="F4" s="1221"/>
      <c r="G4" s="1221"/>
      <c r="H4" s="1221"/>
      <c r="I4" s="1221"/>
      <c r="J4" s="1221"/>
      <c r="L4" t="s">
        <v>3427</v>
      </c>
    </row>
    <row r="5" spans="1:12" ht="17.25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5.7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6.25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6.25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6.25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6.25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6.25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6.25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6.25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6.25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6.25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6.25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6.25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6.25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6.25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6.25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6.25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6.25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6.25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6.25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18.75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6.25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6.25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6.25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6.25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6.25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6.25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18.75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18.75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6.25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18.75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18.75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6.25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6.25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6.25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18.75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6.25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15.75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18.75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15.75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15.75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600000000000001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600000000000001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600000000000001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18.75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15.75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18.75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18.75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18.75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18.75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18.75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18.75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18.75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18.75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18.75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18.75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18.75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18.75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18.75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18.75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18.75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18.75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18.75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18.75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18.75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18.75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18.75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18.75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18.75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18.75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18.75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18.75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6.25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18.75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18.75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18.75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6.25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6.25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18.75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6.25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6.25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6.25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6.25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6.25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15.75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18.75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18.75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18.75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18.75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6.25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6.25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18.75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15.75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15.75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6.25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6.25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6.25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5.75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75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75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18.75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6.25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15.75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18.75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18.75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18.75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18.75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18.75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18.75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6.25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15.75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18.75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18.75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18.75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18.75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18.75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6.25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6.25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6.25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18.75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6.25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18.75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18.75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18.75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18.75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18.75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18.75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18.75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18.75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18.75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18.75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18.75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18.75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18.75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18.75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18.75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18.75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18.75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18.75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18.75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15.75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15.75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6.25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15.75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18.75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15.75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15.75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18.75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18.75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18.75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18.75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18.75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18.75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6.25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15.75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18.75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18.75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18.75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18.75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18.75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6.25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18.75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6.25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6.25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6.25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18.75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18.75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6.25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6.25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18.75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6.25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6.25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18.75" thickBot="1">
      <c r="G1179" s="690" t="s">
        <v>4361</v>
      </c>
      <c r="H1179" s="691">
        <v>26860</v>
      </c>
      <c r="I1179" s="690" t="s">
        <v>4362</v>
      </c>
      <c r="J1179" s="690" t="s">
        <v>4363</v>
      </c>
    </row>
    <row r="1180" spans="7:10" ht="18.75" thickBot="1">
      <c r="G1180" s="690" t="s">
        <v>4367</v>
      </c>
      <c r="H1180" s="691">
        <v>26100</v>
      </c>
      <c r="I1180" s="690" t="s">
        <v>4368</v>
      </c>
      <c r="J1180" s="690" t="s">
        <v>4369</v>
      </c>
    </row>
    <row r="1181" spans="7:10" ht="18.75" thickBot="1">
      <c r="G1181" s="690" t="s">
        <v>4370</v>
      </c>
      <c r="H1181" s="691">
        <v>25492</v>
      </c>
      <c r="I1181" s="690" t="s">
        <v>4371</v>
      </c>
      <c r="J1181" s="690" t="s">
        <v>4372</v>
      </c>
    </row>
    <row r="1182" spans="7:10" ht="26.25" thickBot="1">
      <c r="G1182" s="470" t="s">
        <v>4373</v>
      </c>
      <c r="H1182" s="471">
        <v>25404</v>
      </c>
      <c r="I1182" s="470" t="s">
        <v>4374</v>
      </c>
      <c r="J1182" s="470" t="s">
        <v>3846</v>
      </c>
    </row>
    <row r="1183" spans="7:10" ht="18.75" thickBot="1">
      <c r="G1183" s="690" t="s">
        <v>4375</v>
      </c>
      <c r="H1183" s="691">
        <v>25696</v>
      </c>
      <c r="I1183" s="690" t="s">
        <v>4376</v>
      </c>
      <c r="J1183" s="690" t="s">
        <v>4377</v>
      </c>
    </row>
    <row r="1184" spans="7:10" ht="18.75" thickBot="1">
      <c r="G1184" s="690" t="s">
        <v>4378</v>
      </c>
      <c r="H1184" s="691">
        <v>26099</v>
      </c>
      <c r="I1184" s="690" t="s">
        <v>4379</v>
      </c>
      <c r="J1184" s="690" t="s">
        <v>4380</v>
      </c>
    </row>
    <row r="1185" spans="7:10" ht="18.75" thickBot="1">
      <c r="G1185" s="690" t="s">
        <v>4382</v>
      </c>
      <c r="H1185" s="691">
        <v>26055</v>
      </c>
      <c r="I1185" s="690" t="s">
        <v>4383</v>
      </c>
      <c r="J1185" s="690" t="s">
        <v>4384</v>
      </c>
    </row>
    <row r="1186" spans="7:10" ht="18.75" thickBot="1">
      <c r="G1186" s="690" t="s">
        <v>4385</v>
      </c>
      <c r="H1186" s="691">
        <v>25521</v>
      </c>
      <c r="I1186" s="690" t="s">
        <v>4230</v>
      </c>
      <c r="J1186" s="690" t="s">
        <v>3881</v>
      </c>
    </row>
    <row r="1187" spans="7:10" ht="18.75" thickBot="1">
      <c r="G1187" s="690" t="s">
        <v>4386</v>
      </c>
      <c r="H1187" s="691">
        <v>25239</v>
      </c>
      <c r="I1187" s="690" t="s">
        <v>4371</v>
      </c>
      <c r="J1187" s="690" t="s">
        <v>4387</v>
      </c>
    </row>
    <row r="1188" spans="7:10" ht="18.75" thickBot="1">
      <c r="G1188" s="690" t="s">
        <v>4388</v>
      </c>
      <c r="H1188" s="691">
        <v>25448</v>
      </c>
      <c r="I1188" s="690" t="s">
        <v>4220</v>
      </c>
      <c r="J1188" s="690" t="s">
        <v>4389</v>
      </c>
    </row>
    <row r="1189" spans="7:10" ht="18.75" thickBot="1">
      <c r="G1189" s="690" t="s">
        <v>4390</v>
      </c>
      <c r="H1189" s="691">
        <v>26239</v>
      </c>
      <c r="I1189" s="690" t="s">
        <v>4391</v>
      </c>
      <c r="J1189" s="690" t="s">
        <v>4392</v>
      </c>
    </row>
    <row r="1190" spans="7:10" ht="18.75" thickBot="1">
      <c r="G1190" s="690" t="s">
        <v>4398</v>
      </c>
      <c r="H1190" s="691">
        <v>26296</v>
      </c>
      <c r="I1190" s="690" t="s">
        <v>4399</v>
      </c>
      <c r="J1190" s="690" t="s">
        <v>4287</v>
      </c>
    </row>
    <row r="1191" spans="7:10" ht="15.75" thickBot="1">
      <c r="G1191" s="690" t="s">
        <v>4403</v>
      </c>
      <c r="H1191" s="691">
        <v>26551</v>
      </c>
      <c r="I1191" s="690" t="s">
        <v>4404</v>
      </c>
      <c r="J1191" s="690" t="s">
        <v>4272</v>
      </c>
    </row>
    <row r="1192" spans="7:10" ht="18.75" thickBot="1">
      <c r="G1192" s="690" t="s">
        <v>4405</v>
      </c>
      <c r="H1192" s="691">
        <v>26830</v>
      </c>
      <c r="I1192" s="690" t="s">
        <v>4406</v>
      </c>
      <c r="J1192" s="690" t="s">
        <v>4407</v>
      </c>
    </row>
    <row r="1193" spans="7:10" ht="18.75" thickBot="1">
      <c r="G1193" s="690" t="s">
        <v>4408</v>
      </c>
      <c r="H1193" s="691">
        <v>27413</v>
      </c>
      <c r="I1193" s="690" t="s">
        <v>4409</v>
      </c>
      <c r="J1193" s="690" t="s">
        <v>4410</v>
      </c>
    </row>
    <row r="1194" spans="7:10" ht="26.25" thickBot="1">
      <c r="G1194" s="470" t="s">
        <v>4417</v>
      </c>
      <c r="H1194" s="471">
        <v>27831</v>
      </c>
      <c r="I1194" s="470" t="s">
        <v>4418</v>
      </c>
      <c r="J1194" s="470" t="s">
        <v>4419</v>
      </c>
    </row>
    <row r="1195" spans="7:10" ht="26.25" thickBot="1">
      <c r="G1195" s="470" t="s">
        <v>4420</v>
      </c>
      <c r="H1195" s="471">
        <v>27813</v>
      </c>
      <c r="I1195" s="470" t="s">
        <v>4421</v>
      </c>
      <c r="J1195" s="470" t="s">
        <v>4190</v>
      </c>
    </row>
    <row r="1196" spans="7:10" ht="26.25" thickBot="1">
      <c r="G1196" s="470" t="s">
        <v>4422</v>
      </c>
      <c r="H1196" s="471">
        <v>27471</v>
      </c>
      <c r="I1196" s="470" t="s">
        <v>4423</v>
      </c>
      <c r="J1196" s="470" t="s">
        <v>4424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44" activePane="bottomRight" state="frozen"/>
      <selection pane="topRight" activeCell="C26" sqref="C26"/>
      <selection pane="bottomLeft" activeCell="A32" sqref="A32"/>
      <selection pane="bottomRight" activeCell="C951" sqref="C951:C952"/>
    </sheetView>
  </sheetViews>
  <sheetFormatPr baseColWidth="10" defaultColWidth="8.85546875" defaultRowHeight="12.75"/>
  <cols>
    <col min="1" max="1" width="8.85546875" style="607"/>
    <col min="2" max="2" width="20.85546875" style="607" customWidth="1"/>
    <col min="3" max="3" width="8.85546875" style="607"/>
    <col min="4" max="6" width="8.85546875" style="607" customWidth="1"/>
    <col min="7" max="7" width="1" style="607" customWidth="1"/>
    <col min="8" max="9" width="8.85546875" style="607"/>
    <col min="10" max="10" width="8.85546875" style="607" customWidth="1"/>
    <col min="11" max="11" width="9.5703125" style="607" customWidth="1"/>
    <col min="12" max="12" width="8.85546875" style="607" customWidth="1"/>
    <col min="13" max="13" width="12" style="607" customWidth="1"/>
    <col min="14" max="15" width="8.85546875" style="607" customWidth="1"/>
    <col min="16" max="16" width="8.85546875" style="607"/>
    <col min="17" max="17" width="5.140625" style="607" customWidth="1"/>
    <col min="18" max="18" width="8.85546875" style="607"/>
    <col min="19" max="19" width="12.5703125" style="607" bestFit="1" customWidth="1"/>
    <col min="20" max="20" width="12.42578125" style="607" bestFit="1" customWidth="1"/>
    <col min="21" max="21" width="8.85546875" style="607"/>
    <col min="22" max="22" width="12" style="607" customWidth="1"/>
    <col min="23" max="16384" width="8.85546875" style="607"/>
  </cols>
  <sheetData>
    <row r="1" spans="1:22" hidden="1">
      <c r="J1" s="608" t="s">
        <v>4110</v>
      </c>
      <c r="K1" s="608"/>
      <c r="L1" s="608"/>
    </row>
    <row r="2" spans="1:22" ht="25.5" hidden="1">
      <c r="B2" s="609" t="s">
        <v>4111</v>
      </c>
    </row>
    <row r="3" spans="1:22" ht="25.5" hidden="1">
      <c r="B3" s="610" t="s">
        <v>4112</v>
      </c>
      <c r="R3" s="611">
        <v>0.7</v>
      </c>
    </row>
    <row r="4" spans="1:22" ht="25.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5.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63.7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8" si="1227">+I952-0.25</f>
        <v>1.601</v>
      </c>
      <c r="K952" s="618">
        <f t="shared" ref="K952:K958" si="1228">(+J952*$K$30)/1000</f>
        <v>0.42293937200000004</v>
      </c>
      <c r="L952" s="618">
        <f t="shared" ref="L952:L958" si="1229">((75/H952)+10)/1000</f>
        <v>2.3942500000000002E-2</v>
      </c>
      <c r="M952" s="619">
        <f t="shared" ref="M952:M958" si="1230">+K952+L952</f>
        <v>0.44688187200000001</v>
      </c>
      <c r="N952" s="619">
        <f t="shared" ref="N952:N958" si="1231">+M952*H952</f>
        <v>2.4038831199569661</v>
      </c>
      <c r="O952" s="619">
        <f t="shared" ref="O952:O958" si="1232">+N952-C952</f>
        <v>-0.44611688004303396</v>
      </c>
      <c r="P952" s="641">
        <f t="shared" ref="P952:P958" si="1233">(1-(+N952/C952))*100</f>
        <v>15.653223861159082</v>
      </c>
    </row>
    <row r="953" spans="2:16" ht="15">
      <c r="B953" s="95">
        <v>45933</v>
      </c>
      <c r="C953" s="675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5">
      <c r="B954" s="95">
        <v>45936</v>
      </c>
      <c r="C954" s="675">
        <v>2.85</v>
      </c>
      <c r="H954" s="642">
        <f>+'BRL USD'!BH1174</f>
        <v>0</v>
      </c>
      <c r="I954" s="642">
        <f>+RBOB!BI1175</f>
        <v>0</v>
      </c>
      <c r="J954" s="618">
        <f t="shared" si="1227"/>
        <v>-0.25</v>
      </c>
      <c r="K954" s="618">
        <f t="shared" si="1228"/>
        <v>-6.6043000000000004E-2</v>
      </c>
      <c r="L954" s="618" t="e">
        <f t="shared" si="1229"/>
        <v>#DIV/0!</v>
      </c>
      <c r="M954" s="619" t="e">
        <f t="shared" si="1230"/>
        <v>#DIV/0!</v>
      </c>
      <c r="N954" s="619" t="e">
        <f t="shared" si="1231"/>
        <v>#DIV/0!</v>
      </c>
      <c r="O954" s="619" t="e">
        <f t="shared" si="1232"/>
        <v>#DIV/0!</v>
      </c>
      <c r="P954" s="641" t="e">
        <f t="shared" si="1233"/>
        <v>#DIV/0!</v>
      </c>
    </row>
    <row r="955" spans="2:16" ht="15">
      <c r="B955" s="95">
        <v>45937</v>
      </c>
      <c r="C955" s="675">
        <v>2.85</v>
      </c>
      <c r="H955" s="642">
        <f>+'BRL USD'!BH1175</f>
        <v>0</v>
      </c>
      <c r="I955" s="642">
        <f>+RBOB!BI1176</f>
        <v>0</v>
      </c>
      <c r="J955" s="618">
        <f t="shared" si="1227"/>
        <v>-0.25</v>
      </c>
      <c r="K955" s="618">
        <f t="shared" si="1228"/>
        <v>-6.6043000000000004E-2</v>
      </c>
      <c r="L955" s="618" t="e">
        <f t="shared" si="1229"/>
        <v>#DIV/0!</v>
      </c>
      <c r="M955" s="619" t="e">
        <f t="shared" si="1230"/>
        <v>#DIV/0!</v>
      </c>
      <c r="N955" s="619" t="e">
        <f t="shared" si="1231"/>
        <v>#DIV/0!</v>
      </c>
      <c r="O955" s="619" t="e">
        <f t="shared" si="1232"/>
        <v>#DIV/0!</v>
      </c>
      <c r="P955" s="641" t="e">
        <f t="shared" si="1233"/>
        <v>#DIV/0!</v>
      </c>
    </row>
    <row r="956" spans="2:16" ht="15">
      <c r="B956" s="95">
        <v>45938</v>
      </c>
      <c r="C956" s="675">
        <v>2.85</v>
      </c>
      <c r="H956" s="642">
        <f>+'BRL USD'!BH1176</f>
        <v>0</v>
      </c>
      <c r="I956" s="642">
        <f>+RBOB!BI1177</f>
        <v>0</v>
      </c>
      <c r="J956" s="618">
        <f t="shared" si="1227"/>
        <v>-0.25</v>
      </c>
      <c r="K956" s="618">
        <f t="shared" si="1228"/>
        <v>-6.6043000000000004E-2</v>
      </c>
      <c r="L956" s="618" t="e">
        <f t="shared" si="1229"/>
        <v>#DIV/0!</v>
      </c>
      <c r="M956" s="619" t="e">
        <f t="shared" si="1230"/>
        <v>#DIV/0!</v>
      </c>
      <c r="N956" s="619" t="e">
        <f t="shared" si="1231"/>
        <v>#DIV/0!</v>
      </c>
      <c r="O956" s="619" t="e">
        <f t="shared" si="1232"/>
        <v>#DIV/0!</v>
      </c>
      <c r="P956" s="641" t="e">
        <f t="shared" si="1233"/>
        <v>#DIV/0!</v>
      </c>
    </row>
    <row r="957" spans="2:16" ht="15">
      <c r="B957" s="95">
        <v>45939</v>
      </c>
      <c r="H957" s="642">
        <f>+'BRL USD'!BH1184</f>
        <v>0</v>
      </c>
      <c r="I957" s="642">
        <f>+RBOB!BI1178</f>
        <v>0</v>
      </c>
      <c r="J957" s="618">
        <f t="shared" si="1227"/>
        <v>-0.25</v>
      </c>
      <c r="K957" s="618">
        <f t="shared" si="1228"/>
        <v>-6.6043000000000004E-2</v>
      </c>
      <c r="L957" s="618" t="e">
        <f t="shared" si="1229"/>
        <v>#DIV/0!</v>
      </c>
      <c r="M957" s="619" t="e">
        <f t="shared" si="1230"/>
        <v>#DIV/0!</v>
      </c>
      <c r="N957" s="619" t="e">
        <f t="shared" si="1231"/>
        <v>#DIV/0!</v>
      </c>
      <c r="O957" s="619" t="e">
        <f t="shared" si="1232"/>
        <v>#DIV/0!</v>
      </c>
      <c r="P957" s="641" t="e">
        <f t="shared" si="1233"/>
        <v>#DIV/0!</v>
      </c>
    </row>
    <row r="958" spans="2:16" ht="15">
      <c r="B958" s="95">
        <v>45940</v>
      </c>
      <c r="H958" s="642" t="str">
        <f>+'BRL USD'!BH1185</f>
        <v>Month</v>
      </c>
      <c r="I958" s="642">
        <f>+RBOB!BI1179</f>
        <v>0</v>
      </c>
      <c r="J958" s="618">
        <f t="shared" si="1227"/>
        <v>-0.25</v>
      </c>
      <c r="K958" s="618">
        <f t="shared" si="1228"/>
        <v>-6.6043000000000004E-2</v>
      </c>
      <c r="L958" s="618" t="e">
        <f t="shared" si="1229"/>
        <v>#VALUE!</v>
      </c>
      <c r="M958" s="619" t="e">
        <f t="shared" si="1230"/>
        <v>#VALUE!</v>
      </c>
      <c r="N958" s="619" t="e">
        <f t="shared" si="1231"/>
        <v>#VALUE!</v>
      </c>
      <c r="O958" s="619" t="e">
        <f t="shared" si="1232"/>
        <v>#VALUE!</v>
      </c>
      <c r="P958" s="641" t="e">
        <f t="shared" si="1233"/>
        <v>#VALUE!</v>
      </c>
    </row>
    <row r="959" spans="2:16" ht="15">
      <c r="B959" s="95">
        <v>45943</v>
      </c>
    </row>
    <row r="960" spans="2:16" ht="15">
      <c r="B960" s="95">
        <v>45944</v>
      </c>
    </row>
    <row r="961" spans="2:2" ht="15">
      <c r="B961" s="95">
        <v>45945</v>
      </c>
    </row>
    <row r="962" spans="2:2" ht="15">
      <c r="B962" s="95">
        <v>45946</v>
      </c>
    </row>
    <row r="963" spans="2:2" ht="15">
      <c r="B963" s="95">
        <v>45947</v>
      </c>
    </row>
    <row r="964" spans="2:2" ht="15">
      <c r="B964" s="95">
        <v>45950</v>
      </c>
    </row>
    <row r="965" spans="2:2" ht="15">
      <c r="B965" s="95">
        <v>45951</v>
      </c>
    </row>
    <row r="966" spans="2:2" ht="15">
      <c r="B966" s="95">
        <v>45952</v>
      </c>
    </row>
    <row r="967" spans="2:2" ht="15">
      <c r="B967" s="95">
        <v>45953</v>
      </c>
    </row>
    <row r="968" spans="2:2" ht="15">
      <c r="B968" s="95">
        <v>45954</v>
      </c>
    </row>
    <row r="969" spans="2:2" ht="15">
      <c r="B969" s="95">
        <v>45957</v>
      </c>
    </row>
    <row r="970" spans="2:2" ht="15">
      <c r="B970" s="95">
        <v>45958</v>
      </c>
    </row>
    <row r="971" spans="2:2" ht="15">
      <c r="B971" s="95">
        <v>45959</v>
      </c>
    </row>
    <row r="972" spans="2:2" ht="15">
      <c r="B972" s="95">
        <v>45960</v>
      </c>
    </row>
    <row r="973" spans="2:2" ht="15">
      <c r="B973" s="95">
        <v>45961</v>
      </c>
    </row>
    <row r="974" spans="2:2" ht="15">
      <c r="B974" s="95">
        <v>45964</v>
      </c>
    </row>
    <row r="975" spans="2:2" ht="15">
      <c r="B975" s="95">
        <v>45965</v>
      </c>
    </row>
    <row r="976" spans="2:2" ht="15">
      <c r="B976" s="95">
        <v>45966</v>
      </c>
    </row>
    <row r="977" spans="2:2" ht="15">
      <c r="B977" s="95">
        <v>45967</v>
      </c>
    </row>
    <row r="978" spans="2:2" ht="15">
      <c r="B978" s="95">
        <v>45968</v>
      </c>
    </row>
    <row r="979" spans="2:2" ht="15">
      <c r="B979" s="95">
        <v>45971</v>
      </c>
    </row>
    <row r="980" spans="2:2" ht="15">
      <c r="B980" s="95">
        <v>45972</v>
      </c>
    </row>
    <row r="981" spans="2:2" ht="15">
      <c r="B981" s="95">
        <v>45973</v>
      </c>
    </row>
    <row r="982" spans="2:2" ht="15">
      <c r="B982" s="95">
        <v>45974</v>
      </c>
    </row>
    <row r="983" spans="2:2" ht="15">
      <c r="B983" s="95">
        <v>45975</v>
      </c>
    </row>
    <row r="984" spans="2:2" ht="15">
      <c r="B984" s="95">
        <v>45978</v>
      </c>
    </row>
    <row r="985" spans="2:2" ht="15">
      <c r="B985" s="95">
        <v>45979</v>
      </c>
    </row>
    <row r="986" spans="2:2" ht="15">
      <c r="B986" s="95">
        <v>45980</v>
      </c>
    </row>
    <row r="987" spans="2:2" ht="15">
      <c r="B987" s="95">
        <v>45981</v>
      </c>
    </row>
    <row r="988" spans="2:2" ht="15">
      <c r="B988" s="95">
        <v>45982</v>
      </c>
    </row>
    <row r="989" spans="2:2" ht="15">
      <c r="B989" s="95">
        <v>45985</v>
      </c>
    </row>
    <row r="990" spans="2:2" ht="15">
      <c r="B990" s="95">
        <v>45986</v>
      </c>
    </row>
    <row r="991" spans="2:2" ht="15">
      <c r="B991" s="95">
        <v>45987</v>
      </c>
    </row>
    <row r="992" spans="2:2" ht="15">
      <c r="B992" s="95">
        <v>45988</v>
      </c>
    </row>
    <row r="993" spans="2:2" ht="15">
      <c r="B993" s="95">
        <v>45989</v>
      </c>
    </row>
    <row r="994" spans="2:2" ht="15">
      <c r="B994" s="95">
        <v>45992</v>
      </c>
    </row>
    <row r="995" spans="2:2" ht="15">
      <c r="B995" s="95">
        <v>45993</v>
      </c>
    </row>
    <row r="996" spans="2:2" ht="15">
      <c r="B996" s="95">
        <v>45994</v>
      </c>
    </row>
    <row r="997" spans="2:2" ht="15">
      <c r="B997" s="95">
        <v>45995</v>
      </c>
    </row>
    <row r="998" spans="2:2" ht="15">
      <c r="B998" s="95">
        <v>45996</v>
      </c>
    </row>
    <row r="999" spans="2:2" ht="1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11" style="102" bestFit="1" customWidth="1"/>
    <col min="7" max="8" width="10.42578125" bestFit="1" customWidth="1"/>
    <col min="9" max="9" width="11.42578125" bestFit="1" customWidth="1"/>
  </cols>
  <sheetData>
    <row r="1" spans="1:11">
      <c r="A1" s="1220"/>
      <c r="B1" s="1220"/>
      <c r="C1" s="1220"/>
      <c r="D1" s="1220"/>
      <c r="E1" s="1220"/>
      <c r="F1" s="1220"/>
      <c r="G1" s="1220"/>
      <c r="H1" s="1220"/>
      <c r="I1" s="1220"/>
    </row>
    <row r="2" spans="1:11" ht="17.25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1"/>
      <c r="B3" s="1221"/>
      <c r="C3" s="1221"/>
      <c r="D3" s="1221"/>
      <c r="E3" s="1221"/>
      <c r="F3" s="1221"/>
      <c r="G3" s="1221"/>
      <c r="H3" s="1221"/>
      <c r="I3" s="1221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2.5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5.7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5.7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5.7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5.7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5.7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5.7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5.7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2025-10-14T08:07:41Z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