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/"/>
    </mc:Choice>
  </mc:AlternateContent>
  <xr:revisionPtr revIDLastSave="2558" documentId="11_FA3CB23265A75CF21B176DC5537775B9664149DD" xr6:coauthVersionLast="47" xr6:coauthVersionMax="47" xr10:uidLastSave="{5045E2F5-1450-44FE-9860-24DDA51C74E9}"/>
  <bookViews>
    <workbookView xWindow="-120" yWindow="-120" windowWidth="29040" windowHeight="15840" activeTab="1" xr2:uid="{00000000-000D-0000-FFFF-FFFF00000000}"/>
  </bookViews>
  <sheets>
    <sheet name="S&amp;P500" sheetId="16" r:id="rId1"/>
    <sheet name="Personal" sheetId="27" r:id="rId2"/>
    <sheet name="Code" sheetId="4" r:id="rId3"/>
    <sheet name="CAGR Code" sheetId="22" r:id="rId4"/>
    <sheet name="h961l4" sheetId="30" r:id="rId5"/>
    <sheet name="Strategy_CALL" sheetId="32" r:id="rId6"/>
    <sheet name="Strategy_PUT" sheetId="31" r:id="rId7"/>
    <sheet name="工作表1" sheetId="33" r:id="rId8"/>
  </sheets>
  <definedNames>
    <definedName name="_xlnm._FilterDatabase" localSheetId="2" hidden="1">Code!$A$3:$D$3</definedName>
    <definedName name="_xlnm._FilterDatabase" localSheetId="4" hidden="1">h961l4!$A$1:$D$1</definedName>
    <definedName name="_xlnm._FilterDatabase" localSheetId="1" hidden="1">Personal!$A$3:$W$521</definedName>
    <definedName name="_xlnm._FilterDatabase" localSheetId="0" hidden="1">'S&amp;P500'!$B$3:$W$520</definedName>
    <definedName name="_xlnm._FilterDatabase" localSheetId="5" hidden="1">Strategy_CALL!$B$1:$I$1</definedName>
    <definedName name="_xlnm._FilterDatabase" localSheetId="6" hidden="1">Strategy_PUT!$B$1:$L$62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31" l="1" a="1"/>
  <c r="H32" i="31" s="1"/>
  <c r="J32" i="31" a="1"/>
  <c r="J32" i="31" s="1"/>
  <c r="H33" i="31" a="1"/>
  <c r="H33" i="31" s="1"/>
  <c r="J33" i="31" a="1"/>
  <c r="J33" i="31" s="1"/>
  <c r="H34" i="31" a="1"/>
  <c r="H34" i="31" s="1"/>
  <c r="J34" i="31" a="1"/>
  <c r="J34" i="31" s="1"/>
  <c r="H35" i="31" a="1"/>
  <c r="H35" i="31" s="1"/>
  <c r="J35" i="31" a="1"/>
  <c r="J35" i="31" s="1"/>
  <c r="H36" i="31" a="1"/>
  <c r="H36" i="31" s="1"/>
  <c r="J36" i="31" a="1"/>
  <c r="J36" i="31" s="1"/>
  <c r="H37" i="31" a="1"/>
  <c r="H37" i="31" s="1"/>
  <c r="J37" i="31" a="1"/>
  <c r="J37" i="31" s="1"/>
  <c r="H38" i="31" a="1"/>
  <c r="H38" i="31" s="1"/>
  <c r="J38" i="31" a="1"/>
  <c r="J38" i="31" s="1"/>
  <c r="H39" i="31" a="1"/>
  <c r="H39" i="31" s="1"/>
  <c r="J39" i="31" a="1"/>
  <c r="J39" i="31" s="1"/>
  <c r="H40" i="31" a="1"/>
  <c r="H40" i="31" s="1"/>
  <c r="J40" i="31" a="1"/>
  <c r="J40" i="31" s="1"/>
  <c r="H41" i="31" a="1"/>
  <c r="H41" i="31" s="1"/>
  <c r="J41" i="31" a="1"/>
  <c r="J41" i="31" s="1"/>
  <c r="H42" i="31" a="1"/>
  <c r="H42" i="31" s="1"/>
  <c r="J42" i="31" a="1"/>
  <c r="J42" i="31" s="1"/>
  <c r="H43" i="31" a="1"/>
  <c r="H43" i="31" s="1"/>
  <c r="J43" i="31" a="1"/>
  <c r="J43" i="31" s="1"/>
  <c r="H44" i="31" a="1"/>
  <c r="H44" i="31" s="1"/>
  <c r="J44" i="31" a="1"/>
  <c r="J44" i="31" s="1"/>
  <c r="J45" i="31" a="1"/>
  <c r="J45" i="31" s="1"/>
  <c r="J46" i="31" a="1"/>
  <c r="J46" i="31" s="1"/>
  <c r="J47" i="31" a="1"/>
  <c r="J47" i="31" s="1"/>
  <c r="J48" i="31" a="1"/>
  <c r="J48" i="31" s="1"/>
  <c r="J49" i="31" a="1"/>
  <c r="J49" i="31" s="1"/>
  <c r="J50" i="31" a="1"/>
  <c r="J50" i="31" s="1"/>
  <c r="J51" i="31" a="1"/>
  <c r="J51" i="31" s="1"/>
  <c r="J52" i="31" a="1"/>
  <c r="J52" i="31" s="1"/>
  <c r="J53" i="31" a="1"/>
  <c r="J53" i="31" s="1"/>
  <c r="J54" i="31" a="1"/>
  <c r="J54" i="31" s="1"/>
  <c r="J55" i="31" a="1"/>
  <c r="J55" i="31" s="1"/>
  <c r="J56" i="31" a="1"/>
  <c r="J56" i="31" s="1"/>
  <c r="J57" i="31" a="1"/>
  <c r="J57" i="31" s="1"/>
  <c r="J58" i="31" a="1"/>
  <c r="J58" i="31" s="1"/>
  <c r="J59" i="31" a="1"/>
  <c r="J59" i="31" s="1"/>
  <c r="J60" i="31" a="1"/>
  <c r="J60" i="31" s="1"/>
  <c r="J61" i="31" a="1"/>
  <c r="J61" i="31" s="1"/>
  <c r="J62" i="31" a="1"/>
  <c r="J62" i="31" s="1"/>
  <c r="H27" i="31" a="1"/>
  <c r="H27" i="31" s="1"/>
  <c r="J27" i="31" a="1"/>
  <c r="J27" i="31" s="1"/>
  <c r="I27" i="31" a="1"/>
  <c r="I27" i="31" s="1"/>
  <c r="H28" i="31" a="1"/>
  <c r="H28" i="31" s="1"/>
  <c r="J28" i="31" a="1"/>
  <c r="J28" i="31" s="1"/>
  <c r="H29" i="31" a="1"/>
  <c r="H29" i="31" s="1"/>
  <c r="J29" i="31" a="1"/>
  <c r="J29" i="31" s="1"/>
  <c r="H30" i="31" a="1"/>
  <c r="H30" i="31" s="1"/>
  <c r="J30" i="31" a="1"/>
  <c r="J30" i="31" s="1"/>
  <c r="H31" i="31" a="1"/>
  <c r="H31" i="31" s="1"/>
  <c r="J31" i="31" a="1"/>
  <c r="J31" i="31" s="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H45" i="31" s="1" a="1"/>
  <c r="H45" i="31" s="1"/>
  <c r="L46" i="31"/>
  <c r="H46" i="31" s="1" a="1"/>
  <c r="H46" i="31" s="1"/>
  <c r="L47" i="31"/>
  <c r="H47" i="31" s="1" a="1"/>
  <c r="H47" i="31" s="1"/>
  <c r="L48" i="31"/>
  <c r="H48" i="31" s="1" a="1"/>
  <c r="H48" i="31" s="1"/>
  <c r="L49" i="31"/>
  <c r="H49" i="31" s="1" a="1"/>
  <c r="H49" i="31" s="1"/>
  <c r="L50" i="31"/>
  <c r="H50" i="31" s="1" a="1"/>
  <c r="H50" i="31" s="1"/>
  <c r="L51" i="31"/>
  <c r="H51" i="31" s="1" a="1"/>
  <c r="H51" i="31" s="1"/>
  <c r="L52" i="31"/>
  <c r="H52" i="31" s="1" a="1"/>
  <c r="H52" i="31" s="1"/>
  <c r="L53" i="31"/>
  <c r="H53" i="31" s="1" a="1"/>
  <c r="H53" i="31" s="1"/>
  <c r="L54" i="31"/>
  <c r="H54" i="31" s="1" a="1"/>
  <c r="H54" i="31" s="1"/>
  <c r="L55" i="31"/>
  <c r="H55" i="31" s="1" a="1"/>
  <c r="H55" i="31" s="1"/>
  <c r="L56" i="31"/>
  <c r="H56" i="31" s="1" a="1"/>
  <c r="H56" i="31" s="1"/>
  <c r="L57" i="31"/>
  <c r="H57" i="31" s="1" a="1"/>
  <c r="H57" i="31" s="1"/>
  <c r="L58" i="31"/>
  <c r="H58" i="31" s="1" a="1"/>
  <c r="H58" i="31" s="1"/>
  <c r="L59" i="31"/>
  <c r="H59" i="31" s="1" a="1"/>
  <c r="H59" i="31" s="1"/>
  <c r="L60" i="31"/>
  <c r="H60" i="31" s="1" a="1"/>
  <c r="H60" i="31" s="1"/>
  <c r="L61" i="31"/>
  <c r="H61" i="31" s="1" a="1"/>
  <c r="H61" i="31" s="1"/>
  <c r="L62" i="31"/>
  <c r="H62" i="31" s="1" a="1"/>
  <c r="H62" i="31" s="1"/>
  <c r="D12" i="30"/>
  <c r="I2" i="32" a="1"/>
  <c r="I2" i="32" s="1"/>
  <c r="M1" i="31"/>
  <c r="H8" i="31" a="1"/>
  <c r="H8" i="31" s="1"/>
  <c r="J1" i="32"/>
  <c r="I3" i="31" a="1"/>
  <c r="I3" i="31" s="1"/>
  <c r="I4" i="31" a="1"/>
  <c r="I4" i="31" s="1"/>
  <c r="I5" i="31" a="1"/>
  <c r="I5" i="31" s="1"/>
  <c r="I6" i="31" a="1"/>
  <c r="I6" i="31" s="1"/>
  <c r="I7" i="31" a="1"/>
  <c r="I7" i="31" s="1"/>
  <c r="I9" i="31" a="1"/>
  <c r="I9" i="31" s="1"/>
  <c r="I10" i="31" a="1"/>
  <c r="I10" i="31" s="1"/>
  <c r="I11" i="31" a="1"/>
  <c r="I11" i="31" s="1"/>
  <c r="I12" i="31" a="1"/>
  <c r="I12" i="31" s="1"/>
  <c r="I13" i="31" a="1"/>
  <c r="I13" i="31" s="1"/>
  <c r="I14" i="31" a="1"/>
  <c r="I14" i="31" s="1"/>
  <c r="I15" i="31" a="1"/>
  <c r="I15" i="31" s="1"/>
  <c r="I16" i="31" a="1"/>
  <c r="I16" i="31" s="1"/>
  <c r="I17" i="31" a="1"/>
  <c r="I17" i="31" s="1"/>
  <c r="I18" i="31" a="1"/>
  <c r="I18" i="31" s="1"/>
  <c r="I19" i="31" a="1"/>
  <c r="I19" i="31" s="1"/>
  <c r="I20" i="31" a="1"/>
  <c r="I20" i="31" s="1"/>
  <c r="I21" i="31" a="1"/>
  <c r="I21" i="31" s="1"/>
  <c r="I22" i="31" a="1"/>
  <c r="I22" i="31" s="1"/>
  <c r="I23" i="31" a="1"/>
  <c r="I23" i="31" s="1"/>
  <c r="I24" i="31" a="1"/>
  <c r="I24" i="31" s="1"/>
  <c r="I25" i="31" a="1"/>
  <c r="I25" i="31" s="1"/>
  <c r="I26" i="31" a="1"/>
  <c r="I26" i="31" s="1"/>
  <c r="I2" i="31" a="1"/>
  <c r="I2" i="31" s="1"/>
  <c r="J3" i="31" a="1"/>
  <c r="J3" i="31" s="1"/>
  <c r="J4" i="31" a="1"/>
  <c r="J4" i="31" s="1"/>
  <c r="J5" i="31" a="1"/>
  <c r="J5" i="31" s="1"/>
  <c r="J6" i="31" a="1"/>
  <c r="J6" i="31" s="1"/>
  <c r="J7" i="31" a="1"/>
  <c r="J7" i="31" s="1"/>
  <c r="J8" i="31" a="1"/>
  <c r="J8" i="31" s="1"/>
  <c r="J9" i="31" a="1"/>
  <c r="J9" i="31" s="1"/>
  <c r="J10" i="31" a="1"/>
  <c r="J10" i="31" s="1"/>
  <c r="J11" i="31" a="1"/>
  <c r="J11" i="31" s="1"/>
  <c r="J12" i="31" a="1"/>
  <c r="J12" i="31" s="1"/>
  <c r="J13" i="31" a="1"/>
  <c r="J13" i="31" s="1"/>
  <c r="J14" i="31" a="1"/>
  <c r="J14" i="31" s="1"/>
  <c r="J15" i="31" a="1"/>
  <c r="J15" i="31" s="1"/>
  <c r="J16" i="31" a="1"/>
  <c r="J16" i="31" s="1"/>
  <c r="J17" i="31" a="1"/>
  <c r="J17" i="31" s="1"/>
  <c r="J18" i="31" a="1"/>
  <c r="J18" i="31" s="1"/>
  <c r="J19" i="31" a="1"/>
  <c r="J19" i="31" s="1"/>
  <c r="J20" i="31" a="1"/>
  <c r="J20" i="31" s="1"/>
  <c r="J21" i="31" a="1"/>
  <c r="J21" i="31" s="1"/>
  <c r="J22" i="31" a="1"/>
  <c r="J22" i="31" s="1"/>
  <c r="J23" i="31" a="1"/>
  <c r="J23" i="31" s="1"/>
  <c r="J24" i="31" a="1"/>
  <c r="J24" i="31" s="1"/>
  <c r="J25" i="31" a="1"/>
  <c r="J25" i="31" s="1"/>
  <c r="J26" i="31" a="1"/>
  <c r="J26" i="31" s="1"/>
  <c r="J2" i="31" a="1"/>
  <c r="J2" i="31" s="1"/>
  <c r="H2" i="32" a="1"/>
  <c r="H2" i="32" s="1"/>
  <c r="L2" i="31"/>
  <c r="H2" i="31" s="1" a="1"/>
  <c r="H2" i="31" s="1"/>
  <c r="L3" i="31"/>
  <c r="H3" i="31" s="1" a="1"/>
  <c r="H3" i="31" s="1"/>
  <c r="L4" i="31"/>
  <c r="H4" i="31" s="1" a="1"/>
  <c r="H4" i="31" s="1"/>
  <c r="L5" i="31"/>
  <c r="H5" i="31" s="1" a="1"/>
  <c r="H5" i="31" s="1"/>
  <c r="L6" i="31"/>
  <c r="H6" i="31" s="1" a="1"/>
  <c r="H6" i="31" s="1"/>
  <c r="L7" i="31"/>
  <c r="H7" i="31" s="1" a="1"/>
  <c r="H7" i="31" s="1"/>
  <c r="L8" i="31"/>
  <c r="L9" i="31"/>
  <c r="H9" i="31" s="1" a="1"/>
  <c r="H9" i="31" s="1"/>
  <c r="L10" i="31"/>
  <c r="H10" i="31" s="1" a="1"/>
  <c r="H10" i="31" s="1"/>
  <c r="L11" i="31"/>
  <c r="H11" i="31" s="1" a="1"/>
  <c r="H11" i="31" s="1"/>
  <c r="L12" i="31"/>
  <c r="H12" i="31" s="1" a="1"/>
  <c r="H12" i="31" s="1"/>
  <c r="L13" i="31"/>
  <c r="H13" i="31" s="1" a="1"/>
  <c r="H13" i="31" s="1"/>
  <c r="L14" i="31"/>
  <c r="H14" i="31" s="1" a="1"/>
  <c r="H14" i="31" s="1"/>
  <c r="L15" i="31"/>
  <c r="H15" i="31" s="1" a="1"/>
  <c r="H15" i="31" s="1"/>
  <c r="L16" i="31"/>
  <c r="H16" i="31" s="1" a="1"/>
  <c r="H16" i="31" s="1"/>
  <c r="L17" i="31"/>
  <c r="H17" i="31" s="1" a="1"/>
  <c r="H17" i="31" s="1"/>
  <c r="L18" i="31"/>
  <c r="H18" i="31" s="1" a="1"/>
  <c r="H18" i="31" s="1"/>
  <c r="L19" i="31"/>
  <c r="H19" i="31" s="1" a="1"/>
  <c r="H19" i="31" s="1"/>
  <c r="L20" i="31"/>
  <c r="H20" i="31" s="1" a="1"/>
  <c r="H20" i="31" s="1"/>
  <c r="L21" i="31"/>
  <c r="H21" i="31" s="1" a="1"/>
  <c r="H21" i="31" s="1"/>
  <c r="L22" i="31"/>
  <c r="H22" i="31" s="1" a="1"/>
  <c r="H22" i="31" s="1"/>
  <c r="L23" i="31"/>
  <c r="H23" i="31" s="1" a="1"/>
  <c r="H23" i="31" s="1"/>
  <c r="L24" i="31"/>
  <c r="H24" i="31" s="1" a="1"/>
  <c r="H24" i="31" s="1"/>
  <c r="L25" i="31"/>
  <c r="H25" i="31" s="1" a="1"/>
  <c r="H25" i="31" s="1"/>
  <c r="L26" i="31"/>
  <c r="H26" i="31" s="1" a="1"/>
  <c r="H26" i="31" s="1"/>
  <c r="L27" i="31"/>
  <c r="L28" i="31"/>
  <c r="L29" i="31"/>
  <c r="L30" i="31"/>
  <c r="L31" i="31"/>
  <c r="I3" i="32" a="1"/>
  <c r="I3" i="32" s="1"/>
  <c r="I4" i="32" a="1"/>
  <c r="I4" i="32" s="1"/>
  <c r="I5" i="32" a="1"/>
  <c r="I5" i="32" s="1"/>
  <c r="I6" i="32" a="1"/>
  <c r="I6" i="32" s="1"/>
  <c r="I7" i="32" a="1"/>
  <c r="I7" i="32" s="1"/>
  <c r="I8" i="32" a="1"/>
  <c r="I8" i="32" s="1"/>
  <c r="I9" i="32" a="1"/>
  <c r="I9" i="32" s="1"/>
  <c r="I10" i="32" a="1"/>
  <c r="I10" i="32" s="1"/>
  <c r="I11" i="32" a="1"/>
  <c r="I11" i="32" s="1"/>
  <c r="H11" i="32" a="1"/>
  <c r="H11" i="32" s="1"/>
  <c r="H3" i="32" a="1"/>
  <c r="H3" i="32" s="1"/>
  <c r="H4" i="32" a="1"/>
  <c r="H4" i="32" s="1"/>
  <c r="H5" i="32" a="1"/>
  <c r="H5" i="32" s="1"/>
  <c r="H6" i="32" a="1"/>
  <c r="H6" i="32" s="1"/>
  <c r="H7" i="32" a="1"/>
  <c r="H7" i="32" s="1"/>
  <c r="H8" i="32" a="1"/>
  <c r="H8" i="32" s="1"/>
  <c r="H9" i="32" a="1"/>
  <c r="H9" i="32" s="1"/>
  <c r="H10" i="32" a="1"/>
  <c r="H10" i="32" s="1"/>
  <c r="H12" i="32" a="1"/>
  <c r="H12" i="32" s="1"/>
  <c r="H13" i="32" a="1"/>
  <c r="H13" i="32" s="1"/>
  <c r="H14" i="32" a="1"/>
  <c r="H14" i="32" s="1"/>
  <c r="H15" i="32" a="1"/>
  <c r="H15" i="32" s="1"/>
  <c r="H16" i="32" a="1"/>
  <c r="H16" i="32" s="1"/>
  <c r="H17" i="32" a="1"/>
  <c r="H17" i="32" s="1"/>
  <c r="H18" i="32" a="1"/>
  <c r="H18" i="32" s="1"/>
  <c r="D18" i="30" l="1"/>
  <c r="D32" i="30"/>
  <c r="D7" i="30"/>
  <c r="D22" i="30"/>
  <c r="D37" i="30"/>
  <c r="D8" i="30"/>
  <c r="D23" i="30"/>
  <c r="D38" i="30"/>
  <c r="D24" i="30"/>
  <c r="D30" i="30"/>
  <c r="D3" i="30"/>
  <c r="D14" i="30"/>
  <c r="D33" i="30"/>
  <c r="D4" i="30"/>
  <c r="D5" i="30"/>
  <c r="D10" i="30"/>
  <c r="D26" i="30"/>
  <c r="D15" i="30"/>
  <c r="D31" i="30"/>
  <c r="D39" i="30"/>
  <c r="D16" i="30"/>
  <c r="D34" i="30"/>
  <c r="D2" i="30"/>
  <c r="D20" i="30"/>
  <c r="D40" i="30"/>
  <c r="D21" i="30"/>
  <c r="D41" i="30"/>
  <c r="D11" i="30"/>
  <c r="D27" i="30"/>
  <c r="D9" i="30"/>
  <c r="D17" i="30"/>
  <c r="D42" i="30"/>
  <c r="D25" i="30"/>
  <c r="D35" i="30"/>
  <c r="D6" i="30"/>
  <c r="D28" i="30"/>
  <c r="D36" i="30"/>
  <c r="D13" i="30"/>
  <c r="D19" i="30"/>
  <c r="D29" i="30"/>
  <c r="C67" i="16" l="1"/>
  <c r="K67" i="16" s="1" a="1"/>
  <c r="K67" i="16" s="1"/>
  <c r="C68" i="16"/>
  <c r="K68" i="16" s="1" a="1"/>
  <c r="K68" i="16" s="1"/>
  <c r="C69" i="16"/>
  <c r="R69" i="16" s="1"/>
  <c r="C70" i="16"/>
  <c r="K70" i="16" s="1" a="1"/>
  <c r="K70" i="16" s="1"/>
  <c r="C71" i="16"/>
  <c r="K71" i="16" s="1" a="1"/>
  <c r="K71" i="16" s="1"/>
  <c r="C72" i="16"/>
  <c r="K72" i="16" s="1" a="1"/>
  <c r="K72" i="16" s="1"/>
  <c r="C73" i="16"/>
  <c r="C74" i="16"/>
  <c r="R74" i="16" s="1"/>
  <c r="C75" i="16"/>
  <c r="K75" i="16" s="1" a="1"/>
  <c r="K75" i="16" s="1"/>
  <c r="C76" i="16"/>
  <c r="K76" i="16" s="1" a="1"/>
  <c r="K76" i="16" s="1"/>
  <c r="C77" i="16"/>
  <c r="C66" i="16"/>
  <c r="K66" i="16" s="1" a="1"/>
  <c r="K66" i="16" s="1"/>
  <c r="B10" i="16" a="1"/>
  <c r="B10" i="16" s="1"/>
  <c r="B84" i="16" a="1"/>
  <c r="B84" i="16" s="1"/>
  <c r="B495" i="16" a="1"/>
  <c r="B495" i="16" s="1"/>
  <c r="B327" i="16" a="1"/>
  <c r="B327" i="16" s="1"/>
  <c r="B280" i="16" a="1"/>
  <c r="B280" i="16" s="1"/>
  <c r="B137" i="16" a="1"/>
  <c r="B137" i="16" s="1"/>
  <c r="B340" i="16" a="1"/>
  <c r="B340" i="16" s="1"/>
  <c r="B415" i="16" a="1"/>
  <c r="B415" i="16" s="1"/>
  <c r="B440" i="16" a="1"/>
  <c r="B440" i="16" s="1"/>
  <c r="B19" i="16" a="1"/>
  <c r="B19" i="16" s="1"/>
  <c r="B167" i="16" a="1"/>
  <c r="B167" i="16" s="1"/>
  <c r="B316" i="16" a="1"/>
  <c r="B316" i="16" s="1"/>
  <c r="B28" i="16" a="1"/>
  <c r="B28" i="16" s="1"/>
  <c r="B31" i="16" a="1"/>
  <c r="B31" i="16" s="1"/>
  <c r="B242" i="16" a="1"/>
  <c r="B242" i="16" s="1"/>
  <c r="B342" i="16" a="1"/>
  <c r="B342" i="16" s="1"/>
  <c r="B471" i="16" a="1"/>
  <c r="B471" i="16" s="1"/>
  <c r="B262" i="16" a="1"/>
  <c r="B262" i="16" s="1"/>
  <c r="B417" i="16" a="1"/>
  <c r="B417" i="16" s="1"/>
  <c r="B27" i="16" a="1"/>
  <c r="B27" i="16" s="1"/>
  <c r="B444" i="16" a="1"/>
  <c r="B444" i="16" s="1"/>
  <c r="B231" i="16" a="1"/>
  <c r="B231" i="16" s="1"/>
  <c r="B504" i="16" a="1"/>
  <c r="B504" i="16" s="1"/>
  <c r="B264" i="16" a="1"/>
  <c r="B264" i="16" s="1"/>
  <c r="B98" i="16" a="1"/>
  <c r="B98" i="16" s="1"/>
  <c r="B243" i="16" a="1"/>
  <c r="B243" i="16" s="1"/>
  <c r="B334" i="16" a="1"/>
  <c r="B334" i="16" s="1"/>
  <c r="B46" i="16" a="1"/>
  <c r="B46" i="16" s="1"/>
  <c r="B63" i="16" a="1"/>
  <c r="B63" i="16" s="1"/>
  <c r="B140" i="16" a="1"/>
  <c r="B140" i="16" s="1"/>
  <c r="B279" i="16" a="1"/>
  <c r="B279" i="16" s="1"/>
  <c r="B266" i="16" a="1"/>
  <c r="B266" i="16" s="1"/>
  <c r="B201" i="16" a="1"/>
  <c r="B201" i="16" s="1"/>
  <c r="B429" i="16" a="1"/>
  <c r="B429" i="16" s="1"/>
  <c r="B428" i="16" a="1"/>
  <c r="B428" i="16" s="1"/>
  <c r="B465" i="16" a="1"/>
  <c r="B465" i="16" s="1"/>
  <c r="B414" i="16" a="1"/>
  <c r="B414" i="16" s="1"/>
  <c r="B172" i="16" a="1"/>
  <c r="B172" i="16" s="1"/>
  <c r="B317" i="16" a="1"/>
  <c r="B317" i="16" s="1"/>
  <c r="B35" i="16" a="1"/>
  <c r="B35" i="16" s="1"/>
  <c r="B284" i="16" a="1"/>
  <c r="B284" i="16" s="1"/>
  <c r="B128" i="16" a="1"/>
  <c r="B128" i="16" s="1"/>
  <c r="B145" i="16" a="1"/>
  <c r="B145" i="16" s="1"/>
  <c r="B150" i="16" a="1"/>
  <c r="B150" i="16" s="1"/>
  <c r="B171" i="16" a="1"/>
  <c r="B171" i="16" s="1"/>
  <c r="B184" i="16" a="1"/>
  <c r="B184" i="16" s="1"/>
  <c r="B468" i="16" a="1"/>
  <c r="B468" i="16" s="1"/>
  <c r="B347" i="16" a="1"/>
  <c r="B347" i="16" s="1"/>
  <c r="B144" i="16" a="1"/>
  <c r="B144" i="16" s="1"/>
  <c r="B230" i="16" a="1"/>
  <c r="B230" i="16" s="1"/>
  <c r="B496" i="16" a="1"/>
  <c r="B496" i="16" s="1"/>
  <c r="B107" i="16" a="1"/>
  <c r="B107" i="16" s="1"/>
  <c r="B437" i="16" a="1"/>
  <c r="B437" i="16" s="1"/>
  <c r="B411" i="16" a="1"/>
  <c r="B411" i="16" s="1"/>
  <c r="B99" i="16" a="1"/>
  <c r="B99" i="16" s="1"/>
  <c r="B51" i="16" a="1"/>
  <c r="B51" i="16" s="1"/>
  <c r="B189" i="16" a="1"/>
  <c r="B189" i="16" s="1"/>
  <c r="B445" i="16" a="1"/>
  <c r="B445" i="16" s="1"/>
  <c r="B505" i="16" a="1"/>
  <c r="B505" i="16" s="1"/>
  <c r="B513" i="16" a="1"/>
  <c r="B513" i="16" s="1"/>
  <c r="B389" i="16" a="1"/>
  <c r="B389" i="16" s="1"/>
  <c r="B403" i="16" a="1"/>
  <c r="B403" i="16" s="1"/>
  <c r="B434" i="16" a="1"/>
  <c r="B434" i="16" s="1"/>
  <c r="B149" i="16" a="1"/>
  <c r="B149" i="16" s="1"/>
  <c r="B153" i="16" a="1"/>
  <c r="B153" i="16" s="1"/>
  <c r="B39" i="16" a="1"/>
  <c r="B39" i="16" s="1"/>
  <c r="B333" i="16" a="1"/>
  <c r="B333" i="16" s="1"/>
  <c r="B18" i="16" a="1"/>
  <c r="B18" i="16" s="1"/>
  <c r="B375" i="16" a="1"/>
  <c r="B375" i="16" s="1"/>
  <c r="B302" i="16" a="1"/>
  <c r="B302" i="16" s="1"/>
  <c r="B240" i="16" a="1"/>
  <c r="B240" i="16" s="1"/>
  <c r="B480" i="16" a="1"/>
  <c r="B480" i="16" s="1"/>
  <c r="B300" i="16" a="1"/>
  <c r="B300" i="16" s="1"/>
  <c r="B59" i="16" a="1"/>
  <c r="B59" i="16" s="1"/>
  <c r="B292" i="16" a="1"/>
  <c r="B292" i="16" s="1"/>
  <c r="B82" i="16" a="1"/>
  <c r="B82" i="16" s="1"/>
  <c r="B250" i="16" a="1"/>
  <c r="B250" i="16" s="1"/>
  <c r="B410" i="16" a="1"/>
  <c r="B410" i="16" s="1"/>
  <c r="B273" i="16" a="1"/>
  <c r="B273" i="16" s="1"/>
  <c r="B470" i="16" a="1"/>
  <c r="B470" i="16" s="1"/>
  <c r="B134" i="16" a="1"/>
  <c r="B134" i="16" s="1"/>
  <c r="B472" i="16" a="1"/>
  <c r="B472" i="16" s="1"/>
  <c r="B409" i="16" a="1"/>
  <c r="B409" i="16" s="1"/>
  <c r="B204" i="16" a="1"/>
  <c r="B204" i="16" s="1"/>
  <c r="B133" i="16" a="1"/>
  <c r="B133" i="16" s="1"/>
  <c r="B15" i="16" a="1"/>
  <c r="B15" i="16" s="1"/>
  <c r="B29" i="16" a="1"/>
  <c r="B29" i="16" s="1"/>
  <c r="B452" i="16" a="1"/>
  <c r="B452" i="16" s="1"/>
  <c r="B106" i="16" a="1"/>
  <c r="B106" i="16" s="1"/>
  <c r="B426" i="16" a="1"/>
  <c r="B426" i="16" s="1"/>
  <c r="B312" i="16" a="1"/>
  <c r="B312" i="16" s="1"/>
  <c r="B351" i="16" a="1"/>
  <c r="B351" i="16" s="1"/>
  <c r="B463" i="16" a="1"/>
  <c r="B463" i="16" s="1"/>
  <c r="B36" i="16" a="1"/>
  <c r="B36" i="16" s="1"/>
  <c r="B156" i="16" a="1"/>
  <c r="B156" i="16" s="1"/>
  <c r="B488" i="16" a="1"/>
  <c r="B488" i="16" s="1"/>
  <c r="B155" i="16" a="1"/>
  <c r="B155" i="16" s="1"/>
  <c r="B392" i="16" a="1"/>
  <c r="B392" i="16" s="1"/>
  <c r="B287" i="16" a="1"/>
  <c r="B287" i="16" s="1"/>
  <c r="B108" i="16" a="1"/>
  <c r="B108" i="16" s="1"/>
  <c r="B267" i="16" a="1"/>
  <c r="B267" i="16" s="1"/>
  <c r="B244" i="16" a="1"/>
  <c r="B244" i="16" s="1"/>
  <c r="B118" i="16" a="1"/>
  <c r="B118" i="16" s="1"/>
  <c r="B269" i="16" a="1"/>
  <c r="B269" i="16" s="1"/>
  <c r="B44" i="16" a="1"/>
  <c r="B44" i="16" s="1"/>
  <c r="B37" i="16" a="1"/>
  <c r="B37" i="16" s="1"/>
  <c r="B447" i="16" a="1"/>
  <c r="B447" i="16" s="1"/>
  <c r="B158" i="16" a="1"/>
  <c r="B158" i="16" s="1"/>
  <c r="B79" i="16" a="1"/>
  <c r="B79" i="16" s="1"/>
  <c r="B23" i="16" a="1"/>
  <c r="B23" i="16" s="1"/>
  <c r="B80" i="16" a="1"/>
  <c r="B80" i="16" s="1"/>
  <c r="B427" i="16" a="1"/>
  <c r="B427" i="16" s="1"/>
  <c r="B102" i="16" a="1"/>
  <c r="B102" i="16" s="1"/>
  <c r="B103" i="16" a="1"/>
  <c r="B103" i="16" s="1"/>
  <c r="B241" i="16" a="1"/>
  <c r="B241" i="16" s="1"/>
  <c r="B14" i="16" a="1"/>
  <c r="B14" i="16" s="1"/>
  <c r="B136" i="16" a="1"/>
  <c r="B136" i="16" s="1"/>
  <c r="B49" i="16" a="1"/>
  <c r="B49" i="16" s="1"/>
  <c r="B357" i="16" a="1"/>
  <c r="B357" i="16" s="1"/>
  <c r="B364" i="16" a="1"/>
  <c r="B364" i="16" s="1"/>
  <c r="B485" i="16" a="1"/>
  <c r="B485" i="16" s="1"/>
  <c r="B164" i="16" a="1"/>
  <c r="B164" i="16" s="1"/>
  <c r="B442" i="16" a="1"/>
  <c r="B442" i="16" s="1"/>
  <c r="B219" i="16" a="1"/>
  <c r="B219" i="16" s="1"/>
  <c r="B383" i="16" a="1"/>
  <c r="B383" i="16" s="1"/>
  <c r="B123" i="16" a="1"/>
  <c r="B123" i="16" s="1"/>
  <c r="B350" i="16" a="1"/>
  <c r="B350" i="16" s="1"/>
  <c r="B30" i="16" a="1"/>
  <c r="B30" i="16" s="1"/>
  <c r="B139" i="16" a="1"/>
  <c r="B139" i="16" s="1"/>
  <c r="B323" i="16" a="1"/>
  <c r="B323" i="16" s="1"/>
  <c r="B190" i="16" a="1"/>
  <c r="B190" i="16" s="1"/>
  <c r="B314" i="16" a="1"/>
  <c r="B314" i="16" s="1"/>
  <c r="B478" i="16" a="1"/>
  <c r="B478" i="16" s="1"/>
  <c r="B481" i="16" a="1"/>
  <c r="B481" i="16" s="1"/>
  <c r="B43" i="16" a="1"/>
  <c r="B43" i="16" s="1"/>
  <c r="B263" i="16" a="1"/>
  <c r="B263" i="16" s="1"/>
  <c r="B26" i="16" a="1"/>
  <c r="B26" i="16" s="1"/>
  <c r="B206" i="16" a="1"/>
  <c r="B206" i="16" s="1"/>
  <c r="B319" i="16" a="1"/>
  <c r="B319" i="16" s="1"/>
  <c r="B309" i="16" a="1"/>
  <c r="B309" i="16" s="1"/>
  <c r="B138" i="16" a="1"/>
  <c r="B138" i="16" s="1"/>
  <c r="B408" i="16" a="1"/>
  <c r="B408" i="16" s="1"/>
  <c r="B297" i="16" a="1"/>
  <c r="B297" i="16" s="1"/>
  <c r="B209" i="16" a="1"/>
  <c r="B209" i="16" s="1"/>
  <c r="B88" i="16" a="1"/>
  <c r="B88" i="16" s="1"/>
  <c r="B318" i="16" a="1"/>
  <c r="B318" i="16" s="1"/>
  <c r="B281" i="16" a="1"/>
  <c r="B281" i="16" s="1"/>
  <c r="B311" i="16" a="1"/>
  <c r="B311" i="16" s="1"/>
  <c r="B129" i="16" a="1"/>
  <c r="B129" i="16" s="1"/>
  <c r="B50" i="16" a="1"/>
  <c r="B50" i="16" s="1"/>
  <c r="B373" i="16" a="1"/>
  <c r="B373" i="16" s="1"/>
  <c r="B111" i="16" a="1"/>
  <c r="B111" i="16" s="1"/>
  <c r="B398" i="16" a="1"/>
  <c r="B398" i="16" s="1"/>
  <c r="B188" i="16" a="1"/>
  <c r="B188" i="16" s="1"/>
  <c r="B41" i="16" a="1"/>
  <c r="B41" i="16" s="1"/>
  <c r="B295" i="16" a="1"/>
  <c r="B295" i="16" s="1"/>
  <c r="B422" i="16" a="1"/>
  <c r="B422" i="16" s="1"/>
  <c r="B343" i="16" a="1"/>
  <c r="B343" i="16" s="1"/>
  <c r="B446" i="16" a="1"/>
  <c r="B446" i="16" s="1"/>
  <c r="B233" i="16" a="1"/>
  <c r="B233" i="16" s="1"/>
  <c r="B503" i="16" a="1"/>
  <c r="B503" i="16" s="1"/>
  <c r="B86" i="16" a="1"/>
  <c r="B86" i="16" s="1"/>
  <c r="B489" i="16" a="1"/>
  <c r="B489" i="16" s="1"/>
  <c r="B203" i="16" a="1"/>
  <c r="B203" i="16" s="1"/>
  <c r="B48" i="16" a="1"/>
  <c r="B48" i="16" s="1"/>
  <c r="B386" i="16" a="1"/>
  <c r="B386" i="16" s="1"/>
  <c r="B473" i="16" a="1"/>
  <c r="B473" i="16" s="1"/>
  <c r="B332" i="16" a="1"/>
  <c r="B332" i="16" s="1"/>
  <c r="B110" i="16" a="1"/>
  <c r="B110" i="16" s="1"/>
  <c r="B42" i="16" a="1"/>
  <c r="B42" i="16" s="1"/>
  <c r="B328" i="16" a="1"/>
  <c r="B328" i="16" s="1"/>
  <c r="B324" i="16" a="1"/>
  <c r="B324" i="16" s="1"/>
  <c r="B115" i="16" a="1"/>
  <c r="B115" i="16" s="1"/>
  <c r="B454" i="16" a="1"/>
  <c r="B454" i="16" s="1"/>
  <c r="B229" i="16" a="1"/>
  <c r="B229" i="16" s="1"/>
  <c r="B455" i="16" a="1"/>
  <c r="B455" i="16" s="1"/>
  <c r="B259" i="16" a="1"/>
  <c r="B259" i="16" s="1"/>
  <c r="B192" i="16" a="1"/>
  <c r="B192" i="16" s="1"/>
  <c r="B400" i="16" a="1"/>
  <c r="B400" i="16" s="1"/>
  <c r="B518" i="16" a="1"/>
  <c r="B518" i="16" s="1"/>
  <c r="B251" i="16" a="1"/>
  <c r="B251" i="16" s="1"/>
  <c r="B95" i="16" a="1"/>
  <c r="B95" i="16" s="1"/>
  <c r="B126" i="16" a="1"/>
  <c r="B126" i="16" s="1"/>
  <c r="B339" i="16" a="1"/>
  <c r="B339" i="16" s="1"/>
  <c r="B493" i="16" a="1"/>
  <c r="B493" i="16" s="1"/>
  <c r="B81" i="16" a="1"/>
  <c r="B81" i="16" s="1"/>
  <c r="B78" i="16" a="1"/>
  <c r="B78" i="16" s="1"/>
  <c r="B366" i="16" a="1"/>
  <c r="B366" i="16" s="1"/>
  <c r="B226" i="16" a="1"/>
  <c r="B226" i="16" s="1"/>
  <c r="B517" i="16" a="1"/>
  <c r="B517" i="16" s="1"/>
  <c r="B174" i="16" a="1"/>
  <c r="B174" i="16" s="1"/>
  <c r="B476" i="16" a="1"/>
  <c r="B476" i="16" s="1"/>
  <c r="B268" i="16" a="1"/>
  <c r="B268" i="16" s="1"/>
  <c r="B298" i="16" a="1"/>
  <c r="B298" i="16" s="1"/>
  <c r="B228" i="16" a="1"/>
  <c r="B228" i="16" s="1"/>
  <c r="B186" i="16" a="1"/>
  <c r="B186" i="16" s="1"/>
  <c r="B146" i="16" a="1"/>
  <c r="B146" i="16" s="1"/>
  <c r="B255" i="16" a="1"/>
  <c r="B255" i="16" s="1"/>
  <c r="B257" i="16" a="1"/>
  <c r="B257" i="16" s="1"/>
  <c r="B379" i="16" a="1"/>
  <c r="B379" i="16" s="1"/>
  <c r="B289" i="16" a="1"/>
  <c r="B289" i="16" s="1"/>
  <c r="B382" i="16" a="1"/>
  <c r="B382" i="16" s="1"/>
  <c r="B358" i="16" a="1"/>
  <c r="B358" i="16" s="1"/>
  <c r="B100" i="16" a="1"/>
  <c r="B100" i="16" s="1"/>
  <c r="B168" i="16" a="1"/>
  <c r="B168" i="16" s="1"/>
  <c r="B154" i="16" a="1"/>
  <c r="B154" i="16" s="1"/>
  <c r="B322" i="16" a="1"/>
  <c r="B322" i="16" s="1"/>
  <c r="B83" i="16" a="1"/>
  <c r="B83" i="16" s="1"/>
  <c r="B305" i="16" a="1"/>
  <c r="B305" i="16" s="1"/>
  <c r="B285" i="16" a="1"/>
  <c r="B285" i="16" s="1"/>
  <c r="B477" i="16" a="1"/>
  <c r="B477" i="16" s="1"/>
  <c r="B449" i="16" a="1"/>
  <c r="B449" i="16" s="1"/>
  <c r="B418" i="16" a="1"/>
  <c r="B418" i="16" s="1"/>
  <c r="B12" i="16" a="1"/>
  <c r="B12" i="16" s="1"/>
  <c r="B450" i="16" a="1"/>
  <c r="B450" i="16" s="1"/>
  <c r="B432" i="16" a="1"/>
  <c r="B432" i="16" s="1"/>
  <c r="B321" i="16" a="1"/>
  <c r="B321" i="16" s="1"/>
  <c r="B182" i="16" a="1"/>
  <c r="B182" i="16" s="1"/>
  <c r="B353" i="16" a="1"/>
  <c r="B353" i="16" s="1"/>
  <c r="B377" i="16" a="1"/>
  <c r="B377" i="16" s="1"/>
  <c r="B179" i="16" a="1"/>
  <c r="B179" i="16" s="1"/>
  <c r="B11" i="16" a="1"/>
  <c r="B11" i="16" s="1"/>
  <c r="B162" i="16" a="1"/>
  <c r="B162" i="16" s="1"/>
  <c r="B173" i="16" a="1"/>
  <c r="B173" i="16" s="1"/>
  <c r="B510" i="16" a="1"/>
  <c r="B510" i="16" s="1"/>
  <c r="B199" i="16" a="1"/>
  <c r="B199" i="16" s="1"/>
  <c r="B308" i="16" a="1"/>
  <c r="B308" i="16" s="1"/>
  <c r="B380" i="16" a="1"/>
  <c r="B380" i="16" s="1"/>
  <c r="B464" i="16" a="1"/>
  <c r="B464" i="16" s="1"/>
  <c r="B62" i="16" a="1"/>
  <c r="B62" i="16" s="1"/>
  <c r="B211" i="16" a="1"/>
  <c r="B211" i="16" s="1"/>
  <c r="B330" i="16" a="1"/>
  <c r="B330" i="16" s="1"/>
  <c r="B303" i="16" a="1"/>
  <c r="B303" i="16" s="1"/>
  <c r="B131" i="16" a="1"/>
  <c r="B131" i="16" s="1"/>
  <c r="B85" i="16" a="1"/>
  <c r="B85" i="16" s="1"/>
  <c r="B9" i="16" a="1"/>
  <c r="B9" i="16" s="1"/>
  <c r="B486" i="16" a="1"/>
  <c r="B486" i="16" s="1"/>
  <c r="B96" i="16" a="1"/>
  <c r="B96" i="16" s="1"/>
  <c r="B282" i="16" a="1"/>
  <c r="B282" i="16" s="1"/>
  <c r="B378" i="16" a="1"/>
  <c r="B378" i="16" s="1"/>
  <c r="B276" i="16" a="1"/>
  <c r="B276" i="16" s="1"/>
  <c r="B202" i="16" a="1"/>
  <c r="B202" i="16" s="1"/>
  <c r="B248" i="16" a="1"/>
  <c r="B248" i="16" s="1"/>
  <c r="B475" i="16" a="1"/>
  <c r="B475" i="16" s="1"/>
  <c r="B60" i="16" a="1"/>
  <c r="B60" i="16" s="1"/>
  <c r="B349" i="16" a="1"/>
  <c r="B349" i="16" s="1"/>
  <c r="B223" i="16" a="1"/>
  <c r="B223" i="16" s="1"/>
  <c r="B286" i="16" a="1"/>
  <c r="B286" i="16" s="1"/>
  <c r="B147" i="16" a="1"/>
  <c r="B147" i="16" s="1"/>
  <c r="B227" i="16" a="1"/>
  <c r="B227" i="16" s="1"/>
  <c r="B214" i="16" a="1"/>
  <c r="B214" i="16" s="1"/>
  <c r="B234" i="16" a="1"/>
  <c r="B234" i="16" s="1"/>
  <c r="B163" i="16" a="1"/>
  <c r="B163" i="16" s="1"/>
  <c r="B161" i="16" a="1"/>
  <c r="B161" i="16" s="1"/>
  <c r="B433" i="16" a="1"/>
  <c r="B433" i="16" s="1"/>
  <c r="B87" i="16" a="1"/>
  <c r="B87" i="16" s="1"/>
  <c r="B479" i="16" a="1"/>
  <c r="B479" i="16" s="1"/>
  <c r="B25" i="16" a="1"/>
  <c r="B25" i="16" s="1"/>
  <c r="B180" i="16" a="1"/>
  <c r="B180" i="16" s="1"/>
  <c r="B512" i="16" a="1"/>
  <c r="B512" i="16" s="1"/>
  <c r="B438" i="16" a="1"/>
  <c r="B438" i="16" s="1"/>
  <c r="B212" i="16" a="1"/>
  <c r="B212" i="16" s="1"/>
  <c r="B275" i="16" a="1"/>
  <c r="B275" i="16" s="1"/>
  <c r="B310" i="16" a="1"/>
  <c r="B310" i="16" s="1"/>
  <c r="B416" i="16" a="1"/>
  <c r="B416" i="16" s="1"/>
  <c r="B252" i="16" a="1"/>
  <c r="B252" i="16" s="1"/>
  <c r="B4" i="16" a="1"/>
  <c r="B4" i="16" s="1"/>
  <c r="B419" i="16" a="1"/>
  <c r="B419" i="16" s="1"/>
  <c r="B399" i="16" a="1"/>
  <c r="B399" i="16" s="1"/>
  <c r="B205" i="16" a="1"/>
  <c r="B205" i="16" s="1"/>
  <c r="B325" i="16" a="1"/>
  <c r="B325" i="16" s="1"/>
  <c r="B466" i="16" a="1"/>
  <c r="B466" i="16" s="1"/>
  <c r="B152" i="16" a="1"/>
  <c r="B152" i="16" s="1"/>
  <c r="B301" i="16" a="1"/>
  <c r="B301" i="16" s="1"/>
  <c r="B277" i="16" a="1"/>
  <c r="B277" i="16" s="1"/>
  <c r="B296" i="16" a="1"/>
  <c r="B296" i="16" s="1"/>
  <c r="B315" i="16" a="1"/>
  <c r="B315" i="16" s="1"/>
  <c r="B235" i="16" a="1"/>
  <c r="B235" i="16" s="1"/>
  <c r="B461" i="16" a="1"/>
  <c r="B461" i="16" s="1"/>
  <c r="B5" i="16" a="1"/>
  <c r="B5" i="16" s="1"/>
  <c r="B94" i="16" a="1"/>
  <c r="B94" i="16" s="1"/>
  <c r="B441" i="16" a="1"/>
  <c r="B441" i="16" s="1"/>
  <c r="B514" i="16" a="1"/>
  <c r="B514" i="16" s="1"/>
  <c r="B183" i="16" a="1"/>
  <c r="B183" i="16" s="1"/>
  <c r="B33" i="16" a="1"/>
  <c r="B33" i="16" s="1"/>
  <c r="B304" i="16" a="1"/>
  <c r="B304" i="16" s="1"/>
  <c r="B406" i="16" a="1"/>
  <c r="B406" i="16" s="1"/>
  <c r="B142" i="16" a="1"/>
  <c r="B142" i="16" s="1"/>
  <c r="B391" i="16" a="1"/>
  <c r="B391" i="16" s="1"/>
  <c r="B272" i="16" a="1"/>
  <c r="B272" i="16" s="1"/>
  <c r="B256" i="16" a="1"/>
  <c r="B256" i="16" s="1"/>
  <c r="B109" i="16" a="1"/>
  <c r="B109" i="16" s="1"/>
  <c r="B57" i="16" a="1"/>
  <c r="B57" i="16" s="1"/>
  <c r="B405" i="16" a="1"/>
  <c r="B405" i="16" s="1"/>
  <c r="B207" i="16" a="1"/>
  <c r="B207" i="16" s="1"/>
  <c r="B151" i="16" a="1"/>
  <c r="B151" i="16" s="1"/>
  <c r="B143" i="16" a="1"/>
  <c r="B143" i="16" s="1"/>
  <c r="B261" i="16" a="1"/>
  <c r="B261" i="16" s="1"/>
  <c r="B387" i="16" a="1"/>
  <c r="B387" i="16" s="1"/>
  <c r="B238" i="16" a="1"/>
  <c r="B238" i="16" s="1"/>
  <c r="B501" i="16" a="1"/>
  <c r="B501" i="16" s="1"/>
  <c r="B520" i="16" a="1"/>
  <c r="B520" i="16" s="1"/>
  <c r="B423" i="16" a="1"/>
  <c r="B423" i="16" s="1"/>
  <c r="B361" i="16" a="1"/>
  <c r="B361" i="16" s="1"/>
  <c r="B122" i="16" a="1"/>
  <c r="B122" i="16" s="1"/>
  <c r="B237" i="16" a="1"/>
  <c r="B237" i="16" s="1"/>
  <c r="B6" i="16" a="1"/>
  <c r="B6" i="16" s="1"/>
  <c r="B335" i="16" a="1"/>
  <c r="B335" i="16" s="1"/>
  <c r="B181" i="16" a="1"/>
  <c r="B181" i="16" s="1"/>
  <c r="B443" i="16" a="1"/>
  <c r="B443" i="16" s="1"/>
  <c r="B384" i="16" a="1"/>
  <c r="B384" i="16" s="1"/>
  <c r="B124" i="16" a="1"/>
  <c r="B124" i="16" s="1"/>
  <c r="B130" i="16" a="1"/>
  <c r="B130" i="16" s="1"/>
  <c r="B345" i="16" a="1"/>
  <c r="B345" i="16" s="1"/>
  <c r="B253" i="16" a="1"/>
  <c r="B253" i="16" s="1"/>
  <c r="B254" i="16" a="1"/>
  <c r="B254" i="16" s="1"/>
  <c r="B467" i="16" a="1"/>
  <c r="B467" i="16" s="1"/>
  <c r="B34" i="16" a="1"/>
  <c r="B34" i="16" s="1"/>
  <c r="B509" i="16" a="1"/>
  <c r="B509" i="16" s="1"/>
  <c r="B249" i="16" a="1"/>
  <c r="B249" i="16" s="1"/>
  <c r="B374" i="16" a="1"/>
  <c r="B374" i="16" s="1"/>
  <c r="B7" i="16" a="1"/>
  <c r="B7" i="16" s="1"/>
  <c r="B222" i="16" a="1"/>
  <c r="B222" i="16" s="1"/>
  <c r="B127" i="16" a="1"/>
  <c r="B127" i="16" s="1"/>
  <c r="B368" i="16" a="1"/>
  <c r="B368" i="16" s="1"/>
  <c r="B218" i="16" a="1"/>
  <c r="B218" i="16" s="1"/>
  <c r="B492" i="16" a="1"/>
  <c r="B492" i="16" s="1"/>
  <c r="B125" i="16" a="1"/>
  <c r="B125" i="16" s="1"/>
  <c r="B370" i="16" a="1"/>
  <c r="B370" i="16" s="1"/>
  <c r="B169" i="16" a="1"/>
  <c r="B169" i="16" s="1"/>
  <c r="B381" i="16" a="1"/>
  <c r="B381" i="16" s="1"/>
  <c r="B247" i="16" a="1"/>
  <c r="B247" i="16" s="1"/>
  <c r="B341" i="16" a="1"/>
  <c r="B341" i="16" s="1"/>
  <c r="B359" i="16" a="1"/>
  <c r="B359" i="16" s="1"/>
  <c r="B494" i="16" a="1"/>
  <c r="B494" i="16" s="1"/>
  <c r="B148" i="16" a="1"/>
  <c r="B148" i="16" s="1"/>
  <c r="B135" i="16" a="1"/>
  <c r="B135" i="16" s="1"/>
  <c r="B385" i="16" a="1"/>
  <c r="B385" i="16" s="1"/>
  <c r="B47" i="16" a="1"/>
  <c r="B47" i="16" s="1"/>
  <c r="B38" i="16" a="1"/>
  <c r="B38" i="16" s="1"/>
  <c r="B65" i="16" a="1"/>
  <c r="B65" i="16" s="1"/>
  <c r="B177" i="16" a="1"/>
  <c r="B177" i="16" s="1"/>
  <c r="B52" i="16" a="1"/>
  <c r="B52" i="16" s="1"/>
  <c r="B22" i="16" a="1"/>
  <c r="B22" i="16" s="1"/>
  <c r="B412" i="16" a="1"/>
  <c r="B412" i="16" s="1"/>
  <c r="B425" i="16" a="1"/>
  <c r="B425" i="16" s="1"/>
  <c r="B215" i="16" a="1"/>
  <c r="B215" i="16" s="1"/>
  <c r="B89" i="16" a="1"/>
  <c r="B89" i="16" s="1"/>
  <c r="B430" i="16" a="1"/>
  <c r="B430" i="16" s="1"/>
  <c r="B490" i="16" a="1"/>
  <c r="B490" i="16" s="1"/>
  <c r="B90" i="16" a="1"/>
  <c r="B90" i="16" s="1"/>
  <c r="B246" i="16" a="1"/>
  <c r="B246" i="16" s="1"/>
  <c r="B92" i="16" a="1"/>
  <c r="B92" i="16" s="1"/>
  <c r="B420" i="16" a="1"/>
  <c r="B420" i="16" s="1"/>
  <c r="B232" i="16" a="1"/>
  <c r="B232" i="16" s="1"/>
  <c r="B119" i="16" a="1"/>
  <c r="B119" i="16" s="1"/>
  <c r="B507" i="16" a="1"/>
  <c r="B507" i="16" s="1"/>
  <c r="B221" i="16" a="1"/>
  <c r="B221" i="16" s="1"/>
  <c r="B239" i="16" a="1"/>
  <c r="B239" i="16" s="1"/>
  <c r="B331" i="16" a="1"/>
  <c r="B331" i="16" s="1"/>
  <c r="B176" i="16" a="1"/>
  <c r="B176" i="16" s="1"/>
  <c r="B260" i="16" a="1"/>
  <c r="B260" i="16" s="1"/>
  <c r="B278" i="16" a="1"/>
  <c r="B278" i="16" s="1"/>
  <c r="B474" i="16" a="1"/>
  <c r="B474" i="16" s="1"/>
  <c r="B225" i="16" a="1"/>
  <c r="B225" i="16" s="1"/>
  <c r="B290" i="16" a="1"/>
  <c r="B290" i="16" s="1"/>
  <c r="B245" i="16" a="1"/>
  <c r="B245" i="16" s="1"/>
  <c r="B213" i="16" a="1"/>
  <c r="B213" i="16" s="1"/>
  <c r="B200" i="16" a="1"/>
  <c r="B200" i="16" s="1"/>
  <c r="B91" i="16" a="1"/>
  <c r="B91" i="16" s="1"/>
  <c r="B159" i="16" a="1"/>
  <c r="B159" i="16" s="1"/>
  <c r="B369" i="16" a="1"/>
  <c r="B369" i="16" s="1"/>
  <c r="B401" i="16" a="1"/>
  <c r="B401" i="16" s="1"/>
  <c r="B141" i="16" a="1"/>
  <c r="B141" i="16" s="1"/>
  <c r="B24" i="16" a="1"/>
  <c r="B24" i="16" s="1"/>
  <c r="B506" i="16" a="1"/>
  <c r="B506" i="16" s="1"/>
  <c r="B220" i="16" a="1"/>
  <c r="B220" i="16" s="1"/>
  <c r="B435" i="16" a="1"/>
  <c r="B435" i="16" s="1"/>
  <c r="B21" i="16" a="1"/>
  <c r="B21" i="16" s="1"/>
  <c r="B459" i="16" a="1"/>
  <c r="B459" i="16" s="1"/>
  <c r="B105" i="16" a="1"/>
  <c r="B105" i="16" s="1"/>
  <c r="B483" i="16" a="1"/>
  <c r="B483" i="16" s="1"/>
  <c r="B397" i="16" a="1"/>
  <c r="B397" i="16" s="1"/>
  <c r="B346" i="16" a="1"/>
  <c r="B346" i="16" s="1"/>
  <c r="B217" i="16" a="1"/>
  <c r="B217" i="16" s="1"/>
  <c r="B388" i="16" a="1"/>
  <c r="B388" i="16" s="1"/>
  <c r="B456" i="16" a="1"/>
  <c r="B456" i="16" s="1"/>
  <c r="B457" i="16" a="1"/>
  <c r="B457" i="16" s="1"/>
  <c r="B402" i="16" a="1"/>
  <c r="B402" i="16" s="1"/>
  <c r="B395" i="16" a="1"/>
  <c r="B395" i="16" s="1"/>
  <c r="B396" i="16" a="1"/>
  <c r="B396" i="16" s="1"/>
  <c r="B515" i="16" a="1"/>
  <c r="B515" i="16" s="1"/>
  <c r="B185" i="16" a="1"/>
  <c r="B185" i="16" s="1"/>
  <c r="B431" i="16" a="1"/>
  <c r="B431" i="16" s="1"/>
  <c r="B511" i="16" a="1"/>
  <c r="B511" i="16" s="1"/>
  <c r="B313" i="16" a="1"/>
  <c r="B313" i="16" s="1"/>
  <c r="B413" i="16" a="1"/>
  <c r="B413" i="16" s="1"/>
  <c r="B8" i="16" a="1"/>
  <c r="B8" i="16" s="1"/>
  <c r="B191" i="16" a="1"/>
  <c r="B191" i="16" s="1"/>
  <c r="B519" i="16" a="1"/>
  <c r="B519" i="16" s="1"/>
  <c r="B291" i="16" a="1"/>
  <c r="B291" i="16" s="1"/>
  <c r="B208" i="16" a="1"/>
  <c r="B208" i="16" s="1"/>
  <c r="B53" i="16" a="1"/>
  <c r="B53" i="16" s="1"/>
  <c r="B436" i="16" a="1"/>
  <c r="B436" i="16" s="1"/>
  <c r="B61" i="16" a="1"/>
  <c r="B61" i="16" s="1"/>
  <c r="B294" i="16" a="1"/>
  <c r="B294" i="16" s="1"/>
  <c r="B274" i="16" a="1"/>
  <c r="B274" i="16" s="1"/>
  <c r="B45" i="16" a="1"/>
  <c r="B45" i="16" s="1"/>
  <c r="B198" i="16" a="1"/>
  <c r="B198" i="16" s="1"/>
  <c r="B120" i="16" a="1"/>
  <c r="B120" i="16" s="1"/>
  <c r="B101" i="16" a="1"/>
  <c r="B101" i="16" s="1"/>
  <c r="B365" i="16" a="1"/>
  <c r="B365" i="16" s="1"/>
  <c r="B197" i="16" a="1"/>
  <c r="B197" i="16" s="1"/>
  <c r="B194" i="16" a="1"/>
  <c r="B194" i="16" s="1"/>
  <c r="B195" i="16" a="1"/>
  <c r="B195" i="16" s="1"/>
  <c r="B508" i="16" a="1"/>
  <c r="B508" i="16" s="1"/>
  <c r="B187" i="16" a="1"/>
  <c r="B187" i="16" s="1"/>
  <c r="B104" i="16" a="1"/>
  <c r="B104" i="16" s="1"/>
  <c r="B16" i="16" a="1"/>
  <c r="B16" i="16" s="1"/>
  <c r="B355" i="16" a="1"/>
  <c r="B355" i="16" s="1"/>
  <c r="B307" i="16" a="1"/>
  <c r="B307" i="16" s="1"/>
  <c r="B394" i="16" a="1"/>
  <c r="B394" i="16" s="1"/>
  <c r="B165" i="16" a="1"/>
  <c r="B165" i="16" s="1"/>
  <c r="B448" i="16" a="1"/>
  <c r="B448" i="16" s="1"/>
  <c r="B283" i="16" a="1"/>
  <c r="B283" i="16" s="1"/>
  <c r="B354" i="16" a="1"/>
  <c r="B354" i="16" s="1"/>
  <c r="B439" i="16" a="1"/>
  <c r="B439" i="16" s="1"/>
  <c r="B93" i="16" a="1"/>
  <c r="B93" i="16" s="1"/>
  <c r="B363" i="16" a="1"/>
  <c r="B363" i="16" s="1"/>
  <c r="B56" i="16" a="1"/>
  <c r="B56" i="16" s="1"/>
  <c r="B293" i="16" a="1"/>
  <c r="B293" i="16" s="1"/>
  <c r="B116" i="16" a="1"/>
  <c r="B116" i="16" s="1"/>
  <c r="B451" i="16" a="1"/>
  <c r="B451" i="16" s="1"/>
  <c r="B404" i="16" a="1"/>
  <c r="B404" i="16" s="1"/>
  <c r="B20" i="16" a="1"/>
  <c r="B20" i="16" s="1"/>
  <c r="B13" i="16" a="1"/>
  <c r="B13" i="16" s="1"/>
  <c r="B326" i="16" a="1"/>
  <c r="B326" i="16" s="1"/>
  <c r="B352" i="16" a="1"/>
  <c r="B352" i="16" s="1"/>
  <c r="B271" i="16" a="1"/>
  <c r="B271" i="16" s="1"/>
  <c r="B40" i="16" a="1"/>
  <c r="B40" i="16" s="1"/>
  <c r="B54" i="16" a="1"/>
  <c r="B54" i="16" s="1"/>
  <c r="B112" i="16" a="1"/>
  <c r="B112" i="16" s="1"/>
  <c r="B360" i="16" a="1"/>
  <c r="B360" i="16" s="1"/>
  <c r="B336" i="16" a="1"/>
  <c r="B336" i="16" s="1"/>
  <c r="B498" i="16" a="1"/>
  <c r="B498" i="16" s="1"/>
  <c r="B32" i="16" a="1"/>
  <c r="B32" i="16" s="1"/>
  <c r="B166" i="16" a="1"/>
  <c r="B166" i="16" s="1"/>
  <c r="B121" i="16" a="1"/>
  <c r="B121" i="16" s="1"/>
  <c r="B482" i="16" a="1"/>
  <c r="B482" i="16" s="1"/>
  <c r="B390" i="16" a="1"/>
  <c r="B390" i="16" s="1"/>
  <c r="B338" i="16" a="1"/>
  <c r="B338" i="16" s="1"/>
  <c r="B462" i="16" a="1"/>
  <c r="B462" i="16" s="1"/>
  <c r="B178" i="16" a="1"/>
  <c r="B178" i="16" s="1"/>
  <c r="B265" i="16" a="1"/>
  <c r="B265" i="16" s="1"/>
  <c r="B210" i="16" a="1"/>
  <c r="B210" i="16" s="1"/>
  <c r="B491" i="16" a="1"/>
  <c r="B491" i="16" s="1"/>
  <c r="B196" i="16" a="1"/>
  <c r="B196" i="16" s="1"/>
  <c r="B97" i="16" a="1"/>
  <c r="B97" i="16" s="1"/>
  <c r="B337" i="16" a="1"/>
  <c r="B337" i="16" s="1"/>
  <c r="B453" i="16" a="1"/>
  <c r="B453" i="16" s="1"/>
  <c r="B320" i="16" a="1"/>
  <c r="B320" i="16" s="1"/>
  <c r="B458" i="16" a="1"/>
  <c r="B458" i="16" s="1"/>
  <c r="B376" i="16" a="1"/>
  <c r="B376" i="16" s="1"/>
  <c r="B393" i="16" a="1"/>
  <c r="B393" i="16" s="1"/>
  <c r="B193" i="16" a="1"/>
  <c r="B193" i="16" s="1"/>
  <c r="B356" i="16" a="1"/>
  <c r="B356" i="16" s="1"/>
  <c r="B516" i="16" a="1"/>
  <c r="B516" i="16" s="1"/>
  <c r="B499" i="16" a="1"/>
  <c r="B499" i="16" s="1"/>
  <c r="B306" i="16" a="1"/>
  <c r="B306" i="16" s="1"/>
  <c r="B500" i="16" a="1"/>
  <c r="B500" i="16" s="1"/>
  <c r="B367" i="16" a="1"/>
  <c r="B367" i="16" s="1"/>
  <c r="B132" i="16" a="1"/>
  <c r="B132" i="16" s="1"/>
  <c r="B502" i="16" a="1"/>
  <c r="B502" i="16" s="1"/>
  <c r="B407" i="16" a="1"/>
  <c r="B407" i="16" s="1"/>
  <c r="B55" i="16" a="1"/>
  <c r="B55" i="16" s="1"/>
  <c r="B372" i="16" a="1"/>
  <c r="B372" i="16" s="1"/>
  <c r="B421" i="16" a="1"/>
  <c r="B421" i="16" s="1"/>
  <c r="B113" i="16" a="1"/>
  <c r="B113" i="16" s="1"/>
  <c r="B484" i="16" a="1"/>
  <c r="B484" i="16" s="1"/>
  <c r="B170" i="16" a="1"/>
  <c r="B170" i="16" s="1"/>
  <c r="B58" i="16" a="1"/>
  <c r="B58" i="16" s="1"/>
  <c r="B487" i="16" a="1"/>
  <c r="B487" i="16" s="1"/>
  <c r="B270" i="16" a="1"/>
  <c r="B270" i="16" s="1"/>
  <c r="B329" i="16" a="1"/>
  <c r="B329" i="16" s="1"/>
  <c r="B157" i="16" a="1"/>
  <c r="B157" i="16" s="1"/>
  <c r="B114" i="16" a="1"/>
  <c r="B114" i="16" s="1"/>
  <c r="B371" i="16" a="1"/>
  <c r="B371" i="16" s="1"/>
  <c r="B64" i="16" a="1"/>
  <c r="B64" i="16" s="1"/>
  <c r="B460" i="16" a="1"/>
  <c r="B460" i="16" s="1"/>
  <c r="B288" i="16" a="1"/>
  <c r="B288" i="16" s="1"/>
  <c r="B117" i="16" a="1"/>
  <c r="B117" i="16" s="1"/>
  <c r="B424" i="16" a="1"/>
  <c r="B424" i="16" s="1"/>
  <c r="B216" i="16" a="1"/>
  <c r="B216" i="16" s="1"/>
  <c r="B344" i="16" a="1"/>
  <c r="B344" i="16" s="1"/>
  <c r="B236" i="16" a="1"/>
  <c r="B236" i="16" s="1"/>
  <c r="B17" i="16" a="1"/>
  <c r="B17" i="16" s="1"/>
  <c r="B469" i="16" a="1"/>
  <c r="B469" i="16" s="1"/>
  <c r="B362" i="16" a="1"/>
  <c r="B362" i="16" s="1"/>
  <c r="B299" i="16" a="1"/>
  <c r="B299" i="16" s="1"/>
  <c r="B160" i="16" a="1"/>
  <c r="B160" i="16" s="1"/>
  <c r="B348" i="16" a="1"/>
  <c r="B348" i="16" s="1"/>
  <c r="B258" i="16" a="1"/>
  <c r="B258" i="16" s="1"/>
  <c r="B497" i="16" a="1"/>
  <c r="B497" i="16" s="1"/>
  <c r="B175" i="16" a="1"/>
  <c r="B175" i="16" s="1"/>
  <c r="B66" i="16" a="1"/>
  <c r="B66" i="16" s="1"/>
  <c r="B67" i="16" a="1"/>
  <c r="B67" i="16" s="1"/>
  <c r="B68" i="16" a="1"/>
  <c r="B68" i="16" s="1"/>
  <c r="B69" i="16" a="1"/>
  <c r="B69" i="16" s="1"/>
  <c r="B70" i="16" a="1"/>
  <c r="B70" i="16" s="1"/>
  <c r="B71" i="16" a="1"/>
  <c r="B71" i="16" s="1"/>
  <c r="B72" i="16" a="1"/>
  <c r="B72" i="16" s="1"/>
  <c r="B73" i="16" a="1"/>
  <c r="B73" i="16" s="1"/>
  <c r="B74" i="16" a="1"/>
  <c r="B74" i="16" s="1"/>
  <c r="B75" i="16" a="1"/>
  <c r="B75" i="16" s="1"/>
  <c r="B76" i="16" a="1"/>
  <c r="B76" i="16" s="1"/>
  <c r="B77" i="16" a="1"/>
  <c r="B77" i="16" s="1"/>
  <c r="B224" i="16" a="1"/>
  <c r="B224" i="16" s="1"/>
  <c r="C10" i="16"/>
  <c r="C84" i="16"/>
  <c r="C495" i="16"/>
  <c r="C327" i="16"/>
  <c r="C280" i="16"/>
  <c r="C137" i="16"/>
  <c r="C340" i="16"/>
  <c r="C415" i="16"/>
  <c r="C440" i="16"/>
  <c r="C19" i="16"/>
  <c r="C167" i="16"/>
  <c r="C316" i="16"/>
  <c r="C28" i="16"/>
  <c r="C31" i="16"/>
  <c r="C242" i="16"/>
  <c r="C342" i="16"/>
  <c r="C471" i="16"/>
  <c r="C262" i="16"/>
  <c r="C417" i="16"/>
  <c r="C27" i="16"/>
  <c r="C444" i="16"/>
  <c r="C231" i="16"/>
  <c r="C504" i="16"/>
  <c r="C264" i="16"/>
  <c r="C98" i="16"/>
  <c r="C243" i="16"/>
  <c r="C334" i="16"/>
  <c r="C46" i="16"/>
  <c r="C63" i="16"/>
  <c r="C140" i="16"/>
  <c r="C279" i="16"/>
  <c r="C266" i="16"/>
  <c r="C201" i="16"/>
  <c r="C429" i="16"/>
  <c r="C428" i="16"/>
  <c r="C465" i="16"/>
  <c r="C414" i="16"/>
  <c r="C172" i="16"/>
  <c r="C317" i="16"/>
  <c r="C35" i="16"/>
  <c r="C284" i="16"/>
  <c r="C128" i="16"/>
  <c r="C145" i="16"/>
  <c r="C150" i="16"/>
  <c r="C171" i="16"/>
  <c r="C184" i="16"/>
  <c r="C468" i="16"/>
  <c r="C347" i="16"/>
  <c r="C144" i="16"/>
  <c r="C230" i="16"/>
  <c r="C496" i="16"/>
  <c r="C107" i="16"/>
  <c r="C437" i="16"/>
  <c r="C411" i="16"/>
  <c r="C99" i="16"/>
  <c r="C51" i="16"/>
  <c r="C189" i="16"/>
  <c r="C445" i="16"/>
  <c r="C505" i="16"/>
  <c r="C513" i="16"/>
  <c r="C389" i="16"/>
  <c r="C403" i="16"/>
  <c r="C434" i="16"/>
  <c r="C149" i="16"/>
  <c r="C153" i="16"/>
  <c r="C39" i="16"/>
  <c r="C333" i="16"/>
  <c r="C18" i="16"/>
  <c r="C375" i="16"/>
  <c r="C302" i="16"/>
  <c r="C240" i="16"/>
  <c r="C480" i="16"/>
  <c r="C300" i="16"/>
  <c r="C59" i="16"/>
  <c r="C292" i="16"/>
  <c r="C82" i="16"/>
  <c r="C250" i="16"/>
  <c r="C410" i="16"/>
  <c r="C273" i="16"/>
  <c r="C470" i="16"/>
  <c r="C134" i="16"/>
  <c r="C472" i="16"/>
  <c r="C409" i="16"/>
  <c r="C204" i="16"/>
  <c r="C133" i="16"/>
  <c r="C15" i="16"/>
  <c r="C29" i="16"/>
  <c r="C452" i="16"/>
  <c r="C106" i="16"/>
  <c r="C426" i="16"/>
  <c r="C312" i="16"/>
  <c r="C351" i="16"/>
  <c r="C463" i="16"/>
  <c r="C36" i="16"/>
  <c r="C156" i="16"/>
  <c r="C488" i="16"/>
  <c r="C155" i="16"/>
  <c r="C392" i="16"/>
  <c r="C287" i="16"/>
  <c r="C108" i="16"/>
  <c r="C267" i="16"/>
  <c r="C244" i="16"/>
  <c r="C118" i="16"/>
  <c r="C269" i="16"/>
  <c r="C44" i="16"/>
  <c r="C37" i="16"/>
  <c r="C447" i="16"/>
  <c r="C158" i="16"/>
  <c r="C79" i="16"/>
  <c r="C23" i="16"/>
  <c r="C80" i="16"/>
  <c r="C427" i="16"/>
  <c r="C102" i="16"/>
  <c r="C103" i="16"/>
  <c r="C241" i="16"/>
  <c r="C14" i="16"/>
  <c r="C136" i="16"/>
  <c r="C49" i="16"/>
  <c r="C357" i="16"/>
  <c r="C364" i="16"/>
  <c r="C485" i="16"/>
  <c r="C164" i="16"/>
  <c r="C442" i="16"/>
  <c r="C219" i="16"/>
  <c r="C383" i="16"/>
  <c r="C123" i="16"/>
  <c r="C350" i="16"/>
  <c r="C30" i="16"/>
  <c r="C139" i="16"/>
  <c r="C323" i="16"/>
  <c r="C190" i="16"/>
  <c r="C314" i="16"/>
  <c r="C478" i="16"/>
  <c r="C481" i="16"/>
  <c r="C43" i="16"/>
  <c r="C263" i="16"/>
  <c r="C26" i="16"/>
  <c r="C206" i="16"/>
  <c r="C319" i="16"/>
  <c r="C309" i="16"/>
  <c r="C138" i="16"/>
  <c r="C408" i="16"/>
  <c r="C297" i="16"/>
  <c r="C209" i="16"/>
  <c r="C88" i="16"/>
  <c r="C318" i="16"/>
  <c r="C281" i="16"/>
  <c r="C311" i="16"/>
  <c r="C129" i="16"/>
  <c r="C50" i="16"/>
  <c r="C373" i="16"/>
  <c r="C111" i="16"/>
  <c r="C398" i="16"/>
  <c r="C188" i="16"/>
  <c r="C41" i="16"/>
  <c r="C295" i="16"/>
  <c r="C422" i="16"/>
  <c r="C343" i="16"/>
  <c r="C446" i="16"/>
  <c r="C233" i="16"/>
  <c r="C503" i="16"/>
  <c r="C86" i="16"/>
  <c r="C489" i="16"/>
  <c r="C203" i="16"/>
  <c r="C48" i="16"/>
  <c r="C386" i="16"/>
  <c r="C473" i="16"/>
  <c r="C332" i="16"/>
  <c r="C110" i="16"/>
  <c r="C42" i="16"/>
  <c r="C328" i="16"/>
  <c r="C324" i="16"/>
  <c r="C115" i="16"/>
  <c r="C454" i="16"/>
  <c r="C229" i="16"/>
  <c r="C455" i="16"/>
  <c r="C259" i="16"/>
  <c r="C192" i="16"/>
  <c r="C400" i="16"/>
  <c r="C518" i="16"/>
  <c r="C251" i="16"/>
  <c r="C95" i="16"/>
  <c r="C126" i="16"/>
  <c r="C339" i="16"/>
  <c r="C493" i="16"/>
  <c r="C81" i="16"/>
  <c r="C78" i="16"/>
  <c r="C366" i="16"/>
  <c r="C226" i="16"/>
  <c r="C517" i="16"/>
  <c r="C174" i="16"/>
  <c r="C476" i="16"/>
  <c r="C268" i="16"/>
  <c r="C298" i="16"/>
  <c r="C228" i="16"/>
  <c r="C186" i="16"/>
  <c r="C146" i="16"/>
  <c r="C255" i="16"/>
  <c r="C257" i="16"/>
  <c r="C379" i="16"/>
  <c r="C289" i="16"/>
  <c r="C382" i="16"/>
  <c r="C358" i="16"/>
  <c r="C100" i="16"/>
  <c r="C168" i="16"/>
  <c r="C154" i="16"/>
  <c r="C322" i="16"/>
  <c r="C83" i="16"/>
  <c r="C305" i="16"/>
  <c r="C285" i="16"/>
  <c r="C477" i="16"/>
  <c r="C449" i="16"/>
  <c r="C418" i="16"/>
  <c r="C12" i="16"/>
  <c r="C450" i="16"/>
  <c r="C432" i="16"/>
  <c r="C321" i="16"/>
  <c r="C182" i="16"/>
  <c r="C353" i="16"/>
  <c r="C377" i="16"/>
  <c r="C179" i="16"/>
  <c r="C11" i="16"/>
  <c r="C162" i="16"/>
  <c r="C173" i="16"/>
  <c r="C510" i="16"/>
  <c r="C199" i="16"/>
  <c r="C308" i="16"/>
  <c r="C380" i="16"/>
  <c r="C464" i="16"/>
  <c r="C62" i="16"/>
  <c r="C211" i="16"/>
  <c r="C330" i="16"/>
  <c r="C303" i="16"/>
  <c r="C131" i="16"/>
  <c r="C85" i="16"/>
  <c r="C9" i="16"/>
  <c r="C486" i="16"/>
  <c r="C96" i="16"/>
  <c r="C282" i="16"/>
  <c r="C378" i="16"/>
  <c r="C276" i="16"/>
  <c r="C202" i="16"/>
  <c r="C248" i="16"/>
  <c r="C475" i="16"/>
  <c r="C60" i="16"/>
  <c r="C349" i="16"/>
  <c r="C223" i="16"/>
  <c r="C286" i="16"/>
  <c r="C147" i="16"/>
  <c r="C227" i="16"/>
  <c r="C214" i="16"/>
  <c r="C234" i="16"/>
  <c r="C163" i="16"/>
  <c r="C161" i="16"/>
  <c r="C433" i="16"/>
  <c r="C87" i="16"/>
  <c r="C479" i="16"/>
  <c r="C25" i="16"/>
  <c r="C180" i="16"/>
  <c r="C512" i="16"/>
  <c r="C438" i="16"/>
  <c r="C212" i="16"/>
  <c r="C275" i="16"/>
  <c r="C310" i="16"/>
  <c r="C416" i="16"/>
  <c r="C252" i="16"/>
  <c r="C4" i="16"/>
  <c r="C419" i="16"/>
  <c r="C399" i="16"/>
  <c r="C205" i="16"/>
  <c r="C325" i="16"/>
  <c r="C466" i="16"/>
  <c r="C152" i="16"/>
  <c r="C301" i="16"/>
  <c r="C277" i="16"/>
  <c r="C296" i="16"/>
  <c r="C315" i="16"/>
  <c r="C235" i="16"/>
  <c r="C461" i="16"/>
  <c r="C5" i="16"/>
  <c r="C94" i="16"/>
  <c r="C441" i="16"/>
  <c r="C514" i="16"/>
  <c r="C183" i="16"/>
  <c r="C33" i="16"/>
  <c r="C304" i="16"/>
  <c r="C406" i="16"/>
  <c r="C142" i="16"/>
  <c r="C391" i="16"/>
  <c r="C272" i="16"/>
  <c r="C256" i="16"/>
  <c r="C109" i="16"/>
  <c r="C57" i="16"/>
  <c r="C405" i="16"/>
  <c r="C207" i="16"/>
  <c r="C151" i="16"/>
  <c r="C143" i="16"/>
  <c r="C261" i="16"/>
  <c r="C387" i="16"/>
  <c r="C238" i="16"/>
  <c r="C501" i="16"/>
  <c r="C520" i="16"/>
  <c r="C423" i="16"/>
  <c r="C361" i="16"/>
  <c r="C122" i="16"/>
  <c r="C237" i="16"/>
  <c r="C6" i="16"/>
  <c r="C335" i="16"/>
  <c r="C181" i="16"/>
  <c r="C443" i="16"/>
  <c r="C384" i="16"/>
  <c r="C124" i="16"/>
  <c r="C130" i="16"/>
  <c r="C345" i="16"/>
  <c r="C253" i="16"/>
  <c r="C254" i="16"/>
  <c r="C467" i="16"/>
  <c r="C34" i="16"/>
  <c r="C509" i="16"/>
  <c r="C249" i="16"/>
  <c r="C374" i="16"/>
  <c r="C7" i="16"/>
  <c r="C222" i="16"/>
  <c r="C127" i="16"/>
  <c r="C368" i="16"/>
  <c r="C218" i="16"/>
  <c r="C492" i="16"/>
  <c r="C125" i="16"/>
  <c r="C370" i="16"/>
  <c r="C169" i="16"/>
  <c r="C381" i="16"/>
  <c r="C247" i="16"/>
  <c r="C341" i="16"/>
  <c r="C359" i="16"/>
  <c r="C494" i="16"/>
  <c r="C148" i="16"/>
  <c r="C135" i="16"/>
  <c r="C385" i="16"/>
  <c r="C47" i="16"/>
  <c r="C38" i="16"/>
  <c r="C65" i="16"/>
  <c r="C177" i="16"/>
  <c r="C52" i="16"/>
  <c r="C22" i="16"/>
  <c r="C412" i="16"/>
  <c r="C425" i="16"/>
  <c r="C215" i="16"/>
  <c r="C89" i="16"/>
  <c r="C430" i="16"/>
  <c r="C490" i="16"/>
  <c r="C90" i="16"/>
  <c r="C246" i="16"/>
  <c r="C92" i="16"/>
  <c r="C420" i="16"/>
  <c r="C232" i="16"/>
  <c r="C119" i="16"/>
  <c r="C507" i="16"/>
  <c r="C221" i="16"/>
  <c r="C239" i="16"/>
  <c r="C331" i="16"/>
  <c r="C176" i="16"/>
  <c r="C260" i="16"/>
  <c r="C278" i="16"/>
  <c r="C474" i="16"/>
  <c r="C225" i="16"/>
  <c r="C290" i="16"/>
  <c r="C245" i="16"/>
  <c r="C213" i="16"/>
  <c r="C200" i="16"/>
  <c r="C91" i="16"/>
  <c r="C159" i="16"/>
  <c r="C369" i="16"/>
  <c r="C401" i="16"/>
  <c r="C141" i="16"/>
  <c r="C24" i="16"/>
  <c r="C506" i="16"/>
  <c r="C220" i="16"/>
  <c r="C435" i="16"/>
  <c r="C21" i="16"/>
  <c r="C459" i="16"/>
  <c r="C105" i="16"/>
  <c r="C483" i="16"/>
  <c r="C397" i="16"/>
  <c r="C346" i="16"/>
  <c r="C217" i="16"/>
  <c r="C388" i="16"/>
  <c r="C456" i="16"/>
  <c r="C457" i="16"/>
  <c r="C402" i="16"/>
  <c r="C395" i="16"/>
  <c r="C396" i="16"/>
  <c r="C515" i="16"/>
  <c r="C185" i="16"/>
  <c r="C431" i="16"/>
  <c r="C511" i="16"/>
  <c r="C313" i="16"/>
  <c r="C413" i="16"/>
  <c r="C8" i="16"/>
  <c r="C191" i="16"/>
  <c r="C519" i="16"/>
  <c r="C291" i="16"/>
  <c r="C208" i="16"/>
  <c r="C53" i="16"/>
  <c r="C436" i="16"/>
  <c r="C61" i="16"/>
  <c r="C294" i="16"/>
  <c r="C274" i="16"/>
  <c r="C45" i="16"/>
  <c r="C198" i="16"/>
  <c r="C120" i="16"/>
  <c r="C101" i="16"/>
  <c r="C365" i="16"/>
  <c r="C197" i="16"/>
  <c r="C194" i="16"/>
  <c r="C195" i="16"/>
  <c r="C508" i="16"/>
  <c r="C187" i="16"/>
  <c r="C104" i="16"/>
  <c r="C16" i="16"/>
  <c r="C355" i="16"/>
  <c r="C307" i="16"/>
  <c r="C394" i="16"/>
  <c r="C165" i="16"/>
  <c r="C448" i="16"/>
  <c r="C283" i="16"/>
  <c r="C354" i="16"/>
  <c r="C439" i="16"/>
  <c r="C93" i="16"/>
  <c r="C363" i="16"/>
  <c r="C56" i="16"/>
  <c r="C293" i="16"/>
  <c r="C116" i="16"/>
  <c r="C451" i="16"/>
  <c r="C404" i="16"/>
  <c r="C20" i="16"/>
  <c r="C13" i="16"/>
  <c r="C326" i="16"/>
  <c r="C352" i="16"/>
  <c r="C271" i="16"/>
  <c r="C40" i="16"/>
  <c r="C54" i="16"/>
  <c r="C112" i="16"/>
  <c r="C360" i="16"/>
  <c r="C336" i="16"/>
  <c r="C498" i="16"/>
  <c r="C32" i="16"/>
  <c r="C166" i="16"/>
  <c r="C121" i="16"/>
  <c r="C482" i="16"/>
  <c r="C390" i="16"/>
  <c r="C338" i="16"/>
  <c r="C462" i="16"/>
  <c r="C178" i="16"/>
  <c r="C265" i="16"/>
  <c r="C210" i="16"/>
  <c r="C491" i="16"/>
  <c r="C196" i="16"/>
  <c r="C97" i="16"/>
  <c r="C337" i="16"/>
  <c r="C453" i="16"/>
  <c r="C320" i="16"/>
  <c r="C458" i="16"/>
  <c r="C376" i="16"/>
  <c r="C393" i="16"/>
  <c r="C193" i="16"/>
  <c r="C356" i="16"/>
  <c r="R356" i="16" s="1"/>
  <c r="C516" i="16"/>
  <c r="C499" i="16"/>
  <c r="C306" i="16"/>
  <c r="C500" i="16"/>
  <c r="C367" i="16"/>
  <c r="C132" i="16"/>
  <c r="C502" i="16"/>
  <c r="C407" i="16"/>
  <c r="C55" i="16"/>
  <c r="C372" i="16"/>
  <c r="C421" i="16"/>
  <c r="C113" i="16"/>
  <c r="C484" i="16"/>
  <c r="C170" i="16"/>
  <c r="C58" i="16"/>
  <c r="C487" i="16"/>
  <c r="C270" i="16"/>
  <c r="C329" i="16"/>
  <c r="C157" i="16"/>
  <c r="C114" i="16"/>
  <c r="C371" i="16"/>
  <c r="C64" i="16"/>
  <c r="C460" i="16"/>
  <c r="C288" i="16"/>
  <c r="C117" i="16"/>
  <c r="C424" i="16"/>
  <c r="C216" i="16"/>
  <c r="C344" i="16"/>
  <c r="C236" i="16"/>
  <c r="C17" i="16"/>
  <c r="C469" i="16"/>
  <c r="C362" i="16"/>
  <c r="C299" i="16"/>
  <c r="C160" i="16"/>
  <c r="C348" i="16"/>
  <c r="C258" i="16"/>
  <c r="C497" i="16"/>
  <c r="C175" i="16"/>
  <c r="C224" i="16"/>
  <c r="H4" i="4"/>
  <c r="H5" i="4"/>
  <c r="I5" i="4" s="1"/>
  <c r="H6" i="4"/>
  <c r="K6" i="4" s="1"/>
  <c r="H7" i="4"/>
  <c r="K7" i="4" s="1"/>
  <c r="I4" i="4"/>
  <c r="J4" i="4"/>
  <c r="J5" i="4"/>
  <c r="J6" i="4"/>
  <c r="I7" i="4"/>
  <c r="J7" i="4"/>
  <c r="H8" i="4"/>
  <c r="K8" i="4" s="1"/>
  <c r="J8" i="4"/>
  <c r="H9" i="4"/>
  <c r="K9" i="4" s="1"/>
  <c r="J9" i="4"/>
  <c r="H10" i="4"/>
  <c r="K10" i="4" s="1"/>
  <c r="J10" i="4"/>
  <c r="H11" i="4"/>
  <c r="K11" i="4" s="1"/>
  <c r="J11" i="4"/>
  <c r="H12" i="4"/>
  <c r="K12" i="4" s="1"/>
  <c r="J12" i="4"/>
  <c r="H13" i="4"/>
  <c r="K13" i="4" s="1"/>
  <c r="J13" i="4"/>
  <c r="H14" i="4"/>
  <c r="K14" i="4" s="1"/>
  <c r="J14" i="4"/>
  <c r="H15" i="4"/>
  <c r="J15" i="4"/>
  <c r="H16" i="4"/>
  <c r="K16" i="4" s="1"/>
  <c r="J16" i="4"/>
  <c r="H17" i="4"/>
  <c r="K17" i="4" s="1"/>
  <c r="J17" i="4"/>
  <c r="H18" i="4"/>
  <c r="K18" i="4" s="1"/>
  <c r="I18" i="4"/>
  <c r="J18" i="4"/>
  <c r="H19" i="4"/>
  <c r="K19" i="4" s="1"/>
  <c r="J19" i="4"/>
  <c r="H20" i="4"/>
  <c r="K20" i="4" s="1"/>
  <c r="J20" i="4"/>
  <c r="H21" i="4"/>
  <c r="K21" i="4" s="1"/>
  <c r="J21" i="4"/>
  <c r="H22" i="4"/>
  <c r="J22" i="4"/>
  <c r="H23" i="4"/>
  <c r="J23" i="4"/>
  <c r="H24" i="4"/>
  <c r="K24" i="4" s="1"/>
  <c r="J24" i="4"/>
  <c r="H25" i="4"/>
  <c r="K25" i="4" s="1"/>
  <c r="J25" i="4"/>
  <c r="H26" i="4"/>
  <c r="K26" i="4" s="1"/>
  <c r="J26" i="4"/>
  <c r="H27" i="4"/>
  <c r="J27" i="4"/>
  <c r="H28" i="4"/>
  <c r="K28" i="4" s="1"/>
  <c r="J28" i="4"/>
  <c r="H29" i="4"/>
  <c r="K29" i="4" s="1"/>
  <c r="J29" i="4"/>
  <c r="H30" i="4"/>
  <c r="J30" i="4"/>
  <c r="H31" i="4"/>
  <c r="J31" i="4"/>
  <c r="H32" i="4"/>
  <c r="K32" i="4" s="1"/>
  <c r="J32" i="4"/>
  <c r="H33" i="4"/>
  <c r="K33" i="4" s="1"/>
  <c r="J33" i="4"/>
  <c r="H34" i="4"/>
  <c r="J34" i="4"/>
  <c r="H35" i="4"/>
  <c r="K35" i="4" s="1"/>
  <c r="J35" i="4"/>
  <c r="H36" i="4"/>
  <c r="J36" i="4"/>
  <c r="H37" i="4"/>
  <c r="K37" i="4" s="1"/>
  <c r="J37" i="4"/>
  <c r="H38" i="4"/>
  <c r="K38" i="4" s="1"/>
  <c r="J38" i="4"/>
  <c r="H39" i="4"/>
  <c r="J39" i="4"/>
  <c r="H40" i="4"/>
  <c r="K40" i="4" s="1"/>
  <c r="J40" i="4"/>
  <c r="H41" i="4"/>
  <c r="K41" i="4" s="1"/>
  <c r="J41" i="4"/>
  <c r="H42" i="4"/>
  <c r="J42" i="4"/>
  <c r="H43" i="4"/>
  <c r="K43" i="4" s="1"/>
  <c r="J43" i="4"/>
  <c r="H44" i="4"/>
  <c r="J44" i="4"/>
  <c r="H45" i="4"/>
  <c r="K45" i="4" s="1"/>
  <c r="J45" i="4"/>
  <c r="H46" i="4"/>
  <c r="K46" i="4" s="1"/>
  <c r="J46" i="4"/>
  <c r="H47" i="4"/>
  <c r="J47" i="4"/>
  <c r="H48" i="4"/>
  <c r="K48" i="4" s="1"/>
  <c r="J48" i="4"/>
  <c r="H49" i="4"/>
  <c r="K49" i="4" s="1"/>
  <c r="J49" i="4"/>
  <c r="H50" i="4"/>
  <c r="J50" i="4"/>
  <c r="H51" i="4"/>
  <c r="K51" i="4" s="1"/>
  <c r="J51" i="4"/>
  <c r="H52" i="4"/>
  <c r="J52" i="4"/>
  <c r="H53" i="4"/>
  <c r="K53" i="4" s="1"/>
  <c r="J53" i="4"/>
  <c r="H54" i="4"/>
  <c r="K54" i="4" s="1"/>
  <c r="J54" i="4"/>
  <c r="H55" i="4"/>
  <c r="K55" i="4" s="1"/>
  <c r="J55" i="4"/>
  <c r="H56" i="4"/>
  <c r="K56" i="4" s="1"/>
  <c r="I56" i="4"/>
  <c r="J56" i="4"/>
  <c r="H57" i="4"/>
  <c r="K57" i="4" s="1"/>
  <c r="J57" i="4"/>
  <c r="H58" i="4"/>
  <c r="K58" i="4" s="1"/>
  <c r="J58" i="4"/>
  <c r="H59" i="4"/>
  <c r="K59" i="4" s="1"/>
  <c r="J59" i="4"/>
  <c r="H60" i="4"/>
  <c r="J60" i="4"/>
  <c r="H61" i="4"/>
  <c r="K61" i="4" s="1"/>
  <c r="J61" i="4"/>
  <c r="H62" i="4"/>
  <c r="J62" i="4"/>
  <c r="H63" i="4"/>
  <c r="J63" i="4"/>
  <c r="H64" i="4"/>
  <c r="K64" i="4" s="1"/>
  <c r="J64" i="4"/>
  <c r="H65" i="4"/>
  <c r="K65" i="4" s="1"/>
  <c r="J65" i="4"/>
  <c r="H66" i="4"/>
  <c r="J66" i="4"/>
  <c r="H67" i="4"/>
  <c r="J67" i="4"/>
  <c r="H68" i="4"/>
  <c r="K68" i="4" s="1"/>
  <c r="J68" i="4"/>
  <c r="H69" i="4"/>
  <c r="K69" i="4" s="1"/>
  <c r="J69" i="4"/>
  <c r="H70" i="4"/>
  <c r="J70" i="4"/>
  <c r="H71" i="4"/>
  <c r="J71" i="4"/>
  <c r="H72" i="4"/>
  <c r="J72" i="4"/>
  <c r="H73" i="4"/>
  <c r="K73" i="4" s="1"/>
  <c r="J73" i="4"/>
  <c r="H74" i="4"/>
  <c r="J74" i="4"/>
  <c r="H75" i="4"/>
  <c r="K75" i="4" s="1"/>
  <c r="J75" i="4"/>
  <c r="H76" i="4"/>
  <c r="K76" i="4" s="1"/>
  <c r="J76" i="4"/>
  <c r="H77" i="4"/>
  <c r="K77" i="4" s="1"/>
  <c r="J77" i="4"/>
  <c r="H78" i="4"/>
  <c r="J78" i="4"/>
  <c r="H79" i="4"/>
  <c r="J79" i="4"/>
  <c r="H80" i="4"/>
  <c r="K80" i="4" s="1"/>
  <c r="J80" i="4"/>
  <c r="H81" i="4"/>
  <c r="K81" i="4" s="1"/>
  <c r="J81" i="4"/>
  <c r="H82" i="4"/>
  <c r="J82" i="4"/>
  <c r="H83" i="4"/>
  <c r="K83" i="4" s="1"/>
  <c r="J83" i="4"/>
  <c r="H84" i="4"/>
  <c r="K84" i="4" s="1"/>
  <c r="J84" i="4"/>
  <c r="H85" i="4"/>
  <c r="K85" i="4" s="1"/>
  <c r="J85" i="4"/>
  <c r="H86" i="4"/>
  <c r="J86" i="4"/>
  <c r="H87" i="4"/>
  <c r="J87" i="4"/>
  <c r="H88" i="4"/>
  <c r="K88" i="4" s="1"/>
  <c r="J88" i="4"/>
  <c r="H89" i="4"/>
  <c r="K89" i="4" s="1"/>
  <c r="J89" i="4"/>
  <c r="H90" i="4"/>
  <c r="J90" i="4"/>
  <c r="H91" i="4"/>
  <c r="K91" i="4" s="1"/>
  <c r="J91" i="4"/>
  <c r="H92" i="4"/>
  <c r="I92" i="4" s="1"/>
  <c r="J92" i="4"/>
  <c r="H93" i="4"/>
  <c r="I93" i="4" s="1"/>
  <c r="J93" i="4"/>
  <c r="H94" i="4"/>
  <c r="I94" i="4" s="1"/>
  <c r="J94" i="4"/>
  <c r="H95" i="4"/>
  <c r="J95" i="4"/>
  <c r="H96" i="4"/>
  <c r="I96" i="4" s="1"/>
  <c r="J96" i="4"/>
  <c r="H97" i="4"/>
  <c r="I97" i="4" s="1"/>
  <c r="J97" i="4"/>
  <c r="H98" i="4"/>
  <c r="I98" i="4" s="1"/>
  <c r="J98" i="4"/>
  <c r="H99" i="4"/>
  <c r="I99" i="4" s="1"/>
  <c r="J99" i="4"/>
  <c r="H100" i="4"/>
  <c r="I100" i="4" s="1"/>
  <c r="J100" i="4"/>
  <c r="H101" i="4"/>
  <c r="I101" i="4" s="1"/>
  <c r="J101" i="4"/>
  <c r="H102" i="4"/>
  <c r="I102" i="4" s="1"/>
  <c r="J102" i="4"/>
  <c r="H103" i="4"/>
  <c r="J103" i="4"/>
  <c r="H104" i="4"/>
  <c r="I104" i="4" s="1"/>
  <c r="J104" i="4"/>
  <c r="H105" i="4"/>
  <c r="I105" i="4" s="1"/>
  <c r="J105" i="4"/>
  <c r="H106" i="4"/>
  <c r="I106" i="4" s="1"/>
  <c r="J106" i="4"/>
  <c r="H107" i="4"/>
  <c r="I107" i="4" s="1"/>
  <c r="J107" i="4"/>
  <c r="H108" i="4"/>
  <c r="I108" i="4" s="1"/>
  <c r="J108" i="4"/>
  <c r="H109" i="4"/>
  <c r="I109" i="4" s="1"/>
  <c r="J109" i="4"/>
  <c r="H110" i="4"/>
  <c r="I110" i="4" s="1"/>
  <c r="J110" i="4"/>
  <c r="H111" i="4"/>
  <c r="J111" i="4"/>
  <c r="H112" i="4"/>
  <c r="I112" i="4" s="1"/>
  <c r="J112" i="4"/>
  <c r="H113" i="4"/>
  <c r="I113" i="4" s="1"/>
  <c r="J113" i="4"/>
  <c r="H114" i="4"/>
  <c r="I114" i="4" s="1"/>
  <c r="J114" i="4"/>
  <c r="H115" i="4"/>
  <c r="I115" i="4" s="1"/>
  <c r="J115" i="4"/>
  <c r="H116" i="4"/>
  <c r="I116" i="4" s="1"/>
  <c r="J116" i="4"/>
  <c r="H117" i="4"/>
  <c r="I117" i="4" s="1"/>
  <c r="J117" i="4"/>
  <c r="H118" i="4"/>
  <c r="J118" i="4"/>
  <c r="H119" i="4"/>
  <c r="J119" i="4"/>
  <c r="H120" i="4"/>
  <c r="I120" i="4" s="1"/>
  <c r="J120" i="4"/>
  <c r="H121" i="4"/>
  <c r="I121" i="4" s="1"/>
  <c r="J121" i="4"/>
  <c r="H122" i="4"/>
  <c r="I122" i="4" s="1"/>
  <c r="J122" i="4"/>
  <c r="H123" i="4"/>
  <c r="I123" i="4" s="1"/>
  <c r="J123" i="4"/>
  <c r="H124" i="4"/>
  <c r="J124" i="4"/>
  <c r="H125" i="4"/>
  <c r="I125" i="4" s="1"/>
  <c r="J125" i="4"/>
  <c r="H126" i="4"/>
  <c r="I126" i="4" s="1"/>
  <c r="J126" i="4"/>
  <c r="H127" i="4"/>
  <c r="I127" i="4" s="1"/>
  <c r="J127" i="4"/>
  <c r="H128" i="4"/>
  <c r="I128" i="4" s="1"/>
  <c r="J128" i="4"/>
  <c r="H129" i="4"/>
  <c r="I129" i="4" s="1"/>
  <c r="J129" i="4"/>
  <c r="H130" i="4"/>
  <c r="I130" i="4" s="1"/>
  <c r="J130" i="4"/>
  <c r="H131" i="4"/>
  <c r="I131" i="4" s="1"/>
  <c r="J131" i="4"/>
  <c r="H132" i="4"/>
  <c r="I132" i="4" s="1"/>
  <c r="J132" i="4"/>
  <c r="H133" i="4"/>
  <c r="I133" i="4" s="1"/>
  <c r="J133" i="4"/>
  <c r="H134" i="4"/>
  <c r="I134" i="4" s="1"/>
  <c r="J134" i="4"/>
  <c r="H135" i="4"/>
  <c r="I135" i="4" s="1"/>
  <c r="J135" i="4"/>
  <c r="H136" i="4"/>
  <c r="I136" i="4" s="1"/>
  <c r="J136" i="4"/>
  <c r="H137" i="4"/>
  <c r="I137" i="4" s="1"/>
  <c r="J137" i="4"/>
  <c r="H138" i="4"/>
  <c r="J138" i="4"/>
  <c r="H139" i="4"/>
  <c r="I139" i="4" s="1"/>
  <c r="J139" i="4"/>
  <c r="H140" i="4"/>
  <c r="I140" i="4" s="1"/>
  <c r="J140" i="4"/>
  <c r="H141" i="4"/>
  <c r="J141" i="4"/>
  <c r="H142" i="4"/>
  <c r="I142" i="4" s="1"/>
  <c r="J142" i="4"/>
  <c r="H143" i="4"/>
  <c r="I143" i="4" s="1"/>
  <c r="J143" i="4"/>
  <c r="H144" i="4"/>
  <c r="I144" i="4" s="1"/>
  <c r="J144" i="4"/>
  <c r="H145" i="4"/>
  <c r="I145" i="4" s="1"/>
  <c r="J145" i="4"/>
  <c r="H146" i="4"/>
  <c r="I146" i="4" s="1"/>
  <c r="J146" i="4"/>
  <c r="K146" i="4"/>
  <c r="H147" i="4"/>
  <c r="I147" i="4" s="1"/>
  <c r="J147" i="4"/>
  <c r="H148" i="4"/>
  <c r="I148" i="4" s="1"/>
  <c r="J148" i="4"/>
  <c r="H149" i="4"/>
  <c r="I149" i="4" s="1"/>
  <c r="J149" i="4"/>
  <c r="H150" i="4"/>
  <c r="I150" i="4" s="1"/>
  <c r="J150" i="4"/>
  <c r="H151" i="4"/>
  <c r="J151" i="4"/>
  <c r="H152" i="4"/>
  <c r="J152" i="4"/>
  <c r="H153" i="4"/>
  <c r="I153" i="4" s="1"/>
  <c r="J153" i="4"/>
  <c r="H154" i="4"/>
  <c r="I154" i="4" s="1"/>
  <c r="J154" i="4"/>
  <c r="H155" i="4"/>
  <c r="I155" i="4" s="1"/>
  <c r="J155" i="4"/>
  <c r="H156" i="4"/>
  <c r="I156" i="4" s="1"/>
  <c r="J156" i="4"/>
  <c r="H157" i="4"/>
  <c r="I157" i="4" s="1"/>
  <c r="J157" i="4"/>
  <c r="H158" i="4"/>
  <c r="I158" i="4" s="1"/>
  <c r="J158" i="4"/>
  <c r="H159" i="4"/>
  <c r="J159" i="4"/>
  <c r="H160" i="4"/>
  <c r="J160" i="4"/>
  <c r="H161" i="4"/>
  <c r="I161" i="4" s="1"/>
  <c r="J161" i="4"/>
  <c r="H162" i="4"/>
  <c r="I162" i="4" s="1"/>
  <c r="J162" i="4"/>
  <c r="H163" i="4"/>
  <c r="I163" i="4" s="1"/>
  <c r="J163" i="4"/>
  <c r="H164" i="4"/>
  <c r="J164" i="4"/>
  <c r="H165" i="4"/>
  <c r="J165" i="4"/>
  <c r="H166" i="4"/>
  <c r="J166" i="4"/>
  <c r="H167" i="4"/>
  <c r="J167" i="4"/>
  <c r="H168" i="4"/>
  <c r="J168" i="4"/>
  <c r="H169" i="4"/>
  <c r="J169" i="4"/>
  <c r="H170" i="4"/>
  <c r="J170" i="4"/>
  <c r="H171" i="4"/>
  <c r="K171" i="4" s="1"/>
  <c r="J171" i="4"/>
  <c r="H172" i="4"/>
  <c r="J172" i="4"/>
  <c r="H173" i="4"/>
  <c r="J173" i="4"/>
  <c r="H174" i="4"/>
  <c r="J174" i="4"/>
  <c r="H175" i="4"/>
  <c r="J175" i="4"/>
  <c r="H176" i="4"/>
  <c r="K176" i="4" s="1"/>
  <c r="J176" i="4"/>
  <c r="H177" i="4"/>
  <c r="J177" i="4"/>
  <c r="H178" i="4"/>
  <c r="J178" i="4"/>
  <c r="H179" i="4"/>
  <c r="K179" i="4" s="1"/>
  <c r="J179" i="4"/>
  <c r="H180" i="4"/>
  <c r="J180" i="4"/>
  <c r="H181" i="4"/>
  <c r="J181" i="4"/>
  <c r="H182" i="4"/>
  <c r="J182" i="4"/>
  <c r="H183" i="4"/>
  <c r="J183" i="4"/>
  <c r="H184" i="4"/>
  <c r="J184" i="4"/>
  <c r="H185" i="4"/>
  <c r="J185" i="4"/>
  <c r="H186" i="4"/>
  <c r="J186" i="4"/>
  <c r="H187" i="4"/>
  <c r="J187" i="4"/>
  <c r="H188" i="4"/>
  <c r="J188" i="4"/>
  <c r="H189" i="4"/>
  <c r="K189" i="4" s="1"/>
  <c r="J189" i="4"/>
  <c r="H190" i="4"/>
  <c r="J190" i="4"/>
  <c r="H191" i="4"/>
  <c r="J191" i="4"/>
  <c r="H192" i="4"/>
  <c r="J192" i="4"/>
  <c r="H193" i="4"/>
  <c r="K193" i="4" s="1"/>
  <c r="I193" i="4"/>
  <c r="J193" i="4"/>
  <c r="H194" i="4"/>
  <c r="J194" i="4"/>
  <c r="H195" i="4"/>
  <c r="J195" i="4"/>
  <c r="H196" i="4"/>
  <c r="J196" i="4"/>
  <c r="H197" i="4"/>
  <c r="J197" i="4"/>
  <c r="H198" i="4"/>
  <c r="J198" i="4"/>
  <c r="H199" i="4"/>
  <c r="J199" i="4"/>
  <c r="H200" i="4"/>
  <c r="J200" i="4"/>
  <c r="H201" i="4"/>
  <c r="K201" i="4" s="1"/>
  <c r="J201" i="4"/>
  <c r="H202" i="4"/>
  <c r="J202" i="4"/>
  <c r="H203" i="4"/>
  <c r="K203" i="4" s="1"/>
  <c r="J203" i="4"/>
  <c r="H204" i="4"/>
  <c r="K204" i="4" s="1"/>
  <c r="J204" i="4"/>
  <c r="H205" i="4"/>
  <c r="J205" i="4"/>
  <c r="H206" i="4"/>
  <c r="J206" i="4"/>
  <c r="H207" i="4"/>
  <c r="J207" i="4"/>
  <c r="H208" i="4"/>
  <c r="J208" i="4"/>
  <c r="H209" i="4"/>
  <c r="J209" i="4"/>
  <c r="H210" i="4"/>
  <c r="J210" i="4"/>
  <c r="H211" i="4"/>
  <c r="J211" i="4"/>
  <c r="H212" i="4"/>
  <c r="J212" i="4"/>
  <c r="H213" i="4"/>
  <c r="J213" i="4"/>
  <c r="H214" i="4"/>
  <c r="J214" i="4"/>
  <c r="H215" i="4"/>
  <c r="K215" i="4" s="1"/>
  <c r="J215" i="4"/>
  <c r="H216" i="4"/>
  <c r="K216" i="4" s="1"/>
  <c r="J216" i="4"/>
  <c r="H217" i="4"/>
  <c r="K217" i="4" s="1"/>
  <c r="J217" i="4"/>
  <c r="H218" i="4"/>
  <c r="J218" i="4"/>
  <c r="H219" i="4"/>
  <c r="K219" i="4" s="1"/>
  <c r="J219" i="4"/>
  <c r="H220" i="4"/>
  <c r="K220" i="4" s="1"/>
  <c r="I220" i="4"/>
  <c r="J220" i="4"/>
  <c r="H221" i="4"/>
  <c r="J221" i="4"/>
  <c r="H222" i="4"/>
  <c r="J222" i="4"/>
  <c r="H223" i="4"/>
  <c r="J223" i="4"/>
  <c r="H224" i="4"/>
  <c r="J224" i="4"/>
  <c r="H225" i="4"/>
  <c r="J225" i="4"/>
  <c r="H226" i="4"/>
  <c r="J226" i="4"/>
  <c r="H227" i="4"/>
  <c r="J227" i="4"/>
  <c r="H228" i="4"/>
  <c r="J228" i="4"/>
  <c r="H229" i="4"/>
  <c r="J229" i="4"/>
  <c r="H230" i="4"/>
  <c r="J230" i="4"/>
  <c r="H231" i="4"/>
  <c r="J231" i="4"/>
  <c r="H232" i="4"/>
  <c r="J232" i="4"/>
  <c r="H233" i="4"/>
  <c r="J233" i="4"/>
  <c r="H234" i="4"/>
  <c r="J234" i="4"/>
  <c r="H235" i="4"/>
  <c r="J235" i="4"/>
  <c r="H236" i="4"/>
  <c r="J236" i="4"/>
  <c r="H237" i="4"/>
  <c r="J237" i="4"/>
  <c r="H238" i="4"/>
  <c r="J238" i="4"/>
  <c r="H239" i="4"/>
  <c r="J239" i="4"/>
  <c r="H240" i="4"/>
  <c r="J240" i="4"/>
  <c r="H241" i="4"/>
  <c r="K241" i="4" s="1"/>
  <c r="I241" i="4"/>
  <c r="J241" i="4"/>
  <c r="H242" i="4"/>
  <c r="J242" i="4"/>
  <c r="H243" i="4"/>
  <c r="J243" i="4"/>
  <c r="H244" i="4"/>
  <c r="J244" i="4"/>
  <c r="H245" i="4"/>
  <c r="J245" i="4"/>
  <c r="H246" i="4"/>
  <c r="J246" i="4"/>
  <c r="H247" i="4"/>
  <c r="J247" i="4"/>
  <c r="H248" i="4"/>
  <c r="J248" i="4"/>
  <c r="H249" i="4"/>
  <c r="K249" i="4" s="1"/>
  <c r="J249" i="4"/>
  <c r="H250" i="4"/>
  <c r="J250" i="4"/>
  <c r="H251" i="4"/>
  <c r="J251" i="4"/>
  <c r="H252" i="4"/>
  <c r="J252" i="4"/>
  <c r="H253" i="4"/>
  <c r="J253" i="4"/>
  <c r="H254" i="4"/>
  <c r="J254" i="4"/>
  <c r="H255" i="4"/>
  <c r="J255" i="4"/>
  <c r="H256" i="4"/>
  <c r="J256" i="4"/>
  <c r="H257" i="4"/>
  <c r="J257" i="4"/>
  <c r="H258" i="4"/>
  <c r="J258" i="4"/>
  <c r="H259" i="4"/>
  <c r="J259" i="4"/>
  <c r="H260" i="4"/>
  <c r="J260" i="4"/>
  <c r="H261" i="4"/>
  <c r="J261" i="4"/>
  <c r="H262" i="4"/>
  <c r="J262" i="4"/>
  <c r="H263" i="4"/>
  <c r="K263" i="4" s="1"/>
  <c r="J263" i="4"/>
  <c r="H264" i="4"/>
  <c r="J264" i="4"/>
  <c r="H265" i="4"/>
  <c r="K265" i="4" s="1"/>
  <c r="J265" i="4"/>
  <c r="H266" i="4"/>
  <c r="J266" i="4"/>
  <c r="H267" i="4"/>
  <c r="J267" i="4"/>
  <c r="H268" i="4"/>
  <c r="J268" i="4"/>
  <c r="H269" i="4"/>
  <c r="J269" i="4"/>
  <c r="H270" i="4"/>
  <c r="J270" i="4"/>
  <c r="H271" i="4"/>
  <c r="J271" i="4"/>
  <c r="H272" i="4"/>
  <c r="J272" i="4"/>
  <c r="H273" i="4"/>
  <c r="J273" i="4"/>
  <c r="H274" i="4"/>
  <c r="J274" i="4"/>
  <c r="H275" i="4"/>
  <c r="J275" i="4"/>
  <c r="H276" i="4"/>
  <c r="J276" i="4"/>
  <c r="H277" i="4"/>
  <c r="K277" i="4" s="1"/>
  <c r="I277" i="4"/>
  <c r="J277" i="4"/>
  <c r="H278" i="4"/>
  <c r="J278" i="4"/>
  <c r="H279" i="4"/>
  <c r="K279" i="4" s="1"/>
  <c r="J279" i="4"/>
  <c r="H280" i="4"/>
  <c r="J280" i="4"/>
  <c r="H281" i="4"/>
  <c r="J281" i="4"/>
  <c r="H282" i="4"/>
  <c r="J282" i="4"/>
  <c r="H283" i="4"/>
  <c r="J283" i="4"/>
  <c r="H284" i="4"/>
  <c r="J284" i="4"/>
  <c r="H285" i="4"/>
  <c r="J285" i="4"/>
  <c r="H286" i="4"/>
  <c r="J286" i="4"/>
  <c r="H287" i="4"/>
  <c r="J287" i="4"/>
  <c r="H288" i="4"/>
  <c r="J288" i="4"/>
  <c r="H289" i="4"/>
  <c r="J289" i="4"/>
  <c r="H290" i="4"/>
  <c r="J290" i="4"/>
  <c r="H291" i="4"/>
  <c r="J291" i="4"/>
  <c r="H292" i="4"/>
  <c r="J292" i="4"/>
  <c r="H293" i="4"/>
  <c r="J293" i="4"/>
  <c r="H294" i="4"/>
  <c r="J294" i="4"/>
  <c r="H295" i="4"/>
  <c r="J295" i="4"/>
  <c r="H296" i="4"/>
  <c r="J296" i="4"/>
  <c r="H297" i="4"/>
  <c r="J297" i="4"/>
  <c r="H298" i="4"/>
  <c r="J298" i="4"/>
  <c r="H299" i="4"/>
  <c r="J299" i="4"/>
  <c r="H300" i="4"/>
  <c r="J300" i="4"/>
  <c r="H301" i="4"/>
  <c r="K301" i="4" s="1"/>
  <c r="J301" i="4"/>
  <c r="H302" i="4"/>
  <c r="J302" i="4"/>
  <c r="H303" i="4"/>
  <c r="J303" i="4"/>
  <c r="H304" i="4"/>
  <c r="J304" i="4"/>
  <c r="H305" i="4"/>
  <c r="J305" i="4"/>
  <c r="H306" i="4"/>
  <c r="J306" i="4"/>
  <c r="H307" i="4"/>
  <c r="J307" i="4"/>
  <c r="H308" i="4"/>
  <c r="J308" i="4"/>
  <c r="H309" i="4"/>
  <c r="J309" i="4"/>
  <c r="H310" i="4"/>
  <c r="J310" i="4"/>
  <c r="H311" i="4"/>
  <c r="K311" i="4" s="1"/>
  <c r="J311" i="4"/>
  <c r="H312" i="4"/>
  <c r="J312" i="4"/>
  <c r="H313" i="4"/>
  <c r="J313" i="4"/>
  <c r="H314" i="4"/>
  <c r="J314" i="4"/>
  <c r="H315" i="4"/>
  <c r="J315" i="4"/>
  <c r="H316" i="4"/>
  <c r="K316" i="4" s="1"/>
  <c r="J316" i="4"/>
  <c r="H317" i="4"/>
  <c r="J317" i="4"/>
  <c r="H318" i="4"/>
  <c r="J318" i="4"/>
  <c r="H319" i="4"/>
  <c r="K319" i="4" s="1"/>
  <c r="J319" i="4"/>
  <c r="H320" i="4"/>
  <c r="J320" i="4"/>
  <c r="H321" i="4"/>
  <c r="J321" i="4"/>
  <c r="H322" i="4"/>
  <c r="J322" i="4"/>
  <c r="H323" i="4"/>
  <c r="J323" i="4"/>
  <c r="H324" i="4"/>
  <c r="K324" i="4" s="1"/>
  <c r="I324" i="4"/>
  <c r="J324" i="4"/>
  <c r="H325" i="4"/>
  <c r="J325" i="4"/>
  <c r="H326" i="4"/>
  <c r="J326" i="4"/>
  <c r="H327" i="4"/>
  <c r="K327" i="4" s="1"/>
  <c r="I327" i="4"/>
  <c r="J327" i="4"/>
  <c r="H328" i="4"/>
  <c r="J328" i="4"/>
  <c r="H329" i="4"/>
  <c r="J329" i="4"/>
  <c r="H330" i="4"/>
  <c r="J330" i="4"/>
  <c r="H331" i="4"/>
  <c r="K331" i="4" s="1"/>
  <c r="I331" i="4"/>
  <c r="J331" i="4"/>
  <c r="H332" i="4"/>
  <c r="J332" i="4"/>
  <c r="H333" i="4"/>
  <c r="J333" i="4"/>
  <c r="H334" i="4"/>
  <c r="K334" i="4" s="1"/>
  <c r="J334" i="4"/>
  <c r="H335" i="4"/>
  <c r="J335" i="4"/>
  <c r="H336" i="4"/>
  <c r="J336" i="4"/>
  <c r="H337" i="4"/>
  <c r="J337" i="4"/>
  <c r="H338" i="4"/>
  <c r="J338" i="4"/>
  <c r="H339" i="4"/>
  <c r="J339" i="4"/>
  <c r="H340" i="4"/>
  <c r="J340" i="4"/>
  <c r="H341" i="4"/>
  <c r="J341" i="4"/>
  <c r="H342" i="4"/>
  <c r="J342" i="4"/>
  <c r="H343" i="4"/>
  <c r="J343" i="4"/>
  <c r="H344" i="4"/>
  <c r="K344" i="4" s="1"/>
  <c r="J344" i="4"/>
  <c r="H345" i="4"/>
  <c r="J345" i="4"/>
  <c r="H346" i="4"/>
  <c r="J346" i="4"/>
  <c r="H347" i="4"/>
  <c r="K347" i="4" s="1"/>
  <c r="J347" i="4"/>
  <c r="H348" i="4"/>
  <c r="K348" i="4" s="1"/>
  <c r="J348" i="4"/>
  <c r="H349" i="4"/>
  <c r="J349" i="4"/>
  <c r="H350" i="4"/>
  <c r="K350" i="4" s="1"/>
  <c r="J350" i="4"/>
  <c r="H351" i="4"/>
  <c r="J351" i="4"/>
  <c r="H352" i="4"/>
  <c r="J352" i="4"/>
  <c r="H353" i="4"/>
  <c r="J353" i="4"/>
  <c r="H354" i="4"/>
  <c r="K354" i="4" s="1"/>
  <c r="J354" i="4"/>
  <c r="H355" i="4"/>
  <c r="J355" i="4"/>
  <c r="H356" i="4"/>
  <c r="J356" i="4"/>
  <c r="H357" i="4"/>
  <c r="J357" i="4"/>
  <c r="H358" i="4"/>
  <c r="J358" i="4"/>
  <c r="H359" i="4"/>
  <c r="J359" i="4"/>
  <c r="H360" i="4"/>
  <c r="K360" i="4" s="1"/>
  <c r="J360" i="4"/>
  <c r="H361" i="4"/>
  <c r="J361" i="4"/>
  <c r="H362" i="4"/>
  <c r="J362" i="4"/>
  <c r="H363" i="4"/>
  <c r="K363" i="4" s="1"/>
  <c r="J363" i="4"/>
  <c r="H364" i="4"/>
  <c r="J364" i="4"/>
  <c r="H365" i="4"/>
  <c r="J365" i="4"/>
  <c r="H366" i="4"/>
  <c r="J366" i="4"/>
  <c r="H367" i="4"/>
  <c r="K367" i="4" s="1"/>
  <c r="I367" i="4"/>
  <c r="J367" i="4"/>
  <c r="H368" i="4"/>
  <c r="J368" i="4"/>
  <c r="H369" i="4"/>
  <c r="E397" i="16" s="1"/>
  <c r="J369" i="4"/>
  <c r="H370" i="4"/>
  <c r="I370" i="4" s="1"/>
  <c r="J370" i="4"/>
  <c r="H371" i="4"/>
  <c r="J371" i="4"/>
  <c r="H372" i="4"/>
  <c r="J372" i="4"/>
  <c r="H373" i="4"/>
  <c r="J373" i="4"/>
  <c r="H374" i="4"/>
  <c r="J374" i="4"/>
  <c r="H375" i="4"/>
  <c r="J375" i="4"/>
  <c r="H376" i="4"/>
  <c r="J376" i="4"/>
  <c r="H377" i="4"/>
  <c r="J377" i="4"/>
  <c r="H378" i="4"/>
  <c r="J378" i="4"/>
  <c r="H379" i="4"/>
  <c r="J379" i="4"/>
  <c r="H380" i="4"/>
  <c r="J380" i="4"/>
  <c r="H381" i="4"/>
  <c r="J381" i="4"/>
  <c r="H382" i="4"/>
  <c r="J382" i="4"/>
  <c r="H383" i="4"/>
  <c r="J383" i="4"/>
  <c r="H384" i="4"/>
  <c r="J384" i="4"/>
  <c r="H385" i="4"/>
  <c r="J385" i="4"/>
  <c r="H386" i="4"/>
  <c r="J386" i="4"/>
  <c r="H387" i="4"/>
  <c r="J387" i="4"/>
  <c r="H388" i="4"/>
  <c r="J388" i="4"/>
  <c r="H389" i="4"/>
  <c r="J389" i="4"/>
  <c r="H390" i="4"/>
  <c r="J390" i="4"/>
  <c r="H391" i="4"/>
  <c r="J391" i="4"/>
  <c r="H392" i="4"/>
  <c r="J392" i="4"/>
  <c r="H393" i="4"/>
  <c r="J393" i="4"/>
  <c r="H394" i="4"/>
  <c r="J394" i="4"/>
  <c r="H395" i="4"/>
  <c r="J395" i="4"/>
  <c r="H396" i="4"/>
  <c r="J396" i="4"/>
  <c r="H397" i="4"/>
  <c r="J397" i="4"/>
  <c r="H398" i="4"/>
  <c r="J398" i="4"/>
  <c r="H399" i="4"/>
  <c r="J399" i="4"/>
  <c r="H400" i="4"/>
  <c r="J400" i="4"/>
  <c r="H401" i="4"/>
  <c r="J401" i="4"/>
  <c r="H402" i="4"/>
  <c r="J402" i="4"/>
  <c r="H403" i="4"/>
  <c r="J403" i="4"/>
  <c r="H404" i="4"/>
  <c r="J404" i="4"/>
  <c r="H405" i="4"/>
  <c r="J405" i="4"/>
  <c r="H406" i="4"/>
  <c r="J406" i="4"/>
  <c r="H407" i="4"/>
  <c r="J407" i="4"/>
  <c r="H408" i="4"/>
  <c r="J408" i="4"/>
  <c r="H409" i="4"/>
  <c r="J409" i="4"/>
  <c r="H410" i="4"/>
  <c r="J410" i="4"/>
  <c r="H411" i="4"/>
  <c r="J411" i="4"/>
  <c r="H412" i="4"/>
  <c r="J412" i="4"/>
  <c r="H413" i="4"/>
  <c r="J413" i="4"/>
  <c r="H414" i="4"/>
  <c r="J414" i="4"/>
  <c r="H415" i="4"/>
  <c r="J415" i="4"/>
  <c r="H416" i="4"/>
  <c r="J416" i="4"/>
  <c r="H417" i="4"/>
  <c r="J417" i="4"/>
  <c r="H418" i="4"/>
  <c r="J418" i="4"/>
  <c r="H419" i="4"/>
  <c r="J419" i="4"/>
  <c r="H420" i="4"/>
  <c r="J420" i="4"/>
  <c r="H421" i="4"/>
  <c r="J421" i="4"/>
  <c r="H422" i="4"/>
  <c r="J422" i="4"/>
  <c r="H423" i="4"/>
  <c r="J423" i="4"/>
  <c r="H424" i="4"/>
  <c r="J424" i="4"/>
  <c r="H425" i="4"/>
  <c r="J425" i="4"/>
  <c r="H426" i="4"/>
  <c r="J426" i="4"/>
  <c r="H427" i="4"/>
  <c r="J427" i="4"/>
  <c r="H428" i="4"/>
  <c r="J428" i="4"/>
  <c r="H429" i="4"/>
  <c r="J429" i="4"/>
  <c r="H430" i="4"/>
  <c r="J430" i="4"/>
  <c r="H431" i="4"/>
  <c r="J431" i="4"/>
  <c r="H432" i="4"/>
  <c r="K432" i="4" s="1"/>
  <c r="J432" i="4"/>
  <c r="H433" i="4"/>
  <c r="K433" i="4" s="1"/>
  <c r="J433" i="4"/>
  <c r="H434" i="4"/>
  <c r="J434" i="4"/>
  <c r="H435" i="4"/>
  <c r="J435" i="4"/>
  <c r="H436" i="4"/>
  <c r="K436" i="4" s="1"/>
  <c r="J436" i="4"/>
  <c r="H437" i="4"/>
  <c r="K437" i="4" s="1"/>
  <c r="J437" i="4"/>
  <c r="H438" i="4"/>
  <c r="J438" i="4"/>
  <c r="H439" i="4"/>
  <c r="J439" i="4"/>
  <c r="H440" i="4"/>
  <c r="K440" i="4" s="1"/>
  <c r="J440" i="4"/>
  <c r="H441" i="4"/>
  <c r="K441" i="4" s="1"/>
  <c r="J441" i="4"/>
  <c r="H442" i="4"/>
  <c r="J442" i="4"/>
  <c r="H443" i="4"/>
  <c r="J443" i="4"/>
  <c r="H444" i="4"/>
  <c r="K444" i="4" s="1"/>
  <c r="J444" i="4"/>
  <c r="H445" i="4"/>
  <c r="K445" i="4" s="1"/>
  <c r="J445" i="4"/>
  <c r="H446" i="4"/>
  <c r="J446" i="4"/>
  <c r="H447" i="4"/>
  <c r="K447" i="4" s="1"/>
  <c r="J447" i="4"/>
  <c r="H448" i="4"/>
  <c r="K448" i="4" s="1"/>
  <c r="J448" i="4"/>
  <c r="H449" i="4"/>
  <c r="K449" i="4" s="1"/>
  <c r="J449" i="4"/>
  <c r="H450" i="4"/>
  <c r="J450" i="4"/>
  <c r="H451" i="4"/>
  <c r="J451" i="4"/>
  <c r="H452" i="4"/>
  <c r="K452" i="4" s="1"/>
  <c r="J452" i="4"/>
  <c r="H453" i="4"/>
  <c r="K453" i="4" s="1"/>
  <c r="J453" i="4"/>
  <c r="H454" i="4"/>
  <c r="K454" i="4" s="1"/>
  <c r="J454" i="4"/>
  <c r="H455" i="4"/>
  <c r="J455" i="4"/>
  <c r="H456" i="4"/>
  <c r="K456" i="4" s="1"/>
  <c r="J456" i="4"/>
  <c r="H457" i="4"/>
  <c r="K457" i="4" s="1"/>
  <c r="J457" i="4"/>
  <c r="H458" i="4"/>
  <c r="J458" i="4"/>
  <c r="H459" i="4"/>
  <c r="J459" i="4"/>
  <c r="H460" i="4"/>
  <c r="K460" i="4" s="1"/>
  <c r="J460" i="4"/>
  <c r="H461" i="4"/>
  <c r="K461" i="4" s="1"/>
  <c r="J461" i="4"/>
  <c r="H462" i="4"/>
  <c r="J462" i="4"/>
  <c r="H463" i="4"/>
  <c r="K463" i="4" s="1"/>
  <c r="I463" i="4"/>
  <c r="J463" i="4"/>
  <c r="H464" i="4"/>
  <c r="K464" i="4" s="1"/>
  <c r="J464" i="4"/>
  <c r="H465" i="4"/>
  <c r="K465" i="4" s="1"/>
  <c r="J465" i="4"/>
  <c r="H466" i="4"/>
  <c r="K466" i="4" s="1"/>
  <c r="J466" i="4"/>
  <c r="H467" i="4"/>
  <c r="J467" i="4"/>
  <c r="H468" i="4"/>
  <c r="K468" i="4" s="1"/>
  <c r="J468" i="4"/>
  <c r="H469" i="4"/>
  <c r="K469" i="4" s="1"/>
  <c r="J469" i="4"/>
  <c r="H470" i="4"/>
  <c r="J470" i="4"/>
  <c r="H471" i="4"/>
  <c r="J471" i="4"/>
  <c r="H472" i="4"/>
  <c r="K472" i="4" s="1"/>
  <c r="J472" i="4"/>
  <c r="H473" i="4"/>
  <c r="K473" i="4" s="1"/>
  <c r="J473" i="4"/>
  <c r="H474" i="4"/>
  <c r="J474" i="4"/>
  <c r="H475" i="4"/>
  <c r="J475" i="4"/>
  <c r="H476" i="4"/>
  <c r="K476" i="4" s="1"/>
  <c r="J476" i="4"/>
  <c r="H477" i="4"/>
  <c r="K477" i="4" s="1"/>
  <c r="J477" i="4"/>
  <c r="H478" i="4"/>
  <c r="J478" i="4"/>
  <c r="H479" i="4"/>
  <c r="K479" i="4" s="1"/>
  <c r="J479" i="4"/>
  <c r="H480" i="4"/>
  <c r="K480" i="4" s="1"/>
  <c r="J480" i="4"/>
  <c r="H481" i="4"/>
  <c r="K481" i="4" s="1"/>
  <c r="J481" i="4"/>
  <c r="H482" i="4"/>
  <c r="J482" i="4"/>
  <c r="H483" i="4"/>
  <c r="J483" i="4"/>
  <c r="H484" i="4"/>
  <c r="K484" i="4" s="1"/>
  <c r="J484" i="4"/>
  <c r="H485" i="4"/>
  <c r="K485" i="4" s="1"/>
  <c r="J485" i="4"/>
  <c r="H486" i="4"/>
  <c r="K486" i="4" s="1"/>
  <c r="J486" i="4"/>
  <c r="H487" i="4"/>
  <c r="J487" i="4"/>
  <c r="H488" i="4"/>
  <c r="K488" i="4" s="1"/>
  <c r="J488" i="4"/>
  <c r="H489" i="4"/>
  <c r="K489" i="4" s="1"/>
  <c r="J489" i="4"/>
  <c r="H490" i="4"/>
  <c r="J490" i="4"/>
  <c r="H491" i="4"/>
  <c r="J491" i="4"/>
  <c r="H492" i="4"/>
  <c r="K492" i="4" s="1"/>
  <c r="J492" i="4"/>
  <c r="H493" i="4"/>
  <c r="K493" i="4" s="1"/>
  <c r="J493" i="4"/>
  <c r="H494" i="4"/>
  <c r="J494" i="4"/>
  <c r="H495" i="4"/>
  <c r="K495" i="4" s="1"/>
  <c r="I495" i="4"/>
  <c r="J495" i="4"/>
  <c r="H496" i="4"/>
  <c r="K496" i="4" s="1"/>
  <c r="J496" i="4"/>
  <c r="H497" i="4"/>
  <c r="K497" i="4" s="1"/>
  <c r="J497" i="4"/>
  <c r="H498" i="4"/>
  <c r="J498" i="4"/>
  <c r="H499" i="4"/>
  <c r="J499" i="4"/>
  <c r="H500" i="4"/>
  <c r="K500" i="4" s="1"/>
  <c r="J500" i="4"/>
  <c r="H501" i="4"/>
  <c r="K501" i="4" s="1"/>
  <c r="J501" i="4"/>
  <c r="H502" i="4"/>
  <c r="K502" i="4" s="1"/>
  <c r="J502" i="4"/>
  <c r="H503" i="4"/>
  <c r="J503" i="4"/>
  <c r="H504" i="4"/>
  <c r="K504" i="4" s="1"/>
  <c r="J504" i="4"/>
  <c r="H505" i="4"/>
  <c r="K505" i="4" s="1"/>
  <c r="J505" i="4"/>
  <c r="H506" i="4"/>
  <c r="J506" i="4"/>
  <c r="H507" i="4"/>
  <c r="J507" i="4"/>
  <c r="H508" i="4"/>
  <c r="K508" i="4" s="1"/>
  <c r="J508" i="4"/>
  <c r="P340" i="16"/>
  <c r="K340" i="16" s="1" a="1"/>
  <c r="K340" i="16" s="1"/>
  <c r="P415" i="16"/>
  <c r="K415" i="16" s="1" a="1"/>
  <c r="K415" i="16" s="1"/>
  <c r="P417" i="16"/>
  <c r="K417" i="16" s="1" a="1"/>
  <c r="K417" i="16" s="1"/>
  <c r="P264" i="16"/>
  <c r="K264" i="16" s="1" a="1"/>
  <c r="K264" i="16" s="1"/>
  <c r="P46" i="16"/>
  <c r="K46" i="16" s="1" a="1"/>
  <c r="K46" i="16" s="1"/>
  <c r="P428" i="16"/>
  <c r="K428" i="16" s="1" a="1"/>
  <c r="K428" i="16" s="1"/>
  <c r="P317" i="16"/>
  <c r="K317" i="16" s="1" a="1"/>
  <c r="K317" i="16" s="1"/>
  <c r="P35" i="16"/>
  <c r="K35" i="16" s="1" a="1"/>
  <c r="K35" i="16" s="1"/>
  <c r="P496" i="16"/>
  <c r="K496" i="16" s="1" a="1"/>
  <c r="K496" i="16" s="1"/>
  <c r="P51" i="16"/>
  <c r="K51" i="16" s="1" a="1"/>
  <c r="K51" i="16" s="1"/>
  <c r="P149" i="16"/>
  <c r="K149" i="16" s="1" a="1"/>
  <c r="K149" i="16" s="1"/>
  <c r="P488" i="16"/>
  <c r="K488" i="16" s="1" a="1"/>
  <c r="K488" i="16" s="1"/>
  <c r="P118" i="16"/>
  <c r="K118" i="16" s="1" a="1"/>
  <c r="K118" i="16" s="1"/>
  <c r="P30" i="16"/>
  <c r="K30" i="16" s="1" a="1"/>
  <c r="K30" i="16" s="1"/>
  <c r="P289" i="16"/>
  <c r="K289" i="16" s="1" a="1"/>
  <c r="K289" i="16" s="1"/>
  <c r="F465" i="16"/>
  <c r="F279" i="16"/>
  <c r="E465" i="16"/>
  <c r="E279" i="16"/>
  <c r="E18" i="16"/>
  <c r="G18" i="16"/>
  <c r="H18" i="16" s="1"/>
  <c r="L18" i="16"/>
  <c r="R18" i="16"/>
  <c r="S18" i="16"/>
  <c r="I231" i="16"/>
  <c r="D224" i="16"/>
  <c r="E224" i="16"/>
  <c r="G224" i="16"/>
  <c r="H224" i="16" s="1"/>
  <c r="I224" i="16"/>
  <c r="L224" i="16"/>
  <c r="N224" i="16" s="1"/>
  <c r="R224" i="16"/>
  <c r="S224" i="16"/>
  <c r="V224" i="16"/>
  <c r="R516" i="16"/>
  <c r="E280" i="16"/>
  <c r="G280" i="16"/>
  <c r="H280" i="16" s="1"/>
  <c r="I280" i="16"/>
  <c r="L280" i="16"/>
  <c r="R280" i="16"/>
  <c r="S280" i="16"/>
  <c r="V280" i="16"/>
  <c r="E415" i="16"/>
  <c r="G415" i="16"/>
  <c r="H415" i="16" s="1"/>
  <c r="I415" i="16"/>
  <c r="L415" i="16"/>
  <c r="R415" i="16"/>
  <c r="S415" i="16"/>
  <c r="V415" i="16"/>
  <c r="R19" i="16"/>
  <c r="F342" i="16"/>
  <c r="G342" i="16"/>
  <c r="H342" i="16" s="1"/>
  <c r="I342" i="16"/>
  <c r="R342" i="16"/>
  <c r="S342" i="16"/>
  <c r="V342" i="16"/>
  <c r="R9" i="27"/>
  <c r="K888" i="4"/>
  <c r="J888" i="4"/>
  <c r="I888" i="4"/>
  <c r="H888" i="4"/>
  <c r="K887" i="4"/>
  <c r="J887" i="4"/>
  <c r="I887" i="4"/>
  <c r="H887" i="4"/>
  <c r="K886" i="4"/>
  <c r="J886" i="4"/>
  <c r="I886" i="4"/>
  <c r="H886" i="4"/>
  <c r="K885" i="4"/>
  <c r="J885" i="4"/>
  <c r="I885" i="4"/>
  <c r="H885" i="4"/>
  <c r="K884" i="4"/>
  <c r="J884" i="4"/>
  <c r="I884" i="4"/>
  <c r="H884" i="4"/>
  <c r="K883" i="4"/>
  <c r="J883" i="4"/>
  <c r="I883" i="4"/>
  <c r="H883" i="4"/>
  <c r="K882" i="4"/>
  <c r="J882" i="4"/>
  <c r="I882" i="4"/>
  <c r="H882" i="4"/>
  <c r="K881" i="4"/>
  <c r="J881" i="4"/>
  <c r="I881" i="4"/>
  <c r="H881" i="4"/>
  <c r="K880" i="4"/>
  <c r="J880" i="4"/>
  <c r="I880" i="4"/>
  <c r="H880" i="4"/>
  <c r="K879" i="4"/>
  <c r="J879" i="4"/>
  <c r="I879" i="4"/>
  <c r="H879" i="4"/>
  <c r="K878" i="4"/>
  <c r="J878" i="4"/>
  <c r="I878" i="4"/>
  <c r="H878" i="4"/>
  <c r="K877" i="4"/>
  <c r="J877" i="4"/>
  <c r="I877" i="4"/>
  <c r="H877" i="4"/>
  <c r="K876" i="4"/>
  <c r="J876" i="4"/>
  <c r="I876" i="4"/>
  <c r="H876" i="4"/>
  <c r="K875" i="4"/>
  <c r="J875" i="4"/>
  <c r="I875" i="4"/>
  <c r="H875" i="4"/>
  <c r="K874" i="4"/>
  <c r="J874" i="4"/>
  <c r="I874" i="4"/>
  <c r="H874" i="4"/>
  <c r="K873" i="4"/>
  <c r="J873" i="4"/>
  <c r="I873" i="4"/>
  <c r="H873" i="4"/>
  <c r="K872" i="4"/>
  <c r="J872" i="4"/>
  <c r="I872" i="4"/>
  <c r="H872" i="4"/>
  <c r="K871" i="4"/>
  <c r="J871" i="4"/>
  <c r="I871" i="4"/>
  <c r="H871" i="4"/>
  <c r="K870" i="4"/>
  <c r="J870" i="4"/>
  <c r="I870" i="4"/>
  <c r="H870" i="4"/>
  <c r="K869" i="4"/>
  <c r="J869" i="4"/>
  <c r="I869" i="4"/>
  <c r="H869" i="4"/>
  <c r="K868" i="4"/>
  <c r="J868" i="4"/>
  <c r="I868" i="4"/>
  <c r="H868" i="4"/>
  <c r="K867" i="4"/>
  <c r="J867" i="4"/>
  <c r="I867" i="4"/>
  <c r="H867" i="4"/>
  <c r="K866" i="4"/>
  <c r="J866" i="4"/>
  <c r="I866" i="4"/>
  <c r="H866" i="4"/>
  <c r="K865" i="4"/>
  <c r="J865" i="4"/>
  <c r="I865" i="4"/>
  <c r="H865" i="4"/>
  <c r="K864" i="4"/>
  <c r="J864" i="4"/>
  <c r="I864" i="4"/>
  <c r="H864" i="4"/>
  <c r="K863" i="4"/>
  <c r="J863" i="4"/>
  <c r="I863" i="4"/>
  <c r="H863" i="4"/>
  <c r="K862" i="4"/>
  <c r="J862" i="4"/>
  <c r="I862" i="4"/>
  <c r="H862" i="4"/>
  <c r="K861" i="4"/>
  <c r="J861" i="4"/>
  <c r="I861" i="4"/>
  <c r="H861" i="4"/>
  <c r="K860" i="4"/>
  <c r="J860" i="4"/>
  <c r="I860" i="4"/>
  <c r="H860" i="4"/>
  <c r="K859" i="4"/>
  <c r="J859" i="4"/>
  <c r="I859" i="4"/>
  <c r="H859" i="4"/>
  <c r="K858" i="4"/>
  <c r="J858" i="4"/>
  <c r="I858" i="4"/>
  <c r="H858" i="4"/>
  <c r="K857" i="4"/>
  <c r="J857" i="4"/>
  <c r="I857" i="4"/>
  <c r="H857" i="4"/>
  <c r="K856" i="4"/>
  <c r="J856" i="4"/>
  <c r="I856" i="4"/>
  <c r="H856" i="4"/>
  <c r="K855" i="4"/>
  <c r="J855" i="4"/>
  <c r="I855" i="4"/>
  <c r="H855" i="4"/>
  <c r="K854" i="4"/>
  <c r="J854" i="4"/>
  <c r="I854" i="4"/>
  <c r="H854" i="4"/>
  <c r="K853" i="4"/>
  <c r="J853" i="4"/>
  <c r="I853" i="4"/>
  <c r="H853" i="4"/>
  <c r="K852" i="4"/>
  <c r="J852" i="4"/>
  <c r="I852" i="4"/>
  <c r="H852" i="4"/>
  <c r="K851" i="4"/>
  <c r="J851" i="4"/>
  <c r="I851" i="4"/>
  <c r="H851" i="4"/>
  <c r="K850" i="4"/>
  <c r="J850" i="4"/>
  <c r="I850" i="4"/>
  <c r="H850" i="4"/>
  <c r="K849" i="4"/>
  <c r="J849" i="4"/>
  <c r="I849" i="4"/>
  <c r="H849" i="4"/>
  <c r="K848" i="4"/>
  <c r="J848" i="4"/>
  <c r="I848" i="4"/>
  <c r="H848" i="4"/>
  <c r="K847" i="4"/>
  <c r="J847" i="4"/>
  <c r="I847" i="4"/>
  <c r="H847" i="4"/>
  <c r="K846" i="4"/>
  <c r="J846" i="4"/>
  <c r="I846" i="4"/>
  <c r="H846" i="4"/>
  <c r="K845" i="4"/>
  <c r="J845" i="4"/>
  <c r="I845" i="4"/>
  <c r="H845" i="4"/>
  <c r="K844" i="4"/>
  <c r="J844" i="4"/>
  <c r="I844" i="4"/>
  <c r="H844" i="4"/>
  <c r="K843" i="4"/>
  <c r="J843" i="4"/>
  <c r="I843" i="4"/>
  <c r="H843" i="4"/>
  <c r="K842" i="4"/>
  <c r="J842" i="4"/>
  <c r="I842" i="4"/>
  <c r="H842" i="4"/>
  <c r="K841" i="4"/>
  <c r="J841" i="4"/>
  <c r="I841" i="4"/>
  <c r="H841" i="4"/>
  <c r="K840" i="4"/>
  <c r="J840" i="4"/>
  <c r="I840" i="4"/>
  <c r="H840" i="4"/>
  <c r="K839" i="4"/>
  <c r="J839" i="4"/>
  <c r="I839" i="4"/>
  <c r="H839" i="4"/>
  <c r="K838" i="4"/>
  <c r="J838" i="4"/>
  <c r="I838" i="4"/>
  <c r="H838" i="4"/>
  <c r="K837" i="4"/>
  <c r="J837" i="4"/>
  <c r="I837" i="4"/>
  <c r="H837" i="4"/>
  <c r="K836" i="4"/>
  <c r="J836" i="4"/>
  <c r="I836" i="4"/>
  <c r="H836" i="4"/>
  <c r="K835" i="4"/>
  <c r="J835" i="4"/>
  <c r="I835" i="4"/>
  <c r="H835" i="4"/>
  <c r="K834" i="4"/>
  <c r="J834" i="4"/>
  <c r="I834" i="4"/>
  <c r="H834" i="4"/>
  <c r="K833" i="4"/>
  <c r="J833" i="4"/>
  <c r="I833" i="4"/>
  <c r="H833" i="4"/>
  <c r="K832" i="4"/>
  <c r="J832" i="4"/>
  <c r="I832" i="4"/>
  <c r="H832" i="4"/>
  <c r="K831" i="4"/>
  <c r="J831" i="4"/>
  <c r="I831" i="4"/>
  <c r="H831" i="4"/>
  <c r="K830" i="4"/>
  <c r="J830" i="4"/>
  <c r="I830" i="4"/>
  <c r="H830" i="4"/>
  <c r="K829" i="4"/>
  <c r="J829" i="4"/>
  <c r="I829" i="4"/>
  <c r="H829" i="4"/>
  <c r="K828" i="4"/>
  <c r="J828" i="4"/>
  <c r="I828" i="4"/>
  <c r="H828" i="4"/>
  <c r="K827" i="4"/>
  <c r="J827" i="4"/>
  <c r="I827" i="4"/>
  <c r="H827" i="4"/>
  <c r="K826" i="4"/>
  <c r="J826" i="4"/>
  <c r="I826" i="4"/>
  <c r="H826" i="4"/>
  <c r="K825" i="4"/>
  <c r="J825" i="4"/>
  <c r="I825" i="4"/>
  <c r="H825" i="4"/>
  <c r="K824" i="4"/>
  <c r="J824" i="4"/>
  <c r="I824" i="4"/>
  <c r="H824" i="4"/>
  <c r="K823" i="4"/>
  <c r="J823" i="4"/>
  <c r="I823" i="4"/>
  <c r="H823" i="4"/>
  <c r="K822" i="4"/>
  <c r="J822" i="4"/>
  <c r="I822" i="4"/>
  <c r="H822" i="4"/>
  <c r="K821" i="4"/>
  <c r="J821" i="4"/>
  <c r="I821" i="4"/>
  <c r="H821" i="4"/>
  <c r="K820" i="4"/>
  <c r="J820" i="4"/>
  <c r="I820" i="4"/>
  <c r="H820" i="4"/>
  <c r="K819" i="4"/>
  <c r="J819" i="4"/>
  <c r="I819" i="4"/>
  <c r="H819" i="4"/>
  <c r="K818" i="4"/>
  <c r="J818" i="4"/>
  <c r="I818" i="4"/>
  <c r="H818" i="4"/>
  <c r="K817" i="4"/>
  <c r="J817" i="4"/>
  <c r="I817" i="4"/>
  <c r="H817" i="4"/>
  <c r="K816" i="4"/>
  <c r="J816" i="4"/>
  <c r="I816" i="4"/>
  <c r="H816" i="4"/>
  <c r="K815" i="4"/>
  <c r="J815" i="4"/>
  <c r="I815" i="4"/>
  <c r="H815" i="4"/>
  <c r="K814" i="4"/>
  <c r="J814" i="4"/>
  <c r="I814" i="4"/>
  <c r="H814" i="4"/>
  <c r="K813" i="4"/>
  <c r="J813" i="4"/>
  <c r="I813" i="4"/>
  <c r="H813" i="4"/>
  <c r="K812" i="4"/>
  <c r="J812" i="4"/>
  <c r="I812" i="4"/>
  <c r="H812" i="4"/>
  <c r="K811" i="4"/>
  <c r="J811" i="4"/>
  <c r="I811" i="4"/>
  <c r="H811" i="4"/>
  <c r="K810" i="4"/>
  <c r="J810" i="4"/>
  <c r="I810" i="4"/>
  <c r="H810" i="4"/>
  <c r="K809" i="4"/>
  <c r="J809" i="4"/>
  <c r="I809" i="4"/>
  <c r="H809" i="4"/>
  <c r="K808" i="4"/>
  <c r="J808" i="4"/>
  <c r="I808" i="4"/>
  <c r="H808" i="4"/>
  <c r="K807" i="4"/>
  <c r="J807" i="4"/>
  <c r="I807" i="4"/>
  <c r="H807" i="4"/>
  <c r="K806" i="4"/>
  <c r="J806" i="4"/>
  <c r="I806" i="4"/>
  <c r="H806" i="4"/>
  <c r="K805" i="4"/>
  <c r="J805" i="4"/>
  <c r="I805" i="4"/>
  <c r="H805" i="4"/>
  <c r="K804" i="4"/>
  <c r="J804" i="4"/>
  <c r="I804" i="4"/>
  <c r="H804" i="4"/>
  <c r="K803" i="4"/>
  <c r="J803" i="4"/>
  <c r="I803" i="4"/>
  <c r="H803" i="4"/>
  <c r="K802" i="4"/>
  <c r="J802" i="4"/>
  <c r="I802" i="4"/>
  <c r="H802" i="4"/>
  <c r="K801" i="4"/>
  <c r="J801" i="4"/>
  <c r="I801" i="4"/>
  <c r="H801" i="4"/>
  <c r="K800" i="4"/>
  <c r="J800" i="4"/>
  <c r="I800" i="4"/>
  <c r="H800" i="4"/>
  <c r="K799" i="4"/>
  <c r="J799" i="4"/>
  <c r="I799" i="4"/>
  <c r="H799" i="4"/>
  <c r="K798" i="4"/>
  <c r="J798" i="4"/>
  <c r="I798" i="4"/>
  <c r="H798" i="4"/>
  <c r="K797" i="4"/>
  <c r="J797" i="4"/>
  <c r="I797" i="4"/>
  <c r="H797" i="4"/>
  <c r="K796" i="4"/>
  <c r="J796" i="4"/>
  <c r="I796" i="4"/>
  <c r="H796" i="4"/>
  <c r="K795" i="4"/>
  <c r="J795" i="4"/>
  <c r="I795" i="4"/>
  <c r="H795" i="4"/>
  <c r="K794" i="4"/>
  <c r="J794" i="4"/>
  <c r="I794" i="4"/>
  <c r="H794" i="4"/>
  <c r="K793" i="4"/>
  <c r="J793" i="4"/>
  <c r="I793" i="4"/>
  <c r="H793" i="4"/>
  <c r="K792" i="4"/>
  <c r="J792" i="4"/>
  <c r="I792" i="4"/>
  <c r="H792" i="4"/>
  <c r="K791" i="4"/>
  <c r="J791" i="4"/>
  <c r="I791" i="4"/>
  <c r="H791" i="4"/>
  <c r="K790" i="4"/>
  <c r="J790" i="4"/>
  <c r="I790" i="4"/>
  <c r="H790" i="4"/>
  <c r="K789" i="4"/>
  <c r="J789" i="4"/>
  <c r="I789" i="4"/>
  <c r="H789" i="4"/>
  <c r="K788" i="4"/>
  <c r="J788" i="4"/>
  <c r="I788" i="4"/>
  <c r="H788" i="4"/>
  <c r="K787" i="4"/>
  <c r="J787" i="4"/>
  <c r="I787" i="4"/>
  <c r="H787" i="4"/>
  <c r="K786" i="4"/>
  <c r="J786" i="4"/>
  <c r="I786" i="4"/>
  <c r="H786" i="4"/>
  <c r="K785" i="4"/>
  <c r="J785" i="4"/>
  <c r="I785" i="4"/>
  <c r="H785" i="4"/>
  <c r="K784" i="4"/>
  <c r="J784" i="4"/>
  <c r="I784" i="4"/>
  <c r="H784" i="4"/>
  <c r="K783" i="4"/>
  <c r="J783" i="4"/>
  <c r="I783" i="4"/>
  <c r="H783" i="4"/>
  <c r="K782" i="4"/>
  <c r="J782" i="4"/>
  <c r="I782" i="4"/>
  <c r="H782" i="4"/>
  <c r="K781" i="4"/>
  <c r="J781" i="4"/>
  <c r="I781" i="4"/>
  <c r="H781" i="4"/>
  <c r="K780" i="4"/>
  <c r="J780" i="4"/>
  <c r="I780" i="4"/>
  <c r="H780" i="4"/>
  <c r="K779" i="4"/>
  <c r="J779" i="4"/>
  <c r="I779" i="4"/>
  <c r="H779" i="4"/>
  <c r="K778" i="4"/>
  <c r="J778" i="4"/>
  <c r="I778" i="4"/>
  <c r="H778" i="4"/>
  <c r="K777" i="4"/>
  <c r="J777" i="4"/>
  <c r="I777" i="4"/>
  <c r="H777" i="4"/>
  <c r="K776" i="4"/>
  <c r="J776" i="4"/>
  <c r="I776" i="4"/>
  <c r="H776" i="4"/>
  <c r="K775" i="4"/>
  <c r="J775" i="4"/>
  <c r="I775" i="4"/>
  <c r="H775" i="4"/>
  <c r="K774" i="4"/>
  <c r="J774" i="4"/>
  <c r="I774" i="4"/>
  <c r="H774" i="4"/>
  <c r="K773" i="4"/>
  <c r="J773" i="4"/>
  <c r="I773" i="4"/>
  <c r="H773" i="4"/>
  <c r="K772" i="4"/>
  <c r="J772" i="4"/>
  <c r="I772" i="4"/>
  <c r="H772" i="4"/>
  <c r="K771" i="4"/>
  <c r="J771" i="4"/>
  <c r="I771" i="4"/>
  <c r="H771" i="4"/>
  <c r="K770" i="4"/>
  <c r="J770" i="4"/>
  <c r="I770" i="4"/>
  <c r="H770" i="4"/>
  <c r="K769" i="4"/>
  <c r="J769" i="4"/>
  <c r="I769" i="4"/>
  <c r="H769" i="4"/>
  <c r="K768" i="4"/>
  <c r="J768" i="4"/>
  <c r="I768" i="4"/>
  <c r="H768" i="4"/>
  <c r="K767" i="4"/>
  <c r="J767" i="4"/>
  <c r="I767" i="4"/>
  <c r="H767" i="4"/>
  <c r="K766" i="4"/>
  <c r="J766" i="4"/>
  <c r="I766" i="4"/>
  <c r="H766" i="4"/>
  <c r="K765" i="4"/>
  <c r="J765" i="4"/>
  <c r="I765" i="4"/>
  <c r="H765" i="4"/>
  <c r="K764" i="4"/>
  <c r="J764" i="4"/>
  <c r="I764" i="4"/>
  <c r="H764" i="4"/>
  <c r="K763" i="4"/>
  <c r="J763" i="4"/>
  <c r="I763" i="4"/>
  <c r="H763" i="4"/>
  <c r="K762" i="4"/>
  <c r="J762" i="4"/>
  <c r="I762" i="4"/>
  <c r="H762" i="4"/>
  <c r="K761" i="4"/>
  <c r="J761" i="4"/>
  <c r="I761" i="4"/>
  <c r="H761" i="4"/>
  <c r="K760" i="4"/>
  <c r="J760" i="4"/>
  <c r="I760" i="4"/>
  <c r="H760" i="4"/>
  <c r="K759" i="4"/>
  <c r="J759" i="4"/>
  <c r="I759" i="4"/>
  <c r="H759" i="4"/>
  <c r="K758" i="4"/>
  <c r="J758" i="4"/>
  <c r="I758" i="4"/>
  <c r="H758" i="4"/>
  <c r="K757" i="4"/>
  <c r="J757" i="4"/>
  <c r="I757" i="4"/>
  <c r="H757" i="4"/>
  <c r="K756" i="4"/>
  <c r="J756" i="4"/>
  <c r="I756" i="4"/>
  <c r="H756" i="4"/>
  <c r="K755" i="4"/>
  <c r="J755" i="4"/>
  <c r="I755" i="4"/>
  <c r="H755" i="4"/>
  <c r="K754" i="4"/>
  <c r="J754" i="4"/>
  <c r="I754" i="4"/>
  <c r="H754" i="4"/>
  <c r="K753" i="4"/>
  <c r="J753" i="4"/>
  <c r="I753" i="4"/>
  <c r="H753" i="4"/>
  <c r="K752" i="4"/>
  <c r="J752" i="4"/>
  <c r="I752" i="4"/>
  <c r="H752" i="4"/>
  <c r="K751" i="4"/>
  <c r="J751" i="4"/>
  <c r="I751" i="4"/>
  <c r="H751" i="4"/>
  <c r="K750" i="4"/>
  <c r="J750" i="4"/>
  <c r="I750" i="4"/>
  <c r="H750" i="4"/>
  <c r="K749" i="4"/>
  <c r="J749" i="4"/>
  <c r="I749" i="4"/>
  <c r="H749" i="4"/>
  <c r="K748" i="4"/>
  <c r="J748" i="4"/>
  <c r="I748" i="4"/>
  <c r="H748" i="4"/>
  <c r="K747" i="4"/>
  <c r="J747" i="4"/>
  <c r="I747" i="4"/>
  <c r="H747" i="4"/>
  <c r="K746" i="4"/>
  <c r="J746" i="4"/>
  <c r="I746" i="4"/>
  <c r="H746" i="4"/>
  <c r="K745" i="4"/>
  <c r="J745" i="4"/>
  <c r="I745" i="4"/>
  <c r="H745" i="4"/>
  <c r="K744" i="4"/>
  <c r="J744" i="4"/>
  <c r="I744" i="4"/>
  <c r="H744" i="4"/>
  <c r="K743" i="4"/>
  <c r="J743" i="4"/>
  <c r="I743" i="4"/>
  <c r="H743" i="4"/>
  <c r="K742" i="4"/>
  <c r="J742" i="4"/>
  <c r="I742" i="4"/>
  <c r="H742" i="4"/>
  <c r="K741" i="4"/>
  <c r="J741" i="4"/>
  <c r="I741" i="4"/>
  <c r="H741" i="4"/>
  <c r="K740" i="4"/>
  <c r="J740" i="4"/>
  <c r="I740" i="4"/>
  <c r="H740" i="4"/>
  <c r="K739" i="4"/>
  <c r="J739" i="4"/>
  <c r="I739" i="4"/>
  <c r="H739" i="4"/>
  <c r="K738" i="4"/>
  <c r="J738" i="4"/>
  <c r="I738" i="4"/>
  <c r="H738" i="4"/>
  <c r="K737" i="4"/>
  <c r="J737" i="4"/>
  <c r="I737" i="4"/>
  <c r="H737" i="4"/>
  <c r="K736" i="4"/>
  <c r="J736" i="4"/>
  <c r="I736" i="4"/>
  <c r="H736" i="4"/>
  <c r="K735" i="4"/>
  <c r="J735" i="4"/>
  <c r="I735" i="4"/>
  <c r="H735" i="4"/>
  <c r="K734" i="4"/>
  <c r="J734" i="4"/>
  <c r="I734" i="4"/>
  <c r="H734" i="4"/>
  <c r="K733" i="4"/>
  <c r="J733" i="4"/>
  <c r="I733" i="4"/>
  <c r="H733" i="4"/>
  <c r="K732" i="4"/>
  <c r="J732" i="4"/>
  <c r="I732" i="4"/>
  <c r="H732" i="4"/>
  <c r="K731" i="4"/>
  <c r="J731" i="4"/>
  <c r="I731" i="4"/>
  <c r="H731" i="4"/>
  <c r="K730" i="4"/>
  <c r="J730" i="4"/>
  <c r="I730" i="4"/>
  <c r="H730" i="4"/>
  <c r="K729" i="4"/>
  <c r="J729" i="4"/>
  <c r="I729" i="4"/>
  <c r="H729" i="4"/>
  <c r="K728" i="4"/>
  <c r="J728" i="4"/>
  <c r="I728" i="4"/>
  <c r="H728" i="4"/>
  <c r="K727" i="4"/>
  <c r="J727" i="4"/>
  <c r="I727" i="4"/>
  <c r="H727" i="4"/>
  <c r="K726" i="4"/>
  <c r="J726" i="4"/>
  <c r="I726" i="4"/>
  <c r="H726" i="4"/>
  <c r="K725" i="4"/>
  <c r="J725" i="4"/>
  <c r="I725" i="4"/>
  <c r="H725" i="4"/>
  <c r="K724" i="4"/>
  <c r="J724" i="4"/>
  <c r="I724" i="4"/>
  <c r="H724" i="4"/>
  <c r="K723" i="4"/>
  <c r="J723" i="4"/>
  <c r="I723" i="4"/>
  <c r="H723" i="4"/>
  <c r="K722" i="4"/>
  <c r="J722" i="4"/>
  <c r="I722" i="4"/>
  <c r="H722" i="4"/>
  <c r="K721" i="4"/>
  <c r="J721" i="4"/>
  <c r="I721" i="4"/>
  <c r="H721" i="4"/>
  <c r="K720" i="4"/>
  <c r="J720" i="4"/>
  <c r="I720" i="4"/>
  <c r="H720" i="4"/>
  <c r="K719" i="4"/>
  <c r="J719" i="4"/>
  <c r="I719" i="4"/>
  <c r="H719" i="4"/>
  <c r="K718" i="4"/>
  <c r="J718" i="4"/>
  <c r="I718" i="4"/>
  <c r="H718" i="4"/>
  <c r="K717" i="4"/>
  <c r="J717" i="4"/>
  <c r="I717" i="4"/>
  <c r="H717" i="4"/>
  <c r="K716" i="4"/>
  <c r="J716" i="4"/>
  <c r="I716" i="4"/>
  <c r="H716" i="4"/>
  <c r="K715" i="4"/>
  <c r="J715" i="4"/>
  <c r="I715" i="4"/>
  <c r="H715" i="4"/>
  <c r="K714" i="4"/>
  <c r="J714" i="4"/>
  <c r="I714" i="4"/>
  <c r="H714" i="4"/>
  <c r="K713" i="4"/>
  <c r="J713" i="4"/>
  <c r="I713" i="4"/>
  <c r="H713" i="4"/>
  <c r="K712" i="4"/>
  <c r="J712" i="4"/>
  <c r="I712" i="4"/>
  <c r="H712" i="4"/>
  <c r="K711" i="4"/>
  <c r="J711" i="4"/>
  <c r="I711" i="4"/>
  <c r="H711" i="4"/>
  <c r="K710" i="4"/>
  <c r="J710" i="4"/>
  <c r="I710" i="4"/>
  <c r="H710" i="4"/>
  <c r="K709" i="4"/>
  <c r="J709" i="4"/>
  <c r="I709" i="4"/>
  <c r="H709" i="4"/>
  <c r="K708" i="4"/>
  <c r="J708" i="4"/>
  <c r="I708" i="4"/>
  <c r="H708" i="4"/>
  <c r="K707" i="4"/>
  <c r="J707" i="4"/>
  <c r="I707" i="4"/>
  <c r="H707" i="4"/>
  <c r="K706" i="4"/>
  <c r="J706" i="4"/>
  <c r="I706" i="4"/>
  <c r="H706" i="4"/>
  <c r="K705" i="4"/>
  <c r="J705" i="4"/>
  <c r="I705" i="4"/>
  <c r="H705" i="4"/>
  <c r="K704" i="4"/>
  <c r="J704" i="4"/>
  <c r="I704" i="4"/>
  <c r="H704" i="4"/>
  <c r="K703" i="4"/>
  <c r="J703" i="4"/>
  <c r="I703" i="4"/>
  <c r="H703" i="4"/>
  <c r="K702" i="4"/>
  <c r="J702" i="4"/>
  <c r="I702" i="4"/>
  <c r="H702" i="4"/>
  <c r="K701" i="4"/>
  <c r="J701" i="4"/>
  <c r="I701" i="4"/>
  <c r="H701" i="4"/>
  <c r="K700" i="4"/>
  <c r="J700" i="4"/>
  <c r="I700" i="4"/>
  <c r="H700" i="4"/>
  <c r="K699" i="4"/>
  <c r="J699" i="4"/>
  <c r="I699" i="4"/>
  <c r="H699" i="4"/>
  <c r="K698" i="4"/>
  <c r="J698" i="4"/>
  <c r="I698" i="4"/>
  <c r="H698" i="4"/>
  <c r="K697" i="4"/>
  <c r="J697" i="4"/>
  <c r="I697" i="4"/>
  <c r="H697" i="4"/>
  <c r="K696" i="4"/>
  <c r="J696" i="4"/>
  <c r="I696" i="4"/>
  <c r="H696" i="4"/>
  <c r="K695" i="4"/>
  <c r="J695" i="4"/>
  <c r="I695" i="4"/>
  <c r="H695" i="4"/>
  <c r="K694" i="4"/>
  <c r="J694" i="4"/>
  <c r="I694" i="4"/>
  <c r="H694" i="4"/>
  <c r="K693" i="4"/>
  <c r="J693" i="4"/>
  <c r="I693" i="4"/>
  <c r="H693" i="4"/>
  <c r="K692" i="4"/>
  <c r="J692" i="4"/>
  <c r="I692" i="4"/>
  <c r="H692" i="4"/>
  <c r="K691" i="4"/>
  <c r="J691" i="4"/>
  <c r="I691" i="4"/>
  <c r="H691" i="4"/>
  <c r="K690" i="4"/>
  <c r="J690" i="4"/>
  <c r="I690" i="4"/>
  <c r="H690" i="4"/>
  <c r="K689" i="4"/>
  <c r="J689" i="4"/>
  <c r="I689" i="4"/>
  <c r="H689" i="4"/>
  <c r="K688" i="4"/>
  <c r="J688" i="4"/>
  <c r="I688" i="4"/>
  <c r="H688" i="4"/>
  <c r="K687" i="4"/>
  <c r="J687" i="4"/>
  <c r="I687" i="4"/>
  <c r="H687" i="4"/>
  <c r="K686" i="4"/>
  <c r="J686" i="4"/>
  <c r="I686" i="4"/>
  <c r="H686" i="4"/>
  <c r="K685" i="4"/>
  <c r="J685" i="4"/>
  <c r="I685" i="4"/>
  <c r="H685" i="4"/>
  <c r="K684" i="4"/>
  <c r="J684" i="4"/>
  <c r="I684" i="4"/>
  <c r="H684" i="4"/>
  <c r="K683" i="4"/>
  <c r="J683" i="4"/>
  <c r="I683" i="4"/>
  <c r="H683" i="4"/>
  <c r="K682" i="4"/>
  <c r="J682" i="4"/>
  <c r="I682" i="4"/>
  <c r="H682" i="4"/>
  <c r="K681" i="4"/>
  <c r="J681" i="4"/>
  <c r="I681" i="4"/>
  <c r="H681" i="4"/>
  <c r="K680" i="4"/>
  <c r="J680" i="4"/>
  <c r="I680" i="4"/>
  <c r="H680" i="4"/>
  <c r="K679" i="4"/>
  <c r="J679" i="4"/>
  <c r="I679" i="4"/>
  <c r="H679" i="4"/>
  <c r="K678" i="4"/>
  <c r="J678" i="4"/>
  <c r="I678" i="4"/>
  <c r="H678" i="4"/>
  <c r="K677" i="4"/>
  <c r="J677" i="4"/>
  <c r="I677" i="4"/>
  <c r="H677" i="4"/>
  <c r="K676" i="4"/>
  <c r="J676" i="4"/>
  <c r="I676" i="4"/>
  <c r="H676" i="4"/>
  <c r="K675" i="4"/>
  <c r="J675" i="4"/>
  <c r="I675" i="4"/>
  <c r="H675" i="4"/>
  <c r="K674" i="4"/>
  <c r="J674" i="4"/>
  <c r="I674" i="4"/>
  <c r="H674" i="4"/>
  <c r="K673" i="4"/>
  <c r="J673" i="4"/>
  <c r="I673" i="4"/>
  <c r="H673" i="4"/>
  <c r="K672" i="4"/>
  <c r="J672" i="4"/>
  <c r="I672" i="4"/>
  <c r="H672" i="4"/>
  <c r="K671" i="4"/>
  <c r="J671" i="4"/>
  <c r="I671" i="4"/>
  <c r="H671" i="4"/>
  <c r="K670" i="4"/>
  <c r="J670" i="4"/>
  <c r="I670" i="4"/>
  <c r="H670" i="4"/>
  <c r="K669" i="4"/>
  <c r="J669" i="4"/>
  <c r="I669" i="4"/>
  <c r="H669" i="4"/>
  <c r="K668" i="4"/>
  <c r="J668" i="4"/>
  <c r="I668" i="4"/>
  <c r="H668" i="4"/>
  <c r="K667" i="4"/>
  <c r="J667" i="4"/>
  <c r="I667" i="4"/>
  <c r="H667" i="4"/>
  <c r="K666" i="4"/>
  <c r="J666" i="4"/>
  <c r="I666" i="4"/>
  <c r="H666" i="4"/>
  <c r="K665" i="4"/>
  <c r="J665" i="4"/>
  <c r="I665" i="4"/>
  <c r="H665" i="4"/>
  <c r="K664" i="4"/>
  <c r="J664" i="4"/>
  <c r="I664" i="4"/>
  <c r="H664" i="4"/>
  <c r="K663" i="4"/>
  <c r="J663" i="4"/>
  <c r="I663" i="4"/>
  <c r="H663" i="4"/>
  <c r="K662" i="4"/>
  <c r="J662" i="4"/>
  <c r="I662" i="4"/>
  <c r="H662" i="4"/>
  <c r="K661" i="4"/>
  <c r="J661" i="4"/>
  <c r="I661" i="4"/>
  <c r="H661" i="4"/>
  <c r="K660" i="4"/>
  <c r="J660" i="4"/>
  <c r="I660" i="4"/>
  <c r="H660" i="4"/>
  <c r="K659" i="4"/>
  <c r="J659" i="4"/>
  <c r="I659" i="4"/>
  <c r="H659" i="4"/>
  <c r="K658" i="4"/>
  <c r="J658" i="4"/>
  <c r="I658" i="4"/>
  <c r="H658" i="4"/>
  <c r="K657" i="4"/>
  <c r="J657" i="4"/>
  <c r="I657" i="4"/>
  <c r="H657" i="4"/>
  <c r="K656" i="4"/>
  <c r="J656" i="4"/>
  <c r="I656" i="4"/>
  <c r="H656" i="4"/>
  <c r="K655" i="4"/>
  <c r="J655" i="4"/>
  <c r="I655" i="4"/>
  <c r="H655" i="4"/>
  <c r="K654" i="4"/>
  <c r="J654" i="4"/>
  <c r="I654" i="4"/>
  <c r="H654" i="4"/>
  <c r="K653" i="4"/>
  <c r="J653" i="4"/>
  <c r="I653" i="4"/>
  <c r="H653" i="4"/>
  <c r="K652" i="4"/>
  <c r="J652" i="4"/>
  <c r="I652" i="4"/>
  <c r="H652" i="4"/>
  <c r="K651" i="4"/>
  <c r="J651" i="4"/>
  <c r="I651" i="4"/>
  <c r="H651" i="4"/>
  <c r="K650" i="4"/>
  <c r="J650" i="4"/>
  <c r="I650" i="4"/>
  <c r="H650" i="4"/>
  <c r="K649" i="4"/>
  <c r="J649" i="4"/>
  <c r="I649" i="4"/>
  <c r="H649" i="4"/>
  <c r="K648" i="4"/>
  <c r="J648" i="4"/>
  <c r="I648" i="4"/>
  <c r="H648" i="4"/>
  <c r="K647" i="4"/>
  <c r="J647" i="4"/>
  <c r="I647" i="4"/>
  <c r="H647" i="4"/>
  <c r="K646" i="4"/>
  <c r="J646" i="4"/>
  <c r="I646" i="4"/>
  <c r="H646" i="4"/>
  <c r="K645" i="4"/>
  <c r="J645" i="4"/>
  <c r="I645" i="4"/>
  <c r="H645" i="4"/>
  <c r="K644" i="4"/>
  <c r="J644" i="4"/>
  <c r="I644" i="4"/>
  <c r="H644" i="4"/>
  <c r="K643" i="4"/>
  <c r="J643" i="4"/>
  <c r="I643" i="4"/>
  <c r="H643" i="4"/>
  <c r="K642" i="4"/>
  <c r="J642" i="4"/>
  <c r="I642" i="4"/>
  <c r="H642" i="4"/>
  <c r="K641" i="4"/>
  <c r="J641" i="4"/>
  <c r="I641" i="4"/>
  <c r="H641" i="4"/>
  <c r="K640" i="4"/>
  <c r="J640" i="4"/>
  <c r="I640" i="4"/>
  <c r="H640" i="4"/>
  <c r="K639" i="4"/>
  <c r="J639" i="4"/>
  <c r="I639" i="4"/>
  <c r="H639" i="4"/>
  <c r="K638" i="4"/>
  <c r="J638" i="4"/>
  <c r="I638" i="4"/>
  <c r="H638" i="4"/>
  <c r="K637" i="4"/>
  <c r="J637" i="4"/>
  <c r="I637" i="4"/>
  <c r="H637" i="4"/>
  <c r="K636" i="4"/>
  <c r="J636" i="4"/>
  <c r="I636" i="4"/>
  <c r="H636" i="4"/>
  <c r="K635" i="4"/>
  <c r="J635" i="4"/>
  <c r="I635" i="4"/>
  <c r="H635" i="4"/>
  <c r="K634" i="4"/>
  <c r="J634" i="4"/>
  <c r="I634" i="4"/>
  <c r="H634" i="4"/>
  <c r="K633" i="4"/>
  <c r="J633" i="4"/>
  <c r="I633" i="4"/>
  <c r="H633" i="4"/>
  <c r="K632" i="4"/>
  <c r="J632" i="4"/>
  <c r="I632" i="4"/>
  <c r="H632" i="4"/>
  <c r="K631" i="4"/>
  <c r="J631" i="4"/>
  <c r="I631" i="4"/>
  <c r="H631" i="4"/>
  <c r="K630" i="4"/>
  <c r="J630" i="4"/>
  <c r="I630" i="4"/>
  <c r="H630" i="4"/>
  <c r="K629" i="4"/>
  <c r="J629" i="4"/>
  <c r="I629" i="4"/>
  <c r="H629" i="4"/>
  <c r="K628" i="4"/>
  <c r="J628" i="4"/>
  <c r="I628" i="4"/>
  <c r="H628" i="4"/>
  <c r="K627" i="4"/>
  <c r="J627" i="4"/>
  <c r="I627" i="4"/>
  <c r="H627" i="4"/>
  <c r="K626" i="4"/>
  <c r="J626" i="4"/>
  <c r="I626" i="4"/>
  <c r="H626" i="4"/>
  <c r="K625" i="4"/>
  <c r="J625" i="4"/>
  <c r="I625" i="4"/>
  <c r="H625" i="4"/>
  <c r="K624" i="4"/>
  <c r="J624" i="4"/>
  <c r="I624" i="4"/>
  <c r="H624" i="4"/>
  <c r="K623" i="4"/>
  <c r="J623" i="4"/>
  <c r="I623" i="4"/>
  <c r="H623" i="4"/>
  <c r="K622" i="4"/>
  <c r="J622" i="4"/>
  <c r="I622" i="4"/>
  <c r="H622" i="4"/>
  <c r="K621" i="4"/>
  <c r="J621" i="4"/>
  <c r="I621" i="4"/>
  <c r="H621" i="4"/>
  <c r="K620" i="4"/>
  <c r="J620" i="4"/>
  <c r="I620" i="4"/>
  <c r="H620" i="4"/>
  <c r="K619" i="4"/>
  <c r="J619" i="4"/>
  <c r="I619" i="4"/>
  <c r="H619" i="4"/>
  <c r="K618" i="4"/>
  <c r="J618" i="4"/>
  <c r="I618" i="4"/>
  <c r="H618" i="4"/>
  <c r="K617" i="4"/>
  <c r="J617" i="4"/>
  <c r="I617" i="4"/>
  <c r="H617" i="4"/>
  <c r="K616" i="4"/>
  <c r="J616" i="4"/>
  <c r="I616" i="4"/>
  <c r="H616" i="4"/>
  <c r="K615" i="4"/>
  <c r="J615" i="4"/>
  <c r="I615" i="4"/>
  <c r="H615" i="4"/>
  <c r="K614" i="4"/>
  <c r="J614" i="4"/>
  <c r="I614" i="4"/>
  <c r="H614" i="4"/>
  <c r="K613" i="4"/>
  <c r="J613" i="4"/>
  <c r="I613" i="4"/>
  <c r="H613" i="4"/>
  <c r="K612" i="4"/>
  <c r="J612" i="4"/>
  <c r="I612" i="4"/>
  <c r="H612" i="4"/>
  <c r="K611" i="4"/>
  <c r="J611" i="4"/>
  <c r="I611" i="4"/>
  <c r="H611" i="4"/>
  <c r="K610" i="4"/>
  <c r="J610" i="4"/>
  <c r="I610" i="4"/>
  <c r="H610" i="4"/>
  <c r="K609" i="4"/>
  <c r="J609" i="4"/>
  <c r="I609" i="4"/>
  <c r="H609" i="4"/>
  <c r="K608" i="4"/>
  <c r="J608" i="4"/>
  <c r="I608" i="4"/>
  <c r="H608" i="4"/>
  <c r="K607" i="4"/>
  <c r="J607" i="4"/>
  <c r="I607" i="4"/>
  <c r="H607" i="4"/>
  <c r="K606" i="4"/>
  <c r="J606" i="4"/>
  <c r="I606" i="4"/>
  <c r="H606" i="4"/>
  <c r="K605" i="4"/>
  <c r="J605" i="4"/>
  <c r="I605" i="4"/>
  <c r="H605" i="4"/>
  <c r="K604" i="4"/>
  <c r="J604" i="4"/>
  <c r="I604" i="4"/>
  <c r="H604" i="4"/>
  <c r="K603" i="4"/>
  <c r="J603" i="4"/>
  <c r="I603" i="4"/>
  <c r="H603" i="4"/>
  <c r="K602" i="4"/>
  <c r="J602" i="4"/>
  <c r="I602" i="4"/>
  <c r="H602" i="4"/>
  <c r="K601" i="4"/>
  <c r="J601" i="4"/>
  <c r="I601" i="4"/>
  <c r="H601" i="4"/>
  <c r="K600" i="4"/>
  <c r="J600" i="4"/>
  <c r="I600" i="4"/>
  <c r="H600" i="4"/>
  <c r="K599" i="4"/>
  <c r="J599" i="4"/>
  <c r="I599" i="4"/>
  <c r="H599" i="4"/>
  <c r="K598" i="4"/>
  <c r="J598" i="4"/>
  <c r="I598" i="4"/>
  <c r="H598" i="4"/>
  <c r="K597" i="4"/>
  <c r="J597" i="4"/>
  <c r="I597" i="4"/>
  <c r="H597" i="4"/>
  <c r="K596" i="4"/>
  <c r="J596" i="4"/>
  <c r="I596" i="4"/>
  <c r="H596" i="4"/>
  <c r="K595" i="4"/>
  <c r="J595" i="4"/>
  <c r="I595" i="4"/>
  <c r="H595" i="4"/>
  <c r="K594" i="4"/>
  <c r="J594" i="4"/>
  <c r="I594" i="4"/>
  <c r="H594" i="4"/>
  <c r="K593" i="4"/>
  <c r="J593" i="4"/>
  <c r="I593" i="4"/>
  <c r="H593" i="4"/>
  <c r="K592" i="4"/>
  <c r="J592" i="4"/>
  <c r="I592" i="4"/>
  <c r="H592" i="4"/>
  <c r="K591" i="4"/>
  <c r="J591" i="4"/>
  <c r="I591" i="4"/>
  <c r="H591" i="4"/>
  <c r="K590" i="4"/>
  <c r="J590" i="4"/>
  <c r="I590" i="4"/>
  <c r="H590" i="4"/>
  <c r="K589" i="4"/>
  <c r="J589" i="4"/>
  <c r="I589" i="4"/>
  <c r="H589" i="4"/>
  <c r="K588" i="4"/>
  <c r="J588" i="4"/>
  <c r="I588" i="4"/>
  <c r="H588" i="4"/>
  <c r="K587" i="4"/>
  <c r="J587" i="4"/>
  <c r="I587" i="4"/>
  <c r="H587" i="4"/>
  <c r="K586" i="4"/>
  <c r="J586" i="4"/>
  <c r="I586" i="4"/>
  <c r="H586" i="4"/>
  <c r="K585" i="4"/>
  <c r="J585" i="4"/>
  <c r="I585" i="4"/>
  <c r="H585" i="4"/>
  <c r="K584" i="4"/>
  <c r="J584" i="4"/>
  <c r="I584" i="4"/>
  <c r="H584" i="4"/>
  <c r="K583" i="4"/>
  <c r="J583" i="4"/>
  <c r="I583" i="4"/>
  <c r="H583" i="4"/>
  <c r="K582" i="4"/>
  <c r="J582" i="4"/>
  <c r="I582" i="4"/>
  <c r="H582" i="4"/>
  <c r="K581" i="4"/>
  <c r="J581" i="4"/>
  <c r="I581" i="4"/>
  <c r="H581" i="4"/>
  <c r="K580" i="4"/>
  <c r="J580" i="4"/>
  <c r="I580" i="4"/>
  <c r="H580" i="4"/>
  <c r="K579" i="4"/>
  <c r="J579" i="4"/>
  <c r="I579" i="4"/>
  <c r="H579" i="4"/>
  <c r="K578" i="4"/>
  <c r="J578" i="4"/>
  <c r="I578" i="4"/>
  <c r="H578" i="4"/>
  <c r="K577" i="4"/>
  <c r="J577" i="4"/>
  <c r="I577" i="4"/>
  <c r="H577" i="4"/>
  <c r="K576" i="4"/>
  <c r="J576" i="4"/>
  <c r="I576" i="4"/>
  <c r="H576" i="4"/>
  <c r="K575" i="4"/>
  <c r="J575" i="4"/>
  <c r="I575" i="4"/>
  <c r="H575" i="4"/>
  <c r="K574" i="4"/>
  <c r="J574" i="4"/>
  <c r="I574" i="4"/>
  <c r="H574" i="4"/>
  <c r="K573" i="4"/>
  <c r="J573" i="4"/>
  <c r="I573" i="4"/>
  <c r="H573" i="4"/>
  <c r="K572" i="4"/>
  <c r="J572" i="4"/>
  <c r="I572" i="4"/>
  <c r="H572" i="4"/>
  <c r="K571" i="4"/>
  <c r="J571" i="4"/>
  <c r="I571" i="4"/>
  <c r="H571" i="4"/>
  <c r="K570" i="4"/>
  <c r="J570" i="4"/>
  <c r="I570" i="4"/>
  <c r="H570" i="4"/>
  <c r="K569" i="4"/>
  <c r="J569" i="4"/>
  <c r="I569" i="4"/>
  <c r="H569" i="4"/>
  <c r="K568" i="4"/>
  <c r="J568" i="4"/>
  <c r="I568" i="4"/>
  <c r="H568" i="4"/>
  <c r="K567" i="4"/>
  <c r="J567" i="4"/>
  <c r="I567" i="4"/>
  <c r="H567" i="4"/>
  <c r="K566" i="4"/>
  <c r="J566" i="4"/>
  <c r="I566" i="4"/>
  <c r="H566" i="4"/>
  <c r="K565" i="4"/>
  <c r="J565" i="4"/>
  <c r="I565" i="4"/>
  <c r="H565" i="4"/>
  <c r="K564" i="4"/>
  <c r="J564" i="4"/>
  <c r="I564" i="4"/>
  <c r="H564" i="4"/>
  <c r="K563" i="4"/>
  <c r="J563" i="4"/>
  <c r="I563" i="4"/>
  <c r="H563" i="4"/>
  <c r="K562" i="4"/>
  <c r="J562" i="4"/>
  <c r="I562" i="4"/>
  <c r="H562" i="4"/>
  <c r="K561" i="4"/>
  <c r="J561" i="4"/>
  <c r="I561" i="4"/>
  <c r="H561" i="4"/>
  <c r="K560" i="4"/>
  <c r="J560" i="4"/>
  <c r="I560" i="4"/>
  <c r="H560" i="4"/>
  <c r="K559" i="4"/>
  <c r="J559" i="4"/>
  <c r="I559" i="4"/>
  <c r="H559" i="4"/>
  <c r="K558" i="4"/>
  <c r="J558" i="4"/>
  <c r="I558" i="4"/>
  <c r="H558" i="4"/>
  <c r="K557" i="4"/>
  <c r="J557" i="4"/>
  <c r="I557" i="4"/>
  <c r="H557" i="4"/>
  <c r="K556" i="4"/>
  <c r="J556" i="4"/>
  <c r="I556" i="4"/>
  <c r="H556" i="4"/>
  <c r="K555" i="4"/>
  <c r="J555" i="4"/>
  <c r="I555" i="4"/>
  <c r="H555" i="4"/>
  <c r="K554" i="4"/>
  <c r="J554" i="4"/>
  <c r="I554" i="4"/>
  <c r="H554" i="4"/>
  <c r="K553" i="4"/>
  <c r="J553" i="4"/>
  <c r="I553" i="4"/>
  <c r="H553" i="4"/>
  <c r="K552" i="4"/>
  <c r="J552" i="4"/>
  <c r="I552" i="4"/>
  <c r="H552" i="4"/>
  <c r="K551" i="4"/>
  <c r="J551" i="4"/>
  <c r="I551" i="4"/>
  <c r="H551" i="4"/>
  <c r="K550" i="4"/>
  <c r="J550" i="4"/>
  <c r="I550" i="4"/>
  <c r="H550" i="4"/>
  <c r="K549" i="4"/>
  <c r="J549" i="4"/>
  <c r="I549" i="4"/>
  <c r="H549" i="4"/>
  <c r="K548" i="4"/>
  <c r="J548" i="4"/>
  <c r="I548" i="4"/>
  <c r="H548" i="4"/>
  <c r="K547" i="4"/>
  <c r="J547" i="4"/>
  <c r="I547" i="4"/>
  <c r="H547" i="4"/>
  <c r="K546" i="4"/>
  <c r="J546" i="4"/>
  <c r="I546" i="4"/>
  <c r="H546" i="4"/>
  <c r="K545" i="4"/>
  <c r="J545" i="4"/>
  <c r="I545" i="4"/>
  <c r="H545" i="4"/>
  <c r="K544" i="4"/>
  <c r="J544" i="4"/>
  <c r="I544" i="4"/>
  <c r="H544" i="4"/>
  <c r="K543" i="4"/>
  <c r="J543" i="4"/>
  <c r="I543" i="4"/>
  <c r="H543" i="4"/>
  <c r="K542" i="4"/>
  <c r="J542" i="4"/>
  <c r="I542" i="4"/>
  <c r="H542" i="4"/>
  <c r="K541" i="4"/>
  <c r="J541" i="4"/>
  <c r="I541" i="4"/>
  <c r="H541" i="4"/>
  <c r="K540" i="4"/>
  <c r="J540" i="4"/>
  <c r="I540" i="4"/>
  <c r="H540" i="4"/>
  <c r="K539" i="4"/>
  <c r="J539" i="4"/>
  <c r="I539" i="4"/>
  <c r="H539" i="4"/>
  <c r="K538" i="4"/>
  <c r="J538" i="4"/>
  <c r="I538" i="4"/>
  <c r="H538" i="4"/>
  <c r="K537" i="4"/>
  <c r="J537" i="4"/>
  <c r="I537" i="4"/>
  <c r="H537" i="4"/>
  <c r="K536" i="4"/>
  <c r="J536" i="4"/>
  <c r="I536" i="4"/>
  <c r="H536" i="4"/>
  <c r="K535" i="4"/>
  <c r="J535" i="4"/>
  <c r="I535" i="4"/>
  <c r="H535" i="4"/>
  <c r="K534" i="4"/>
  <c r="J534" i="4"/>
  <c r="I534" i="4"/>
  <c r="H534" i="4"/>
  <c r="K533" i="4"/>
  <c r="J533" i="4"/>
  <c r="I533" i="4"/>
  <c r="H533" i="4"/>
  <c r="K532" i="4"/>
  <c r="J532" i="4"/>
  <c r="I532" i="4"/>
  <c r="H532" i="4"/>
  <c r="K531" i="4"/>
  <c r="J531" i="4"/>
  <c r="I531" i="4"/>
  <c r="H531" i="4"/>
  <c r="K530" i="4"/>
  <c r="J530" i="4"/>
  <c r="I530" i="4"/>
  <c r="H530" i="4"/>
  <c r="K529" i="4"/>
  <c r="J529" i="4"/>
  <c r="I529" i="4"/>
  <c r="H529" i="4"/>
  <c r="K528" i="4"/>
  <c r="J528" i="4"/>
  <c r="I528" i="4"/>
  <c r="H528" i="4"/>
  <c r="K527" i="4"/>
  <c r="J527" i="4"/>
  <c r="I527" i="4"/>
  <c r="H527" i="4"/>
  <c r="K526" i="4"/>
  <c r="J526" i="4"/>
  <c r="I526" i="4"/>
  <c r="H526" i="4"/>
  <c r="K525" i="4"/>
  <c r="J525" i="4"/>
  <c r="I525" i="4"/>
  <c r="H525" i="4"/>
  <c r="K524" i="4"/>
  <c r="J524" i="4"/>
  <c r="I524" i="4"/>
  <c r="H524" i="4"/>
  <c r="K523" i="4"/>
  <c r="J523" i="4"/>
  <c r="I523" i="4"/>
  <c r="H523" i="4"/>
  <c r="K522" i="4"/>
  <c r="J522" i="4"/>
  <c r="I522" i="4"/>
  <c r="H522" i="4"/>
  <c r="K521" i="4"/>
  <c r="J521" i="4"/>
  <c r="I521" i="4"/>
  <c r="H521" i="4"/>
  <c r="H520" i="4"/>
  <c r="J520" i="4"/>
  <c r="H519" i="4"/>
  <c r="J519" i="4"/>
  <c r="H518" i="4"/>
  <c r="J518" i="4"/>
  <c r="H517" i="4"/>
  <c r="J517" i="4"/>
  <c r="H516" i="4"/>
  <c r="J516" i="4"/>
  <c r="H515" i="4"/>
  <c r="J515" i="4"/>
  <c r="H514" i="4"/>
  <c r="J514" i="4"/>
  <c r="H513" i="4"/>
  <c r="J513" i="4"/>
  <c r="H512" i="4"/>
  <c r="J512" i="4"/>
  <c r="H511" i="4"/>
  <c r="J511" i="4"/>
  <c r="H510" i="4"/>
  <c r="J510" i="4"/>
  <c r="K509" i="4"/>
  <c r="J509" i="4"/>
  <c r="I509" i="4"/>
  <c r="G327" i="16"/>
  <c r="H327" i="16" s="1"/>
  <c r="G440" i="16"/>
  <c r="H440" i="16" s="1"/>
  <c r="G28" i="16"/>
  <c r="H28" i="16" s="1"/>
  <c r="G134" i="16"/>
  <c r="H134" i="16" s="1"/>
  <c r="G266" i="16"/>
  <c r="H266" i="16" s="1"/>
  <c r="G150" i="16"/>
  <c r="H150" i="16" s="1"/>
  <c r="G133" i="16"/>
  <c r="H133" i="16" s="1"/>
  <c r="G184" i="16"/>
  <c r="H184" i="16" s="1"/>
  <c r="G496" i="16"/>
  <c r="H496" i="16" s="1"/>
  <c r="G242" i="16"/>
  <c r="H242" i="16" s="1"/>
  <c r="G149" i="16"/>
  <c r="H149" i="16" s="1"/>
  <c r="G317" i="16"/>
  <c r="H317" i="16" s="1"/>
  <c r="G201" i="16"/>
  <c r="H201" i="16" s="1"/>
  <c r="G250" i="16"/>
  <c r="H250" i="16" s="1"/>
  <c r="G31" i="16"/>
  <c r="H31" i="16" s="1"/>
  <c r="G409" i="16"/>
  <c r="H409" i="16" s="1"/>
  <c r="G468" i="16"/>
  <c r="H468" i="16" s="1"/>
  <c r="G118" i="16"/>
  <c r="H118" i="16" s="1"/>
  <c r="G107" i="16"/>
  <c r="H107" i="16" s="1"/>
  <c r="G292" i="16"/>
  <c r="H292" i="16" s="1"/>
  <c r="G51" i="16"/>
  <c r="H51" i="16" s="1"/>
  <c r="G463" i="16"/>
  <c r="H463" i="16" s="1"/>
  <c r="G495" i="16"/>
  <c r="H495" i="16" s="1"/>
  <c r="G44" i="16"/>
  <c r="H44" i="16" s="1"/>
  <c r="G434" i="16"/>
  <c r="H434" i="16" s="1"/>
  <c r="G383" i="16"/>
  <c r="H383" i="16" s="1"/>
  <c r="G267" i="16"/>
  <c r="H267" i="16" s="1"/>
  <c r="G505" i="16"/>
  <c r="H505" i="16" s="1"/>
  <c r="G269" i="16"/>
  <c r="H269" i="16" s="1"/>
  <c r="G102" i="16"/>
  <c r="H102" i="16" s="1"/>
  <c r="G79" i="16"/>
  <c r="H79" i="16" s="1"/>
  <c r="G189" i="16"/>
  <c r="H189" i="16" s="1"/>
  <c r="G284" i="16"/>
  <c r="H284" i="16" s="1"/>
  <c r="G300" i="16"/>
  <c r="H300" i="16" s="1"/>
  <c r="G99" i="16"/>
  <c r="H99" i="16" s="1"/>
  <c r="G302" i="16"/>
  <c r="H302" i="16" s="1"/>
  <c r="G145" i="16"/>
  <c r="H145" i="16" s="1"/>
  <c r="G316" i="16"/>
  <c r="H316" i="16" s="1"/>
  <c r="G485" i="16"/>
  <c r="H485" i="16" s="1"/>
  <c r="G240" i="16"/>
  <c r="H240" i="16" s="1"/>
  <c r="G14" i="16"/>
  <c r="H14" i="16" s="1"/>
  <c r="G156" i="16"/>
  <c r="H156" i="16" s="1"/>
  <c r="G136" i="16"/>
  <c r="H136" i="16" s="1"/>
  <c r="G447" i="16"/>
  <c r="H447" i="16" s="1"/>
  <c r="G190" i="16"/>
  <c r="H190" i="16" s="1"/>
  <c r="G427" i="16"/>
  <c r="H427" i="16" s="1"/>
  <c r="G37" i="16"/>
  <c r="H37" i="16" s="1"/>
  <c r="G80" i="16"/>
  <c r="H80" i="16" s="1"/>
  <c r="G35" i="16"/>
  <c r="H35" i="16" s="1"/>
  <c r="G108" i="16"/>
  <c r="H108" i="16" s="1"/>
  <c r="G46" i="16"/>
  <c r="H46" i="16" s="1"/>
  <c r="G480" i="16"/>
  <c r="H480" i="16" s="1"/>
  <c r="G375" i="16"/>
  <c r="H375" i="16" s="1"/>
  <c r="G471" i="16"/>
  <c r="H471" i="16" s="1"/>
  <c r="G139" i="16"/>
  <c r="H139" i="16" s="1"/>
  <c r="G392" i="16"/>
  <c r="H392" i="16" s="1"/>
  <c r="G357" i="16"/>
  <c r="H357" i="16" s="1"/>
  <c r="G273" i="16"/>
  <c r="H273" i="16" s="1"/>
  <c r="G513" i="16"/>
  <c r="H513" i="16" s="1"/>
  <c r="G470" i="16"/>
  <c r="H470" i="16" s="1"/>
  <c r="G171" i="16"/>
  <c r="H171" i="16" s="1"/>
  <c r="G82" i="16"/>
  <c r="H82" i="16" s="1"/>
  <c r="G504" i="16"/>
  <c r="H504" i="16" s="1"/>
  <c r="G312" i="16"/>
  <c r="H312" i="16" s="1"/>
  <c r="G219" i="16"/>
  <c r="H219" i="16" s="1"/>
  <c r="G43" i="16"/>
  <c r="H43" i="16" s="1"/>
  <c r="G347" i="16"/>
  <c r="H347" i="16" s="1"/>
  <c r="G373" i="16"/>
  <c r="H373" i="16" s="1"/>
  <c r="G98" i="16"/>
  <c r="H98" i="16" s="1"/>
  <c r="G452" i="16"/>
  <c r="H452" i="16" s="1"/>
  <c r="G334" i="16"/>
  <c r="H334" i="16" s="1"/>
  <c r="G428" i="16"/>
  <c r="H428" i="16" s="1"/>
  <c r="G437" i="16"/>
  <c r="H437" i="16" s="1"/>
  <c r="G488" i="16"/>
  <c r="H488" i="16" s="1"/>
  <c r="G411" i="16"/>
  <c r="H411" i="16" s="1"/>
  <c r="G63" i="16"/>
  <c r="H63" i="16" s="1"/>
  <c r="G144" i="16"/>
  <c r="H144" i="16" s="1"/>
  <c r="G351" i="16"/>
  <c r="H351" i="16" s="1"/>
  <c r="G241" i="16"/>
  <c r="H241" i="16" s="1"/>
  <c r="G10" i="16"/>
  <c r="H10" i="16" s="1"/>
  <c r="G350" i="16"/>
  <c r="H350" i="16" s="1"/>
  <c r="G403" i="16"/>
  <c r="H403" i="16" s="1"/>
  <c r="G86" i="16"/>
  <c r="H86" i="16" s="1"/>
  <c r="G340" i="16"/>
  <c r="H340" i="16" s="1"/>
  <c r="G314" i="16"/>
  <c r="H314" i="16" s="1"/>
  <c r="G414" i="16"/>
  <c r="H414" i="16" s="1"/>
  <c r="G465" i="16"/>
  <c r="H465" i="16" s="1"/>
  <c r="G279" i="16"/>
  <c r="H279" i="16" s="1"/>
  <c r="G84" i="16"/>
  <c r="H84" i="16" s="1"/>
  <c r="I23" i="16"/>
  <c r="I327" i="16"/>
  <c r="I264" i="16"/>
  <c r="I440" i="16"/>
  <c r="I262" i="16"/>
  <c r="I28" i="16"/>
  <c r="I389" i="16"/>
  <c r="I134" i="16"/>
  <c r="I266" i="16"/>
  <c r="I150" i="16"/>
  <c r="I167" i="16"/>
  <c r="I133" i="16"/>
  <c r="I184" i="16"/>
  <c r="I333" i="16"/>
  <c r="I137" i="16"/>
  <c r="I243" i="16"/>
  <c r="I496" i="16"/>
  <c r="I29" i="16"/>
  <c r="I242" i="16"/>
  <c r="I445" i="16"/>
  <c r="I149" i="16"/>
  <c r="I128" i="16"/>
  <c r="I317" i="16"/>
  <c r="I201" i="16"/>
  <c r="I250" i="16"/>
  <c r="I244" i="16"/>
  <c r="I410" i="16"/>
  <c r="I204" i="16"/>
  <c r="I31" i="16"/>
  <c r="I409" i="16"/>
  <c r="I468" i="16"/>
  <c r="I444" i="16"/>
  <c r="I118" i="16"/>
  <c r="I107" i="16"/>
  <c r="I292" i="16"/>
  <c r="I417" i="16"/>
  <c r="I51" i="16"/>
  <c r="I463" i="16"/>
  <c r="I155" i="16"/>
  <c r="I495" i="16"/>
  <c r="I44" i="16"/>
  <c r="I434" i="16"/>
  <c r="I287" i="16"/>
  <c r="I383" i="16"/>
  <c r="I267" i="16"/>
  <c r="I505" i="16"/>
  <c r="I153" i="16"/>
  <c r="I269" i="16"/>
  <c r="I102" i="16"/>
  <c r="I158" i="16"/>
  <c r="I79" i="16"/>
  <c r="I206" i="16"/>
  <c r="I189" i="16"/>
  <c r="I106" i="16"/>
  <c r="I284" i="16"/>
  <c r="I300" i="16"/>
  <c r="I27" i="16"/>
  <c r="I99" i="16"/>
  <c r="I172" i="16"/>
  <c r="I302" i="16"/>
  <c r="I145" i="16"/>
  <c r="I316" i="16"/>
  <c r="I240" i="16"/>
  <c r="I156" i="16"/>
  <c r="I230" i="16"/>
  <c r="I41" i="16"/>
  <c r="I447" i="16"/>
  <c r="I138" i="16"/>
  <c r="I190" i="16"/>
  <c r="I427" i="16"/>
  <c r="I37" i="16"/>
  <c r="I478" i="16"/>
  <c r="I80" i="16"/>
  <c r="I35" i="16"/>
  <c r="I108" i="16"/>
  <c r="I46" i="16"/>
  <c r="I480" i="16"/>
  <c r="I375" i="16"/>
  <c r="I471" i="16"/>
  <c r="I36" i="16"/>
  <c r="I429" i="16"/>
  <c r="I30" i="16"/>
  <c r="I140" i="16"/>
  <c r="I392" i="16"/>
  <c r="I357" i="16"/>
  <c r="I49" i="16"/>
  <c r="I273" i="16"/>
  <c r="I309" i="16"/>
  <c r="I513" i="16"/>
  <c r="I470" i="16"/>
  <c r="I171" i="16"/>
  <c r="I472" i="16"/>
  <c r="I442" i="16"/>
  <c r="I343" i="16"/>
  <c r="I82" i="16"/>
  <c r="I15" i="16"/>
  <c r="I504" i="16"/>
  <c r="I312" i="16"/>
  <c r="I164" i="16"/>
  <c r="I59" i="16"/>
  <c r="I43" i="16"/>
  <c r="I39" i="16"/>
  <c r="I263" i="16"/>
  <c r="I347" i="16"/>
  <c r="I98" i="16"/>
  <c r="I416" i="16"/>
  <c r="I426" i="16"/>
  <c r="I452" i="16"/>
  <c r="I364" i="16"/>
  <c r="I126" i="16"/>
  <c r="I334" i="16"/>
  <c r="I428" i="16"/>
  <c r="I437" i="16"/>
  <c r="I488" i="16"/>
  <c r="I411" i="16"/>
  <c r="I63" i="16"/>
  <c r="I123" i="16"/>
  <c r="I144" i="16"/>
  <c r="I351" i="16"/>
  <c r="I241" i="16"/>
  <c r="I10" i="16"/>
  <c r="I403" i="16"/>
  <c r="I340" i="16"/>
  <c r="I414" i="16"/>
  <c r="I465" i="16"/>
  <c r="I279" i="16"/>
  <c r="I84" i="16"/>
  <c r="G81" i="27"/>
  <c r="I81" i="27" s="1"/>
  <c r="G92" i="27"/>
  <c r="I92" i="27" s="1"/>
  <c r="G89" i="27"/>
  <c r="G97" i="27"/>
  <c r="H97" i="27" s="1"/>
  <c r="G108" i="27"/>
  <c r="G91" i="27"/>
  <c r="G98" i="27"/>
  <c r="I98" i="27" s="1"/>
  <c r="G134" i="27"/>
  <c r="E91" i="27"/>
  <c r="R517" i="27"/>
  <c r="R515" i="27"/>
  <c r="R513" i="27"/>
  <c r="R511" i="27"/>
  <c r="R509" i="27"/>
  <c r="R507" i="27"/>
  <c r="R505" i="27"/>
  <c r="R503" i="27"/>
  <c r="R501" i="27"/>
  <c r="R499" i="27"/>
  <c r="R497" i="27"/>
  <c r="R485" i="27"/>
  <c r="R483" i="27"/>
  <c r="R481" i="27"/>
  <c r="R479" i="27"/>
  <c r="R477" i="27"/>
  <c r="R475" i="27"/>
  <c r="R473" i="27"/>
  <c r="R471" i="27"/>
  <c r="R469" i="27"/>
  <c r="R467" i="27"/>
  <c r="R464" i="27"/>
  <c r="R463" i="27"/>
  <c r="R462" i="27"/>
  <c r="R457" i="27"/>
  <c r="R453" i="27"/>
  <c r="R452" i="27"/>
  <c r="R448" i="27"/>
  <c r="R447" i="27"/>
  <c r="R446" i="27"/>
  <c r="R445" i="27"/>
  <c r="R444" i="27"/>
  <c r="R442" i="27"/>
  <c r="R440" i="27"/>
  <c r="R438" i="27"/>
  <c r="R437" i="27"/>
  <c r="R435" i="27"/>
  <c r="R434" i="27"/>
  <c r="R430" i="27"/>
  <c r="R429" i="27"/>
  <c r="R425" i="27"/>
  <c r="R421" i="27"/>
  <c r="R420" i="27"/>
  <c r="R417" i="27"/>
  <c r="R415" i="27"/>
  <c r="R414" i="27"/>
  <c r="R413" i="27"/>
  <c r="R411" i="27"/>
  <c r="R410" i="27"/>
  <c r="R409" i="27"/>
  <c r="R408" i="27"/>
  <c r="R407" i="27"/>
  <c r="R406" i="27"/>
  <c r="R405" i="27"/>
  <c r="R404" i="27"/>
  <c r="R403" i="27"/>
  <c r="R402" i="27"/>
  <c r="R401" i="27"/>
  <c r="R399" i="27"/>
  <c r="R397" i="27"/>
  <c r="R395" i="27"/>
  <c r="R394" i="27"/>
  <c r="R393" i="27"/>
  <c r="R391" i="27"/>
  <c r="R389" i="27"/>
  <c r="R387" i="27"/>
  <c r="R386" i="27"/>
  <c r="R385" i="27"/>
  <c r="R384" i="27"/>
  <c r="R383" i="27"/>
  <c r="R382" i="27"/>
  <c r="R381" i="27"/>
  <c r="R380" i="27"/>
  <c r="R379" i="27"/>
  <c r="R378" i="27"/>
  <c r="R377" i="27"/>
  <c r="R375" i="27"/>
  <c r="R373" i="27"/>
  <c r="R372" i="27"/>
  <c r="R371" i="27"/>
  <c r="R369" i="27"/>
  <c r="R368" i="27"/>
  <c r="R344" i="27"/>
  <c r="R342" i="27"/>
  <c r="R340" i="27"/>
  <c r="R332" i="27"/>
  <c r="R330" i="27"/>
  <c r="R328" i="27"/>
  <c r="R326" i="27"/>
  <c r="R318" i="27"/>
  <c r="R316" i="27"/>
  <c r="R315" i="27"/>
  <c r="R313" i="27"/>
  <c r="R311" i="27"/>
  <c r="R307" i="27"/>
  <c r="R306" i="27"/>
  <c r="R302" i="27"/>
  <c r="R300" i="27"/>
  <c r="R296" i="27"/>
  <c r="R295" i="27"/>
  <c r="R294" i="27"/>
  <c r="R293" i="27"/>
  <c r="R291" i="27"/>
  <c r="R290" i="27"/>
  <c r="R289" i="27"/>
  <c r="R284" i="27"/>
  <c r="R282" i="27"/>
  <c r="R280" i="27"/>
  <c r="R279" i="27"/>
  <c r="R278" i="27"/>
  <c r="R277" i="27"/>
  <c r="R275" i="27"/>
  <c r="R273" i="27"/>
  <c r="R272" i="27"/>
  <c r="R270" i="27"/>
  <c r="R269" i="27"/>
  <c r="R268" i="27"/>
  <c r="R267" i="27"/>
  <c r="R266" i="27"/>
  <c r="R265" i="27"/>
  <c r="R263" i="27"/>
  <c r="R262" i="27"/>
  <c r="R258" i="27"/>
  <c r="R254" i="27"/>
  <c r="R252" i="27"/>
  <c r="R251" i="27"/>
  <c r="R250" i="27"/>
  <c r="R247" i="27"/>
  <c r="R246" i="27"/>
  <c r="R243" i="27"/>
  <c r="R240" i="27"/>
  <c r="R238" i="27"/>
  <c r="R237" i="27"/>
  <c r="R236" i="27"/>
  <c r="R235" i="27"/>
  <c r="R234" i="27"/>
  <c r="R233" i="27"/>
  <c r="R231" i="27"/>
  <c r="R228" i="27"/>
  <c r="R222" i="27"/>
  <c r="R218" i="27"/>
  <c r="R216" i="27"/>
  <c r="R214" i="27"/>
  <c r="R212" i="27"/>
  <c r="R202" i="27"/>
  <c r="R196" i="27"/>
  <c r="R194" i="27"/>
  <c r="R190" i="27"/>
  <c r="R182" i="27"/>
  <c r="R180" i="27"/>
  <c r="R178" i="27"/>
  <c r="R176" i="27"/>
  <c r="R174" i="27"/>
  <c r="R168" i="27"/>
  <c r="R160" i="27"/>
  <c r="R158" i="27"/>
  <c r="R154" i="27"/>
  <c r="R152" i="27"/>
  <c r="R150" i="27"/>
  <c r="R30" i="27"/>
  <c r="R146" i="27"/>
  <c r="R92" i="27"/>
  <c r="R105" i="27"/>
  <c r="R36" i="27"/>
  <c r="R80" i="27"/>
  <c r="R109" i="27"/>
  <c r="R142" i="27"/>
  <c r="R78" i="27"/>
  <c r="R76" i="27"/>
  <c r="R135" i="27"/>
  <c r="R131" i="27"/>
  <c r="R130" i="27"/>
  <c r="R27" i="27"/>
  <c r="R127" i="27"/>
  <c r="R70" i="27"/>
  <c r="R84" i="27"/>
  <c r="R69" i="27"/>
  <c r="R117" i="27"/>
  <c r="R87" i="27"/>
  <c r="R115" i="27"/>
  <c r="R122" i="27"/>
  <c r="R63" i="27"/>
  <c r="R61" i="27"/>
  <c r="R124" i="27"/>
  <c r="R83" i="27"/>
  <c r="R57" i="27"/>
  <c r="R56" i="27"/>
  <c r="R106" i="27"/>
  <c r="R54" i="27"/>
  <c r="R52" i="27"/>
  <c r="R100" i="27"/>
  <c r="R86" i="27"/>
  <c r="R18" i="27"/>
  <c r="R46" i="27"/>
  <c r="R108" i="27"/>
  <c r="R112" i="27"/>
  <c r="R96" i="27"/>
  <c r="R102" i="27"/>
  <c r="R101" i="27"/>
  <c r="R16" i="27"/>
  <c r="R128" i="27"/>
  <c r="R81" i="27"/>
  <c r="R89" i="27"/>
  <c r="R44" i="27"/>
  <c r="R43" i="27"/>
  <c r="R97" i="27"/>
  <c r="R32" i="27"/>
  <c r="R137" i="27"/>
  <c r="R88" i="27"/>
  <c r="R77" i="27"/>
  <c r="R140" i="27"/>
  <c r="R148" i="27"/>
  <c r="R42" i="27"/>
  <c r="R45" i="27"/>
  <c r="R93" i="27"/>
  <c r="R35" i="27"/>
  <c r="R50" i="27"/>
  <c r="R104" i="27"/>
  <c r="R132" i="27"/>
  <c r="R120" i="27"/>
  <c r="R6" i="27"/>
  <c r="R38" i="27"/>
  <c r="R103" i="27"/>
  <c r="R13" i="27"/>
  <c r="R62" i="27"/>
  <c r="R72" i="27"/>
  <c r="R139" i="27"/>
  <c r="R26" i="27"/>
  <c r="R58" i="27"/>
  <c r="R68" i="27"/>
  <c r="R116" i="27"/>
  <c r="R123" i="27"/>
  <c r="R48" i="27"/>
  <c r="R98" i="27"/>
  <c r="R99" i="27"/>
  <c r="R111" i="27"/>
  <c r="R82" i="27"/>
  <c r="R66" i="27"/>
  <c r="R10" i="27"/>
  <c r="R73" i="27"/>
  <c r="R4" i="27"/>
  <c r="R55" i="27"/>
  <c r="R90" i="27"/>
  <c r="R47" i="27"/>
  <c r="R170" i="27"/>
  <c r="R49" i="27"/>
  <c r="R40" i="27"/>
  <c r="R29" i="27"/>
  <c r="R8" i="27"/>
  <c r="R33" i="27"/>
  <c r="R134" i="27"/>
  <c r="R163" i="27"/>
  <c r="R94" i="27"/>
  <c r="R118" i="27"/>
  <c r="R119" i="27"/>
  <c r="R126" i="27"/>
  <c r="R59" i="27"/>
  <c r="R17" i="27"/>
  <c r="R71" i="27"/>
  <c r="R136" i="27"/>
  <c r="R34" i="27"/>
  <c r="R179" i="27"/>
  <c r="R159" i="27"/>
  <c r="R204" i="27"/>
  <c r="R79" i="27"/>
  <c r="R145" i="27"/>
  <c r="R7" i="27"/>
  <c r="R133" i="27"/>
  <c r="R15" i="27"/>
  <c r="R166" i="27"/>
  <c r="R64" i="27"/>
  <c r="R125" i="27"/>
  <c r="R129" i="27"/>
  <c r="R28" i="27"/>
  <c r="R155" i="27"/>
  <c r="R156" i="27"/>
  <c r="R162" i="27"/>
  <c r="R177" i="27"/>
  <c r="R205" i="27"/>
  <c r="R91" i="27"/>
  <c r="R95" i="27"/>
  <c r="R53" i="27"/>
  <c r="R107" i="27"/>
  <c r="R5" i="27"/>
  <c r="R110" i="27"/>
  <c r="R12" i="27"/>
  <c r="R113" i="27"/>
  <c r="R138" i="27"/>
  <c r="R141" i="27"/>
  <c r="R147" i="27"/>
  <c r="R24" i="27"/>
  <c r="R151" i="27"/>
  <c r="R23" i="27"/>
  <c r="R20" i="27"/>
  <c r="R161" i="27"/>
  <c r="R172" i="27"/>
  <c r="R187" i="27"/>
  <c r="R192" i="27"/>
  <c r="R157" i="27"/>
  <c r="R164" i="27"/>
  <c r="R183" i="27"/>
  <c r="R189" i="27"/>
  <c r="R37" i="27"/>
  <c r="R39" i="27"/>
  <c r="R25" i="27"/>
  <c r="R121" i="27"/>
  <c r="R67" i="27"/>
  <c r="R22" i="27"/>
  <c r="R60" i="27"/>
  <c r="R144" i="27"/>
  <c r="R153" i="27"/>
  <c r="R169" i="27"/>
  <c r="R186" i="27"/>
  <c r="R51" i="27"/>
  <c r="R11" i="27"/>
  <c r="R65" i="27"/>
  <c r="R21" i="27"/>
  <c r="R75" i="27"/>
  <c r="R14" i="27"/>
  <c r="R85" i="27"/>
  <c r="R31" i="27"/>
  <c r="R200" i="27"/>
  <c r="R206" i="27"/>
  <c r="R171" i="27"/>
  <c r="R185" i="27"/>
  <c r="R188" i="27"/>
  <c r="R198" i="27"/>
  <c r="R257" i="27"/>
  <c r="R208" i="27"/>
  <c r="R225" i="27"/>
  <c r="R173" i="27"/>
  <c r="R184" i="27"/>
  <c r="R193" i="27"/>
  <c r="R199" i="27"/>
  <c r="R209" i="27"/>
  <c r="R210" i="27"/>
  <c r="R197" i="27"/>
  <c r="R217" i="27"/>
  <c r="R221" i="27"/>
  <c r="R223" i="27"/>
  <c r="R232" i="27"/>
  <c r="R114" i="27"/>
  <c r="R19" i="27"/>
  <c r="R74" i="27"/>
  <c r="R143" i="27"/>
  <c r="R41" i="27"/>
  <c r="R149" i="27"/>
  <c r="R165" i="27"/>
  <c r="R167" i="27"/>
  <c r="R181" i="27"/>
  <c r="R195" i="27"/>
  <c r="R207" i="27"/>
  <c r="R224" i="27"/>
  <c r="R226" i="27"/>
  <c r="R239" i="27"/>
  <c r="R241" i="27"/>
  <c r="R242" i="27"/>
  <c r="R245" i="27"/>
  <c r="R285" i="27"/>
  <c r="R201" i="27"/>
  <c r="R203" i="27"/>
  <c r="R220" i="27"/>
  <c r="R229" i="27"/>
  <c r="R259" i="27"/>
  <c r="R261" i="27"/>
  <c r="R281" i="27"/>
  <c r="R288" i="27"/>
  <c r="R248" i="27"/>
  <c r="R249" i="27"/>
  <c r="R253" i="27"/>
  <c r="R260" i="27"/>
  <c r="R276" i="27"/>
  <c r="R283" i="27"/>
  <c r="R274" i="27"/>
  <c r="R175" i="27"/>
  <c r="R191" i="27"/>
  <c r="R215" i="27"/>
  <c r="R219" i="27"/>
  <c r="R230" i="27"/>
  <c r="R244" i="27"/>
  <c r="R255" i="27"/>
  <c r="R264" i="27"/>
  <c r="R271" i="27"/>
  <c r="R298" i="27"/>
  <c r="R299" i="27"/>
  <c r="R324" i="27"/>
  <c r="R213" i="27"/>
  <c r="R286" i="27"/>
  <c r="R297" i="27"/>
  <c r="R305" i="27"/>
  <c r="R303" i="27"/>
  <c r="R309" i="27"/>
  <c r="R338" i="27"/>
  <c r="R287" i="27"/>
  <c r="R301" i="27"/>
  <c r="R312" i="27"/>
  <c r="R317" i="27"/>
  <c r="R310" i="27"/>
  <c r="R314" i="27"/>
  <c r="R211" i="27"/>
  <c r="R227" i="27"/>
  <c r="R256" i="27"/>
  <c r="R304" i="27"/>
  <c r="R308" i="27"/>
  <c r="R331" i="27"/>
  <c r="R292" i="27"/>
  <c r="R337" i="27"/>
  <c r="R346" i="27"/>
  <c r="R321" i="27"/>
  <c r="R322" i="27"/>
  <c r="R358" i="27"/>
  <c r="R364" i="27"/>
  <c r="R341" i="27"/>
  <c r="R327" i="27"/>
  <c r="R354" i="27"/>
  <c r="R370" i="27"/>
  <c r="R352" i="27"/>
  <c r="R335" i="27"/>
  <c r="R336" i="27"/>
  <c r="R367" i="27"/>
  <c r="R319" i="27"/>
  <c r="R320" i="27"/>
  <c r="R350" i="27"/>
  <c r="R356" i="27"/>
  <c r="R333" i="27"/>
  <c r="R345" i="27"/>
  <c r="R348" i="27"/>
  <c r="R359" i="27"/>
  <c r="R365" i="27"/>
  <c r="R374" i="27"/>
  <c r="R376" i="27"/>
  <c r="R329" i="27"/>
  <c r="R334" i="27"/>
  <c r="R343" i="27"/>
  <c r="R347" i="27"/>
  <c r="R351" i="27"/>
  <c r="R357" i="27"/>
  <c r="R362" i="27"/>
  <c r="R366" i="27"/>
  <c r="R325" i="27"/>
  <c r="R349" i="27"/>
  <c r="R360" i="27"/>
  <c r="R323" i="27"/>
  <c r="R339" i="27"/>
  <c r="R355" i="27"/>
  <c r="R363" i="27"/>
  <c r="R392" i="27"/>
  <c r="R353" i="27"/>
  <c r="R361" i="27"/>
  <c r="R390" i="27"/>
  <c r="R388" i="27"/>
  <c r="R398" i="27"/>
  <c r="R400" i="27"/>
  <c r="R433" i="27"/>
  <c r="R396" i="27"/>
  <c r="R423" i="27"/>
  <c r="R427" i="27"/>
  <c r="R443" i="27"/>
  <c r="R424" i="27"/>
  <c r="R416" i="27"/>
  <c r="R422" i="27"/>
  <c r="R431" i="27"/>
  <c r="R412" i="27"/>
  <c r="R455" i="27"/>
  <c r="R419" i="27"/>
  <c r="R432" i="27"/>
  <c r="R441" i="27"/>
  <c r="R460" i="27"/>
  <c r="R450" i="27"/>
  <c r="R451" i="27"/>
  <c r="R418" i="27"/>
  <c r="R428" i="27"/>
  <c r="R436" i="27"/>
  <c r="R439" i="27"/>
  <c r="R454" i="27"/>
  <c r="R458" i="27"/>
  <c r="R426" i="27"/>
  <c r="R449" i="27"/>
  <c r="R456" i="27"/>
  <c r="R465" i="27"/>
  <c r="R468" i="27"/>
  <c r="R461" i="27"/>
  <c r="R466" i="27"/>
  <c r="R488" i="27"/>
  <c r="R459" i="27"/>
  <c r="R478" i="27"/>
  <c r="R482" i="27"/>
  <c r="R474" i="27"/>
  <c r="R491" i="27"/>
  <c r="R493" i="27"/>
  <c r="R495" i="27"/>
  <c r="R484" i="27"/>
  <c r="R487" i="27"/>
  <c r="R489" i="27"/>
  <c r="R506" i="27"/>
  <c r="R472" i="27"/>
  <c r="R500" i="27"/>
  <c r="R476" i="27"/>
  <c r="R492" i="27"/>
  <c r="R496" i="27"/>
  <c r="R502" i="27"/>
  <c r="R514" i="27"/>
  <c r="R480" i="27"/>
  <c r="R490" i="27"/>
  <c r="R498" i="27"/>
  <c r="R510" i="27"/>
  <c r="R519" i="27"/>
  <c r="R504" i="27"/>
  <c r="R508" i="27"/>
  <c r="R512" i="27"/>
  <c r="R470" i="27"/>
  <c r="R486" i="27"/>
  <c r="R494" i="27"/>
  <c r="R518" i="27"/>
  <c r="R520" i="27"/>
  <c r="R516" i="27"/>
  <c r="V440" i="16"/>
  <c r="V264" i="16"/>
  <c r="L132" i="27"/>
  <c r="N132" i="27" s="1"/>
  <c r="V97" i="27"/>
  <c r="S91" i="27"/>
  <c r="L39" i="27"/>
  <c r="N39" i="27" s="1"/>
  <c r="P91" i="27"/>
  <c r="J91" i="27" s="1"/>
  <c r="P81" i="27"/>
  <c r="L118" i="27"/>
  <c r="N118" i="27" s="1"/>
  <c r="L93" i="27"/>
  <c r="O93" i="27" s="1"/>
  <c r="S89" i="27"/>
  <c r="S108" i="27"/>
  <c r="L81" i="27"/>
  <c r="N81" i="27" s="1"/>
  <c r="P108" i="27"/>
  <c r="S97" i="27"/>
  <c r="V89" i="27"/>
  <c r="S93" i="27"/>
  <c r="S81" i="27"/>
  <c r="V118" i="27"/>
  <c r="L97" i="27"/>
  <c r="N97" i="27" s="1"/>
  <c r="P97" i="27"/>
  <c r="S86" i="27"/>
  <c r="V39" i="27"/>
  <c r="L108" i="27"/>
  <c r="N108" i="27" s="1"/>
  <c r="V327" i="16"/>
  <c r="V23" i="16"/>
  <c r="L89" i="27"/>
  <c r="N89" i="27" s="1"/>
  <c r="V91" i="27"/>
  <c r="V108" i="27"/>
  <c r="P89" i="27"/>
  <c r="V81" i="27"/>
  <c r="L91" i="27"/>
  <c r="M4" i="22"/>
  <c r="M5" i="22"/>
  <c r="M6" i="22"/>
  <c r="M7" i="22"/>
  <c r="M8" i="22"/>
  <c r="M9" i="22"/>
  <c r="M10" i="22"/>
  <c r="M11" i="22"/>
  <c r="M12" i="22"/>
  <c r="M13" i="22"/>
  <c r="M14" i="22"/>
  <c r="M15" i="22"/>
  <c r="M16" i="22"/>
  <c r="M17" i="22"/>
  <c r="M18" i="22"/>
  <c r="M19" i="22"/>
  <c r="M20" i="22"/>
  <c r="M21" i="22"/>
  <c r="M22" i="22"/>
  <c r="M23" i="22"/>
  <c r="E108" i="27"/>
  <c r="D108" i="27"/>
  <c r="E97" i="27"/>
  <c r="E89" i="27"/>
  <c r="E81" i="27"/>
  <c r="E98" i="27"/>
  <c r="S134" i="27"/>
  <c r="P134" i="27"/>
  <c r="J134" i="27" s="1"/>
  <c r="L92" i="27"/>
  <c r="N92" i="27" s="1"/>
  <c r="F22" i="27"/>
  <c r="L134" i="27"/>
  <c r="V92" i="27"/>
  <c r="P92" i="27"/>
  <c r="S92" i="27"/>
  <c r="F134" i="27"/>
  <c r="E17" i="27"/>
  <c r="V134" i="27"/>
  <c r="D92" i="27"/>
  <c r="E92" i="27"/>
  <c r="E134" i="27"/>
  <c r="D97" i="27"/>
  <c r="R28" i="22"/>
  <c r="R29" i="22"/>
  <c r="R27" i="22"/>
  <c r="E4" i="22"/>
  <c r="G4" i="22" s="1"/>
  <c r="N17" i="22"/>
  <c r="N18" i="22"/>
  <c r="N19" i="22"/>
  <c r="N13" i="22"/>
  <c r="N14" i="22"/>
  <c r="N15" i="22"/>
  <c r="N16" i="22"/>
  <c r="N7" i="22"/>
  <c r="R284" i="16"/>
  <c r="R53" i="16"/>
  <c r="R129" i="16"/>
  <c r="R211" i="16"/>
  <c r="R8" i="16"/>
  <c r="R370" i="16"/>
  <c r="R200" i="16"/>
  <c r="R412" i="16"/>
  <c r="R232" i="16"/>
  <c r="R329" i="16"/>
  <c r="R489" i="16"/>
  <c r="R433" i="16"/>
  <c r="R334" i="16"/>
  <c r="R155" i="16"/>
  <c r="R240" i="16"/>
  <c r="R384" i="16"/>
  <c r="R483" i="16"/>
  <c r="N4" i="22"/>
  <c r="N5" i="22"/>
  <c r="N6" i="22"/>
  <c r="N20" i="22"/>
  <c r="N21" i="22"/>
  <c r="N22" i="22"/>
  <c r="N23" i="22"/>
  <c r="R175" i="16"/>
  <c r="R285" i="16"/>
  <c r="R238" i="16"/>
  <c r="R128" i="16"/>
  <c r="R46" i="16"/>
  <c r="R209" i="16"/>
  <c r="R136" i="16"/>
  <c r="R482" i="16"/>
  <c r="R499" i="16"/>
  <c r="R422" i="16"/>
  <c r="R515" i="16"/>
  <c r="N12" i="22"/>
  <c r="N11" i="22"/>
  <c r="N10" i="22"/>
  <c r="N9" i="22"/>
  <c r="N8" i="22"/>
  <c r="R181" i="16"/>
  <c r="R343" i="16"/>
  <c r="L343" i="16"/>
  <c r="R520" i="16"/>
  <c r="R379" i="16"/>
  <c r="R405" i="16"/>
  <c r="R399" i="16"/>
  <c r="R430" i="16"/>
  <c r="R279" i="16"/>
  <c r="L279" i="16"/>
  <c r="R119" i="16"/>
  <c r="R227" i="16"/>
  <c r="R32" i="16"/>
  <c r="R377" i="16"/>
  <c r="R303" i="16"/>
  <c r="R245" i="16"/>
  <c r="R72" i="16"/>
  <c r="R440" i="16"/>
  <c r="L440" i="16"/>
  <c r="L184" i="16"/>
  <c r="R184" i="16"/>
  <c r="R416" i="16"/>
  <c r="R304" i="16"/>
  <c r="R406" i="16"/>
  <c r="L406" i="16"/>
  <c r="R68" i="16"/>
  <c r="R137" i="16"/>
  <c r="L137" i="16"/>
  <c r="R501" i="16"/>
  <c r="R327" i="16"/>
  <c r="L327" i="16"/>
  <c r="R214" i="16"/>
  <c r="R271" i="16"/>
  <c r="R423" i="16"/>
  <c r="R156" i="16"/>
  <c r="L156" i="16"/>
  <c r="R124" i="16"/>
  <c r="R80" i="16"/>
  <c r="L80" i="16"/>
  <c r="R363" i="16"/>
  <c r="R163" i="16"/>
  <c r="R11" i="16"/>
  <c r="R158" i="16"/>
  <c r="L158" i="16"/>
  <c r="R411" i="16"/>
  <c r="L411" i="16"/>
  <c r="R140" i="16"/>
  <c r="L140" i="16"/>
  <c r="N140" i="16" s="1"/>
  <c r="R63" i="16"/>
  <c r="L63" i="16"/>
  <c r="R111" i="16"/>
  <c r="R366" i="16"/>
  <c r="L366" i="16"/>
  <c r="N366" i="16" s="1"/>
  <c r="R360" i="16"/>
  <c r="R30" i="16"/>
  <c r="L30" i="16"/>
  <c r="N30" i="16" s="1"/>
  <c r="R255" i="16"/>
  <c r="R112" i="16"/>
  <c r="R316" i="16"/>
  <c r="L316" i="16"/>
  <c r="N316" i="16" s="1"/>
  <c r="R190" i="16"/>
  <c r="R26" i="16"/>
  <c r="R264" i="16"/>
  <c r="L264" i="16"/>
  <c r="R348" i="16"/>
  <c r="R91" i="16"/>
  <c r="R16" i="16"/>
  <c r="R325" i="16"/>
  <c r="R291" i="16"/>
  <c r="R321" i="16"/>
  <c r="L167" i="16"/>
  <c r="N167" i="16" s="1"/>
  <c r="R167" i="16"/>
  <c r="R61" i="16"/>
  <c r="R131" i="16"/>
  <c r="R248" i="16"/>
  <c r="R174" i="16"/>
  <c r="R4" i="16"/>
  <c r="R133" i="16"/>
  <c r="L133" i="16"/>
  <c r="N133" i="16" s="1"/>
  <c r="R54" i="16"/>
  <c r="R312" i="16"/>
  <c r="L312" i="16"/>
  <c r="R485" i="16"/>
  <c r="L485" i="16"/>
  <c r="R205" i="16"/>
  <c r="R369" i="16"/>
  <c r="R288" i="16"/>
  <c r="R305" i="16"/>
  <c r="R438" i="16"/>
  <c r="R439" i="16"/>
  <c r="R339" i="16"/>
  <c r="R81" i="16"/>
  <c r="R463" i="16"/>
  <c r="L463" i="16"/>
  <c r="N463" i="16" s="1"/>
  <c r="R103" i="16"/>
  <c r="L103" i="16"/>
  <c r="R44" i="16"/>
  <c r="L44" i="16"/>
  <c r="N44" i="16" s="1"/>
  <c r="R84" i="16"/>
  <c r="L84" i="16"/>
  <c r="N84" i="16" s="1"/>
  <c r="R385" i="16"/>
  <c r="R313" i="16"/>
  <c r="R73" i="16"/>
  <c r="R118" i="16"/>
  <c r="L118" i="16"/>
  <c r="N118" i="16" s="1"/>
  <c r="R302" i="16"/>
  <c r="L302" i="16"/>
  <c r="R89" i="16"/>
  <c r="R10" i="16"/>
  <c r="L10" i="16"/>
  <c r="R441" i="16"/>
  <c r="R459" i="16"/>
  <c r="R177" i="16"/>
  <c r="R24" i="16"/>
  <c r="R109" i="16"/>
  <c r="R281" i="16"/>
  <c r="L281" i="16"/>
  <c r="R169" i="16"/>
  <c r="R114" i="16"/>
  <c r="R294" i="16"/>
  <c r="R349" i="16"/>
  <c r="R237" i="16"/>
  <c r="R187" i="16"/>
  <c r="R127" i="16"/>
  <c r="R451" i="16"/>
  <c r="R65" i="16"/>
  <c r="R275" i="16"/>
  <c r="L275" i="16"/>
  <c r="R105" i="16"/>
  <c r="R403" i="16"/>
  <c r="L403" i="16"/>
  <c r="R464" i="16"/>
  <c r="R386" i="16"/>
  <c r="R261" i="16"/>
  <c r="R220" i="16"/>
  <c r="L220" i="16"/>
  <c r="R394" i="16"/>
  <c r="R472" i="16"/>
  <c r="L472" i="16"/>
  <c r="R254" i="16"/>
  <c r="R486" i="16"/>
  <c r="R207" i="16"/>
  <c r="R85" i="16"/>
  <c r="R346" i="16"/>
  <c r="R45" i="16"/>
  <c r="R229" i="16"/>
  <c r="L229" i="16"/>
  <c r="N229" i="16" s="1"/>
  <c r="R113" i="16"/>
  <c r="R47" i="16"/>
  <c r="R216" i="16"/>
  <c r="R17" i="16"/>
  <c r="R449" i="16"/>
  <c r="R371" i="16"/>
  <c r="R194" i="16"/>
  <c r="R326" i="16"/>
  <c r="R474" i="16"/>
  <c r="R150" i="16"/>
  <c r="L150" i="16"/>
  <c r="N150" i="16" s="1"/>
  <c r="L202" i="16"/>
  <c r="R202" i="16"/>
  <c r="L145" i="16"/>
  <c r="N145" i="16" s="1"/>
  <c r="R145" i="16"/>
  <c r="R341" i="16"/>
  <c r="L35" i="16"/>
  <c r="N35" i="16" s="1"/>
  <c r="R35" i="16"/>
  <c r="L153" i="16"/>
  <c r="N153" i="16" s="1"/>
  <c r="R153" i="16"/>
  <c r="L134" i="16"/>
  <c r="R134" i="16"/>
  <c r="R110" i="16"/>
  <c r="R67" i="16"/>
  <c r="R436" i="16"/>
  <c r="L36" i="16"/>
  <c r="R36" i="16"/>
  <c r="R476" i="16"/>
  <c r="L409" i="16"/>
  <c r="R409" i="16"/>
  <c r="L14" i="16"/>
  <c r="R14" i="16"/>
  <c r="R57" i="16"/>
  <c r="L478" i="16"/>
  <c r="R478" i="16"/>
  <c r="R257" i="16"/>
  <c r="L444" i="16"/>
  <c r="R444" i="16"/>
  <c r="L172" i="16"/>
  <c r="N172" i="16" s="1"/>
  <c r="R172" i="16"/>
  <c r="R152" i="16"/>
  <c r="L266" i="16"/>
  <c r="N266" i="16" s="1"/>
  <c r="R266" i="16"/>
  <c r="L98" i="16"/>
  <c r="R98" i="16"/>
  <c r="R165" i="16"/>
  <c r="R453" i="16"/>
  <c r="R250" i="16"/>
  <c r="L250" i="16"/>
  <c r="N250" i="16" s="1"/>
  <c r="R168" i="16"/>
  <c r="R251" i="16"/>
  <c r="R455" i="16"/>
  <c r="R29" i="16"/>
  <c r="L29" i="16"/>
  <c r="N29" i="16" s="1"/>
  <c r="R292" i="16"/>
  <c r="L292" i="16"/>
  <c r="R21" i="16"/>
  <c r="R429" i="16"/>
  <c r="L429" i="16"/>
  <c r="R236" i="16"/>
  <c r="R37" i="16"/>
  <c r="L37" i="16"/>
  <c r="N37" i="16" s="1"/>
  <c r="R268" i="16"/>
  <c r="R235" i="16"/>
  <c r="R160" i="16"/>
  <c r="R159" i="16"/>
  <c r="R225" i="16"/>
  <c r="R330" i="16"/>
  <c r="R514" i="16"/>
  <c r="R480" i="16"/>
  <c r="L480" i="16"/>
  <c r="R62" i="16"/>
  <c r="R28" i="16"/>
  <c r="L28" i="16"/>
  <c r="R49" i="16"/>
  <c r="L49" i="16"/>
  <c r="N49" i="16" s="1"/>
  <c r="R83" i="16"/>
  <c r="L83" i="16"/>
  <c r="N83" i="16" s="1"/>
  <c r="R375" i="16"/>
  <c r="L375" i="16"/>
  <c r="R75" i="16"/>
  <c r="R443" i="16"/>
  <c r="R97" i="16"/>
  <c r="R324" i="16"/>
  <c r="R50" i="16"/>
  <c r="L50" i="16"/>
  <c r="N50" i="16" s="1"/>
  <c r="R457" i="16"/>
  <c r="R144" i="16"/>
  <c r="L144" i="16"/>
  <c r="R102" i="16"/>
  <c r="L102" i="16"/>
  <c r="R179" i="16"/>
  <c r="R182" i="16"/>
  <c r="L182" i="16"/>
  <c r="N182" i="16" s="1"/>
  <c r="R395" i="16"/>
  <c r="R286" i="16"/>
  <c r="R477" i="16"/>
  <c r="L477" i="16"/>
  <c r="O477" i="16" s="1"/>
  <c r="R7" i="16"/>
  <c r="R256" i="16"/>
  <c r="R481" i="16"/>
  <c r="L481" i="16"/>
  <c r="R186" i="16"/>
  <c r="R107" i="16"/>
  <c r="L107" i="16"/>
  <c r="R413" i="16"/>
  <c r="R351" i="16"/>
  <c r="L351" i="16"/>
  <c r="R233" i="16"/>
  <c r="R234" i="16"/>
  <c r="R92" i="16"/>
  <c r="R318" i="16"/>
  <c r="R488" i="16"/>
  <c r="L488" i="16"/>
  <c r="O488" i="16" s="1"/>
  <c r="R208" i="16"/>
  <c r="R420" i="16"/>
  <c r="R247" i="16"/>
  <c r="R408" i="16"/>
  <c r="R387" i="16"/>
  <c r="R142" i="16"/>
  <c r="R442" i="16"/>
  <c r="L442" i="16"/>
  <c r="R388" i="16"/>
  <c r="R490" i="16"/>
  <c r="R143" i="16"/>
  <c r="R447" i="16"/>
  <c r="L447" i="16"/>
  <c r="R393" i="16"/>
  <c r="R100" i="16"/>
  <c r="R434" i="16"/>
  <c r="L434" i="16"/>
  <c r="R71" i="16"/>
  <c r="R195" i="16"/>
  <c r="R93" i="16"/>
  <c r="R381" i="16"/>
  <c r="R508" i="16"/>
  <c r="R322" i="16"/>
  <c r="R506" i="16"/>
  <c r="R218" i="16"/>
  <c r="R86" i="16"/>
  <c r="R148" i="16"/>
  <c r="R345" i="16"/>
  <c r="R116" i="16"/>
  <c r="R66" i="16"/>
  <c r="R511" i="16"/>
  <c r="R273" i="16"/>
  <c r="L273" i="16"/>
  <c r="R374" i="16"/>
  <c r="R278" i="16"/>
  <c r="R410" i="16"/>
  <c r="L410" i="16"/>
  <c r="N410" i="16" s="1"/>
  <c r="R470" i="16"/>
  <c r="L470" i="16"/>
  <c r="R120" i="16"/>
  <c r="R5" i="16"/>
  <c r="R367" i="16"/>
  <c r="R314" i="16"/>
  <c r="R352" i="16"/>
  <c r="R55" i="16"/>
  <c r="R197" i="16"/>
  <c r="R217" i="16"/>
  <c r="R125" i="16"/>
  <c r="R355" i="16"/>
  <c r="R336" i="16"/>
  <c r="R274" i="16"/>
  <c r="L136" i="16"/>
  <c r="N136" i="16" s="1"/>
  <c r="L209" i="16"/>
  <c r="O209" i="16" s="1"/>
  <c r="L155" i="16"/>
  <c r="L128" i="16"/>
  <c r="L334" i="16"/>
  <c r="N334" i="16" s="1"/>
  <c r="L240" i="16"/>
  <c r="L422" i="16"/>
  <c r="L433" i="16"/>
  <c r="L129" i="16"/>
  <c r="L46" i="16"/>
  <c r="L284" i="16"/>
  <c r="R437" i="16"/>
  <c r="L437" i="16"/>
  <c r="R9" i="16"/>
  <c r="R298" i="16"/>
  <c r="R203" i="16"/>
  <c r="R460" i="16"/>
  <c r="R380" i="16"/>
  <c r="R465" i="16"/>
  <c r="L465" i="16"/>
  <c r="R130" i="16"/>
  <c r="R88" i="16"/>
  <c r="L88" i="16"/>
  <c r="R48" i="16"/>
  <c r="R193" i="16"/>
  <c r="R185" i="16"/>
  <c r="R498" i="16"/>
  <c r="R484" i="16"/>
  <c r="R456" i="16"/>
  <c r="R398" i="16"/>
  <c r="L398" i="16"/>
  <c r="N398" i="16" s="1"/>
  <c r="R417" i="16"/>
  <c r="L417" i="16"/>
  <c r="R504" i="16"/>
  <c r="L504" i="16"/>
  <c r="R23" i="16"/>
  <c r="L23" i="16"/>
  <c r="R58" i="16"/>
  <c r="R212" i="16"/>
  <c r="R358" i="16"/>
  <c r="R117" i="16"/>
  <c r="R161" i="16"/>
  <c r="L161" i="16"/>
  <c r="R204" i="16"/>
  <c r="L204" i="16"/>
  <c r="N204" i="16" s="1"/>
  <c r="R389" i="16"/>
  <c r="L389" i="16"/>
  <c r="R108" i="16"/>
  <c r="L108" i="16"/>
  <c r="R60" i="16"/>
  <c r="L60" i="16"/>
  <c r="N60" i="16" s="1"/>
  <c r="R383" i="16"/>
  <c r="L383" i="16"/>
  <c r="R347" i="16"/>
  <c r="L347" i="16"/>
  <c r="R42" i="16"/>
  <c r="R310" i="16"/>
  <c r="R262" i="16"/>
  <c r="L262" i="16"/>
  <c r="R106" i="16"/>
  <c r="L106" i="16"/>
  <c r="N106" i="16" s="1"/>
  <c r="R162" i="16"/>
  <c r="R512" i="16"/>
  <c r="R282" i="16"/>
  <c r="R297" i="16"/>
  <c r="L297" i="16"/>
  <c r="N297" i="16" s="1"/>
  <c r="R319" i="16"/>
  <c r="L319" i="16"/>
  <c r="O319" i="16" s="1"/>
  <c r="R308" i="16"/>
  <c r="R164" i="16"/>
  <c r="L164" i="16"/>
  <c r="R259" i="16"/>
  <c r="R290" i="16"/>
  <c r="R99" i="16"/>
  <c r="L99" i="16"/>
  <c r="R239" i="16"/>
  <c r="R43" i="16"/>
  <c r="L43" i="16"/>
  <c r="R315" i="16"/>
  <c r="R228" i="16"/>
  <c r="R299" i="16"/>
  <c r="R31" i="16"/>
  <c r="L31" i="16"/>
  <c r="N31" i="16" s="1"/>
  <c r="R450" i="16"/>
  <c r="L450" i="16"/>
  <c r="R121" i="16"/>
  <c r="R192" i="16"/>
  <c r="R176" i="16"/>
  <c r="R139" i="16"/>
  <c r="L139" i="16"/>
  <c r="R509" i="16"/>
  <c r="R513" i="16"/>
  <c r="L513" i="16"/>
  <c r="R269" i="16"/>
  <c r="L269" i="16"/>
  <c r="R454" i="16"/>
  <c r="L454" i="16"/>
  <c r="N454" i="16" s="1"/>
  <c r="R519" i="16"/>
  <c r="R491" i="16"/>
  <c r="R458" i="16"/>
  <c r="R6" i="16"/>
  <c r="R199" i="16"/>
  <c r="R505" i="16"/>
  <c r="L505" i="16"/>
  <c r="R147" i="16"/>
  <c r="R328" i="16"/>
  <c r="L328" i="16"/>
  <c r="R487" i="16"/>
  <c r="R283" i="16"/>
  <c r="R95" i="16"/>
  <c r="L95" i="16"/>
  <c r="N95" i="16" s="1"/>
  <c r="R404" i="16"/>
  <c r="R378" i="16"/>
  <c r="R171" i="16"/>
  <c r="L171" i="16"/>
  <c r="R253" i="16"/>
  <c r="R362" i="16"/>
  <c r="R141" i="16"/>
  <c r="R382" i="16"/>
  <c r="R467" i="16"/>
  <c r="R230" i="16"/>
  <c r="L230" i="16"/>
  <c r="R418" i="16"/>
  <c r="L418" i="16"/>
  <c r="N418" i="16" s="1"/>
  <c r="R76" i="16"/>
  <c r="L39" i="16"/>
  <c r="N39" i="16" s="1"/>
  <c r="R39" i="16"/>
  <c r="R372" i="16"/>
  <c r="R22" i="16"/>
  <c r="R146" i="16"/>
  <c r="L146" i="16"/>
  <c r="R126" i="16"/>
  <c r="R277" i="16"/>
  <c r="R435" i="16"/>
  <c r="R421" i="16"/>
  <c r="R33" i="16"/>
  <c r="R373" i="16"/>
  <c r="L373" i="16"/>
  <c r="R502" i="16"/>
  <c r="R396" i="16"/>
  <c r="R90" i="16"/>
  <c r="R424" i="16"/>
  <c r="R426" i="16"/>
  <c r="L426" i="16"/>
  <c r="N426" i="16" s="1"/>
  <c r="R331" i="16"/>
  <c r="R497" i="16"/>
  <c r="R323" i="16"/>
  <c r="L323" i="16"/>
  <c r="N323" i="16" s="1"/>
  <c r="R151" i="16"/>
  <c r="R94" i="16"/>
  <c r="R173" i="16"/>
  <c r="R101" i="16"/>
  <c r="R354" i="16"/>
  <c r="R210" i="16"/>
  <c r="R311" i="16"/>
  <c r="L311" i="16"/>
  <c r="R446" i="16"/>
  <c r="L446" i="16"/>
  <c r="R265" i="16"/>
  <c r="R332" i="16"/>
  <c r="R320" i="16"/>
  <c r="R391" i="16"/>
  <c r="R40" i="16"/>
  <c r="R414" i="16"/>
  <c r="L414" i="16"/>
  <c r="R335" i="16"/>
  <c r="R309" i="16"/>
  <c r="L309" i="16"/>
  <c r="N309" i="16" s="1"/>
  <c r="R180" i="16"/>
  <c r="R198" i="16"/>
  <c r="R448" i="16"/>
  <c r="R462" i="16"/>
  <c r="R494" i="16"/>
  <c r="R260" i="16"/>
  <c r="R357" i="16"/>
  <c r="L357" i="16"/>
  <c r="R452" i="16"/>
  <c r="L452" i="16"/>
  <c r="R223" i="16"/>
  <c r="L223" i="16"/>
  <c r="N223" i="16" s="1"/>
  <c r="R503" i="16"/>
  <c r="R149" i="16"/>
  <c r="L149" i="16"/>
  <c r="N149" i="16" s="1"/>
  <c r="R249" i="16"/>
  <c r="R461" i="16"/>
  <c r="R337" i="16"/>
  <c r="R364" i="16"/>
  <c r="L364" i="16"/>
  <c r="N364" i="16" s="1"/>
  <c r="R296" i="16"/>
  <c r="R427" i="16"/>
  <c r="L427" i="16"/>
  <c r="R496" i="16"/>
  <c r="L496" i="16"/>
  <c r="N496" i="16" s="1"/>
  <c r="R51" i="16"/>
  <c r="L51" i="16"/>
  <c r="R115" i="16"/>
  <c r="R353" i="16"/>
  <c r="R170" i="16"/>
  <c r="R244" i="16"/>
  <c r="L244" i="16"/>
  <c r="R138" i="16"/>
  <c r="L138" i="16"/>
  <c r="N138" i="16" s="1"/>
  <c r="R270" i="16"/>
  <c r="R263" i="16"/>
  <c r="L263" i="16"/>
  <c r="N263" i="16" s="1"/>
  <c r="R493" i="16"/>
  <c r="L493" i="16"/>
  <c r="R38" i="16"/>
  <c r="R154" i="16"/>
  <c r="R201" i="16"/>
  <c r="L201" i="16"/>
  <c r="R87" i="16"/>
  <c r="R104" i="16"/>
  <c r="R401" i="16"/>
  <c r="R219" i="16"/>
  <c r="L219" i="16"/>
  <c r="N219" i="16" s="1"/>
  <c r="R122" i="16"/>
  <c r="R272" i="16"/>
  <c r="R495" i="16"/>
  <c r="L495" i="16"/>
  <c r="N495" i="16" s="1"/>
  <c r="R400" i="16"/>
  <c r="R392" i="16"/>
  <c r="L392" i="16"/>
  <c r="N392" i="16" s="1"/>
  <c r="R123" i="16"/>
  <c r="L123" i="16"/>
  <c r="N123" i="16" s="1"/>
  <c r="R25" i="16"/>
  <c r="R276" i="16"/>
  <c r="R428" i="16"/>
  <c r="L428" i="16"/>
  <c r="R517" i="16"/>
  <c r="R82" i="16"/>
  <c r="L82" i="16"/>
  <c r="R361" i="16"/>
  <c r="R293" i="16"/>
  <c r="R479" i="16"/>
  <c r="R333" i="16"/>
  <c r="L333" i="16"/>
  <c r="N333" i="16" s="1"/>
  <c r="R307" i="16"/>
  <c r="R70" i="16"/>
  <c r="R475" i="16"/>
  <c r="R338" i="16"/>
  <c r="R252" i="16"/>
  <c r="R445" i="16"/>
  <c r="L445" i="16"/>
  <c r="R242" i="16"/>
  <c r="L242" i="16"/>
  <c r="R15" i="16"/>
  <c r="L15" i="16"/>
  <c r="N15" i="16" s="1"/>
  <c r="R64" i="16"/>
  <c r="R27" i="16"/>
  <c r="L27" i="16"/>
  <c r="N27" i="16" s="1"/>
  <c r="R317" i="16"/>
  <c r="L317" i="16"/>
  <c r="N317" i="16" s="1"/>
  <c r="R189" i="16"/>
  <c r="L189" i="16"/>
  <c r="N189" i="16" s="1"/>
  <c r="R419" i="16"/>
  <c r="R518" i="16"/>
  <c r="R306" i="16"/>
  <c r="R390" i="16"/>
  <c r="R78" i="16"/>
  <c r="R300" i="16"/>
  <c r="L300" i="16"/>
  <c r="R135" i="16"/>
  <c r="R206" i="16"/>
  <c r="L206" i="16"/>
  <c r="R359" i="16"/>
  <c r="R34" i="16"/>
  <c r="R471" i="16"/>
  <c r="L471" i="16"/>
  <c r="N471" i="16" s="1"/>
  <c r="R96" i="16"/>
  <c r="R241" i="16"/>
  <c r="L241" i="16"/>
  <c r="N241" i="16" s="1"/>
  <c r="R188" i="16"/>
  <c r="L188" i="16"/>
  <c r="O188" i="16" s="1"/>
  <c r="R226" i="16"/>
  <c r="R183" i="16"/>
  <c r="R243" i="16"/>
  <c r="L243" i="16"/>
  <c r="R79" i="16"/>
  <c r="L79" i="16"/>
  <c r="R468" i="16"/>
  <c r="L468" i="16"/>
  <c r="R258" i="16"/>
  <c r="R492" i="16"/>
  <c r="R41" i="16"/>
  <c r="L41" i="16"/>
  <c r="R287" i="16"/>
  <c r="L287" i="16"/>
  <c r="R368" i="16"/>
  <c r="R507" i="16"/>
  <c r="R13" i="16"/>
  <c r="R213" i="16"/>
  <c r="R350" i="16"/>
  <c r="L350" i="16"/>
  <c r="R344" i="16"/>
  <c r="R12" i="16"/>
  <c r="L12" i="16"/>
  <c r="R52" i="16"/>
  <c r="R301" i="16"/>
  <c r="R157" i="16"/>
  <c r="R466" i="16"/>
  <c r="R431" i="16"/>
  <c r="R221" i="16"/>
  <c r="R397" i="16"/>
  <c r="R402" i="16"/>
  <c r="R222" i="16"/>
  <c r="R166" i="16"/>
  <c r="R246" i="16"/>
  <c r="R425" i="16"/>
  <c r="R56" i="16"/>
  <c r="R295" i="16"/>
  <c r="L295" i="16"/>
  <c r="R178" i="16"/>
  <c r="R191" i="16"/>
  <c r="R473" i="16"/>
  <c r="R59" i="16"/>
  <c r="L59" i="16"/>
  <c r="R510" i="16"/>
  <c r="R500" i="16"/>
  <c r="R289" i="16"/>
  <c r="R132" i="16"/>
  <c r="R340" i="16"/>
  <c r="L340" i="16"/>
  <c r="R215" i="16"/>
  <c r="R196" i="16"/>
  <c r="R469" i="16"/>
  <c r="R267" i="16"/>
  <c r="L267" i="16"/>
  <c r="N267" i="16" s="1"/>
  <c r="R407" i="16"/>
  <c r="R432" i="16"/>
  <c r="R365" i="16"/>
  <c r="R20" i="16"/>
  <c r="R376" i="16"/>
  <c r="F27" i="16"/>
  <c r="F513" i="16"/>
  <c r="D106" i="16"/>
  <c r="F137" i="16"/>
  <c r="F327" i="16"/>
  <c r="F99" i="16"/>
  <c r="F480" i="16"/>
  <c r="F152" i="16"/>
  <c r="E169" i="16"/>
  <c r="F408" i="16"/>
  <c r="E442" i="16"/>
  <c r="E490" i="16"/>
  <c r="F440" i="16"/>
  <c r="E472" i="16"/>
  <c r="F189" i="16"/>
  <c r="F230" i="16"/>
  <c r="E39" i="16"/>
  <c r="E208" i="16"/>
  <c r="E31" i="16"/>
  <c r="E192" i="16"/>
  <c r="E167" i="16"/>
  <c r="E139" i="16"/>
  <c r="E174" i="16"/>
  <c r="E269" i="16"/>
  <c r="E133" i="16"/>
  <c r="E312" i="16"/>
  <c r="E485" i="16"/>
  <c r="E10" i="16"/>
  <c r="E287" i="16"/>
  <c r="E447" i="16"/>
  <c r="E434" i="16"/>
  <c r="E33" i="16"/>
  <c r="E410" i="16"/>
  <c r="E470" i="16"/>
  <c r="E5" i="16"/>
  <c r="E340" i="16"/>
  <c r="E129" i="16"/>
  <c r="E244" i="16"/>
  <c r="E201" i="16"/>
  <c r="E29" i="16"/>
  <c r="E292" i="16"/>
  <c r="E463" i="16"/>
  <c r="E103" i="16"/>
  <c r="E281" i="16"/>
  <c r="E311" i="16"/>
  <c r="E350" i="16"/>
  <c r="E277" i="16"/>
  <c r="E373" i="16"/>
  <c r="F473" i="16"/>
  <c r="E446" i="16"/>
  <c r="E229" i="16"/>
  <c r="F82" i="16"/>
  <c r="F316" i="16"/>
  <c r="F242" i="16"/>
  <c r="F317" i="16"/>
  <c r="F133" i="16"/>
  <c r="F171" i="16"/>
  <c r="F468" i="16"/>
  <c r="F169" i="16"/>
  <c r="F84" i="16"/>
  <c r="F300" i="16"/>
  <c r="F264" i="16"/>
  <c r="E44" i="16"/>
  <c r="F31" i="16"/>
  <c r="E468" i="16"/>
  <c r="E41" i="16"/>
  <c r="E464" i="16"/>
  <c r="E323" i="16"/>
  <c r="E273" i="16"/>
  <c r="E59" i="16"/>
  <c r="E449" i="16"/>
  <c r="F28" i="16"/>
  <c r="F375" i="16"/>
  <c r="F144" i="16"/>
  <c r="F107" i="16"/>
  <c r="F418" i="16"/>
  <c r="D267" i="16"/>
  <c r="E188" i="16"/>
  <c r="F320" i="16"/>
  <c r="E79" i="16"/>
  <c r="E246" i="16"/>
  <c r="E295" i="16"/>
  <c r="D31" i="16"/>
  <c r="D269" i="16"/>
  <c r="D463" i="16"/>
  <c r="D44" i="16"/>
  <c r="D79" i="16"/>
  <c r="D118" i="16"/>
  <c r="D206" i="16"/>
  <c r="D485" i="16"/>
  <c r="E243" i="16"/>
  <c r="E408" i="16"/>
  <c r="E302" i="16"/>
  <c r="D488" i="16"/>
  <c r="E488" i="16"/>
  <c r="F201" i="16"/>
  <c r="E318" i="16"/>
  <c r="E84" i="16"/>
  <c r="E118" i="16"/>
  <c r="E215" i="16"/>
  <c r="E266" i="16"/>
  <c r="E98" i="16"/>
  <c r="E204" i="16"/>
  <c r="E250" i="16"/>
  <c r="E389" i="16"/>
  <c r="E108" i="16"/>
  <c r="E251" i="16"/>
  <c r="E513" i="16"/>
  <c r="E505" i="16"/>
  <c r="E171" i="16"/>
  <c r="E230" i="16"/>
  <c r="E267" i="16"/>
  <c r="E426" i="16"/>
  <c r="D426" i="16"/>
  <c r="E403" i="16"/>
  <c r="F414" i="16"/>
  <c r="D10" i="16"/>
  <c r="E370" i="16"/>
  <c r="E314" i="16"/>
  <c r="E414" i="16"/>
  <c r="F340" i="16"/>
  <c r="E309" i="16"/>
  <c r="V343" i="16"/>
  <c r="V136" i="16"/>
  <c r="V209" i="16"/>
  <c r="V155" i="16"/>
  <c r="V202" i="16"/>
  <c r="V145" i="16"/>
  <c r="V35" i="16"/>
  <c r="V153" i="16"/>
  <c r="V134" i="16"/>
  <c r="V36" i="16"/>
  <c r="V476" i="16"/>
  <c r="V409" i="16"/>
  <c r="V14" i="16"/>
  <c r="V478" i="16"/>
  <c r="V257" i="16"/>
  <c r="V444" i="16"/>
  <c r="V172" i="16"/>
  <c r="V266" i="16"/>
  <c r="V98" i="16"/>
  <c r="V250" i="16"/>
  <c r="V251" i="16"/>
  <c r="V29" i="16"/>
  <c r="V292" i="16"/>
  <c r="V429" i="16"/>
  <c r="V37" i="16"/>
  <c r="V235" i="16"/>
  <c r="V480" i="16"/>
  <c r="V28" i="16"/>
  <c r="V49" i="16"/>
  <c r="V375" i="16"/>
  <c r="V324" i="16"/>
  <c r="V50" i="16"/>
  <c r="V144" i="16"/>
  <c r="V102" i="16"/>
  <c r="V179" i="16"/>
  <c r="V477" i="16"/>
  <c r="V256" i="16"/>
  <c r="V481" i="16"/>
  <c r="V186" i="16"/>
  <c r="V107" i="16"/>
  <c r="V351" i="16"/>
  <c r="V150" i="16"/>
  <c r="V46" i="16"/>
  <c r="V128" i="16"/>
  <c r="V334" i="16"/>
  <c r="V203" i="16"/>
  <c r="V465" i="16"/>
  <c r="V130" i="16"/>
  <c r="V88" i="16"/>
  <c r="V398" i="16"/>
  <c r="V417" i="16"/>
  <c r="V504" i="16"/>
  <c r="V358" i="16"/>
  <c r="V204" i="16"/>
  <c r="V389" i="16"/>
  <c r="V108" i="16"/>
  <c r="V383" i="16"/>
  <c r="V347" i="16"/>
  <c r="V42" i="16"/>
  <c r="V262" i="16"/>
  <c r="V106" i="16"/>
  <c r="V282" i="16"/>
  <c r="V297" i="16"/>
  <c r="V319" i="16"/>
  <c r="V164" i="16"/>
  <c r="V259" i="16"/>
  <c r="V99" i="16"/>
  <c r="V43" i="16"/>
  <c r="V315" i="16"/>
  <c r="V31" i="16"/>
  <c r="V121" i="16"/>
  <c r="V139" i="16"/>
  <c r="V513" i="16"/>
  <c r="V269" i="16"/>
  <c r="V519" i="16"/>
  <c r="V199" i="16"/>
  <c r="V505" i="16"/>
  <c r="V147" i="16"/>
  <c r="V283" i="16"/>
  <c r="V437" i="16"/>
  <c r="V9" i="16"/>
  <c r="V384" i="16"/>
  <c r="V357" i="16"/>
  <c r="V452" i="16"/>
  <c r="V149" i="16"/>
  <c r="V364" i="16"/>
  <c r="V427" i="16"/>
  <c r="V496" i="16"/>
  <c r="V51" i="16"/>
  <c r="V353" i="16"/>
  <c r="V244" i="16"/>
  <c r="V138" i="16"/>
  <c r="V263" i="16"/>
  <c r="V493" i="16"/>
  <c r="V201" i="16"/>
  <c r="V87" i="16"/>
  <c r="V219" i="16"/>
  <c r="V272" i="16"/>
  <c r="V495" i="16"/>
  <c r="V400" i="16"/>
  <c r="V392" i="16"/>
  <c r="V123" i="16"/>
  <c r="V276" i="16"/>
  <c r="V428" i="16"/>
  <c r="V517" i="16"/>
  <c r="V82" i="16"/>
  <c r="V361" i="16"/>
  <c r="V333" i="16"/>
  <c r="V240" i="16"/>
  <c r="V227" i="16"/>
  <c r="V137" i="16"/>
  <c r="V80" i="16"/>
  <c r="V11" i="16"/>
  <c r="V63" i="16"/>
  <c r="V30" i="16"/>
  <c r="V190" i="16"/>
  <c r="V242" i="16"/>
  <c r="V317" i="16"/>
  <c r="V471" i="16"/>
  <c r="V318" i="16"/>
  <c r="V488" i="16"/>
  <c r="V408" i="16"/>
  <c r="V142" i="16"/>
  <c r="V442" i="16"/>
  <c r="V388" i="16"/>
  <c r="V143" i="16"/>
  <c r="V447" i="16"/>
  <c r="V434" i="16"/>
  <c r="V322" i="16"/>
  <c r="V86" i="16"/>
  <c r="V273" i="16"/>
  <c r="V374" i="16"/>
  <c r="V410" i="16"/>
  <c r="V470" i="16"/>
  <c r="V120" i="16"/>
  <c r="V314" i="16"/>
  <c r="V125" i="16"/>
  <c r="S437" i="16"/>
  <c r="S9" i="16"/>
  <c r="S422" i="16"/>
  <c r="S384" i="16"/>
  <c r="V304" i="16"/>
  <c r="V423" i="16"/>
  <c r="V158" i="16"/>
  <c r="V111" i="16"/>
  <c r="V26" i="16"/>
  <c r="V248" i="16"/>
  <c r="V4" i="16"/>
  <c r="V485" i="16"/>
  <c r="V439" i="16"/>
  <c r="V378" i="16"/>
  <c r="V171" i="16"/>
  <c r="V253" i="16"/>
  <c r="V467" i="16"/>
  <c r="V230" i="16"/>
  <c r="V418" i="16"/>
  <c r="V39" i="16"/>
  <c r="V146" i="16"/>
  <c r="V126" i="16"/>
  <c r="V33" i="16"/>
  <c r="V373" i="16"/>
  <c r="V90" i="16"/>
  <c r="V426" i="16"/>
  <c r="V323" i="16"/>
  <c r="V151" i="16"/>
  <c r="V94" i="16"/>
  <c r="V311" i="16"/>
  <c r="V265" i="16"/>
  <c r="V332" i="16"/>
  <c r="V391" i="16"/>
  <c r="V414" i="16"/>
  <c r="V335" i="16"/>
  <c r="V309" i="16"/>
  <c r="V433" i="16"/>
  <c r="V211" i="16"/>
  <c r="V365" i="16"/>
  <c r="S285" i="16"/>
  <c r="S260" i="16"/>
  <c r="S284" i="16"/>
  <c r="S240" i="16"/>
  <c r="S520" i="16"/>
  <c r="V284" i="16"/>
  <c r="V379" i="16"/>
  <c r="V279" i="16"/>
  <c r="V377" i="16"/>
  <c r="V406" i="16"/>
  <c r="V156" i="16"/>
  <c r="V411" i="16"/>
  <c r="V366" i="16"/>
  <c r="V445" i="16"/>
  <c r="V15" i="16"/>
  <c r="V27" i="16"/>
  <c r="V189" i="16"/>
  <c r="V518" i="16"/>
  <c r="V300" i="16"/>
  <c r="V206" i="16"/>
  <c r="V34" i="16"/>
  <c r="V241" i="16"/>
  <c r="V188" i="16"/>
  <c r="V226" i="16"/>
  <c r="V243" i="16"/>
  <c r="V79" i="16"/>
  <c r="V468" i="16"/>
  <c r="V41" i="16"/>
  <c r="V287" i="16"/>
  <c r="V368" i="16"/>
  <c r="V13" i="16"/>
  <c r="V350" i="16"/>
  <c r="V301" i="16"/>
  <c r="V157" i="16"/>
  <c r="V466" i="16"/>
  <c r="V222" i="16"/>
  <c r="V246" i="16"/>
  <c r="V295" i="16"/>
  <c r="V59" i="16"/>
  <c r="V510" i="16"/>
  <c r="V289" i="16"/>
  <c r="V184" i="16"/>
  <c r="V163" i="16"/>
  <c r="V131" i="16"/>
  <c r="V463" i="16"/>
  <c r="V385" i="16"/>
  <c r="V302" i="16"/>
  <c r="V281" i="16"/>
  <c r="V349" i="16"/>
  <c r="V403" i="16"/>
  <c r="V486" i="16"/>
  <c r="V329" i="16"/>
  <c r="S150" i="16"/>
  <c r="S128" i="16"/>
  <c r="S334" i="16"/>
  <c r="S379" i="16"/>
  <c r="S399" i="16"/>
  <c r="S430" i="16"/>
  <c r="S279" i="16"/>
  <c r="S377" i="16"/>
  <c r="S303" i="16"/>
  <c r="S440" i="16"/>
  <c r="S184" i="16"/>
  <c r="S416" i="16"/>
  <c r="S406" i="16"/>
  <c r="S137" i="16"/>
  <c r="S501" i="16"/>
  <c r="S327" i="16"/>
  <c r="S214" i="16"/>
  <c r="S423" i="16"/>
  <c r="S156" i="16"/>
  <c r="S124" i="16"/>
  <c r="S80" i="16"/>
  <c r="S163" i="16"/>
  <c r="S158" i="16"/>
  <c r="S411" i="16"/>
  <c r="S140" i="16"/>
  <c r="S63" i="16"/>
  <c r="S111" i="16"/>
  <c r="S366" i="16"/>
  <c r="S30" i="16"/>
  <c r="S255" i="16"/>
  <c r="S316" i="16"/>
  <c r="S190" i="16"/>
  <c r="S26" i="16"/>
  <c r="S264" i="16"/>
  <c r="S91" i="16"/>
  <c r="V405" i="16"/>
  <c r="V140" i="16"/>
  <c r="V103" i="16"/>
  <c r="V89" i="16"/>
  <c r="V169" i="16"/>
  <c r="V237" i="16"/>
  <c r="V65" i="16"/>
  <c r="V207" i="16"/>
  <c r="V340" i="16"/>
  <c r="V267" i="16"/>
  <c r="V432" i="16"/>
  <c r="V200" i="16"/>
  <c r="S181" i="16"/>
  <c r="S209" i="16"/>
  <c r="S202" i="16"/>
  <c r="S145" i="16"/>
  <c r="S35" i="16"/>
  <c r="S153" i="16"/>
  <c r="S134" i="16"/>
  <c r="S436" i="16"/>
  <c r="S36" i="16"/>
  <c r="S476" i="16"/>
  <c r="S409" i="16"/>
  <c r="S14" i="16"/>
  <c r="S57" i="16"/>
  <c r="S478" i="16"/>
  <c r="S444" i="16"/>
  <c r="S172" i="16"/>
  <c r="S152" i="16"/>
  <c r="S266" i="16"/>
  <c r="S98" i="16"/>
  <c r="S165" i="16"/>
  <c r="S250" i="16"/>
  <c r="S168" i="16"/>
  <c r="S251" i="16"/>
  <c r="S455" i="16"/>
  <c r="S29" i="16"/>
  <c r="S292" i="16"/>
  <c r="S21" i="16"/>
  <c r="S429" i="16"/>
  <c r="S37" i="16"/>
  <c r="S268" i="16"/>
  <c r="S235" i="16"/>
  <c r="S330" i="16"/>
  <c r="S514" i="16"/>
  <c r="S480" i="16"/>
  <c r="S28" i="16"/>
  <c r="S49" i="16"/>
  <c r="S83" i="16"/>
  <c r="S375" i="16"/>
  <c r="S443" i="16"/>
  <c r="V214" i="16"/>
  <c r="V133" i="16"/>
  <c r="V438" i="16"/>
  <c r="V44" i="16"/>
  <c r="V10" i="16"/>
  <c r="V114" i="16"/>
  <c r="V275" i="16"/>
  <c r="V472" i="16"/>
  <c r="V85" i="16"/>
  <c r="V229" i="16"/>
  <c r="V370" i="16"/>
  <c r="S474" i="16"/>
  <c r="S46" i="16"/>
  <c r="S238" i="16"/>
  <c r="S298" i="16"/>
  <c r="S203" i="16"/>
  <c r="S380" i="16"/>
  <c r="S465" i="16"/>
  <c r="S130" i="16"/>
  <c r="S88" i="16"/>
  <c r="S48" i="16"/>
  <c r="S398" i="16"/>
  <c r="S417" i="16"/>
  <c r="S504" i="16"/>
  <c r="S23" i="16"/>
  <c r="S212" i="16"/>
  <c r="S358" i="16"/>
  <c r="S161" i="16"/>
  <c r="S204" i="16"/>
  <c r="S389" i="16"/>
  <c r="S108" i="16"/>
  <c r="S60" i="16"/>
  <c r="S383" i="16"/>
  <c r="S347" i="16"/>
  <c r="S42" i="16"/>
  <c r="S310" i="16"/>
  <c r="S262" i="16"/>
  <c r="S106" i="16"/>
  <c r="S162" i="16"/>
  <c r="S512" i="16"/>
  <c r="S297" i="16"/>
  <c r="S319" i="16"/>
  <c r="S308" i="16"/>
  <c r="S164" i="16"/>
  <c r="S259" i="16"/>
  <c r="S290" i="16"/>
  <c r="S99" i="16"/>
  <c r="S43" i="16"/>
  <c r="S315" i="16"/>
  <c r="S228" i="16"/>
  <c r="S31" i="16"/>
  <c r="S192" i="16"/>
  <c r="S139" i="16"/>
  <c r="S513" i="16"/>
  <c r="S269" i="16"/>
  <c r="S454" i="16"/>
  <c r="V53" i="16"/>
  <c r="V285" i="16"/>
  <c r="V303" i="16"/>
  <c r="V316" i="16"/>
  <c r="V167" i="16"/>
  <c r="V312" i="16"/>
  <c r="V84" i="16"/>
  <c r="V118" i="16"/>
  <c r="V441" i="16"/>
  <c r="V127" i="16"/>
  <c r="V254" i="16"/>
  <c r="V215" i="16"/>
  <c r="V489" i="16"/>
  <c r="V129" i="16"/>
  <c r="S343" i="16"/>
  <c r="S136" i="16"/>
  <c r="S155" i="16"/>
  <c r="S357" i="16"/>
  <c r="S452" i="16"/>
  <c r="S223" i="16"/>
  <c r="S503" i="16"/>
  <c r="S149" i="16"/>
  <c r="S249" i="16"/>
  <c r="S461" i="16"/>
  <c r="S337" i="16"/>
  <c r="S364" i="16"/>
  <c r="S296" i="16"/>
  <c r="S427" i="16"/>
  <c r="S496" i="16"/>
  <c r="S51" i="16"/>
  <c r="S115" i="16"/>
  <c r="S244" i="16"/>
  <c r="S263" i="16"/>
  <c r="S201" i="16"/>
  <c r="S219" i="16"/>
  <c r="S400" i="16"/>
  <c r="S276" i="16"/>
  <c r="S361" i="16"/>
  <c r="S252" i="16"/>
  <c r="S167" i="16"/>
  <c r="S50" i="16"/>
  <c r="S174" i="16"/>
  <c r="S179" i="16"/>
  <c r="S419" i="16"/>
  <c r="S518" i="16"/>
  <c r="S78" i="16"/>
  <c r="S300" i="16"/>
  <c r="S206" i="16"/>
  <c r="S359" i="16"/>
  <c r="S34" i="16"/>
  <c r="S471" i="16"/>
  <c r="S96" i="16"/>
  <c r="S241" i="16"/>
  <c r="S188" i="16"/>
  <c r="S226" i="16"/>
  <c r="S183" i="16"/>
  <c r="S243" i="16"/>
  <c r="S79" i="16"/>
  <c r="S468" i="16"/>
  <c r="S492" i="16"/>
  <c r="S41" i="16"/>
  <c r="S287" i="16"/>
  <c r="S368" i="16"/>
  <c r="S507" i="16"/>
  <c r="S213" i="16"/>
  <c r="S350" i="16"/>
  <c r="S12" i="16"/>
  <c r="S52" i="16"/>
  <c r="S301" i="16"/>
  <c r="S466" i="16"/>
  <c r="S431" i="16"/>
  <c r="S222" i="16"/>
  <c r="S246" i="16"/>
  <c r="S425" i="16"/>
  <c r="S295" i="16"/>
  <c r="S178" i="16"/>
  <c r="S473" i="16"/>
  <c r="S59" i="16"/>
  <c r="S510" i="16"/>
  <c r="S289" i="16"/>
  <c r="S340" i="16"/>
  <c r="S215" i="16"/>
  <c r="S267" i="16"/>
  <c r="S432" i="16"/>
  <c r="S489" i="16"/>
  <c r="S129" i="16"/>
  <c r="S20" i="16"/>
  <c r="S138" i="16"/>
  <c r="S493" i="16"/>
  <c r="S87" i="16"/>
  <c r="S122" i="16"/>
  <c r="S392" i="16"/>
  <c r="S428" i="16"/>
  <c r="S321" i="16"/>
  <c r="S324" i="16"/>
  <c r="S15" i="16"/>
  <c r="S248" i="16"/>
  <c r="S102" i="16"/>
  <c r="S189" i="16"/>
  <c r="S312" i="16"/>
  <c r="S485" i="16"/>
  <c r="S205" i="16"/>
  <c r="S305" i="16"/>
  <c r="S438" i="16"/>
  <c r="S339" i="16"/>
  <c r="S81" i="16"/>
  <c r="S463" i="16"/>
  <c r="S103" i="16"/>
  <c r="S44" i="16"/>
  <c r="S84" i="16"/>
  <c r="S385" i="16"/>
  <c r="S118" i="16"/>
  <c r="S302" i="16"/>
  <c r="S89" i="16"/>
  <c r="S10" i="16"/>
  <c r="S441" i="16"/>
  <c r="S459" i="16"/>
  <c r="S177" i="16"/>
  <c r="S109" i="16"/>
  <c r="S281" i="16"/>
  <c r="S169" i="16"/>
  <c r="S353" i="16"/>
  <c r="S104" i="16"/>
  <c r="S272" i="16"/>
  <c r="S123" i="16"/>
  <c r="S517" i="16"/>
  <c r="S479" i="16"/>
  <c r="S475" i="16"/>
  <c r="S242" i="16"/>
  <c r="S131" i="16"/>
  <c r="S144" i="16"/>
  <c r="S317" i="16"/>
  <c r="S133" i="16"/>
  <c r="S395" i="16"/>
  <c r="S286" i="16"/>
  <c r="S477" i="16"/>
  <c r="S7" i="16"/>
  <c r="S256" i="16"/>
  <c r="S481" i="16"/>
  <c r="S186" i="16"/>
  <c r="S107" i="16"/>
  <c r="S413" i="16"/>
  <c r="S351" i="16"/>
  <c r="S233" i="16"/>
  <c r="S234" i="16"/>
  <c r="S92" i="16"/>
  <c r="S318" i="16"/>
  <c r="S488" i="16"/>
  <c r="S420" i="16"/>
  <c r="S247" i="16"/>
  <c r="S408" i="16"/>
  <c r="S387" i="16"/>
  <c r="S142" i="16"/>
  <c r="S442" i="16"/>
  <c r="S143" i="16"/>
  <c r="S447" i="16"/>
  <c r="S393" i="16"/>
  <c r="S100" i="16"/>
  <c r="S434" i="16"/>
  <c r="S93" i="16"/>
  <c r="S322" i="16"/>
  <c r="S218" i="16"/>
  <c r="S86" i="16"/>
  <c r="S148" i="16"/>
  <c r="S345" i="16"/>
  <c r="S511" i="16"/>
  <c r="S273" i="16"/>
  <c r="S374" i="16"/>
  <c r="S410" i="16"/>
  <c r="S470" i="16"/>
  <c r="S5" i="16"/>
  <c r="S314" i="16"/>
  <c r="S125" i="16"/>
  <c r="S170" i="16"/>
  <c r="S154" i="16"/>
  <c r="S495" i="16"/>
  <c r="S25" i="16"/>
  <c r="S82" i="16"/>
  <c r="S333" i="16"/>
  <c r="S445" i="16"/>
  <c r="S27" i="16"/>
  <c r="S4" i="16"/>
  <c r="S182" i="16"/>
  <c r="S6" i="16"/>
  <c r="S199" i="16"/>
  <c r="S505" i="16"/>
  <c r="S147" i="16"/>
  <c r="S328" i="16"/>
  <c r="S95" i="16"/>
  <c r="S404" i="16"/>
  <c r="S378" i="16"/>
  <c r="S171" i="16"/>
  <c r="S253" i="16"/>
  <c r="S362" i="16"/>
  <c r="S382" i="16"/>
  <c r="S467" i="16"/>
  <c r="S230" i="16"/>
  <c r="S418" i="16"/>
  <c r="S39" i="16"/>
  <c r="S372" i="16"/>
  <c r="S22" i="16"/>
  <c r="S146" i="16"/>
  <c r="S126" i="16"/>
  <c r="S277" i="16"/>
  <c r="S33" i="16"/>
  <c r="S373" i="16"/>
  <c r="S90" i="16"/>
  <c r="S424" i="16"/>
  <c r="S426" i="16"/>
  <c r="S331" i="16"/>
  <c r="S323" i="16"/>
  <c r="S151" i="16"/>
  <c r="S94" i="16"/>
  <c r="S173" i="16"/>
  <c r="S101" i="16"/>
  <c r="S311" i="16"/>
  <c r="S446" i="16"/>
  <c r="S332" i="16"/>
  <c r="S391" i="16"/>
  <c r="S414" i="16"/>
  <c r="S335" i="16"/>
  <c r="S309" i="16"/>
  <c r="S180" i="16"/>
  <c r="S433" i="16"/>
  <c r="S412" i="16"/>
  <c r="S211" i="16"/>
  <c r="S194" i="16"/>
  <c r="S47" i="16"/>
  <c r="S254" i="16"/>
  <c r="S261" i="16"/>
  <c r="S127" i="16"/>
  <c r="S53" i="16"/>
  <c r="S449" i="16"/>
  <c r="S85" i="16"/>
  <c r="S472" i="16"/>
  <c r="S386" i="16"/>
  <c r="S275" i="16"/>
  <c r="S370" i="16"/>
  <c r="S229" i="16"/>
  <c r="S207" i="16"/>
  <c r="S394" i="16"/>
  <c r="S464" i="16"/>
  <c r="S65" i="16"/>
  <c r="S237" i="16"/>
  <c r="S326" i="16"/>
  <c r="S486" i="16"/>
  <c r="S403" i="16"/>
  <c r="S349" i="16"/>
  <c r="S483" i="16"/>
  <c r="E60" i="16"/>
  <c r="E347" i="16"/>
  <c r="E429" i="16"/>
  <c r="E236" i="16"/>
  <c r="E37" i="16"/>
  <c r="E268" i="16"/>
  <c r="E235" i="16"/>
  <c r="E160" i="16"/>
  <c r="E330" i="16"/>
  <c r="E514" i="16"/>
  <c r="E480" i="16"/>
  <c r="E62" i="16"/>
  <c r="E28" i="16"/>
  <c r="E83" i="16"/>
  <c r="E50" i="16"/>
  <c r="D50" i="16"/>
  <c r="E144" i="16"/>
  <c r="E179" i="16"/>
  <c r="E477" i="16"/>
  <c r="E256" i="16"/>
  <c r="E186" i="16"/>
  <c r="E233" i="16"/>
  <c r="E92" i="16"/>
  <c r="E80" i="16"/>
  <c r="E11" i="16"/>
  <c r="E158" i="16"/>
  <c r="E411" i="16"/>
  <c r="E140" i="16"/>
  <c r="E63" i="16"/>
  <c r="E111" i="16"/>
  <c r="E366" i="16"/>
  <c r="E30" i="16"/>
  <c r="D30" i="16"/>
  <c r="E255" i="16"/>
  <c r="E316" i="16"/>
  <c r="E190" i="16"/>
  <c r="E26" i="16"/>
  <c r="E264" i="16"/>
  <c r="E474" i="16"/>
  <c r="E482" i="16"/>
  <c r="E284" i="16"/>
  <c r="E136" i="16"/>
  <c r="E422" i="16"/>
  <c r="E209" i="16"/>
  <c r="E238" i="16"/>
  <c r="E240" i="16"/>
  <c r="E334" i="16"/>
  <c r="E499" i="16"/>
  <c r="E520" i="16"/>
  <c r="E379" i="16"/>
  <c r="E203" i="16"/>
  <c r="E430" i="16"/>
  <c r="E149" i="16"/>
  <c r="E130" i="16"/>
  <c r="E461" i="16"/>
  <c r="E48" i="16"/>
  <c r="E36" i="16"/>
  <c r="E185" i="16"/>
  <c r="E476" i="16"/>
  <c r="E296" i="16"/>
  <c r="E14" i="16"/>
  <c r="E496" i="16"/>
  <c r="E57" i="16"/>
  <c r="E398" i="16"/>
  <c r="E304" i="16"/>
  <c r="E444" i="16"/>
  <c r="E504" i="16"/>
  <c r="E353" i="16"/>
  <c r="E406" i="16"/>
  <c r="E172" i="16"/>
  <c r="E23" i="16"/>
  <c r="E58" i="16"/>
  <c r="E270" i="16"/>
  <c r="E493" i="16"/>
  <c r="E38" i="16"/>
  <c r="F363" i="16"/>
  <c r="E42" i="16"/>
  <c r="E219" i="16"/>
  <c r="E272" i="16"/>
  <c r="E495" i="16"/>
  <c r="D495" i="16"/>
  <c r="E392" i="16"/>
  <c r="E276" i="16"/>
  <c r="E517" i="16"/>
  <c r="E361" i="16"/>
  <c r="E49" i="16"/>
  <c r="D49" i="16"/>
  <c r="E375" i="16"/>
  <c r="E443" i="16"/>
  <c r="E324" i="16"/>
  <c r="E102" i="16"/>
  <c r="D102" i="16"/>
  <c r="E182" i="16"/>
  <c r="E286" i="16"/>
  <c r="E7" i="16"/>
  <c r="E481" i="16"/>
  <c r="E107" i="16"/>
  <c r="D107" i="16"/>
  <c r="E351" i="16"/>
  <c r="D351" i="16"/>
  <c r="E234" i="16"/>
  <c r="E285" i="16"/>
  <c r="E181" i="16"/>
  <c r="E437" i="16"/>
  <c r="E494" i="16"/>
  <c r="E343" i="16"/>
  <c r="E150" i="16"/>
  <c r="E9" i="16"/>
  <c r="E260" i="16"/>
  <c r="E46" i="16"/>
  <c r="E515" i="16"/>
  <c r="E128" i="16"/>
  <c r="E384" i="16"/>
  <c r="E155" i="16"/>
  <c r="E202" i="16"/>
  <c r="E298" i="16"/>
  <c r="E357" i="16"/>
  <c r="E145" i="16"/>
  <c r="E452" i="16"/>
  <c r="E405" i="16"/>
  <c r="E341" i="16"/>
  <c r="E223" i="16"/>
  <c r="E399" i="16"/>
  <c r="E35" i="16"/>
  <c r="E380" i="16"/>
  <c r="E503" i="16"/>
  <c r="E153" i="16"/>
  <c r="E134" i="16"/>
  <c r="E249" i="16"/>
  <c r="E119" i="16"/>
  <c r="E110" i="16"/>
  <c r="E88" i="16"/>
  <c r="E227" i="16"/>
  <c r="E337" i="16"/>
  <c r="E436" i="16"/>
  <c r="E377" i="16"/>
  <c r="E364" i="16"/>
  <c r="E303" i="16"/>
  <c r="E498" i="16"/>
  <c r="E409" i="16"/>
  <c r="E484" i="16"/>
  <c r="E427" i="16"/>
  <c r="E440" i="16"/>
  <c r="E51" i="16"/>
  <c r="E184" i="16"/>
  <c r="E478" i="16"/>
  <c r="E115" i="16"/>
  <c r="E416" i="16"/>
  <c r="E257" i="16"/>
  <c r="E417" i="16"/>
  <c r="E138" i="16"/>
  <c r="E263" i="16"/>
  <c r="E154" i="16"/>
  <c r="E383" i="16"/>
  <c r="D383" i="16"/>
  <c r="E122" i="16"/>
  <c r="E400" i="16"/>
  <c r="F63" i="16"/>
  <c r="E123" i="16"/>
  <c r="E25" i="16"/>
  <c r="E428" i="16"/>
  <c r="E82" i="16"/>
  <c r="E479" i="16"/>
  <c r="E137" i="16"/>
  <c r="E501" i="16"/>
  <c r="E327" i="16"/>
  <c r="E214" i="16"/>
  <c r="E271" i="16"/>
  <c r="F493" i="16"/>
  <c r="E423" i="16"/>
  <c r="F38" i="16"/>
  <c r="E156" i="16"/>
  <c r="E124" i="16"/>
  <c r="E163" i="16"/>
  <c r="E310" i="16"/>
  <c r="E262" i="16"/>
  <c r="E106" i="16"/>
  <c r="E162" i="16"/>
  <c r="E512" i="16"/>
  <c r="E282" i="16"/>
  <c r="E297" i="16"/>
  <c r="E319" i="16"/>
  <c r="E308" i="16"/>
  <c r="E164" i="16"/>
  <c r="D164" i="16"/>
  <c r="E259" i="16"/>
  <c r="E290" i="16"/>
  <c r="E99" i="16"/>
  <c r="E239" i="16"/>
  <c r="E43" i="16"/>
  <c r="E307" i="16"/>
  <c r="E475" i="16"/>
  <c r="E252" i="16"/>
  <c r="E242" i="16"/>
  <c r="E64" i="16"/>
  <c r="E317" i="16"/>
  <c r="E419" i="16"/>
  <c r="E78" i="16"/>
  <c r="E135" i="16"/>
  <c r="E359" i="16"/>
  <c r="E471" i="16"/>
  <c r="F471" i="16"/>
  <c r="E241" i="16"/>
  <c r="E333" i="16"/>
  <c r="E445" i="16"/>
  <c r="E15" i="16"/>
  <c r="E27" i="16"/>
  <c r="E189" i="16"/>
  <c r="E518" i="16"/>
  <c r="E390" i="16"/>
  <c r="E300" i="16"/>
  <c r="E206" i="16"/>
  <c r="E34" i="16"/>
  <c r="E96" i="16"/>
  <c r="F273" i="16"/>
  <c r="F470" i="16"/>
  <c r="D323" i="16"/>
  <c r="D446" i="16"/>
  <c r="F486" i="16"/>
  <c r="D314" i="16"/>
  <c r="F449" i="16"/>
  <c r="F229" i="16"/>
  <c r="F17" i="16"/>
  <c r="F216" i="16"/>
  <c r="F117" i="16"/>
  <c r="D156" i="16"/>
  <c r="F444" i="16"/>
  <c r="F98" i="16"/>
  <c r="F389" i="16"/>
  <c r="F411" i="16"/>
  <c r="F257" i="16"/>
  <c r="F60" i="16"/>
  <c r="F240" i="16"/>
  <c r="F153" i="16"/>
  <c r="D23" i="16"/>
  <c r="D158" i="16"/>
  <c r="D408" i="16"/>
  <c r="D36" i="16"/>
  <c r="D37" i="16"/>
  <c r="D427" i="16"/>
  <c r="F496" i="16"/>
  <c r="F499" i="16"/>
  <c r="F337" i="16"/>
  <c r="F149" i="16"/>
  <c r="F249" i="16"/>
  <c r="D219" i="16"/>
  <c r="D392" i="16"/>
  <c r="F204" i="16"/>
  <c r="F150" i="16"/>
  <c r="D136" i="16"/>
  <c r="F250" i="16"/>
  <c r="F495" i="16"/>
  <c r="D108" i="16"/>
  <c r="D452" i="16"/>
  <c r="F429" i="16"/>
  <c r="F324" i="16"/>
  <c r="F46" i="16"/>
  <c r="F437" i="16"/>
  <c r="F134" i="16"/>
  <c r="F175" i="16"/>
  <c r="D422" i="16"/>
  <c r="D14" i="16"/>
  <c r="D244" i="16"/>
  <c r="D88" i="16"/>
  <c r="F128" i="16"/>
  <c r="D155" i="16"/>
  <c r="F193" i="16"/>
  <c r="F379" i="16"/>
  <c r="F284" i="16"/>
  <c r="F29" i="16"/>
  <c r="D80" i="16"/>
  <c r="I34" i="31" l="1" a="1"/>
  <c r="I34" i="31" s="1"/>
  <c r="I38" i="31" a="1"/>
  <c r="I38" i="31" s="1"/>
  <c r="I42" i="31" a="1"/>
  <c r="I42" i="31" s="1"/>
  <c r="I45" i="31" a="1"/>
  <c r="I45" i="31" s="1"/>
  <c r="I47" i="31" a="1"/>
  <c r="I47" i="31" s="1"/>
  <c r="I49" i="31" a="1"/>
  <c r="I49" i="31" s="1"/>
  <c r="I51" i="31" a="1"/>
  <c r="I51" i="31" s="1"/>
  <c r="I53" i="31" a="1"/>
  <c r="I53" i="31" s="1"/>
  <c r="I55" i="31" a="1"/>
  <c r="I55" i="31" s="1"/>
  <c r="I57" i="31" a="1"/>
  <c r="I57" i="31" s="1"/>
  <c r="I59" i="31" a="1"/>
  <c r="I59" i="31" s="1"/>
  <c r="I61" i="31" a="1"/>
  <c r="I61" i="31" s="1"/>
  <c r="I28" i="31" a="1"/>
  <c r="I28" i="31" s="1"/>
  <c r="I17" i="32" a="1"/>
  <c r="I17" i="32" s="1"/>
  <c r="I14" i="32" a="1"/>
  <c r="I14" i="32" s="1"/>
  <c r="I18" i="32" a="1"/>
  <c r="I18" i="32" s="1"/>
  <c r="I33" i="31" a="1"/>
  <c r="I33" i="31" s="1"/>
  <c r="I37" i="31" a="1"/>
  <c r="I37" i="31" s="1"/>
  <c r="I41" i="31" a="1"/>
  <c r="I41" i="31" s="1"/>
  <c r="I31" i="31" a="1"/>
  <c r="I31" i="31" s="1"/>
  <c r="I32" i="31" a="1"/>
  <c r="I32" i="31" s="1"/>
  <c r="I36" i="31" a="1"/>
  <c r="I36" i="31" s="1"/>
  <c r="I40" i="31" a="1"/>
  <c r="I40" i="31" s="1"/>
  <c r="I44" i="31" a="1"/>
  <c r="I44" i="31" s="1"/>
  <c r="I46" i="31" a="1"/>
  <c r="I46" i="31" s="1"/>
  <c r="I48" i="31" a="1"/>
  <c r="I48" i="31" s="1"/>
  <c r="I50" i="31" a="1"/>
  <c r="I50" i="31" s="1"/>
  <c r="I52" i="31" a="1"/>
  <c r="I52" i="31" s="1"/>
  <c r="I54" i="31" a="1"/>
  <c r="I54" i="31" s="1"/>
  <c r="I56" i="31" a="1"/>
  <c r="I56" i="31" s="1"/>
  <c r="I58" i="31" a="1"/>
  <c r="I58" i="31" s="1"/>
  <c r="I60" i="31" a="1"/>
  <c r="I60" i="31" s="1"/>
  <c r="I62" i="31" a="1"/>
  <c r="I62" i="31" s="1"/>
  <c r="I30" i="31" a="1"/>
  <c r="I30" i="31" s="1"/>
  <c r="I35" i="31" a="1"/>
  <c r="I35" i="31" s="1"/>
  <c r="I39" i="31" a="1"/>
  <c r="I39" i="31" s="1"/>
  <c r="I43" i="31" a="1"/>
  <c r="I43" i="31" s="1"/>
  <c r="I29" i="31" a="1"/>
  <c r="I29" i="31" s="1"/>
  <c r="I8" i="31" a="1"/>
  <c r="I8" i="31" s="1"/>
  <c r="I15" i="32" a="1"/>
  <c r="I15" i="32" s="1"/>
  <c r="I12" i="32" a="1"/>
  <c r="I12" i="32" s="1"/>
  <c r="I16" i="32" a="1"/>
  <c r="I16" i="32" s="1"/>
  <c r="I13" i="32" a="1"/>
  <c r="I13" i="32" s="1"/>
  <c r="F482" i="16"/>
  <c r="F170" i="16"/>
  <c r="F58" i="16"/>
  <c r="E338" i="16"/>
  <c r="F498" i="16"/>
  <c r="F329" i="16"/>
  <c r="E456" i="16"/>
  <c r="E245" i="16"/>
  <c r="E32" i="16"/>
  <c r="E97" i="16"/>
  <c r="E225" i="16"/>
  <c r="V376" i="16"/>
  <c r="S216" i="16"/>
  <c r="S113" i="16"/>
  <c r="S105" i="16"/>
  <c r="S448" i="16"/>
  <c r="S210" i="16"/>
  <c r="S396" i="16"/>
  <c r="S421" i="16"/>
  <c r="S76" i="16"/>
  <c r="S283" i="16"/>
  <c r="T283" i="16" s="1"/>
  <c r="W283" i="16" s="1"/>
  <c r="S491" i="16"/>
  <c r="S457" i="16"/>
  <c r="S401" i="16"/>
  <c r="S274" i="16"/>
  <c r="S197" i="16"/>
  <c r="S97" i="16"/>
  <c r="S56" i="16"/>
  <c r="S402" i="16"/>
  <c r="S157" i="16"/>
  <c r="T157" i="16" s="1"/>
  <c r="W157" i="16" s="1"/>
  <c r="S344" i="16"/>
  <c r="S64" i="16"/>
  <c r="S307" i="16"/>
  <c r="V469" i="16"/>
  <c r="S121" i="16"/>
  <c r="T121" i="16" s="1"/>
  <c r="U121" i="16" s="1"/>
  <c r="S498" i="16"/>
  <c r="V371" i="16"/>
  <c r="S32" i="16"/>
  <c r="V336" i="16"/>
  <c r="V45" i="16"/>
  <c r="V178" i="16"/>
  <c r="T178" i="16" s="1"/>
  <c r="V402" i="16"/>
  <c r="V344" i="16"/>
  <c r="T344" i="16" s="1"/>
  <c r="U344" i="16" s="1"/>
  <c r="V112" i="16"/>
  <c r="V210" i="16"/>
  <c r="T210" i="16" s="1"/>
  <c r="U210" i="16" s="1"/>
  <c r="V307" i="16"/>
  <c r="V185" i="16"/>
  <c r="F424" i="16"/>
  <c r="E75" i="16"/>
  <c r="E159" i="16"/>
  <c r="V483" i="16"/>
  <c r="T483" i="16" s="1"/>
  <c r="U483" i="16" s="1"/>
  <c r="S220" i="16"/>
  <c r="S329" i="16"/>
  <c r="T329" i="16" s="1"/>
  <c r="W329" i="16" s="1"/>
  <c r="S17" i="16"/>
  <c r="S371" i="16"/>
  <c r="S198" i="16"/>
  <c r="S40" i="16"/>
  <c r="S265" i="16"/>
  <c r="T265" i="16" s="1"/>
  <c r="U265" i="16" s="1"/>
  <c r="S354" i="16"/>
  <c r="S77" i="16"/>
  <c r="S502" i="16"/>
  <c r="S435" i="16"/>
  <c r="S141" i="16"/>
  <c r="S487" i="16"/>
  <c r="S61" i="16"/>
  <c r="S8" i="16"/>
  <c r="S352" i="16"/>
  <c r="S120" i="16"/>
  <c r="T120" i="16" s="1"/>
  <c r="U120" i="16" s="1"/>
  <c r="S508" i="16"/>
  <c r="S388" i="16"/>
  <c r="T388" i="16" s="1"/>
  <c r="S294" i="16"/>
  <c r="S288" i="16"/>
  <c r="S200" i="16"/>
  <c r="T200" i="16" s="1"/>
  <c r="S196" i="16"/>
  <c r="S500" i="16"/>
  <c r="S191" i="16"/>
  <c r="S397" i="16"/>
  <c r="V326" i="16"/>
  <c r="T326" i="16" s="1"/>
  <c r="W326" i="16" s="1"/>
  <c r="V294" i="16"/>
  <c r="V187" i="16"/>
  <c r="S159" i="16"/>
  <c r="S453" i="16"/>
  <c r="V288" i="16"/>
  <c r="S16" i="16"/>
  <c r="S360" i="16"/>
  <c r="S271" i="16"/>
  <c r="V274" i="16"/>
  <c r="V354" i="16"/>
  <c r="V306" i="16"/>
  <c r="L397" i="16"/>
  <c r="K328" i="4"/>
  <c r="I328" i="4"/>
  <c r="K293" i="4"/>
  <c r="I293" i="4"/>
  <c r="K181" i="4"/>
  <c r="I181" i="4"/>
  <c r="G127" i="16"/>
  <c r="H127" i="16" s="1"/>
  <c r="I305" i="16"/>
  <c r="I379" i="16"/>
  <c r="I186" i="16"/>
  <c r="G111" i="27"/>
  <c r="H111" i="27" s="1"/>
  <c r="S19" i="27"/>
  <c r="S122" i="27"/>
  <c r="L83" i="27"/>
  <c r="L103" i="27"/>
  <c r="E100" i="27"/>
  <c r="E132" i="27"/>
  <c r="L214" i="16"/>
  <c r="N214" i="16" s="1"/>
  <c r="L163" i="16"/>
  <c r="N163" i="16" s="1"/>
  <c r="L81" i="16"/>
  <c r="N81" i="16" s="1"/>
  <c r="L109" i="16"/>
  <c r="N109" i="16" s="1"/>
  <c r="L110" i="16"/>
  <c r="O110" i="16" s="1"/>
  <c r="L152" i="16"/>
  <c r="L251" i="16"/>
  <c r="L48" i="16"/>
  <c r="O48" i="16" s="1"/>
  <c r="L212" i="16"/>
  <c r="O212" i="16" s="1"/>
  <c r="L308" i="16"/>
  <c r="N308" i="16" s="1"/>
  <c r="L259" i="16"/>
  <c r="N259" i="16" s="1"/>
  <c r="L378" i="16"/>
  <c r="O378" i="16" s="1"/>
  <c r="L253" i="16"/>
  <c r="N253" i="16" s="1"/>
  <c r="L382" i="16"/>
  <c r="L33" i="16"/>
  <c r="O33" i="16" s="1"/>
  <c r="L154" i="16"/>
  <c r="N154" i="16" s="1"/>
  <c r="L87" i="16"/>
  <c r="O87" i="16" s="1"/>
  <c r="L25" i="16"/>
  <c r="L479" i="16"/>
  <c r="O479" i="16" s="1"/>
  <c r="L222" i="16"/>
  <c r="L425" i="16"/>
  <c r="N425" i="16" s="1"/>
  <c r="L432" i="16"/>
  <c r="N432" i="16" s="1"/>
  <c r="F253" i="16"/>
  <c r="E441" i="16"/>
  <c r="E94" i="16"/>
  <c r="E450" i="16"/>
  <c r="E248" i="16"/>
  <c r="F178" i="16"/>
  <c r="E466" i="16"/>
  <c r="E332" i="16"/>
  <c r="F121" i="16"/>
  <c r="F492" i="16"/>
  <c r="F222" i="16"/>
  <c r="E127" i="16"/>
  <c r="E275" i="16"/>
  <c r="E322" i="16"/>
  <c r="E492" i="16"/>
  <c r="E218" i="16"/>
  <c r="E212" i="16"/>
  <c r="E165" i="16"/>
  <c r="E378" i="16"/>
  <c r="E222" i="16"/>
  <c r="E105" i="16"/>
  <c r="E489" i="16"/>
  <c r="F180" i="16"/>
  <c r="V152" i="16"/>
  <c r="T152" i="16" s="1"/>
  <c r="U152" i="16" s="1"/>
  <c r="V168" i="16"/>
  <c r="T168" i="16" s="1"/>
  <c r="V268" i="16"/>
  <c r="T268" i="16" s="1"/>
  <c r="W268" i="16" s="1"/>
  <c r="V514" i="16"/>
  <c r="T514" i="16" s="1"/>
  <c r="V83" i="16"/>
  <c r="T83" i="16" s="1"/>
  <c r="V182" i="16"/>
  <c r="T182" i="16" s="1"/>
  <c r="W182" i="16" s="1"/>
  <c r="V298" i="16"/>
  <c r="T298" i="16" s="1"/>
  <c r="W298" i="16" s="1"/>
  <c r="V162" i="16"/>
  <c r="T162" i="16" s="1"/>
  <c r="U162" i="16" s="1"/>
  <c r="V450" i="16"/>
  <c r="V509" i="16"/>
  <c r="V6" i="16"/>
  <c r="T6" i="16" s="1"/>
  <c r="U6" i="16" s="1"/>
  <c r="V328" i="16"/>
  <c r="T328" i="16" s="1"/>
  <c r="U328" i="16" s="1"/>
  <c r="V515" i="16"/>
  <c r="V503" i="16"/>
  <c r="T503" i="16" s="1"/>
  <c r="U503" i="16" s="1"/>
  <c r="V296" i="16"/>
  <c r="T296" i="16" s="1"/>
  <c r="W296" i="16" s="1"/>
  <c r="V115" i="16"/>
  <c r="T115" i="16" s="1"/>
  <c r="W115" i="16" s="1"/>
  <c r="V479" i="16"/>
  <c r="T479" i="16" s="1"/>
  <c r="W479" i="16" s="1"/>
  <c r="V399" i="16"/>
  <c r="T399" i="16" s="1"/>
  <c r="U399" i="16" s="1"/>
  <c r="V64" i="16"/>
  <c r="V78" i="16"/>
  <c r="T78" i="16" s="1"/>
  <c r="U78" i="16" s="1"/>
  <c r="V381" i="16"/>
  <c r="V345" i="16"/>
  <c r="T345" i="16" s="1"/>
  <c r="U345" i="16" s="1"/>
  <c r="V278" i="16"/>
  <c r="V5" i="16"/>
  <c r="T5" i="16" s="1"/>
  <c r="U5" i="16" s="1"/>
  <c r="V232" i="16"/>
  <c r="V501" i="16"/>
  <c r="T501" i="16" s="1"/>
  <c r="V255" i="16"/>
  <c r="T255" i="16" s="1"/>
  <c r="W255" i="16" s="1"/>
  <c r="G418" i="16"/>
  <c r="H418" i="16" s="1"/>
  <c r="G42" i="16"/>
  <c r="H42" i="16" s="1"/>
  <c r="I328" i="16"/>
  <c r="I42" i="16"/>
  <c r="G104" i="27"/>
  <c r="I104" i="27" s="1"/>
  <c r="E133" i="27"/>
  <c r="S17" i="27"/>
  <c r="L399" i="16"/>
  <c r="N399" i="16" s="1"/>
  <c r="L416" i="16"/>
  <c r="O416" i="16" s="1"/>
  <c r="L124" i="16"/>
  <c r="O124" i="16" s="1"/>
  <c r="L11" i="16"/>
  <c r="N11" i="16" s="1"/>
  <c r="L174" i="16"/>
  <c r="L339" i="16"/>
  <c r="N339" i="16" s="1"/>
  <c r="L476" i="16"/>
  <c r="N476" i="16" s="1"/>
  <c r="L330" i="16"/>
  <c r="N330" i="16" s="1"/>
  <c r="L234" i="16"/>
  <c r="N234" i="16" s="1"/>
  <c r="L100" i="16"/>
  <c r="N100" i="16" s="1"/>
  <c r="L515" i="16"/>
  <c r="O515" i="16" s="1"/>
  <c r="L489" i="16"/>
  <c r="N489" i="16" s="1"/>
  <c r="L298" i="16"/>
  <c r="N298" i="16" s="1"/>
  <c r="L358" i="16"/>
  <c r="N358" i="16" s="1"/>
  <c r="L6" i="16"/>
  <c r="N6" i="16" s="1"/>
  <c r="L332" i="16"/>
  <c r="N332" i="16" s="1"/>
  <c r="L40" i="16"/>
  <c r="O40" i="16" s="1"/>
  <c r="L335" i="16"/>
  <c r="O335" i="16" s="1"/>
  <c r="L198" i="16"/>
  <c r="N198" i="16" s="1"/>
  <c r="L400" i="16"/>
  <c r="N400" i="16" s="1"/>
  <c r="L276" i="16"/>
  <c r="L517" i="16"/>
  <c r="O517" i="16" s="1"/>
  <c r="L475" i="16"/>
  <c r="O475" i="16" s="1"/>
  <c r="L226" i="16"/>
  <c r="N226" i="16" s="1"/>
  <c r="L507" i="16"/>
  <c r="O507" i="16" s="1"/>
  <c r="F259" i="16"/>
  <c r="E294" i="16"/>
  <c r="E369" i="16"/>
  <c r="E254" i="16"/>
  <c r="E283" i="16"/>
  <c r="E143" i="16"/>
  <c r="E148" i="16"/>
  <c r="E368" i="16"/>
  <c r="E301" i="16"/>
  <c r="E391" i="16"/>
  <c r="E142" i="16"/>
  <c r="E211" i="16"/>
  <c r="F490" i="16"/>
  <c r="E226" i="16"/>
  <c r="D127" i="16"/>
  <c r="E183" i="16"/>
  <c r="E147" i="16"/>
  <c r="E358" i="16"/>
  <c r="E253" i="16"/>
  <c r="E6" i="16"/>
  <c r="E166" i="16"/>
  <c r="E151" i="16"/>
  <c r="F391" i="16"/>
  <c r="E200" i="16"/>
  <c r="F432" i="16"/>
  <c r="V455" i="16"/>
  <c r="T455" i="16" s="1"/>
  <c r="U455" i="16" s="1"/>
  <c r="V236" i="16"/>
  <c r="V159" i="16"/>
  <c r="V443" i="16"/>
  <c r="T443" i="16" s="1"/>
  <c r="U443" i="16" s="1"/>
  <c r="V7" i="16"/>
  <c r="T7" i="16" s="1"/>
  <c r="U7" i="16" s="1"/>
  <c r="V498" i="16"/>
  <c r="V212" i="16"/>
  <c r="T212" i="16" s="1"/>
  <c r="U212" i="16" s="1"/>
  <c r="V290" i="16"/>
  <c r="T290" i="16" s="1"/>
  <c r="U290" i="16" s="1"/>
  <c r="V228" i="16"/>
  <c r="T228" i="16" s="1"/>
  <c r="U228" i="16" s="1"/>
  <c r="V192" i="16"/>
  <c r="T192" i="16" s="1"/>
  <c r="U192" i="16" s="1"/>
  <c r="V249" i="16"/>
  <c r="T249" i="16" s="1"/>
  <c r="U249" i="16" s="1"/>
  <c r="V25" i="16"/>
  <c r="T25" i="16" s="1"/>
  <c r="W25" i="16" s="1"/>
  <c r="V494" i="16"/>
  <c r="V245" i="16"/>
  <c r="V252" i="16"/>
  <c r="T252" i="16" s="1"/>
  <c r="U252" i="16" s="1"/>
  <c r="V419" i="16"/>
  <c r="T419" i="16" s="1"/>
  <c r="W419" i="16" s="1"/>
  <c r="V234" i="16"/>
  <c r="T234" i="16" s="1"/>
  <c r="U234" i="16" s="1"/>
  <c r="V387" i="16"/>
  <c r="T387" i="16" s="1"/>
  <c r="W387" i="16" s="1"/>
  <c r="V490" i="16"/>
  <c r="V100" i="16"/>
  <c r="T100" i="16" s="1"/>
  <c r="W100" i="16" s="1"/>
  <c r="V506" i="16"/>
  <c r="V55" i="16"/>
  <c r="V260" i="16"/>
  <c r="T260" i="16" s="1"/>
  <c r="U260" i="16" s="1"/>
  <c r="V321" i="16"/>
  <c r="T321" i="16" s="1"/>
  <c r="W321" i="16" s="1"/>
  <c r="V305" i="16"/>
  <c r="T305" i="16" s="1"/>
  <c r="U305" i="16" s="1"/>
  <c r="I324" i="16"/>
  <c r="I226" i="16"/>
  <c r="I268" i="16"/>
  <c r="I162" i="16"/>
  <c r="I509" i="16"/>
  <c r="I85" i="16"/>
  <c r="L100" i="27"/>
  <c r="L37" i="27"/>
  <c r="S100" i="27"/>
  <c r="P103" i="27"/>
  <c r="J103" i="27" s="1"/>
  <c r="V100" i="27"/>
  <c r="L91" i="16"/>
  <c r="N91" i="16" s="1"/>
  <c r="L486" i="16"/>
  <c r="N486" i="16" s="1"/>
  <c r="L62" i="16"/>
  <c r="N62" i="16" s="1"/>
  <c r="L511" i="16"/>
  <c r="N511" i="16" s="1"/>
  <c r="L374" i="16"/>
  <c r="L147" i="16"/>
  <c r="N147" i="16" s="1"/>
  <c r="L22" i="16"/>
  <c r="N22" i="16" s="1"/>
  <c r="L126" i="16"/>
  <c r="N126" i="16" s="1"/>
  <c r="L210" i="16"/>
  <c r="L503" i="16"/>
  <c r="O503" i="16" s="1"/>
  <c r="L473" i="16"/>
  <c r="O473" i="16" s="1"/>
  <c r="L510" i="16"/>
  <c r="O510" i="16" s="1"/>
  <c r="E89" i="16"/>
  <c r="E386" i="16"/>
  <c r="E325" i="16"/>
  <c r="E328" i="16"/>
  <c r="E126" i="16"/>
  <c r="E217" i="16"/>
  <c r="E87" i="16"/>
  <c r="E81" i="16"/>
  <c r="E24" i="16"/>
  <c r="E345" i="16"/>
  <c r="E146" i="16"/>
  <c r="E85" i="16"/>
  <c r="F157" i="16"/>
  <c r="F438" i="16"/>
  <c r="F477" i="16"/>
  <c r="F146" i="16"/>
  <c r="E420" i="16"/>
  <c r="E152" i="16"/>
  <c r="E467" i="16"/>
  <c r="E95" i="16"/>
  <c r="E86" i="16"/>
  <c r="E221" i="16"/>
  <c r="E289" i="16"/>
  <c r="E374" i="16"/>
  <c r="E433" i="16"/>
  <c r="V341" i="16"/>
  <c r="V110" i="16"/>
  <c r="V330" i="16"/>
  <c r="T330" i="16" s="1"/>
  <c r="E306" i="16"/>
  <c r="E293" i="16"/>
  <c r="E460" i="16"/>
  <c r="E457" i="16"/>
  <c r="E170" i="16"/>
  <c r="E193" i="16"/>
  <c r="E112" i="16"/>
  <c r="E360" i="16"/>
  <c r="E363" i="16"/>
  <c r="E413" i="16"/>
  <c r="E395" i="16"/>
  <c r="S376" i="16"/>
  <c r="S451" i="16"/>
  <c r="S45" i="16"/>
  <c r="S187" i="16"/>
  <c r="S346" i="16"/>
  <c r="S462" i="16"/>
  <c r="S320" i="16"/>
  <c r="S458" i="16"/>
  <c r="S338" i="16"/>
  <c r="S355" i="16"/>
  <c r="S217" i="16"/>
  <c r="S367" i="16"/>
  <c r="S506" i="16"/>
  <c r="S195" i="16"/>
  <c r="S270" i="16"/>
  <c r="S293" i="16"/>
  <c r="S365" i="16"/>
  <c r="T365" i="16" s="1"/>
  <c r="U365" i="16" s="1"/>
  <c r="S13" i="16"/>
  <c r="T13" i="16" s="1"/>
  <c r="U13" i="16" s="1"/>
  <c r="S390" i="16"/>
  <c r="V105" i="16"/>
  <c r="T105" i="16" s="1"/>
  <c r="U105" i="16" s="1"/>
  <c r="S484" i="16"/>
  <c r="V360" i="16"/>
  <c r="T360" i="16" s="1"/>
  <c r="U360" i="16" s="1"/>
  <c r="V394" i="16"/>
  <c r="V68" i="16"/>
  <c r="V216" i="16"/>
  <c r="V451" i="16"/>
  <c r="T451" i="16" s="1"/>
  <c r="U451" i="16" s="1"/>
  <c r="V191" i="16"/>
  <c r="V462" i="16"/>
  <c r="V116" i="16"/>
  <c r="V393" i="16"/>
  <c r="T393" i="16" s="1"/>
  <c r="W393" i="16" s="1"/>
  <c r="I159" i="4"/>
  <c r="D41" i="16" s="1"/>
  <c r="G473" i="16"/>
  <c r="H473" i="16" s="1"/>
  <c r="I100" i="16"/>
  <c r="I257" i="16"/>
  <c r="I377" i="16"/>
  <c r="I254" i="16"/>
  <c r="I96" i="16"/>
  <c r="I492" i="16"/>
  <c r="I185" i="16"/>
  <c r="L82" i="27"/>
  <c r="L98" i="27"/>
  <c r="S82" i="27"/>
  <c r="S103" i="27"/>
  <c r="E37" i="27"/>
  <c r="V14" i="27"/>
  <c r="L17" i="27"/>
  <c r="L227" i="16"/>
  <c r="N227" i="16" s="1"/>
  <c r="L360" i="16"/>
  <c r="N360" i="16" s="1"/>
  <c r="L255" i="16"/>
  <c r="N255" i="16" s="1"/>
  <c r="L187" i="16"/>
  <c r="N187" i="16" s="1"/>
  <c r="L45" i="16"/>
  <c r="N45" i="16" s="1"/>
  <c r="L168" i="16"/>
  <c r="N168" i="16" s="1"/>
  <c r="L455" i="16"/>
  <c r="L268" i="16"/>
  <c r="N268" i="16" s="1"/>
  <c r="L324" i="16"/>
  <c r="N324" i="16" s="1"/>
  <c r="L179" i="16"/>
  <c r="O179" i="16" s="1"/>
  <c r="L186" i="16"/>
  <c r="O186" i="16" s="1"/>
  <c r="L233" i="16"/>
  <c r="N233" i="16" s="1"/>
  <c r="L387" i="16"/>
  <c r="N387" i="16" s="1"/>
  <c r="L322" i="16"/>
  <c r="N322" i="16" s="1"/>
  <c r="L86" i="16"/>
  <c r="N86" i="16" s="1"/>
  <c r="L8" i="16"/>
  <c r="N8" i="16" s="1"/>
  <c r="L203" i="16"/>
  <c r="N203" i="16" s="1"/>
  <c r="L310" i="16"/>
  <c r="L512" i="16"/>
  <c r="O512" i="16" s="1"/>
  <c r="L228" i="16"/>
  <c r="O228" i="16" s="1"/>
  <c r="L192" i="16"/>
  <c r="N192" i="16" s="1"/>
  <c r="L199" i="16"/>
  <c r="N199" i="16" s="1"/>
  <c r="L435" i="16"/>
  <c r="O435" i="16" s="1"/>
  <c r="L396" i="16"/>
  <c r="N396" i="16" s="1"/>
  <c r="L353" i="16"/>
  <c r="L401" i="16"/>
  <c r="N401" i="16" s="1"/>
  <c r="L122" i="16"/>
  <c r="N122" i="16" s="1"/>
  <c r="L252" i="16"/>
  <c r="N252" i="16" s="1"/>
  <c r="L518" i="16"/>
  <c r="O518" i="16" s="1"/>
  <c r="L78" i="16"/>
  <c r="N78" i="16" s="1"/>
  <c r="L135" i="16"/>
  <c r="N135" i="16" s="1"/>
  <c r="L359" i="16"/>
  <c r="L492" i="16"/>
  <c r="L431" i="16"/>
  <c r="N431" i="16" s="1"/>
  <c r="L191" i="16"/>
  <c r="N191" i="16" s="1"/>
  <c r="F451" i="16"/>
  <c r="E418" i="16"/>
  <c r="E510" i="16"/>
  <c r="E315" i="16"/>
  <c r="E321" i="16"/>
  <c r="E131" i="16"/>
  <c r="E305" i="16"/>
  <c r="E431" i="16"/>
  <c r="E120" i="16"/>
  <c r="E432" i="16"/>
  <c r="E455" i="16"/>
  <c r="E339" i="16"/>
  <c r="E404" i="16"/>
  <c r="F116" i="16"/>
  <c r="E177" i="16"/>
  <c r="E12" i="16"/>
  <c r="E396" i="16"/>
  <c r="E265" i="16"/>
  <c r="F124" i="16"/>
  <c r="F127" i="16"/>
  <c r="E331" i="16"/>
  <c r="E473" i="16"/>
  <c r="F6" i="16"/>
  <c r="F226" i="16"/>
  <c r="F277" i="16"/>
  <c r="E387" i="16"/>
  <c r="E247" i="16"/>
  <c r="E161" i="16"/>
  <c r="E168" i="16"/>
  <c r="E382" i="16"/>
  <c r="E454" i="16"/>
  <c r="E335" i="16"/>
  <c r="E180" i="16"/>
  <c r="E191" i="16"/>
  <c r="E412" i="16"/>
  <c r="V181" i="16"/>
  <c r="T181" i="16" s="1"/>
  <c r="W181" i="16" s="1"/>
  <c r="V57" i="16"/>
  <c r="T57" i="16" s="1"/>
  <c r="V225" i="16"/>
  <c r="V62" i="16"/>
  <c r="V286" i="16"/>
  <c r="T286" i="16" s="1"/>
  <c r="V233" i="16"/>
  <c r="T233" i="16" s="1"/>
  <c r="U233" i="16" s="1"/>
  <c r="V238" i="16"/>
  <c r="T238" i="16" s="1"/>
  <c r="W238" i="16" s="1"/>
  <c r="V380" i="16"/>
  <c r="T380" i="16" s="1"/>
  <c r="W380" i="16" s="1"/>
  <c r="V48" i="16"/>
  <c r="T48" i="16" s="1"/>
  <c r="U48" i="16" s="1"/>
  <c r="V161" i="16"/>
  <c r="T161" i="16" s="1"/>
  <c r="W161" i="16" s="1"/>
  <c r="V60" i="16"/>
  <c r="T60" i="16" s="1"/>
  <c r="V310" i="16"/>
  <c r="T310" i="16" s="1"/>
  <c r="W310" i="16" s="1"/>
  <c r="V512" i="16"/>
  <c r="T512" i="16" s="1"/>
  <c r="V308" i="16"/>
  <c r="T308" i="16" s="1"/>
  <c r="U308" i="16" s="1"/>
  <c r="V454" i="16"/>
  <c r="T454" i="16" s="1"/>
  <c r="W454" i="16" s="1"/>
  <c r="V95" i="16"/>
  <c r="T95" i="16" s="1"/>
  <c r="W95" i="16" s="1"/>
  <c r="V422" i="16"/>
  <c r="T422" i="16" s="1"/>
  <c r="U422" i="16" s="1"/>
  <c r="V223" i="16"/>
  <c r="T223" i="16" s="1"/>
  <c r="V461" i="16"/>
  <c r="T461" i="16" s="1"/>
  <c r="V154" i="16"/>
  <c r="T154" i="16" s="1"/>
  <c r="W154" i="16" s="1"/>
  <c r="V122" i="16"/>
  <c r="T122" i="16" s="1"/>
  <c r="W122" i="16" s="1"/>
  <c r="V293" i="16"/>
  <c r="V416" i="16"/>
  <c r="T416" i="16" s="1"/>
  <c r="U416" i="16" s="1"/>
  <c r="V475" i="16"/>
  <c r="T475" i="16" s="1"/>
  <c r="V208" i="16"/>
  <c r="V93" i="16"/>
  <c r="T93" i="16" s="1"/>
  <c r="U93" i="16" s="1"/>
  <c r="V218" i="16"/>
  <c r="T218" i="16" s="1"/>
  <c r="U218" i="16" s="1"/>
  <c r="V352" i="16"/>
  <c r="T352" i="16" s="1"/>
  <c r="V448" i="16"/>
  <c r="S515" i="16"/>
  <c r="T515" i="16" s="1"/>
  <c r="V520" i="16"/>
  <c r="T520" i="16" s="1"/>
  <c r="U520" i="16" s="1"/>
  <c r="V325" i="16"/>
  <c r="V54" i="16"/>
  <c r="V81" i="16"/>
  <c r="T81" i="16" s="1"/>
  <c r="W81" i="16" s="1"/>
  <c r="V382" i="16"/>
  <c r="T382" i="16" s="1"/>
  <c r="U382" i="16" s="1"/>
  <c r="V76" i="16"/>
  <c r="V277" i="16"/>
  <c r="T277" i="16" s="1"/>
  <c r="V173" i="16"/>
  <c r="T173" i="16" s="1"/>
  <c r="V446" i="16"/>
  <c r="T446" i="16" s="1"/>
  <c r="W446" i="16" s="1"/>
  <c r="V40" i="16"/>
  <c r="V180" i="16"/>
  <c r="T180" i="16" s="1"/>
  <c r="U180" i="16" s="1"/>
  <c r="V20" i="16"/>
  <c r="T20" i="16" s="1"/>
  <c r="U20" i="16" s="1"/>
  <c r="V390" i="16"/>
  <c r="T390" i="16" s="1"/>
  <c r="U390" i="16" s="1"/>
  <c r="V96" i="16"/>
  <c r="T96" i="16" s="1"/>
  <c r="W96" i="16" s="1"/>
  <c r="V183" i="16"/>
  <c r="T183" i="16" s="1"/>
  <c r="W183" i="16" s="1"/>
  <c r="V492" i="16"/>
  <c r="T492" i="16" s="1"/>
  <c r="U492" i="16" s="1"/>
  <c r="V507" i="16"/>
  <c r="V12" i="16"/>
  <c r="T12" i="16" s="1"/>
  <c r="U12" i="16" s="1"/>
  <c r="V397" i="16"/>
  <c r="V425" i="16"/>
  <c r="T425" i="16" s="1"/>
  <c r="U425" i="16" s="1"/>
  <c r="V473" i="16"/>
  <c r="T473" i="16" s="1"/>
  <c r="W473" i="16" s="1"/>
  <c r="V132" i="16"/>
  <c r="V205" i="16"/>
  <c r="T205" i="16" s="1"/>
  <c r="W205" i="16" s="1"/>
  <c r="V459" i="16"/>
  <c r="T459" i="16" s="1"/>
  <c r="V449" i="16"/>
  <c r="T449" i="16" s="1"/>
  <c r="U449" i="16" s="1"/>
  <c r="S405" i="16"/>
  <c r="T405" i="16" s="1"/>
  <c r="S227" i="16"/>
  <c r="T227" i="16" s="1"/>
  <c r="W227" i="16" s="1"/>
  <c r="S245" i="16"/>
  <c r="S304" i="16"/>
  <c r="T304" i="16" s="1"/>
  <c r="U304" i="16" s="1"/>
  <c r="S11" i="16"/>
  <c r="T11" i="16" s="1"/>
  <c r="S325" i="16"/>
  <c r="V174" i="16"/>
  <c r="T174" i="16" s="1"/>
  <c r="V177" i="16"/>
  <c r="T177" i="16" s="1"/>
  <c r="V464" i="16"/>
  <c r="T464" i="16" s="1"/>
  <c r="U464" i="16" s="1"/>
  <c r="V196" i="16"/>
  <c r="V194" i="16"/>
  <c r="T194" i="16" s="1"/>
  <c r="S110" i="16"/>
  <c r="S257" i="16"/>
  <c r="T257" i="16" s="1"/>
  <c r="W257" i="16" s="1"/>
  <c r="S225" i="16"/>
  <c r="S62" i="16"/>
  <c r="V291" i="16"/>
  <c r="V386" i="16"/>
  <c r="T386" i="16" s="1"/>
  <c r="U386" i="16" s="1"/>
  <c r="V17" i="16"/>
  <c r="S460" i="16"/>
  <c r="S456" i="16"/>
  <c r="S282" i="16"/>
  <c r="T282" i="16" s="1"/>
  <c r="W282" i="16" s="1"/>
  <c r="S450" i="16"/>
  <c r="S509" i="16"/>
  <c r="S519" i="16"/>
  <c r="T519" i="16" s="1"/>
  <c r="U519" i="16" s="1"/>
  <c r="V124" i="16"/>
  <c r="T124" i="16" s="1"/>
  <c r="V339" i="16"/>
  <c r="T339" i="16" s="1"/>
  <c r="U339" i="16" s="1"/>
  <c r="V109" i="16"/>
  <c r="T109" i="16" s="1"/>
  <c r="U109" i="16" s="1"/>
  <c r="V261" i="16"/>
  <c r="T261" i="16" s="1"/>
  <c r="U261" i="16" s="1"/>
  <c r="V407" i="16"/>
  <c r="K482" i="4"/>
  <c r="F113" i="16" s="1"/>
  <c r="I482" i="4"/>
  <c r="D249" i="16"/>
  <c r="K438" i="4"/>
  <c r="F404" i="16" s="1"/>
  <c r="I438" i="4"/>
  <c r="K231" i="4"/>
  <c r="F308" i="16" s="1"/>
  <c r="I231" i="4"/>
  <c r="K340" i="4"/>
  <c r="F148" i="16" s="1"/>
  <c r="I340" i="4"/>
  <c r="K325" i="4"/>
  <c r="F374" i="16" s="1"/>
  <c r="I325" i="4"/>
  <c r="K260" i="4"/>
  <c r="F87" i="16" s="1"/>
  <c r="I260" i="4"/>
  <c r="K209" i="4"/>
  <c r="F168" i="16" s="1"/>
  <c r="I209" i="4"/>
  <c r="I124" i="4"/>
  <c r="K124" i="4"/>
  <c r="F364" i="16" s="1"/>
  <c r="I118" i="4"/>
  <c r="D103" i="16" s="1"/>
  <c r="P319" i="16"/>
  <c r="K319" i="16" s="1" a="1"/>
  <c r="K319" i="16" s="1"/>
  <c r="N319" i="16" s="1"/>
  <c r="G41" i="16"/>
  <c r="H41" i="16" s="1"/>
  <c r="G30" i="16"/>
  <c r="H30" i="16" s="1"/>
  <c r="G282" i="16"/>
  <c r="H282" i="16" s="1"/>
  <c r="G192" i="16"/>
  <c r="H192" i="16" s="1"/>
  <c r="G263" i="16"/>
  <c r="H263" i="16" s="1"/>
  <c r="G254" i="16"/>
  <c r="H254" i="16" s="1"/>
  <c r="I14" i="16"/>
  <c r="I26" i="16"/>
  <c r="I408" i="16"/>
  <c r="I203" i="16"/>
  <c r="I60" i="16"/>
  <c r="I139" i="16"/>
  <c r="I366" i="16"/>
  <c r="I234" i="16"/>
  <c r="I349" i="16"/>
  <c r="I103" i="16"/>
  <c r="I219" i="16"/>
  <c r="I464" i="16"/>
  <c r="I323" i="16"/>
  <c r="I188" i="16"/>
  <c r="I88" i="16"/>
  <c r="I311" i="16"/>
  <c r="I517" i="16"/>
  <c r="I350" i="16"/>
  <c r="I314" i="16"/>
  <c r="G83" i="27"/>
  <c r="I83" i="27" s="1"/>
  <c r="E19" i="27"/>
  <c r="V132" i="27"/>
  <c r="L86" i="27"/>
  <c r="N86" i="27" s="1"/>
  <c r="V98" i="27"/>
  <c r="P83" i="27"/>
  <c r="K83" i="27" s="1"/>
  <c r="P98" i="27"/>
  <c r="K98" i="27" s="1"/>
  <c r="L111" i="27"/>
  <c r="P93" i="27"/>
  <c r="J93" i="27" s="1"/>
  <c r="V83" i="27"/>
  <c r="V87" i="27"/>
  <c r="V82" i="27"/>
  <c r="P82" i="27"/>
  <c r="J82" i="27" s="1"/>
  <c r="S40" i="27"/>
  <c r="V113" i="27"/>
  <c r="V86" i="27"/>
  <c r="T86" i="27" s="1"/>
  <c r="E93" i="27"/>
  <c r="E40" i="27"/>
  <c r="E86" i="27"/>
  <c r="P17" i="27"/>
  <c r="J17" i="27" s="1"/>
  <c r="D98" i="27"/>
  <c r="L379" i="16"/>
  <c r="L377" i="16"/>
  <c r="N377" i="16" s="1"/>
  <c r="L245" i="16"/>
  <c r="N245" i="16" s="1"/>
  <c r="L304" i="16"/>
  <c r="N304" i="16" s="1"/>
  <c r="L68" i="16"/>
  <c r="L190" i="16"/>
  <c r="N190" i="16" s="1"/>
  <c r="L131" i="16"/>
  <c r="L305" i="16"/>
  <c r="N305" i="16" s="1"/>
  <c r="L451" i="16"/>
  <c r="N451" i="16" s="1"/>
  <c r="L464" i="16"/>
  <c r="O464" i="16" s="1"/>
  <c r="L326" i="16"/>
  <c r="N326" i="16" s="1"/>
  <c r="P219" i="16"/>
  <c r="K219" i="16" s="1" a="1"/>
  <c r="K219" i="16" s="1"/>
  <c r="O219" i="16" s="1"/>
  <c r="G281" i="16"/>
  <c r="H281" i="16" s="1"/>
  <c r="G138" i="16"/>
  <c r="H138" i="16" s="1"/>
  <c r="G478" i="16"/>
  <c r="H478" i="16" s="1"/>
  <c r="G475" i="16"/>
  <c r="H475" i="16" s="1"/>
  <c r="G330" i="16"/>
  <c r="H330" i="16" s="1"/>
  <c r="G398" i="16"/>
  <c r="H398" i="16" s="1"/>
  <c r="G442" i="16"/>
  <c r="H442" i="16" s="1"/>
  <c r="G305" i="16"/>
  <c r="H305" i="16" s="1"/>
  <c r="G423" i="16"/>
  <c r="H423" i="16" s="1"/>
  <c r="G253" i="16"/>
  <c r="H253" i="16" s="1"/>
  <c r="G322" i="16"/>
  <c r="H322" i="16" s="1"/>
  <c r="G364" i="16"/>
  <c r="H364" i="16" s="1"/>
  <c r="G123" i="16"/>
  <c r="H123" i="16" s="1"/>
  <c r="I485" i="16"/>
  <c r="I136" i="16"/>
  <c r="I318" i="16"/>
  <c r="I199" i="16"/>
  <c r="I259" i="16"/>
  <c r="I330" i="16"/>
  <c r="I295" i="16"/>
  <c r="I398" i="16"/>
  <c r="I296" i="16"/>
  <c r="I486" i="16"/>
  <c r="I438" i="16"/>
  <c r="I386" i="16"/>
  <c r="I209" i="16"/>
  <c r="I339" i="16"/>
  <c r="I433" i="16"/>
  <c r="I95" i="16"/>
  <c r="I514" i="16"/>
  <c r="I476" i="16"/>
  <c r="I127" i="16"/>
  <c r="I467" i="16"/>
  <c r="I195" i="16"/>
  <c r="I297" i="16"/>
  <c r="I135" i="16"/>
  <c r="I89" i="16"/>
  <c r="I86" i="16"/>
  <c r="I489" i="16"/>
  <c r="G37" i="27"/>
  <c r="I37" i="27" s="1"/>
  <c r="G86" i="27"/>
  <c r="H86" i="27" s="1"/>
  <c r="G133" i="27"/>
  <c r="I133" i="27" s="1"/>
  <c r="P86" i="27"/>
  <c r="K86" i="27" s="1"/>
  <c r="S118" i="27"/>
  <c r="T118" i="27" s="1"/>
  <c r="W118" i="27" s="1"/>
  <c r="P40" i="27"/>
  <c r="K40" i="27" s="1"/>
  <c r="P39" i="27"/>
  <c r="J39" i="27" s="1"/>
  <c r="P118" i="27"/>
  <c r="K118" i="27" s="1"/>
  <c r="O118" i="27" s="1"/>
  <c r="S132" i="27"/>
  <c r="S83" i="27"/>
  <c r="V93" i="27"/>
  <c r="T93" i="27" s="1"/>
  <c r="U93" i="27" s="1"/>
  <c r="V38" i="27"/>
  <c r="V111" i="27"/>
  <c r="V40" i="27"/>
  <c r="T40" i="27" s="1"/>
  <c r="W40" i="27" s="1"/>
  <c r="E118" i="27"/>
  <c r="E38" i="27"/>
  <c r="P133" i="27"/>
  <c r="J133" i="27" s="1"/>
  <c r="E14" i="27"/>
  <c r="P34" i="27"/>
  <c r="K34" i="27" s="1"/>
  <c r="D93" i="27"/>
  <c r="L303" i="16"/>
  <c r="N303" i="16" s="1"/>
  <c r="L111" i="16"/>
  <c r="O111" i="16" s="1"/>
  <c r="L26" i="16"/>
  <c r="L438" i="16"/>
  <c r="N438" i="16" s="1"/>
  <c r="L349" i="16"/>
  <c r="L386" i="16"/>
  <c r="L85" i="16"/>
  <c r="L257" i="16"/>
  <c r="O257" i="16" s="1"/>
  <c r="L514" i="16"/>
  <c r="O514" i="16" s="1"/>
  <c r="L443" i="16"/>
  <c r="O443" i="16" s="1"/>
  <c r="L318" i="16"/>
  <c r="O318" i="16" s="1"/>
  <c r="L208" i="16"/>
  <c r="N208" i="16" s="1"/>
  <c r="L408" i="16"/>
  <c r="O408" i="16" s="1"/>
  <c r="L381" i="16"/>
  <c r="N381" i="16" s="1"/>
  <c r="L120" i="16"/>
  <c r="L314" i="16"/>
  <c r="N314" i="16" s="1"/>
  <c r="L336" i="16"/>
  <c r="N336" i="16" s="1"/>
  <c r="L211" i="16"/>
  <c r="L9" i="16"/>
  <c r="N9" i="16" s="1"/>
  <c r="K490" i="4"/>
  <c r="I490" i="4"/>
  <c r="K336" i="4"/>
  <c r="F247" i="16" s="1"/>
  <c r="I336" i="4"/>
  <c r="I200" i="16"/>
  <c r="G19" i="27"/>
  <c r="I19" i="27" s="1"/>
  <c r="V121" i="27"/>
  <c r="E125" i="27"/>
  <c r="E22" i="27"/>
  <c r="S14" i="27"/>
  <c r="L271" i="16"/>
  <c r="L385" i="16"/>
  <c r="N385" i="16" s="1"/>
  <c r="L169" i="16"/>
  <c r="N169" i="16" s="1"/>
  <c r="L436" i="16"/>
  <c r="N436" i="16" s="1"/>
  <c r="L457" i="16"/>
  <c r="N457" i="16" s="1"/>
  <c r="L125" i="16"/>
  <c r="O125" i="16" s="1"/>
  <c r="L185" i="16"/>
  <c r="L260" i="16"/>
  <c r="N260" i="16" s="1"/>
  <c r="L293" i="16"/>
  <c r="L157" i="16"/>
  <c r="N157" i="16" s="1"/>
  <c r="L246" i="16"/>
  <c r="L56" i="16"/>
  <c r="O56" i="16" s="1"/>
  <c r="L178" i="16"/>
  <c r="L196" i="16"/>
  <c r="N196" i="16" s="1"/>
  <c r="L365" i="16"/>
  <c r="N365" i="16" s="1"/>
  <c r="F54" i="16"/>
  <c r="E220" i="16"/>
  <c r="F390" i="16"/>
  <c r="E54" i="16"/>
  <c r="E52" i="16"/>
  <c r="E232" i="16"/>
  <c r="E401" i="16"/>
  <c r="E388" i="16"/>
  <c r="E187" i="16"/>
  <c r="F425" i="16"/>
  <c r="E511" i="16"/>
  <c r="E47" i="16"/>
  <c r="F360" i="16"/>
  <c r="F13" i="16"/>
  <c r="E425" i="16"/>
  <c r="F22" i="16"/>
  <c r="F93" i="16"/>
  <c r="E313" i="16"/>
  <c r="E385" i="16"/>
  <c r="F469" i="16"/>
  <c r="E453" i="16"/>
  <c r="E362" i="16"/>
  <c r="F40" i="16"/>
  <c r="E65" i="16"/>
  <c r="E491" i="16"/>
  <c r="E90" i="16"/>
  <c r="E320" i="16"/>
  <c r="E197" i="16"/>
  <c r="V436" i="16"/>
  <c r="T436" i="16" s="1"/>
  <c r="U436" i="16" s="1"/>
  <c r="V21" i="16"/>
  <c r="T21" i="16" s="1"/>
  <c r="V457" i="16"/>
  <c r="V474" i="16"/>
  <c r="T474" i="16" s="1"/>
  <c r="W474" i="16" s="1"/>
  <c r="V456" i="16"/>
  <c r="V58" i="16"/>
  <c r="V239" i="16"/>
  <c r="V299" i="16"/>
  <c r="V491" i="16"/>
  <c r="V38" i="16"/>
  <c r="V104" i="16"/>
  <c r="T104" i="16" s="1"/>
  <c r="U104" i="16" s="1"/>
  <c r="V135" i="16"/>
  <c r="V92" i="16"/>
  <c r="T92" i="16" s="1"/>
  <c r="V420" i="16"/>
  <c r="T420" i="16" s="1"/>
  <c r="V508" i="16"/>
  <c r="V511" i="16"/>
  <c r="T511" i="16" s="1"/>
  <c r="W511" i="16" s="1"/>
  <c r="V367" i="16"/>
  <c r="V197" i="16"/>
  <c r="V8" i="16"/>
  <c r="T8" i="16" s="1"/>
  <c r="U8" i="16" s="1"/>
  <c r="V430" i="16"/>
  <c r="T430" i="16" s="1"/>
  <c r="W430" i="16" s="1"/>
  <c r="V61" i="16"/>
  <c r="V22" i="16"/>
  <c r="T22" i="16" s="1"/>
  <c r="W22" i="16" s="1"/>
  <c r="V435" i="16"/>
  <c r="T435" i="16" s="1"/>
  <c r="W435" i="16" s="1"/>
  <c r="V502" i="16"/>
  <c r="V331" i="16"/>
  <c r="T331" i="16" s="1"/>
  <c r="V320" i="16"/>
  <c r="V412" i="16"/>
  <c r="T412" i="16" s="1"/>
  <c r="V363" i="16"/>
  <c r="V338" i="16"/>
  <c r="T338" i="16" s="1"/>
  <c r="V213" i="16"/>
  <c r="T213" i="16" s="1"/>
  <c r="W213" i="16" s="1"/>
  <c r="V52" i="16"/>
  <c r="T52" i="16" s="1"/>
  <c r="V431" i="16"/>
  <c r="T431" i="16" s="1"/>
  <c r="V56" i="16"/>
  <c r="T56" i="16" s="1"/>
  <c r="W56" i="16" s="1"/>
  <c r="G376" i="16"/>
  <c r="H376" i="16" s="1"/>
  <c r="I20" i="16"/>
  <c r="E121" i="27"/>
  <c r="L76" i="27"/>
  <c r="E146" i="27"/>
  <c r="L177" i="16"/>
  <c r="O177" i="16" s="1"/>
  <c r="L232" i="16"/>
  <c r="L519" i="16"/>
  <c r="N519" i="16" s="1"/>
  <c r="L77" i="16"/>
  <c r="L331" i="16"/>
  <c r="O331" i="16" s="1"/>
  <c r="L448" i="16"/>
  <c r="N448" i="16" s="1"/>
  <c r="L213" i="16"/>
  <c r="N213" i="16" s="1"/>
  <c r="L344" i="16"/>
  <c r="O344" i="16" s="1"/>
  <c r="L52" i="16"/>
  <c r="N52" i="16" s="1"/>
  <c r="F119" i="16"/>
  <c r="F52" i="16"/>
  <c r="E394" i="16"/>
  <c r="E16" i="16"/>
  <c r="E291" i="16"/>
  <c r="E61" i="16"/>
  <c r="E213" i="16"/>
  <c r="E352" i="16"/>
  <c r="E21" i="16"/>
  <c r="E508" i="16"/>
  <c r="E45" i="16"/>
  <c r="E116" i="16"/>
  <c r="F278" i="16"/>
  <c r="E278" i="16"/>
  <c r="E381" i="16"/>
  <c r="E371" i="16"/>
  <c r="E117" i="16"/>
  <c r="E141" i="16"/>
  <c r="E451" i="16"/>
  <c r="E40" i="16"/>
  <c r="E487" i="16"/>
  <c r="E506" i="16"/>
  <c r="E125" i="16"/>
  <c r="V482" i="16"/>
  <c r="V165" i="16"/>
  <c r="T165" i="16" s="1"/>
  <c r="U165" i="16" s="1"/>
  <c r="V97" i="16"/>
  <c r="V395" i="16"/>
  <c r="T395" i="16" s="1"/>
  <c r="U395" i="16" s="1"/>
  <c r="V413" i="16"/>
  <c r="T413" i="16" s="1"/>
  <c r="W413" i="16" s="1"/>
  <c r="V193" i="16"/>
  <c r="V176" i="16"/>
  <c r="V270" i="16"/>
  <c r="V401" i="16"/>
  <c r="V271" i="16"/>
  <c r="V359" i="16"/>
  <c r="T359" i="16" s="1"/>
  <c r="U359" i="16" s="1"/>
  <c r="V247" i="16"/>
  <c r="T247" i="16" s="1"/>
  <c r="V195" i="16"/>
  <c r="V148" i="16"/>
  <c r="T148" i="16" s="1"/>
  <c r="W148" i="16" s="1"/>
  <c r="V217" i="16"/>
  <c r="V198" i="16"/>
  <c r="S499" i="16"/>
  <c r="V32" i="16"/>
  <c r="V91" i="16"/>
  <c r="T91" i="16" s="1"/>
  <c r="U91" i="16" s="1"/>
  <c r="V369" i="16"/>
  <c r="V404" i="16"/>
  <c r="T404" i="16" s="1"/>
  <c r="U404" i="16" s="1"/>
  <c r="V141" i="16"/>
  <c r="T141" i="16" s="1"/>
  <c r="U141" i="16" s="1"/>
  <c r="V421" i="16"/>
  <c r="V396" i="16"/>
  <c r="V101" i="16"/>
  <c r="T101" i="16" s="1"/>
  <c r="W101" i="16" s="1"/>
  <c r="S494" i="16"/>
  <c r="V221" i="16"/>
  <c r="V166" i="16"/>
  <c r="V220" i="16"/>
  <c r="S119" i="16"/>
  <c r="S363" i="16"/>
  <c r="S112" i="16"/>
  <c r="S291" i="16"/>
  <c r="V16" i="16"/>
  <c r="V313" i="16"/>
  <c r="S482" i="16"/>
  <c r="S341" i="16"/>
  <c r="S236" i="16"/>
  <c r="S160" i="16"/>
  <c r="V119" i="16"/>
  <c r="V24" i="16"/>
  <c r="V47" i="16"/>
  <c r="T47" i="16" s="1"/>
  <c r="U47" i="16" s="1"/>
  <c r="V355" i="16"/>
  <c r="S185" i="16"/>
  <c r="S58" i="16"/>
  <c r="S239" i="16"/>
  <c r="S176" i="16"/>
  <c r="V346" i="16"/>
  <c r="S306" i="16"/>
  <c r="S135" i="16"/>
  <c r="S221" i="16"/>
  <c r="S166" i="16"/>
  <c r="S407" i="16"/>
  <c r="S54" i="16"/>
  <c r="S369" i="16"/>
  <c r="S439" i="16"/>
  <c r="T439" i="16" s="1"/>
  <c r="U439" i="16" s="1"/>
  <c r="S313" i="16"/>
  <c r="S24" i="16"/>
  <c r="S114" i="16"/>
  <c r="T114" i="16" s="1"/>
  <c r="W114" i="16" s="1"/>
  <c r="S38" i="16"/>
  <c r="T38" i="16" s="1"/>
  <c r="W38" i="16" s="1"/>
  <c r="S208" i="16"/>
  <c r="S490" i="16"/>
  <c r="T490" i="16" s="1"/>
  <c r="W490" i="16" s="1"/>
  <c r="S381" i="16"/>
  <c r="S116" i="16"/>
  <c r="S278" i="16"/>
  <c r="S55" i="16"/>
  <c r="S232" i="16"/>
  <c r="S336" i="16"/>
  <c r="K299" i="4"/>
  <c r="F207" i="16" s="1"/>
  <c r="I299" i="4"/>
  <c r="K268" i="4"/>
  <c r="F310" i="16" s="1"/>
  <c r="I268" i="4"/>
  <c r="P419" i="16"/>
  <c r="K419" i="16" s="1" a="1"/>
  <c r="K419" i="16" s="1"/>
  <c r="P124" i="16"/>
  <c r="K124" i="16" s="1" a="1"/>
  <c r="K124" i="16" s="1"/>
  <c r="G239" i="16"/>
  <c r="H239" i="16" s="1"/>
  <c r="I490" i="16"/>
  <c r="I494" i="16"/>
  <c r="I148" i="16"/>
  <c r="I238" i="16"/>
  <c r="I235" i="16"/>
  <c r="I7" i="16"/>
  <c r="G22" i="27"/>
  <c r="I22" i="27" s="1"/>
  <c r="L121" i="27"/>
  <c r="O121" i="27" s="1"/>
  <c r="P88" i="27"/>
  <c r="J88" i="27" s="1"/>
  <c r="S104" i="27"/>
  <c r="L19" i="27"/>
  <c r="F46" i="27"/>
  <c r="L22" i="27"/>
  <c r="O22" i="27" s="1"/>
  <c r="F105" i="27"/>
  <c r="V116" i="27"/>
  <c r="F132" i="27"/>
  <c r="L181" i="16"/>
  <c r="N181" i="16" s="1"/>
  <c r="L520" i="16"/>
  <c r="N520" i="16" s="1"/>
  <c r="L119" i="16"/>
  <c r="N119" i="16" s="1"/>
  <c r="L32" i="16"/>
  <c r="N32" i="16" s="1"/>
  <c r="L501" i="16"/>
  <c r="L423" i="16"/>
  <c r="N423" i="16" s="1"/>
  <c r="L363" i="16"/>
  <c r="O363" i="16" s="1"/>
  <c r="L89" i="16"/>
  <c r="L441" i="16"/>
  <c r="N441" i="16" s="1"/>
  <c r="L341" i="16"/>
  <c r="N341" i="16" s="1"/>
  <c r="L235" i="16"/>
  <c r="N235" i="16" s="1"/>
  <c r="L225" i="16"/>
  <c r="N225" i="16" s="1"/>
  <c r="L92" i="16"/>
  <c r="N92" i="16" s="1"/>
  <c r="L420" i="16"/>
  <c r="N420" i="16" s="1"/>
  <c r="L142" i="16"/>
  <c r="L195" i="16"/>
  <c r="O195" i="16" s="1"/>
  <c r="L116" i="16"/>
  <c r="N116" i="16" s="1"/>
  <c r="L278" i="16"/>
  <c r="O278" i="16" s="1"/>
  <c r="L197" i="16"/>
  <c r="N197" i="16" s="1"/>
  <c r="L483" i="16"/>
  <c r="O483" i="16" s="1"/>
  <c r="L200" i="16"/>
  <c r="N200" i="16" s="1"/>
  <c r="L456" i="16"/>
  <c r="L176" i="16"/>
  <c r="L101" i="16"/>
  <c r="N101" i="16" s="1"/>
  <c r="L494" i="16"/>
  <c r="O494" i="16" s="1"/>
  <c r="L461" i="16"/>
  <c r="N461" i="16" s="1"/>
  <c r="G438" i="16"/>
  <c r="H438" i="16" s="1"/>
  <c r="G341" i="16"/>
  <c r="H341" i="16" s="1"/>
  <c r="G225" i="16"/>
  <c r="H225" i="16" s="1"/>
  <c r="G238" i="16"/>
  <c r="H238" i="16" s="1"/>
  <c r="G381" i="16"/>
  <c r="H381" i="16" s="1"/>
  <c r="G20" i="16"/>
  <c r="H20" i="16" s="1"/>
  <c r="I246" i="16"/>
  <c r="I38" i="16"/>
  <c r="I152" i="16"/>
  <c r="I183" i="16"/>
  <c r="I187" i="16"/>
  <c r="I222" i="16"/>
  <c r="G17" i="27"/>
  <c r="I17" i="27" s="1"/>
  <c r="G122" i="27"/>
  <c r="I122" i="27" s="1"/>
  <c r="L141" i="27"/>
  <c r="N141" i="27" s="1"/>
  <c r="P122" i="27"/>
  <c r="K122" i="27" s="1"/>
  <c r="V88" i="27"/>
  <c r="P113" i="27"/>
  <c r="K113" i="27" s="1"/>
  <c r="P104" i="27"/>
  <c r="J104" i="27" s="1"/>
  <c r="F87" i="27"/>
  <c r="E88" i="27"/>
  <c r="L14" i="27"/>
  <c r="N14" i="27" s="1"/>
  <c r="L72" i="27"/>
  <c r="F14" i="27"/>
  <c r="L405" i="16"/>
  <c r="N405" i="16" s="1"/>
  <c r="L430" i="16"/>
  <c r="O430" i="16" s="1"/>
  <c r="L325" i="16"/>
  <c r="O325" i="16" s="1"/>
  <c r="L205" i="16"/>
  <c r="N205" i="16" s="1"/>
  <c r="L439" i="16"/>
  <c r="N439" i="16" s="1"/>
  <c r="L313" i="16"/>
  <c r="N313" i="16" s="1"/>
  <c r="L294" i="16"/>
  <c r="N294" i="16" s="1"/>
  <c r="L237" i="16"/>
  <c r="N237" i="16" s="1"/>
  <c r="L127" i="16"/>
  <c r="N127" i="16" s="1"/>
  <c r="L65" i="16"/>
  <c r="L105" i="16"/>
  <c r="N105" i="16" s="1"/>
  <c r="L261" i="16"/>
  <c r="N261" i="16" s="1"/>
  <c r="L394" i="16"/>
  <c r="N394" i="16" s="1"/>
  <c r="L254" i="16"/>
  <c r="N254" i="16" s="1"/>
  <c r="L207" i="16"/>
  <c r="N207" i="16" s="1"/>
  <c r="L346" i="16"/>
  <c r="N346" i="16" s="1"/>
  <c r="L194" i="16"/>
  <c r="L474" i="16"/>
  <c r="O474" i="16" s="1"/>
  <c r="L57" i="16"/>
  <c r="N57" i="16" s="1"/>
  <c r="L256" i="16"/>
  <c r="N256" i="16" s="1"/>
  <c r="L247" i="16"/>
  <c r="N247" i="16" s="1"/>
  <c r="L490" i="16"/>
  <c r="O490" i="16" s="1"/>
  <c r="L218" i="16"/>
  <c r="O218" i="16" s="1"/>
  <c r="L148" i="16"/>
  <c r="N148" i="16" s="1"/>
  <c r="L5" i="16"/>
  <c r="N5" i="16" s="1"/>
  <c r="L238" i="16"/>
  <c r="N238" i="16" s="1"/>
  <c r="L370" i="16"/>
  <c r="N370" i="16" s="1"/>
  <c r="L498" i="16"/>
  <c r="N498" i="16" s="1"/>
  <c r="L141" i="16"/>
  <c r="N141" i="16" s="1"/>
  <c r="L467" i="16"/>
  <c r="N467" i="16" s="1"/>
  <c r="L277" i="16"/>
  <c r="N277" i="16" s="1"/>
  <c r="L90" i="16"/>
  <c r="N90" i="16" s="1"/>
  <c r="L94" i="16"/>
  <c r="N94" i="16" s="1"/>
  <c r="L180" i="16"/>
  <c r="O180" i="16" s="1"/>
  <c r="L38" i="16"/>
  <c r="N38" i="16" s="1"/>
  <c r="L104" i="16"/>
  <c r="O104" i="16" s="1"/>
  <c r="L272" i="16"/>
  <c r="N272" i="16" s="1"/>
  <c r="L361" i="16"/>
  <c r="N361" i="16" s="1"/>
  <c r="L307" i="16"/>
  <c r="O307" i="16" s="1"/>
  <c r="L368" i="16"/>
  <c r="N368" i="16" s="1"/>
  <c r="L13" i="16"/>
  <c r="N13" i="16" s="1"/>
  <c r="L301" i="16"/>
  <c r="N301" i="16" s="1"/>
  <c r="L466" i="16"/>
  <c r="N466" i="16" s="1"/>
  <c r="L221" i="16"/>
  <c r="N221" i="16" s="1"/>
  <c r="L402" i="16"/>
  <c r="L215" i="16"/>
  <c r="N215" i="16" s="1"/>
  <c r="L20" i="16"/>
  <c r="N20" i="16" s="1"/>
  <c r="E507" i="16"/>
  <c r="E261" i="16"/>
  <c r="E101" i="16"/>
  <c r="E91" i="16"/>
  <c r="E519" i="16"/>
  <c r="E205" i="16"/>
  <c r="E93" i="16"/>
  <c r="P22" i="16"/>
  <c r="K22" i="16" s="1" a="1"/>
  <c r="K22" i="16" s="1"/>
  <c r="K442" i="4"/>
  <c r="F352" i="16" s="1"/>
  <c r="I442" i="4"/>
  <c r="D352" i="16" s="1"/>
  <c r="K494" i="4"/>
  <c r="I494" i="4"/>
  <c r="K184" i="4"/>
  <c r="F518" i="16" s="1"/>
  <c r="I184" i="4"/>
  <c r="K285" i="4"/>
  <c r="F94" i="16" s="1"/>
  <c r="I285" i="4"/>
  <c r="K223" i="4"/>
  <c r="F353" i="16" s="1"/>
  <c r="I223" i="4"/>
  <c r="D353" i="16" s="1"/>
  <c r="I502" i="4"/>
  <c r="K470" i="4"/>
  <c r="I470" i="4"/>
  <c r="I348" i="4"/>
  <c r="K296" i="4"/>
  <c r="F109" i="16" s="1"/>
  <c r="I296" i="4"/>
  <c r="K236" i="4"/>
  <c r="F330" i="16" s="1"/>
  <c r="I236" i="4"/>
  <c r="I215" i="4"/>
  <c r="I204" i="4"/>
  <c r="K487" i="4"/>
  <c r="F270" i="16" s="1"/>
  <c r="I487" i="4"/>
  <c r="K305" i="4"/>
  <c r="F501" i="16" s="1"/>
  <c r="I305" i="4"/>
  <c r="D501" i="16" s="1"/>
  <c r="K247" i="4"/>
  <c r="F248" i="16" s="1"/>
  <c r="I247" i="4"/>
  <c r="K177" i="4"/>
  <c r="F115" i="16" s="1"/>
  <c r="I177" i="4"/>
  <c r="I171" i="4"/>
  <c r="K157" i="4"/>
  <c r="F398" i="16" s="1"/>
  <c r="I152" i="4"/>
  <c r="D311" i="16" s="1"/>
  <c r="P518" i="16"/>
  <c r="K518" i="16" s="1" a="1"/>
  <c r="K518" i="16" s="1"/>
  <c r="G332" i="16"/>
  <c r="H332" i="16" s="1"/>
  <c r="G110" i="16"/>
  <c r="H110" i="16" s="1"/>
  <c r="G233" i="16"/>
  <c r="H233" i="16" s="1"/>
  <c r="G386" i="16"/>
  <c r="H386" i="16" s="1"/>
  <c r="G223" i="16"/>
  <c r="H223" i="16" s="1"/>
  <c r="G47" i="16"/>
  <c r="H47" i="16" s="1"/>
  <c r="G126" i="16"/>
  <c r="H126" i="16" s="1"/>
  <c r="G384" i="16"/>
  <c r="H384" i="16" s="1"/>
  <c r="G422" i="16"/>
  <c r="H422" i="16" s="1"/>
  <c r="G517" i="16"/>
  <c r="H517" i="16" s="1"/>
  <c r="I129" i="16"/>
  <c r="I475" i="16"/>
  <c r="I308" i="16"/>
  <c r="I233" i="16"/>
  <c r="I301" i="16"/>
  <c r="I192" i="16"/>
  <c r="I358" i="16"/>
  <c r="I214" i="16"/>
  <c r="I373" i="16"/>
  <c r="I142" i="16"/>
  <c r="I115" i="16"/>
  <c r="I33" i="16"/>
  <c r="I519" i="16"/>
  <c r="I61" i="16"/>
  <c r="I331" i="16"/>
  <c r="I143" i="16"/>
  <c r="I441" i="16"/>
  <c r="I422" i="16"/>
  <c r="I477" i="16"/>
  <c r="I294" i="16"/>
  <c r="I191" i="16"/>
  <c r="I449" i="16"/>
  <c r="I53" i="16"/>
  <c r="G40" i="27"/>
  <c r="H40" i="27" s="1"/>
  <c r="G14" i="27"/>
  <c r="I14" i="27" s="1"/>
  <c r="G88" i="27"/>
  <c r="I88" i="27" s="1"/>
  <c r="G103" i="27"/>
  <c r="I103" i="27" s="1"/>
  <c r="G118" i="27"/>
  <c r="I118" i="27" s="1"/>
  <c r="G132" i="27"/>
  <c r="I132" i="27" s="1"/>
  <c r="P37" i="27"/>
  <c r="J37" i="27" s="1"/>
  <c r="P100" i="27"/>
  <c r="K100" i="27" s="1"/>
  <c r="P121" i="27"/>
  <c r="K121" i="27" s="1"/>
  <c r="S37" i="27"/>
  <c r="S121" i="27"/>
  <c r="T121" i="27" s="1"/>
  <c r="L40" i="27"/>
  <c r="O40" i="27" s="1"/>
  <c r="P110" i="27"/>
  <c r="K110" i="27" s="1"/>
  <c r="V104" i="27"/>
  <c r="S110" i="27"/>
  <c r="P87" i="27"/>
  <c r="K87" i="27" s="1"/>
  <c r="L122" i="27"/>
  <c r="N122" i="27" s="1"/>
  <c r="L88" i="27"/>
  <c r="N88" i="27" s="1"/>
  <c r="L110" i="27"/>
  <c r="N110" i="27" s="1"/>
  <c r="S98" i="27"/>
  <c r="L87" i="27"/>
  <c r="P38" i="27"/>
  <c r="J38" i="27" s="1"/>
  <c r="S87" i="27"/>
  <c r="V19" i="27"/>
  <c r="T19" i="27" s="1"/>
  <c r="U19" i="27" s="1"/>
  <c r="E87" i="27"/>
  <c r="E111" i="27"/>
  <c r="E122" i="27"/>
  <c r="E82" i="27"/>
  <c r="E103" i="27"/>
  <c r="V133" i="27"/>
  <c r="L133" i="27"/>
  <c r="N133" i="27" s="1"/>
  <c r="V22" i="27"/>
  <c r="S133" i="27"/>
  <c r="V17" i="27"/>
  <c r="S117" i="27"/>
  <c r="L70" i="27"/>
  <c r="V258" i="16"/>
  <c r="K104" i="4"/>
  <c r="F108" i="16" s="1"/>
  <c r="K128" i="4"/>
  <c r="F219" i="16" s="1"/>
  <c r="K123" i="4"/>
  <c r="F357" i="16" s="1"/>
  <c r="K143" i="4"/>
  <c r="F319" i="16" s="1"/>
  <c r="I76" i="4"/>
  <c r="D480" i="16" s="1"/>
  <c r="I43" i="4"/>
  <c r="D317" i="16" s="1"/>
  <c r="S66" i="16"/>
  <c r="S71" i="16"/>
  <c r="S299" i="16"/>
  <c r="V348" i="16"/>
  <c r="V66" i="16"/>
  <c r="V71" i="16"/>
  <c r="T71" i="16" s="1"/>
  <c r="L121" i="16"/>
  <c r="L58" i="16"/>
  <c r="N58" i="16" s="1"/>
  <c r="L484" i="16"/>
  <c r="O484" i="16" s="1"/>
  <c r="L112" i="16"/>
  <c r="O112" i="16" s="1"/>
  <c r="L72" i="16"/>
  <c r="E61" i="27"/>
  <c r="F55" i="27"/>
  <c r="D120" i="27"/>
  <c r="D142" i="27"/>
  <c r="D50" i="27"/>
  <c r="S105" i="27"/>
  <c r="E75" i="27"/>
  <c r="F138" i="27"/>
  <c r="P148" i="27"/>
  <c r="K148" i="27" s="1"/>
  <c r="P123" i="27"/>
  <c r="K123" i="27" s="1"/>
  <c r="L78" i="27"/>
  <c r="K498" i="4"/>
  <c r="I498" i="4"/>
  <c r="I486" i="4"/>
  <c r="I479" i="4"/>
  <c r="I466" i="4"/>
  <c r="K434" i="4"/>
  <c r="F56" i="16" s="1"/>
  <c r="I434" i="4"/>
  <c r="K317" i="4"/>
  <c r="I317" i="4"/>
  <c r="D17" i="27" s="1"/>
  <c r="K255" i="4"/>
  <c r="F214" i="16" s="1"/>
  <c r="I255" i="4"/>
  <c r="K368" i="4"/>
  <c r="F474" i="16" s="1"/>
  <c r="I368" i="4"/>
  <c r="K332" i="4"/>
  <c r="I332" i="4"/>
  <c r="K197" i="4"/>
  <c r="F268" i="16" s="1"/>
  <c r="I197" i="4"/>
  <c r="D268" i="16" s="1"/>
  <c r="K173" i="4"/>
  <c r="F110" i="16" s="1"/>
  <c r="I173" i="4"/>
  <c r="D110" i="16" s="1"/>
  <c r="P378" i="16"/>
  <c r="K378" i="16" s="1" a="1"/>
  <c r="K378" i="16" s="1"/>
  <c r="E448" i="16"/>
  <c r="G328" i="16"/>
  <c r="H328" i="16" s="1"/>
  <c r="G249" i="16"/>
  <c r="H249" i="16" s="1"/>
  <c r="G151" i="16"/>
  <c r="H151" i="16" s="1"/>
  <c r="G61" i="16"/>
  <c r="H61" i="16" s="1"/>
  <c r="G85" i="16"/>
  <c r="H85" i="16" s="1"/>
  <c r="G477" i="16"/>
  <c r="H477" i="16" s="1"/>
  <c r="G146" i="16"/>
  <c r="H146" i="16" s="1"/>
  <c r="G191" i="16"/>
  <c r="H191" i="16" s="1"/>
  <c r="I493" i="16"/>
  <c r="I479" i="16"/>
  <c r="I110" i="16"/>
  <c r="I455" i="16"/>
  <c r="I261" i="16"/>
  <c r="I168" i="16"/>
  <c r="I321" i="16"/>
  <c r="I22" i="16"/>
  <c r="I277" i="16"/>
  <c r="I202" i="16"/>
  <c r="I161" i="16"/>
  <c r="I180" i="16"/>
  <c r="I278" i="16"/>
  <c r="I510" i="16"/>
  <c r="I177" i="16"/>
  <c r="I130" i="16"/>
  <c r="I374" i="16"/>
  <c r="I276" i="16"/>
  <c r="I212" i="16"/>
  <c r="I112" i="16"/>
  <c r="I431" i="16"/>
  <c r="I335" i="16"/>
  <c r="I419" i="16"/>
  <c r="I109" i="16"/>
  <c r="I483" i="16"/>
  <c r="I274" i="16"/>
  <c r="G39" i="27"/>
  <c r="I39" i="27" s="1"/>
  <c r="G110" i="27"/>
  <c r="H110" i="27" s="1"/>
  <c r="P125" i="27"/>
  <c r="J125" i="27" s="1"/>
  <c r="S39" i="27"/>
  <c r="T39" i="27" s="1"/>
  <c r="U39" i="27" s="1"/>
  <c r="P132" i="27"/>
  <c r="K132" i="27" s="1"/>
  <c r="O132" i="27" s="1"/>
  <c r="S38" i="27"/>
  <c r="P111" i="27"/>
  <c r="J111" i="27" s="1"/>
  <c r="V37" i="27"/>
  <c r="S113" i="27"/>
  <c r="L104" i="27"/>
  <c r="V122" i="27"/>
  <c r="V103" i="27"/>
  <c r="T103" i="27" s="1"/>
  <c r="W103" i="27" s="1"/>
  <c r="P19" i="27"/>
  <c r="J19" i="27" s="1"/>
  <c r="L38" i="27"/>
  <c r="N38" i="27" s="1"/>
  <c r="S111" i="27"/>
  <c r="L113" i="27"/>
  <c r="V110" i="27"/>
  <c r="S88" i="27"/>
  <c r="E39" i="27"/>
  <c r="E113" i="27"/>
  <c r="E83" i="27"/>
  <c r="E104" i="27"/>
  <c r="E110" i="27"/>
  <c r="S22" i="27"/>
  <c r="F67" i="27"/>
  <c r="P29" i="27"/>
  <c r="J29" i="27" s="1"/>
  <c r="L112" i="27"/>
  <c r="D106" i="27"/>
  <c r="D29" i="27"/>
  <c r="S63" i="27"/>
  <c r="S7" i="27"/>
  <c r="P22" i="27"/>
  <c r="K22" i="27" s="1"/>
  <c r="P14" i="27"/>
  <c r="J14" i="27" s="1"/>
  <c r="V59" i="27"/>
  <c r="L68" i="27"/>
  <c r="P124" i="27"/>
  <c r="K124" i="27" s="1"/>
  <c r="P114" i="27"/>
  <c r="K114" i="27" s="1"/>
  <c r="V35" i="27"/>
  <c r="V124" i="27"/>
  <c r="S62" i="27"/>
  <c r="V69" i="27"/>
  <c r="V4" i="27"/>
  <c r="F133" i="27"/>
  <c r="P107" i="27"/>
  <c r="J107" i="27" s="1"/>
  <c r="L321" i="16"/>
  <c r="N321" i="16" s="1"/>
  <c r="L61" i="16"/>
  <c r="N61" i="16" s="1"/>
  <c r="L248" i="16"/>
  <c r="L4" i="16"/>
  <c r="N4" i="16" s="1"/>
  <c r="L54" i="16"/>
  <c r="L369" i="16"/>
  <c r="O369" i="16" s="1"/>
  <c r="L459" i="16"/>
  <c r="O459" i="16" s="1"/>
  <c r="L24" i="16"/>
  <c r="O24" i="16" s="1"/>
  <c r="L47" i="16"/>
  <c r="N47" i="16" s="1"/>
  <c r="L449" i="16"/>
  <c r="O449" i="16" s="1"/>
  <c r="L165" i="16"/>
  <c r="N165" i="16" s="1"/>
  <c r="L286" i="16"/>
  <c r="N286" i="16" s="1"/>
  <c r="L7" i="16"/>
  <c r="N7" i="16" s="1"/>
  <c r="L143" i="16"/>
  <c r="N143" i="16" s="1"/>
  <c r="L93" i="16"/>
  <c r="O93" i="16" s="1"/>
  <c r="L508" i="16"/>
  <c r="O508" i="16" s="1"/>
  <c r="L506" i="16"/>
  <c r="N506" i="16" s="1"/>
  <c r="L345" i="16"/>
  <c r="N345" i="16" s="1"/>
  <c r="L352" i="16"/>
  <c r="N352" i="16" s="1"/>
  <c r="L285" i="16"/>
  <c r="N285" i="16" s="1"/>
  <c r="L384" i="16"/>
  <c r="N384" i="16" s="1"/>
  <c r="L412" i="16"/>
  <c r="N412" i="16" s="1"/>
  <c r="L380" i="16"/>
  <c r="N380" i="16" s="1"/>
  <c r="L130" i="16"/>
  <c r="L42" i="16"/>
  <c r="N42" i="16" s="1"/>
  <c r="L162" i="16"/>
  <c r="N162" i="16" s="1"/>
  <c r="L282" i="16"/>
  <c r="O282" i="16" s="1"/>
  <c r="L290" i="16"/>
  <c r="N290" i="16" s="1"/>
  <c r="L239" i="16"/>
  <c r="O239" i="16" s="1"/>
  <c r="L315" i="16"/>
  <c r="N315" i="16" s="1"/>
  <c r="L509" i="16"/>
  <c r="N509" i="16" s="1"/>
  <c r="L283" i="16"/>
  <c r="N283" i="16" s="1"/>
  <c r="L404" i="16"/>
  <c r="N404" i="16" s="1"/>
  <c r="L151" i="16"/>
  <c r="N151" i="16" s="1"/>
  <c r="L173" i="16"/>
  <c r="N173" i="16" s="1"/>
  <c r="L354" i="16"/>
  <c r="N354" i="16" s="1"/>
  <c r="L391" i="16"/>
  <c r="N391" i="16" s="1"/>
  <c r="L462" i="16"/>
  <c r="L249" i="16"/>
  <c r="L337" i="16"/>
  <c r="N337" i="16" s="1"/>
  <c r="L296" i="16"/>
  <c r="L115" i="16"/>
  <c r="O115" i="16" s="1"/>
  <c r="L170" i="16"/>
  <c r="O170" i="16" s="1"/>
  <c r="L419" i="16"/>
  <c r="L34" i="16"/>
  <c r="N34" i="16" s="1"/>
  <c r="L96" i="16"/>
  <c r="N96" i="16" s="1"/>
  <c r="L183" i="16"/>
  <c r="N183" i="16" s="1"/>
  <c r="L289" i="16"/>
  <c r="O289" i="16" s="1"/>
  <c r="F239" i="16"/>
  <c r="F450" i="16"/>
  <c r="E109" i="16"/>
  <c r="E237" i="16"/>
  <c r="F143" i="16"/>
  <c r="E173" i="16"/>
  <c r="E354" i="16"/>
  <c r="E228" i="16"/>
  <c r="E121" i="16"/>
  <c r="E176" i="16"/>
  <c r="E509" i="16"/>
  <c r="E4" i="16"/>
  <c r="E199" i="16"/>
  <c r="E438" i="16"/>
  <c r="E22" i="16"/>
  <c r="E435" i="16"/>
  <c r="E157" i="16"/>
  <c r="F125" i="16"/>
  <c r="E104" i="16"/>
  <c r="E439" i="16"/>
  <c r="E459" i="16"/>
  <c r="E349" i="16"/>
  <c r="E402" i="16"/>
  <c r="E56" i="16"/>
  <c r="E486" i="16"/>
  <c r="E13" i="16"/>
  <c r="E100" i="16"/>
  <c r="E195" i="16"/>
  <c r="E207" i="16"/>
  <c r="E346" i="16"/>
  <c r="S73" i="16"/>
  <c r="S75" i="16"/>
  <c r="S67" i="16"/>
  <c r="S175" i="16"/>
  <c r="V497" i="16"/>
  <c r="V160" i="16"/>
  <c r="S58" i="27"/>
  <c r="V76" i="27"/>
  <c r="L80" i="27"/>
  <c r="D59" i="27"/>
  <c r="L29" i="27"/>
  <c r="I4" i="22" a="1"/>
  <c r="I4" i="22" s="1"/>
  <c r="K4" i="22" s="1"/>
  <c r="K450" i="4"/>
  <c r="F32" i="16" s="1"/>
  <c r="I450" i="4"/>
  <c r="D32" i="16" s="1"/>
  <c r="K352" i="4"/>
  <c r="F89" i="16" s="1"/>
  <c r="I352" i="4"/>
  <c r="D89" i="16" s="1"/>
  <c r="K292" i="4"/>
  <c r="F142" i="16" s="1"/>
  <c r="I292" i="4"/>
  <c r="K271" i="4"/>
  <c r="F4" i="16" s="1"/>
  <c r="I271" i="4"/>
  <c r="K239" i="4"/>
  <c r="F85" i="16" s="1"/>
  <c r="I239" i="4"/>
  <c r="K228" i="4"/>
  <c r="F173" i="16" s="1"/>
  <c r="I228" i="4"/>
  <c r="S68" i="16"/>
  <c r="E299" i="16"/>
  <c r="L47" i="27"/>
  <c r="P69" i="27"/>
  <c r="K69" i="27" s="1"/>
  <c r="S106" i="27"/>
  <c r="S43" i="27"/>
  <c r="V79" i="27"/>
  <c r="E175" i="16"/>
  <c r="E68" i="16"/>
  <c r="S497" i="16"/>
  <c r="S69" i="16"/>
  <c r="S348" i="16"/>
  <c r="V175" i="16"/>
  <c r="V170" i="16"/>
  <c r="T170" i="16" s="1"/>
  <c r="V337" i="16"/>
  <c r="T337" i="16" s="1"/>
  <c r="U337" i="16" s="1"/>
  <c r="V499" i="16"/>
  <c r="V487" i="16"/>
  <c r="V117" i="16"/>
  <c r="V484" i="16"/>
  <c r="V453" i="16"/>
  <c r="E469" i="16"/>
  <c r="E196" i="16"/>
  <c r="E288" i="16"/>
  <c r="E458" i="16"/>
  <c r="L166" i="16"/>
  <c r="N166" i="16" s="1"/>
  <c r="V147" i="27"/>
  <c r="D148" i="27"/>
  <c r="D43" i="27"/>
  <c r="V74" i="27"/>
  <c r="D80" i="27"/>
  <c r="F124" i="27"/>
  <c r="P8" i="27"/>
  <c r="K8" i="27" s="1"/>
  <c r="P129" i="27"/>
  <c r="K129" i="27" s="1"/>
  <c r="L58" i="27"/>
  <c r="S80" i="27"/>
  <c r="S59" i="27"/>
  <c r="D90" i="27"/>
  <c r="I32" i="16"/>
  <c r="K506" i="4"/>
  <c r="I506" i="4"/>
  <c r="D258" i="16" s="1"/>
  <c r="K474" i="4"/>
  <c r="F500" i="16" s="1"/>
  <c r="I474" i="4"/>
  <c r="D500" i="16" s="1"/>
  <c r="D22" i="27"/>
  <c r="K295" i="4"/>
  <c r="F256" i="16" s="1"/>
  <c r="I295" i="4"/>
  <c r="D256" i="16" s="1"/>
  <c r="K244" i="4"/>
  <c r="F378" i="16" s="1"/>
  <c r="I244" i="4"/>
  <c r="K284" i="4"/>
  <c r="F5" i="16" s="1"/>
  <c r="I284" i="4"/>
  <c r="I263" i="4"/>
  <c r="D180" i="16" s="1"/>
  <c r="K233" i="4"/>
  <c r="F464" i="16" s="1"/>
  <c r="I233" i="4"/>
  <c r="D464" i="16" s="1"/>
  <c r="K187" i="4"/>
  <c r="F126" i="16" s="1"/>
  <c r="I187" i="4"/>
  <c r="K287" i="4"/>
  <c r="F514" i="16" s="1"/>
  <c r="I287" i="4"/>
  <c r="K252" i="4"/>
  <c r="F286" i="16" s="1"/>
  <c r="I252" i="4"/>
  <c r="D286" i="16" s="1"/>
  <c r="K207" i="4"/>
  <c r="F358" i="16" s="1"/>
  <c r="I207" i="4"/>
  <c r="K162" i="4"/>
  <c r="K458" i="4"/>
  <c r="F265" i="16" s="1"/>
  <c r="I458" i="4"/>
  <c r="K329" i="4"/>
  <c r="F368" i="16" s="1"/>
  <c r="I329" i="4"/>
  <c r="K257" i="4"/>
  <c r="F163" i="16" s="1"/>
  <c r="I257" i="4"/>
  <c r="K212" i="4"/>
  <c r="F83" i="16" s="1"/>
  <c r="I212" i="4"/>
  <c r="D83" i="16" s="1"/>
  <c r="I138" i="4"/>
  <c r="D481" i="16" s="1"/>
  <c r="K138" i="4"/>
  <c r="F481" i="16" s="1"/>
  <c r="P473" i="16"/>
  <c r="K473" i="16" s="1" a="1"/>
  <c r="K473" i="16" s="1"/>
  <c r="P276" i="16"/>
  <c r="K276" i="16" s="1" a="1"/>
  <c r="K276" i="16" s="1"/>
  <c r="P40" i="16"/>
  <c r="K40" i="16" s="1" a="1"/>
  <c r="K40" i="16" s="1"/>
  <c r="G111" i="16"/>
  <c r="H111" i="16" s="1"/>
  <c r="G60" i="16"/>
  <c r="H60" i="16" s="1"/>
  <c r="G308" i="16"/>
  <c r="H308" i="16" s="1"/>
  <c r="G503" i="16"/>
  <c r="H503" i="16" s="1"/>
  <c r="G256" i="16"/>
  <c r="H256" i="16" s="1"/>
  <c r="G433" i="16"/>
  <c r="H433" i="16" s="1"/>
  <c r="G289" i="16"/>
  <c r="H289" i="16" s="1"/>
  <c r="G115" i="16"/>
  <c r="H115" i="16" s="1"/>
  <c r="G432" i="16"/>
  <c r="H432" i="16" s="1"/>
  <c r="G96" i="16"/>
  <c r="H96" i="16" s="1"/>
  <c r="G331" i="16"/>
  <c r="H331" i="16" s="1"/>
  <c r="G441" i="16"/>
  <c r="H441" i="16" s="1"/>
  <c r="G160" i="16"/>
  <c r="H160" i="16" s="1"/>
  <c r="G319" i="16"/>
  <c r="H319" i="16" s="1"/>
  <c r="I281" i="16"/>
  <c r="I111" i="16"/>
  <c r="I50" i="16"/>
  <c r="I169" i="16"/>
  <c r="I83" i="16"/>
  <c r="I481" i="16"/>
  <c r="I11" i="16"/>
  <c r="I62" i="16"/>
  <c r="I229" i="16"/>
  <c r="I430" i="16"/>
  <c r="I227" i="16"/>
  <c r="I282" i="16"/>
  <c r="I104" i="16"/>
  <c r="I173" i="16"/>
  <c r="I248" i="16"/>
  <c r="I446" i="16"/>
  <c r="I518" i="16"/>
  <c r="I520" i="16"/>
  <c r="I182" i="16"/>
  <c r="I87" i="16"/>
  <c r="I341" i="16"/>
  <c r="I94" i="16"/>
  <c r="I239" i="16"/>
  <c r="I290" i="16"/>
  <c r="I232" i="16"/>
  <c r="I165" i="16"/>
  <c r="I125" i="16"/>
  <c r="I90" i="16"/>
  <c r="I405" i="16"/>
  <c r="I450" i="16"/>
  <c r="I119" i="16"/>
  <c r="I384" i="16"/>
  <c r="I511" i="16"/>
  <c r="I237" i="16"/>
  <c r="I236" i="16"/>
  <c r="I319" i="16"/>
  <c r="I286" i="16"/>
  <c r="I146" i="16"/>
  <c r="I466" i="16"/>
  <c r="I101" i="16"/>
  <c r="I355" i="16"/>
  <c r="G38" i="27"/>
  <c r="I38" i="27" s="1"/>
  <c r="G143" i="27"/>
  <c r="I143" i="27" s="1"/>
  <c r="G82" i="27"/>
  <c r="H82" i="27" s="1"/>
  <c r="G87" i="27"/>
  <c r="I87" i="27" s="1"/>
  <c r="G93" i="27"/>
  <c r="I93" i="27" s="1"/>
  <c r="G121" i="27"/>
  <c r="H121" i="27" s="1"/>
  <c r="G100" i="27"/>
  <c r="H100" i="27" s="1"/>
  <c r="D263" i="16"/>
  <c r="K116" i="4"/>
  <c r="F427" i="16" s="1"/>
  <c r="K99" i="4"/>
  <c r="F156" i="16" s="1"/>
  <c r="K92" i="4"/>
  <c r="F452" i="16" s="1"/>
  <c r="I91" i="4"/>
  <c r="D29" i="16" s="1"/>
  <c r="I26" i="4"/>
  <c r="D231" i="16" s="1"/>
  <c r="I11" i="4"/>
  <c r="D340" i="16" s="1"/>
  <c r="K153" i="4"/>
  <c r="F129" i="16" s="1"/>
  <c r="K131" i="4"/>
  <c r="F350" i="16" s="1"/>
  <c r="I59" i="4"/>
  <c r="D99" i="16" s="1"/>
  <c r="I48" i="4"/>
  <c r="D150" i="16" s="1"/>
  <c r="K96" i="4"/>
  <c r="F351" i="16" s="1"/>
  <c r="K503" i="4"/>
  <c r="I503" i="4"/>
  <c r="K491" i="4"/>
  <c r="F371" i="16" s="1"/>
  <c r="I491" i="4"/>
  <c r="D371" i="16" s="1"/>
  <c r="K439" i="4"/>
  <c r="I439" i="4"/>
  <c r="D20" i="16" s="1"/>
  <c r="K372" i="4"/>
  <c r="F213" i="16" s="1"/>
  <c r="I372" i="4"/>
  <c r="D213" i="16" s="1"/>
  <c r="G71" i="27"/>
  <c r="I71" i="27" s="1"/>
  <c r="I376" i="16"/>
  <c r="I117" i="16"/>
  <c r="I407" i="16"/>
  <c r="G288" i="16"/>
  <c r="H288" i="16" s="1"/>
  <c r="G306" i="16"/>
  <c r="H306" i="16" s="1"/>
  <c r="G68" i="16"/>
  <c r="H68" i="16" s="1"/>
  <c r="K499" i="4"/>
  <c r="F236" i="16" s="1"/>
  <c r="I499" i="4"/>
  <c r="D236" i="16" s="1"/>
  <c r="D113" i="16"/>
  <c r="K475" i="4"/>
  <c r="F367" i="16" s="1"/>
  <c r="I475" i="4"/>
  <c r="D367" i="16" s="1"/>
  <c r="K446" i="4"/>
  <c r="F112" i="16" s="1"/>
  <c r="I446" i="4"/>
  <c r="D112" i="16" s="1"/>
  <c r="K435" i="4"/>
  <c r="F293" i="16" s="1"/>
  <c r="I435" i="4"/>
  <c r="K370" i="4"/>
  <c r="F290" i="16" s="1"/>
  <c r="G213" i="16"/>
  <c r="H213" i="16" s="1"/>
  <c r="G515" i="16"/>
  <c r="H515" i="16" s="1"/>
  <c r="G245" i="16"/>
  <c r="H245" i="16" s="1"/>
  <c r="G196" i="16"/>
  <c r="H196" i="16" s="1"/>
  <c r="G53" i="16"/>
  <c r="H53" i="16" s="1"/>
  <c r="I401" i="16"/>
  <c r="I141" i="16"/>
  <c r="I245" i="16"/>
  <c r="I16" i="16"/>
  <c r="I404" i="16"/>
  <c r="I498" i="16"/>
  <c r="I451" i="16"/>
  <c r="I193" i="16"/>
  <c r="I500" i="16"/>
  <c r="I439" i="16"/>
  <c r="I457" i="16"/>
  <c r="I396" i="16"/>
  <c r="I198" i="16"/>
  <c r="I448" i="16"/>
  <c r="I462" i="16"/>
  <c r="G56" i="27"/>
  <c r="I56" i="27" s="1"/>
  <c r="G113" i="27"/>
  <c r="I113" i="27" s="1"/>
  <c r="D136" i="27"/>
  <c r="S125" i="27"/>
  <c r="S109" i="27"/>
  <c r="P141" i="27"/>
  <c r="J141" i="27" s="1"/>
  <c r="S141" i="27"/>
  <c r="V125" i="27"/>
  <c r="E141" i="27"/>
  <c r="L146" i="27"/>
  <c r="O146" i="27" s="1"/>
  <c r="P55" i="27"/>
  <c r="K55" i="27" s="1"/>
  <c r="P68" i="27"/>
  <c r="K68" i="27" s="1"/>
  <c r="V62" i="27"/>
  <c r="T62" i="27" s="1"/>
  <c r="U62" i="27" s="1"/>
  <c r="S57" i="27"/>
  <c r="E131" i="27"/>
  <c r="D78" i="27"/>
  <c r="S146" i="27"/>
  <c r="P115" i="27"/>
  <c r="J115" i="27" s="1"/>
  <c r="P106" i="27"/>
  <c r="K106" i="27" s="1"/>
  <c r="S49" i="27"/>
  <c r="P79" i="27"/>
  <c r="J79" i="27" s="1"/>
  <c r="F35" i="27"/>
  <c r="D54" i="27"/>
  <c r="P95" i="27"/>
  <c r="K95" i="27" s="1"/>
  <c r="P49" i="27"/>
  <c r="K49" i="27" s="1"/>
  <c r="L49" i="27"/>
  <c r="E94" i="27"/>
  <c r="D60" i="27"/>
  <c r="D131" i="27"/>
  <c r="F131" i="27"/>
  <c r="S53" i="27"/>
  <c r="V58" i="27"/>
  <c r="S102" i="27"/>
  <c r="P66" i="27"/>
  <c r="K66" i="27" s="1"/>
  <c r="S99" i="27"/>
  <c r="P128" i="27"/>
  <c r="K128" i="27" s="1"/>
  <c r="P56" i="27"/>
  <c r="J56" i="27" s="1"/>
  <c r="V67" i="27"/>
  <c r="V117" i="27"/>
  <c r="S64" i="27"/>
  <c r="S139" i="27"/>
  <c r="F45" i="27"/>
  <c r="V77" i="27"/>
  <c r="S107" i="27"/>
  <c r="P63" i="27"/>
  <c r="K63" i="27" s="1"/>
  <c r="S13" i="27"/>
  <c r="S56" i="27"/>
  <c r="V8" i="27"/>
  <c r="V55" i="27"/>
  <c r="D128" i="27"/>
  <c r="F33" i="27"/>
  <c r="S469" i="16"/>
  <c r="S132" i="16"/>
  <c r="S258" i="16"/>
  <c r="T258" i="16" s="1"/>
  <c r="U258" i="16" s="1"/>
  <c r="S117" i="16"/>
  <c r="S193" i="16"/>
  <c r="S72" i="16"/>
  <c r="V113" i="16"/>
  <c r="V500" i="16"/>
  <c r="V424" i="16"/>
  <c r="T424" i="16" s="1"/>
  <c r="U424" i="16" s="1"/>
  <c r="V372" i="16"/>
  <c r="T372" i="16" s="1"/>
  <c r="W372" i="16" s="1"/>
  <c r="V362" i="16"/>
  <c r="T362" i="16" s="1"/>
  <c r="V72" i="16"/>
  <c r="V458" i="16"/>
  <c r="V460" i="16"/>
  <c r="F393" i="16"/>
  <c r="F502" i="16"/>
  <c r="F258" i="16"/>
  <c r="F288" i="16"/>
  <c r="F64" i="16"/>
  <c r="E216" i="16"/>
  <c r="E114" i="16"/>
  <c r="E372" i="16"/>
  <c r="E344" i="16"/>
  <c r="L175" i="16"/>
  <c r="N175" i="16" s="1"/>
  <c r="L66" i="16"/>
  <c r="L71" i="16"/>
  <c r="L371" i="16"/>
  <c r="O371" i="16" s="1"/>
  <c r="L17" i="16"/>
  <c r="N17" i="16" s="1"/>
  <c r="F94" i="27"/>
  <c r="P58" i="27"/>
  <c r="K58" i="27" s="1"/>
  <c r="V73" i="27"/>
  <c r="E56" i="27"/>
  <c r="D66" i="27"/>
  <c r="V137" i="27"/>
  <c r="F140" i="27"/>
  <c r="D79" i="27"/>
  <c r="E59" i="27"/>
  <c r="V142" i="27"/>
  <c r="D140" i="27"/>
  <c r="V127" i="27"/>
  <c r="V43" i="27"/>
  <c r="D48" i="27"/>
  <c r="L139" i="27"/>
  <c r="V135" i="27"/>
  <c r="L66" i="27"/>
  <c r="S52" i="27"/>
  <c r="P5" i="27"/>
  <c r="J5" i="27" s="1"/>
  <c r="D36" i="27"/>
  <c r="P180" i="27"/>
  <c r="K180" i="27" s="1"/>
  <c r="P26" i="27"/>
  <c r="J26" i="27" s="1"/>
  <c r="D45" i="27"/>
  <c r="L95" i="27"/>
  <c r="L147" i="27"/>
  <c r="F96" i="27"/>
  <c r="V99" i="27"/>
  <c r="S131" i="27"/>
  <c r="P45" i="27"/>
  <c r="J45" i="27" s="1"/>
  <c r="P135" i="27"/>
  <c r="K135" i="27" s="1"/>
  <c r="S142" i="27"/>
  <c r="L55" i="27"/>
  <c r="S6" i="27"/>
  <c r="F141" i="27"/>
  <c r="L125" i="27"/>
  <c r="G109" i="27"/>
  <c r="H109" i="27" s="1"/>
  <c r="G141" i="27"/>
  <c r="I141" i="27" s="1"/>
  <c r="I336" i="16"/>
  <c r="I194" i="16"/>
  <c r="I8" i="16"/>
  <c r="I113" i="16"/>
  <c r="I394" i="16"/>
  <c r="I506" i="16"/>
  <c r="I121" i="16"/>
  <c r="I362" i="16"/>
  <c r="I369" i="16"/>
  <c r="I397" i="16"/>
  <c r="I508" i="16"/>
  <c r="I56" i="16"/>
  <c r="I55" i="16"/>
  <c r="I291" i="16"/>
  <c r="I21" i="16"/>
  <c r="I515" i="16"/>
  <c r="I170" i="16"/>
  <c r="G355" i="16"/>
  <c r="H355" i="16" s="1"/>
  <c r="G451" i="16"/>
  <c r="H451" i="16" s="1"/>
  <c r="G116" i="16"/>
  <c r="H116" i="16" s="1"/>
  <c r="G402" i="16"/>
  <c r="H402" i="16" s="1"/>
  <c r="P197" i="16"/>
  <c r="K197" i="16" s="1" a="1"/>
  <c r="K197" i="16" s="1"/>
  <c r="O197" i="16" s="1"/>
  <c r="K455" i="4"/>
  <c r="F338" i="16" s="1"/>
  <c r="I455" i="4"/>
  <c r="D338" i="16" s="1"/>
  <c r="E367" i="16"/>
  <c r="E329" i="16"/>
  <c r="E500" i="16"/>
  <c r="E55" i="16"/>
  <c r="E258" i="16"/>
  <c r="F372" i="16"/>
  <c r="F458" i="16"/>
  <c r="F160" i="16"/>
  <c r="F487" i="16"/>
  <c r="F460" i="16"/>
  <c r="L306" i="16"/>
  <c r="N306" i="16" s="1"/>
  <c r="L64" i="16"/>
  <c r="N64" i="16" s="1"/>
  <c r="L502" i="16"/>
  <c r="L487" i="16"/>
  <c r="O487" i="16" s="1"/>
  <c r="L458" i="16"/>
  <c r="N458" i="16" s="1"/>
  <c r="L53" i="16"/>
  <c r="N53" i="16" s="1"/>
  <c r="L274" i="16"/>
  <c r="N274" i="16" s="1"/>
  <c r="L355" i="16"/>
  <c r="N355" i="16" s="1"/>
  <c r="L217" i="16"/>
  <c r="N217" i="16" s="1"/>
  <c r="L55" i="16"/>
  <c r="N55" i="16" s="1"/>
  <c r="L388" i="16"/>
  <c r="N388" i="16" s="1"/>
  <c r="L413" i="16"/>
  <c r="N413" i="16" s="1"/>
  <c r="L395" i="16"/>
  <c r="O395" i="16" s="1"/>
  <c r="L97" i="16"/>
  <c r="L75" i="16"/>
  <c r="L159" i="16"/>
  <c r="N159" i="16" s="1"/>
  <c r="L21" i="16"/>
  <c r="N21" i="16" s="1"/>
  <c r="L67" i="16"/>
  <c r="L291" i="16"/>
  <c r="N291" i="16" s="1"/>
  <c r="L16" i="16"/>
  <c r="N16" i="16" s="1"/>
  <c r="V146" i="27"/>
  <c r="P70" i="27"/>
  <c r="K70" i="27" s="1"/>
  <c r="F148" i="27"/>
  <c r="D72" i="27"/>
  <c r="S71" i="27"/>
  <c r="V53" i="27"/>
  <c r="V46" i="27"/>
  <c r="S128" i="27"/>
  <c r="S79" i="27"/>
  <c r="L34" i="27"/>
  <c r="O34" i="27" s="1"/>
  <c r="L119" i="27"/>
  <c r="F76" i="27"/>
  <c r="P127" i="27"/>
  <c r="J127" i="27" s="1"/>
  <c r="F50" i="27"/>
  <c r="V130" i="27"/>
  <c r="L11" i="27"/>
  <c r="V27" i="27"/>
  <c r="D115" i="27"/>
  <c r="S51" i="27"/>
  <c r="F54" i="27"/>
  <c r="S90" i="27"/>
  <c r="S11" i="27"/>
  <c r="P48" i="27"/>
  <c r="K48" i="27" s="1"/>
  <c r="P143" i="27"/>
  <c r="K143" i="27" s="1"/>
  <c r="F36" i="27"/>
  <c r="V44" i="27"/>
  <c r="F143" i="27"/>
  <c r="V128" i="27"/>
  <c r="D52" i="27"/>
  <c r="L131" i="27"/>
  <c r="L120" i="27"/>
  <c r="D67" i="27"/>
  <c r="L33" i="27"/>
  <c r="P140" i="27"/>
  <c r="K140" i="27" s="1"/>
  <c r="V141" i="27"/>
  <c r="G125" i="27"/>
  <c r="I125" i="27" s="1"/>
  <c r="G116" i="27"/>
  <c r="H116" i="27" s="1"/>
  <c r="I326" i="16"/>
  <c r="I365" i="16"/>
  <c r="I469" i="16"/>
  <c r="I45" i="16"/>
  <c r="I91" i="16"/>
  <c r="I120" i="16"/>
  <c r="I116" i="16"/>
  <c r="I395" i="16"/>
  <c r="G393" i="16"/>
  <c r="H393" i="16" s="1"/>
  <c r="G371" i="16"/>
  <c r="H371" i="16" s="1"/>
  <c r="G21" i="16"/>
  <c r="H21" i="16" s="1"/>
  <c r="P61" i="16"/>
  <c r="K61" i="16" s="1" a="1"/>
  <c r="K61" i="16" s="1"/>
  <c r="K462" i="4"/>
  <c r="F109" i="27" s="1"/>
  <c r="I462" i="4"/>
  <c r="D109" i="27" s="1"/>
  <c r="D265" i="16"/>
  <c r="K356" i="4"/>
  <c r="F246" i="16" s="1"/>
  <c r="I356" i="4"/>
  <c r="D246" i="16" s="1"/>
  <c r="K338" i="4"/>
  <c r="F359" i="16" s="1"/>
  <c r="I338" i="4"/>
  <c r="D359" i="16" s="1"/>
  <c r="K289" i="4"/>
  <c r="F33" i="16" s="1"/>
  <c r="I289" i="4"/>
  <c r="D33" i="16" s="1"/>
  <c r="K273" i="4"/>
  <c r="F399" i="16" s="1"/>
  <c r="I273" i="4"/>
  <c r="D399" i="16" s="1"/>
  <c r="K225" i="4"/>
  <c r="F179" i="16" s="1"/>
  <c r="I225" i="4"/>
  <c r="K180" i="4"/>
  <c r="I180" i="4"/>
  <c r="D455" i="16" s="1"/>
  <c r="K309" i="4"/>
  <c r="F122" i="16" s="1"/>
  <c r="I309" i="4"/>
  <c r="D122" i="16" s="1"/>
  <c r="K300" i="4"/>
  <c r="F151" i="16" s="1"/>
  <c r="I300" i="4"/>
  <c r="K269" i="4"/>
  <c r="F416" i="16" s="1"/>
  <c r="I269" i="4"/>
  <c r="K264" i="4"/>
  <c r="F512" i="16" s="1"/>
  <c r="I264" i="4"/>
  <c r="D512" i="16" s="1"/>
  <c r="K245" i="4"/>
  <c r="I245" i="4"/>
  <c r="D173" i="16"/>
  <c r="K221" i="4"/>
  <c r="F321" i="16" s="1"/>
  <c r="I221" i="4"/>
  <c r="K183" i="4"/>
  <c r="F400" i="16" s="1"/>
  <c r="I183" i="4"/>
  <c r="D400" i="16" s="1"/>
  <c r="I167" i="4"/>
  <c r="K167" i="4"/>
  <c r="F489" i="16" s="1"/>
  <c r="P377" i="16"/>
  <c r="K377" i="16" s="1" a="1"/>
  <c r="K377" i="16" s="1"/>
  <c r="P361" i="16"/>
  <c r="K361" i="16" s="1" a="1"/>
  <c r="K361" i="16" s="1"/>
  <c r="P200" i="16"/>
  <c r="K200" i="16" s="1" a="1"/>
  <c r="K200" i="16" s="1"/>
  <c r="P372" i="16"/>
  <c r="K372" i="16" s="1" a="1"/>
  <c r="K372" i="16" s="1"/>
  <c r="F326" i="16"/>
  <c r="E336" i="16"/>
  <c r="G175" i="16"/>
  <c r="H175" i="16" s="1"/>
  <c r="G479" i="16"/>
  <c r="H479" i="16" s="1"/>
  <c r="G353" i="16"/>
  <c r="H353" i="16" s="1"/>
  <c r="G325" i="16"/>
  <c r="H325" i="16" s="1"/>
  <c r="G518" i="16"/>
  <c r="H518" i="16" s="1"/>
  <c r="G501" i="16"/>
  <c r="H501" i="16" s="1"/>
  <c r="G512" i="16"/>
  <c r="H512" i="16" s="1"/>
  <c r="G278" i="16"/>
  <c r="H278" i="16" s="1"/>
  <c r="G476" i="16"/>
  <c r="H476" i="16" s="1"/>
  <c r="G6" i="16"/>
  <c r="H6" i="16" s="1"/>
  <c r="G130" i="16"/>
  <c r="H130" i="16" s="1"/>
  <c r="G16" i="16"/>
  <c r="H16" i="16" s="1"/>
  <c r="G119" i="16"/>
  <c r="H119" i="16" s="1"/>
  <c r="G369" i="16"/>
  <c r="H369" i="16" s="1"/>
  <c r="G195" i="16"/>
  <c r="H195" i="16" s="1"/>
  <c r="G344" i="16"/>
  <c r="H344" i="16" s="1"/>
  <c r="G419" i="16"/>
  <c r="H419" i="16" s="1"/>
  <c r="G506" i="16"/>
  <c r="H506" i="16" s="1"/>
  <c r="G210" i="16"/>
  <c r="H210" i="16" s="1"/>
  <c r="G489" i="16"/>
  <c r="H489" i="16" s="1"/>
  <c r="G365" i="16"/>
  <c r="H365" i="16" s="1"/>
  <c r="I48" i="16"/>
  <c r="I332" i="16"/>
  <c r="I78" i="16"/>
  <c r="I255" i="16"/>
  <c r="I382" i="16"/>
  <c r="I81" i="16"/>
  <c r="I12" i="16"/>
  <c r="I418" i="16"/>
  <c r="I251" i="16"/>
  <c r="I310" i="16"/>
  <c r="I503" i="16"/>
  <c r="I260" i="16"/>
  <c r="I400" i="16"/>
  <c r="I174" i="16"/>
  <c r="I313" i="16"/>
  <c r="I57" i="16"/>
  <c r="I501" i="16"/>
  <c r="I249" i="16"/>
  <c r="I25" i="16"/>
  <c r="I122" i="16"/>
  <c r="I283" i="16"/>
  <c r="I380" i="16"/>
  <c r="I454" i="16"/>
  <c r="I391" i="16"/>
  <c r="I154" i="16"/>
  <c r="I412" i="16"/>
  <c r="I385" i="16"/>
  <c r="I322" i="16"/>
  <c r="I473" i="16"/>
  <c r="I217" i="16"/>
  <c r="I320" i="16"/>
  <c r="I352" i="16"/>
  <c r="D114" i="16"/>
  <c r="K471" i="4"/>
  <c r="I471" i="4"/>
  <c r="D516" i="16" s="1"/>
  <c r="K459" i="4"/>
  <c r="F210" i="16" s="1"/>
  <c r="I459" i="4"/>
  <c r="D210" i="16" s="1"/>
  <c r="I454" i="4"/>
  <c r="D390" i="16" s="1"/>
  <c r="I447" i="4"/>
  <c r="D360" i="16" s="1"/>
  <c r="K359" i="4"/>
  <c r="F232" i="16" s="1"/>
  <c r="I359" i="4"/>
  <c r="D232" i="16" s="1"/>
  <c r="K346" i="4"/>
  <c r="F177" i="16" s="1"/>
  <c r="I346" i="4"/>
  <c r="I344" i="4"/>
  <c r="D14" i="27" s="1"/>
  <c r="K321" i="4"/>
  <c r="I321" i="4"/>
  <c r="I319" i="4"/>
  <c r="D253" i="16" s="1"/>
  <c r="I316" i="4"/>
  <c r="D124" i="16" s="1"/>
  <c r="K303" i="4"/>
  <c r="F387" i="16" s="1"/>
  <c r="I303" i="4"/>
  <c r="D387" i="16" s="1"/>
  <c r="I301" i="4"/>
  <c r="K276" i="4"/>
  <c r="F466" i="16" s="1"/>
  <c r="I276" i="4"/>
  <c r="D466" i="16" s="1"/>
  <c r="K267" i="4"/>
  <c r="F275" i="16" s="1"/>
  <c r="I267" i="4"/>
  <c r="I265" i="4"/>
  <c r="D438" i="16" s="1"/>
  <c r="D87" i="16"/>
  <c r="D214" i="16"/>
  <c r="D330" i="16"/>
  <c r="D308" i="16"/>
  <c r="K200" i="4"/>
  <c r="F186" i="16" s="1"/>
  <c r="I200" i="4"/>
  <c r="D186" i="16" s="1"/>
  <c r="K191" i="4"/>
  <c r="F78" i="16" s="1"/>
  <c r="I191" i="4"/>
  <c r="I189" i="4"/>
  <c r="D493" i="16" s="1"/>
  <c r="K172" i="4"/>
  <c r="F332" i="16" s="1"/>
  <c r="I172" i="4"/>
  <c r="D332" i="16" s="1"/>
  <c r="P348" i="16"/>
  <c r="K348" i="16" s="1" a="1"/>
  <c r="K348" i="16" s="1"/>
  <c r="P92" i="16"/>
  <c r="K92" i="16" s="1" a="1"/>
  <c r="K92" i="16" s="1"/>
  <c r="K507" i="4"/>
  <c r="F497" i="16" s="1"/>
  <c r="I507" i="4"/>
  <c r="D497" i="16" s="1"/>
  <c r="K478" i="4"/>
  <c r="F407" i="16" s="1"/>
  <c r="I478" i="4"/>
  <c r="D407" i="16" s="1"/>
  <c r="K467" i="4"/>
  <c r="F376" i="16" s="1"/>
  <c r="I467" i="4"/>
  <c r="D376" i="16" s="1"/>
  <c r="K443" i="4"/>
  <c r="F271" i="16" s="1"/>
  <c r="I443" i="4"/>
  <c r="D271" i="16" s="1"/>
  <c r="K362" i="4"/>
  <c r="F221" i="16" s="1"/>
  <c r="I362" i="4"/>
  <c r="I360" i="4"/>
  <c r="D119" i="16" s="1"/>
  <c r="K351" i="4"/>
  <c r="F215" i="16" s="1"/>
  <c r="I351" i="4"/>
  <c r="D215" i="16" s="1"/>
  <c r="K335" i="4"/>
  <c r="F381" i="16" s="1"/>
  <c r="I335" i="4"/>
  <c r="D381" i="16" s="1"/>
  <c r="K308" i="4"/>
  <c r="F361" i="16" s="1"/>
  <c r="I308" i="4"/>
  <c r="D361" i="16" s="1"/>
  <c r="K281" i="4"/>
  <c r="F315" i="16" s="1"/>
  <c r="I281" i="4"/>
  <c r="D315" i="16" s="1"/>
  <c r="K253" i="4"/>
  <c r="F147" i="16" s="1"/>
  <c r="I253" i="4"/>
  <c r="D147" i="16" s="1"/>
  <c r="K213" i="4"/>
  <c r="F305" i="16" s="1"/>
  <c r="I213" i="4"/>
  <c r="D305" i="16" s="1"/>
  <c r="I201" i="4"/>
  <c r="D146" i="16" s="1"/>
  <c r="K196" i="4"/>
  <c r="F476" i="16" s="1"/>
  <c r="I196" i="4"/>
  <c r="D476" i="16" s="1"/>
  <c r="K175" i="4"/>
  <c r="F328" i="16" s="1"/>
  <c r="I175" i="4"/>
  <c r="D344" i="16"/>
  <c r="K483" i="4"/>
  <c r="F484" i="16" s="1"/>
  <c r="I483" i="4"/>
  <c r="D458" i="16"/>
  <c r="K451" i="4"/>
  <c r="F166" i="16" s="1"/>
  <c r="I451" i="4"/>
  <c r="D166" i="16" s="1"/>
  <c r="D56" i="16"/>
  <c r="K364" i="4"/>
  <c r="F331" i="16" s="1"/>
  <c r="I364" i="4"/>
  <c r="D331" i="16" s="1"/>
  <c r="K343" i="4"/>
  <c r="F47" i="16" s="1"/>
  <c r="I343" i="4"/>
  <c r="D47" i="16" s="1"/>
  <c r="K313" i="4"/>
  <c r="F181" i="16" s="1"/>
  <c r="I313" i="4"/>
  <c r="D181" i="16" s="1"/>
  <c r="K297" i="4"/>
  <c r="F57" i="16" s="1"/>
  <c r="I297" i="4"/>
  <c r="D57" i="16" s="1"/>
  <c r="K261" i="4"/>
  <c r="F479" i="16" s="1"/>
  <c r="I261" i="4"/>
  <c r="D479" i="16" s="1"/>
  <c r="I249" i="4"/>
  <c r="D60" i="16" s="1"/>
  <c r="D378" i="16"/>
  <c r="D85" i="16"/>
  <c r="K229" i="4"/>
  <c r="F510" i="16" s="1"/>
  <c r="I229" i="4"/>
  <c r="I217" i="4"/>
  <c r="D418" i="16" s="1"/>
  <c r="K199" i="4"/>
  <c r="I199" i="4"/>
  <c r="D40" i="27" s="1"/>
  <c r="K185" i="4"/>
  <c r="F251" i="16" s="1"/>
  <c r="I185" i="4"/>
  <c r="D251" i="16" s="1"/>
  <c r="D115" i="16"/>
  <c r="K142" i="4"/>
  <c r="F206" i="16" s="1"/>
  <c r="I141" i="4"/>
  <c r="D26" i="16" s="1"/>
  <c r="P233" i="16"/>
  <c r="K233" i="16" s="1" a="1"/>
  <c r="K233" i="16" s="1"/>
  <c r="P100" i="16"/>
  <c r="K100" i="16" s="1" a="1"/>
  <c r="K100" i="16" s="1"/>
  <c r="O100" i="16" s="1"/>
  <c r="P479" i="16"/>
  <c r="K479" i="16" s="1" a="1"/>
  <c r="K479" i="16" s="1"/>
  <c r="P467" i="16"/>
  <c r="K467" i="16" s="1" a="1"/>
  <c r="K467" i="16" s="1"/>
  <c r="P217" i="16"/>
  <c r="K217" i="16" s="1" a="1"/>
  <c r="K217" i="16" s="1"/>
  <c r="P498" i="16"/>
  <c r="K498" i="16" s="1" a="1"/>
  <c r="K498" i="16" s="1"/>
  <c r="E53" i="16"/>
  <c r="G26" i="16"/>
  <c r="H26" i="16" s="1"/>
  <c r="G203" i="16"/>
  <c r="H203" i="16" s="1"/>
  <c r="G100" i="16"/>
  <c r="H100" i="16" s="1"/>
  <c r="G4" i="16"/>
  <c r="H4" i="16" s="1"/>
  <c r="G259" i="16"/>
  <c r="H259" i="16" s="1"/>
  <c r="G295" i="16"/>
  <c r="H295" i="16" s="1"/>
  <c r="G261" i="16"/>
  <c r="H261" i="16" s="1"/>
  <c r="G209" i="16"/>
  <c r="H209" i="16" s="1"/>
  <c r="G446" i="16"/>
  <c r="H446" i="16" s="1"/>
  <c r="G378" i="16"/>
  <c r="H378" i="16" s="1"/>
  <c r="G257" i="16"/>
  <c r="H257" i="16" s="1"/>
  <c r="G215" i="16"/>
  <c r="H215" i="16" s="1"/>
  <c r="G142" i="16"/>
  <c r="H142" i="16" s="1"/>
  <c r="G152" i="16"/>
  <c r="H152" i="16" s="1"/>
  <c r="G510" i="16"/>
  <c r="H510" i="16" s="1"/>
  <c r="G33" i="16"/>
  <c r="H33" i="16" s="1"/>
  <c r="G88" i="16"/>
  <c r="H88" i="16" s="1"/>
  <c r="G207" i="16"/>
  <c r="H207" i="16" s="1"/>
  <c r="G212" i="16"/>
  <c r="H212" i="16" s="1"/>
  <c r="G311" i="16"/>
  <c r="H311" i="16" s="1"/>
  <c r="G450" i="16"/>
  <c r="H450" i="16" s="1"/>
  <c r="G467" i="16"/>
  <c r="H467" i="16" s="1"/>
  <c r="G502" i="16"/>
  <c r="H502" i="16" s="1"/>
  <c r="G91" i="16"/>
  <c r="H91" i="16" s="1"/>
  <c r="G45" i="16"/>
  <c r="H45" i="16" s="1"/>
  <c r="G362" i="16"/>
  <c r="H362" i="16" s="1"/>
  <c r="G297" i="16"/>
  <c r="H297" i="16" s="1"/>
  <c r="G315" i="16"/>
  <c r="H315" i="16" s="1"/>
  <c r="G135" i="16"/>
  <c r="H135" i="16" s="1"/>
  <c r="G507" i="16"/>
  <c r="H507" i="16" s="1"/>
  <c r="G294" i="16"/>
  <c r="H294" i="16" s="1"/>
  <c r="D248" i="16"/>
  <c r="K237" i="4"/>
  <c r="F303" i="16" s="1"/>
  <c r="I237" i="4"/>
  <c r="D303" i="16" s="1"/>
  <c r="D477" i="16"/>
  <c r="K205" i="4"/>
  <c r="I205" i="4"/>
  <c r="D37" i="27" s="1"/>
  <c r="D226" i="16"/>
  <c r="K188" i="4"/>
  <c r="F339" i="16" s="1"/>
  <c r="I188" i="4"/>
  <c r="D339" i="16" s="1"/>
  <c r="D129" i="16"/>
  <c r="D118" i="27"/>
  <c r="D478" i="16"/>
  <c r="I84" i="4"/>
  <c r="D470" i="16" s="1"/>
  <c r="I58" i="4"/>
  <c r="D411" i="16" s="1"/>
  <c r="I55" i="4"/>
  <c r="D496" i="16" s="1"/>
  <c r="I46" i="4"/>
  <c r="D128" i="16" s="1"/>
  <c r="I10" i="4"/>
  <c r="D137" i="16" s="1"/>
  <c r="K154" i="4"/>
  <c r="F50" i="16" s="1"/>
  <c r="K149" i="4"/>
  <c r="F88" i="16" s="1"/>
  <c r="D209" i="16"/>
  <c r="K134" i="4"/>
  <c r="F323" i="16" s="1"/>
  <c r="K112" i="4"/>
  <c r="F158" i="16" s="1"/>
  <c r="K107" i="4"/>
  <c r="F118" i="16" s="1"/>
  <c r="K100" i="4"/>
  <c r="F488" i="16" s="1"/>
  <c r="I64" i="4"/>
  <c r="D513" i="16" s="1"/>
  <c r="I40" i="4"/>
  <c r="D465" i="16" s="1"/>
  <c r="I19" i="4"/>
  <c r="D242" i="16" s="1"/>
  <c r="I14" i="4"/>
  <c r="D19" i="16" s="1"/>
  <c r="P447" i="16"/>
  <c r="K447" i="16" s="1" a="1"/>
  <c r="K447" i="16" s="1"/>
  <c r="N447" i="16" s="1"/>
  <c r="P292" i="16"/>
  <c r="K292" i="16" s="1" a="1"/>
  <c r="K292" i="16" s="1"/>
  <c r="N292" i="16" s="1"/>
  <c r="P495" i="16"/>
  <c r="K495" i="16" s="1" a="1"/>
  <c r="K495" i="16" s="1"/>
  <c r="O495" i="16" s="1"/>
  <c r="K135" i="4"/>
  <c r="K120" i="4"/>
  <c r="F14" i="16" s="1"/>
  <c r="K115" i="4"/>
  <c r="F80" i="16" s="1"/>
  <c r="K108" i="4"/>
  <c r="G205" i="16"/>
  <c r="H205" i="16" s="1"/>
  <c r="G252" i="16"/>
  <c r="H252" i="16" s="1"/>
  <c r="G202" i="16"/>
  <c r="H202" i="16" s="1"/>
  <c r="G131" i="16"/>
  <c r="H131" i="16" s="1"/>
  <c r="G12" i="16"/>
  <c r="H12" i="16" s="1"/>
  <c r="G298" i="16"/>
  <c r="H298" i="16" s="1"/>
  <c r="G454" i="16"/>
  <c r="H454" i="16" s="1"/>
  <c r="G343" i="16"/>
  <c r="H343" i="16" s="1"/>
  <c r="G188" i="16"/>
  <c r="H188" i="16" s="1"/>
  <c r="G206" i="16"/>
  <c r="H206" i="16" s="1"/>
  <c r="G481" i="16"/>
  <c r="H481" i="16" s="1"/>
  <c r="G323" i="16"/>
  <c r="H323" i="16" s="1"/>
  <c r="G164" i="16"/>
  <c r="H164" i="16" s="1"/>
  <c r="G49" i="16"/>
  <c r="H49" i="16" s="1"/>
  <c r="G103" i="16"/>
  <c r="H103" i="16" s="1"/>
  <c r="G23" i="16"/>
  <c r="H23" i="16" s="1"/>
  <c r="G244" i="16"/>
  <c r="H244" i="16" s="1"/>
  <c r="G36" i="16"/>
  <c r="H36" i="16" s="1"/>
  <c r="G426" i="16"/>
  <c r="H426" i="16" s="1"/>
  <c r="G15" i="16"/>
  <c r="H15" i="16" s="1"/>
  <c r="G472" i="16"/>
  <c r="H472" i="16" s="1"/>
  <c r="G410" i="16"/>
  <c r="H410" i="16" s="1"/>
  <c r="G59" i="16"/>
  <c r="H59" i="16" s="1"/>
  <c r="G39" i="16"/>
  <c r="H39" i="16" s="1"/>
  <c r="G445" i="16"/>
  <c r="H445" i="16" s="1"/>
  <c r="G230" i="16"/>
  <c r="H230" i="16" s="1"/>
  <c r="G172" i="16"/>
  <c r="H172" i="16" s="1"/>
  <c r="G429" i="16"/>
  <c r="H429" i="16" s="1"/>
  <c r="G140" i="16"/>
  <c r="H140" i="16" s="1"/>
  <c r="G243" i="16"/>
  <c r="H243" i="16" s="1"/>
  <c r="G262" i="16"/>
  <c r="H262" i="16" s="1"/>
  <c r="P31" i="16"/>
  <c r="K31" i="16" s="1" a="1"/>
  <c r="K31" i="16" s="1"/>
  <c r="O31" i="16" s="1"/>
  <c r="F19" i="16"/>
  <c r="G137" i="16"/>
  <c r="H137" i="16" s="1"/>
  <c r="V77" i="16"/>
  <c r="V73" i="16"/>
  <c r="S20" i="27"/>
  <c r="K77" i="16" a="1"/>
  <c r="K77" i="16" s="1"/>
  <c r="K73" i="16" a="1"/>
  <c r="K73" i="16" s="1"/>
  <c r="P472" i="16"/>
  <c r="K472" i="16" s="1" a="1"/>
  <c r="K472" i="16" s="1"/>
  <c r="N472" i="16" s="1"/>
  <c r="K69" i="16" a="1"/>
  <c r="K69" i="16" s="1"/>
  <c r="A3" i="16"/>
  <c r="I19" i="16"/>
  <c r="V231" i="16"/>
  <c r="F231" i="16"/>
  <c r="P230" i="16"/>
  <c r="K230" i="16" s="1" a="1"/>
  <c r="K230" i="16" s="1"/>
  <c r="O230" i="16" s="1"/>
  <c r="P140" i="16"/>
  <c r="K140" i="16" s="1" a="1"/>
  <c r="K140" i="16" s="1"/>
  <c r="O140" i="16" s="1"/>
  <c r="P262" i="16"/>
  <c r="K262" i="16" s="1" a="1"/>
  <c r="K262" i="16" s="1"/>
  <c r="O262" i="16" s="1"/>
  <c r="D177" i="16"/>
  <c r="V19" i="16"/>
  <c r="G19" i="16"/>
  <c r="H19" i="16" s="1"/>
  <c r="R231" i="16"/>
  <c r="E231" i="16"/>
  <c r="D362" i="16"/>
  <c r="D288" i="16"/>
  <c r="D487" i="16"/>
  <c r="D356" i="16"/>
  <c r="D404" i="16"/>
  <c r="D290" i="16"/>
  <c r="D222" i="16"/>
  <c r="S19" i="16"/>
  <c r="L231" i="16"/>
  <c r="N231" i="16" s="1"/>
  <c r="K74" i="16" a="1"/>
  <c r="K74" i="16" s="1"/>
  <c r="V69" i="16"/>
  <c r="T69" i="16" s="1"/>
  <c r="W69" i="16" s="1"/>
  <c r="R77" i="16"/>
  <c r="L74" i="16"/>
  <c r="S70" i="16"/>
  <c r="E70" i="16"/>
  <c r="S74" i="16"/>
  <c r="V70" i="16"/>
  <c r="V74" i="16"/>
  <c r="J415" i="16"/>
  <c r="M415" i="16" s="1"/>
  <c r="J46" i="16"/>
  <c r="M46" i="16" s="1"/>
  <c r="D221" i="16"/>
  <c r="K349" i="4"/>
  <c r="F412" i="16" s="1"/>
  <c r="I349" i="4"/>
  <c r="D412" i="16" s="1"/>
  <c r="K333" i="4"/>
  <c r="F370" i="16" s="1"/>
  <c r="I333" i="4"/>
  <c r="D370" i="16" s="1"/>
  <c r="K330" i="4"/>
  <c r="F218" i="16" s="1"/>
  <c r="I330" i="4"/>
  <c r="D218" i="16" s="1"/>
  <c r="K283" i="4"/>
  <c r="F461" i="16" s="1"/>
  <c r="I283" i="4"/>
  <c r="D461" i="16" s="1"/>
  <c r="G499" i="16"/>
  <c r="H499" i="16" s="1"/>
  <c r="G132" i="16"/>
  <c r="H132" i="16" s="1"/>
  <c r="V356" i="16"/>
  <c r="L516" i="16"/>
  <c r="N516" i="16" s="1"/>
  <c r="P424" i="16"/>
  <c r="K424" i="16" s="1" a="1"/>
  <c r="K424" i="16" s="1"/>
  <c r="P502" i="16"/>
  <c r="K502" i="16" s="1" a="1"/>
  <c r="K502" i="16" s="1"/>
  <c r="D299" i="16"/>
  <c r="D117" i="16"/>
  <c r="D270" i="16"/>
  <c r="D484" i="16"/>
  <c r="D55" i="16"/>
  <c r="D337" i="16"/>
  <c r="D293" i="16"/>
  <c r="K431" i="4"/>
  <c r="F439" i="16" s="1"/>
  <c r="I431" i="4"/>
  <c r="D439" i="16" s="1"/>
  <c r="K429" i="4"/>
  <c r="F283" i="16" s="1"/>
  <c r="I429" i="4"/>
  <c r="D283" i="16" s="1"/>
  <c r="K427" i="4"/>
  <c r="F165" i="16" s="1"/>
  <c r="I427" i="4"/>
  <c r="D165" i="16" s="1"/>
  <c r="K425" i="4"/>
  <c r="F307" i="16" s="1"/>
  <c r="I425" i="4"/>
  <c r="D307" i="16" s="1"/>
  <c r="K423" i="4"/>
  <c r="F16" i="16" s="1"/>
  <c r="I423" i="4"/>
  <c r="D16" i="16" s="1"/>
  <c r="K421" i="4"/>
  <c r="F187" i="16" s="1"/>
  <c r="I421" i="4"/>
  <c r="D187" i="16" s="1"/>
  <c r="K419" i="4"/>
  <c r="F195" i="16" s="1"/>
  <c r="I419" i="4"/>
  <c r="D195" i="16" s="1"/>
  <c r="K417" i="4"/>
  <c r="F197" i="16" s="1"/>
  <c r="I417" i="4"/>
  <c r="D197" i="16" s="1"/>
  <c r="K415" i="4"/>
  <c r="F101" i="16" s="1"/>
  <c r="I415" i="4"/>
  <c r="D101" i="16" s="1"/>
  <c r="K413" i="4"/>
  <c r="F198" i="16" s="1"/>
  <c r="I413" i="4"/>
  <c r="D198" i="16" s="1"/>
  <c r="K411" i="4"/>
  <c r="F274" i="16" s="1"/>
  <c r="I411" i="4"/>
  <c r="D274" i="16" s="1"/>
  <c r="K409" i="4"/>
  <c r="F61" i="16" s="1"/>
  <c r="I409" i="4"/>
  <c r="D61" i="16" s="1"/>
  <c r="K407" i="4"/>
  <c r="I407" i="4"/>
  <c r="D53" i="16" s="1"/>
  <c r="K405" i="4"/>
  <c r="F291" i="16" s="1"/>
  <c r="I405" i="4"/>
  <c r="D291" i="16" s="1"/>
  <c r="K403" i="4"/>
  <c r="F191" i="16" s="1"/>
  <c r="I403" i="4"/>
  <c r="D191" i="16" s="1"/>
  <c r="K401" i="4"/>
  <c r="F413" i="16" s="1"/>
  <c r="I401" i="4"/>
  <c r="D413" i="16" s="1"/>
  <c r="K399" i="4"/>
  <c r="F511" i="16" s="1"/>
  <c r="I399" i="4"/>
  <c r="D511" i="16" s="1"/>
  <c r="K397" i="4"/>
  <c r="F185" i="16" s="1"/>
  <c r="I397" i="4"/>
  <c r="D185" i="16" s="1"/>
  <c r="K395" i="4"/>
  <c r="F396" i="16" s="1"/>
  <c r="I395" i="4"/>
  <c r="D396" i="16" s="1"/>
  <c r="K393" i="4"/>
  <c r="I393" i="4"/>
  <c r="D402" i="16" s="1"/>
  <c r="K391" i="4"/>
  <c r="I391" i="4"/>
  <c r="D125" i="27" s="1"/>
  <c r="K389" i="4"/>
  <c r="F217" i="16" s="1"/>
  <c r="I389" i="4"/>
  <c r="D217" i="16" s="1"/>
  <c r="K387" i="4"/>
  <c r="F397" i="16" s="1"/>
  <c r="I387" i="4"/>
  <c r="D397" i="16" s="1"/>
  <c r="K385" i="4"/>
  <c r="F105" i="16" s="1"/>
  <c r="I385" i="4"/>
  <c r="D105" i="16" s="1"/>
  <c r="K383" i="4"/>
  <c r="F21" i="16" s="1"/>
  <c r="I383" i="4"/>
  <c r="D21" i="16" s="1"/>
  <c r="K381" i="4"/>
  <c r="F220" i="16" s="1"/>
  <c r="I381" i="4"/>
  <c r="D220" i="16" s="1"/>
  <c r="K379" i="4"/>
  <c r="F24" i="16" s="1"/>
  <c r="I379" i="4"/>
  <c r="D24" i="16" s="1"/>
  <c r="K377" i="4"/>
  <c r="F401" i="16" s="1"/>
  <c r="I377" i="4"/>
  <c r="D401" i="16" s="1"/>
  <c r="K375" i="4"/>
  <c r="F159" i="16" s="1"/>
  <c r="I375" i="4"/>
  <c r="D159" i="16" s="1"/>
  <c r="K373" i="4"/>
  <c r="F200" i="16" s="1"/>
  <c r="I373" i="4"/>
  <c r="D200" i="16" s="1"/>
  <c r="K365" i="4"/>
  <c r="I365" i="4"/>
  <c r="D19" i="27" s="1"/>
  <c r="K339" i="4"/>
  <c r="I339" i="4"/>
  <c r="D121" i="27" s="1"/>
  <c r="K304" i="4"/>
  <c r="F238" i="16" s="1"/>
  <c r="I304" i="4"/>
  <c r="D238" i="16" s="1"/>
  <c r="K298" i="4"/>
  <c r="I298" i="4"/>
  <c r="D142" i="16"/>
  <c r="D514" i="16"/>
  <c r="D5" i="16"/>
  <c r="E497" i="16"/>
  <c r="F421" i="16"/>
  <c r="F491" i="16"/>
  <c r="F348" i="16"/>
  <c r="F362" i="16"/>
  <c r="F306" i="16"/>
  <c r="F299" i="16"/>
  <c r="E113" i="16"/>
  <c r="E421" i="16"/>
  <c r="F196" i="16"/>
  <c r="E132" i="16"/>
  <c r="E393" i="16"/>
  <c r="F453" i="16"/>
  <c r="L376" i="16"/>
  <c r="L407" i="16"/>
  <c r="O407" i="16" s="1"/>
  <c r="L469" i="16"/>
  <c r="O469" i="16" s="1"/>
  <c r="L132" i="16"/>
  <c r="L500" i="16"/>
  <c r="O500" i="16" s="1"/>
  <c r="L258" i="16"/>
  <c r="L390" i="16"/>
  <c r="N390" i="16" s="1"/>
  <c r="L338" i="16"/>
  <c r="N338" i="16" s="1"/>
  <c r="L70" i="16"/>
  <c r="L270" i="16"/>
  <c r="N270" i="16" s="1"/>
  <c r="L320" i="16"/>
  <c r="N320" i="16" s="1"/>
  <c r="L265" i="16"/>
  <c r="L497" i="16"/>
  <c r="N497" i="16" s="1"/>
  <c r="L424" i="16"/>
  <c r="L421" i="16"/>
  <c r="N421" i="16" s="1"/>
  <c r="L372" i="16"/>
  <c r="L76" i="16"/>
  <c r="L362" i="16"/>
  <c r="N362" i="16" s="1"/>
  <c r="L491" i="16"/>
  <c r="N491" i="16" s="1"/>
  <c r="L299" i="16"/>
  <c r="N299" i="16" s="1"/>
  <c r="L117" i="16"/>
  <c r="N117" i="16" s="1"/>
  <c r="L193" i="16"/>
  <c r="N193" i="16" s="1"/>
  <c r="L460" i="16"/>
  <c r="O460" i="16" s="1"/>
  <c r="L329" i="16"/>
  <c r="N329" i="16" s="1"/>
  <c r="L482" i="16"/>
  <c r="L367" i="16"/>
  <c r="N367" i="16" s="1"/>
  <c r="L393" i="16"/>
  <c r="N393" i="16" s="1"/>
  <c r="L160" i="16"/>
  <c r="N160" i="16" s="1"/>
  <c r="L69" i="16"/>
  <c r="L453" i="16"/>
  <c r="O453" i="16" s="1"/>
  <c r="L216" i="16"/>
  <c r="N216" i="16" s="1"/>
  <c r="L113" i="16"/>
  <c r="L114" i="16"/>
  <c r="N114" i="16" s="1"/>
  <c r="L73" i="16"/>
  <c r="L288" i="16"/>
  <c r="N288" i="16" s="1"/>
  <c r="L348" i="16"/>
  <c r="N348" i="16" s="1"/>
  <c r="S75" i="27"/>
  <c r="S143" i="27"/>
  <c r="F34" i="27"/>
  <c r="S147" i="27"/>
  <c r="F73" i="27"/>
  <c r="E105" i="27"/>
  <c r="P130" i="27"/>
  <c r="K130" i="27" s="1"/>
  <c r="P71" i="27"/>
  <c r="J71" i="27" s="1"/>
  <c r="F49" i="27"/>
  <c r="D64" i="27"/>
  <c r="D42" i="27"/>
  <c r="V131" i="27"/>
  <c r="F58" i="27"/>
  <c r="S116" i="27"/>
  <c r="F112" i="27"/>
  <c r="L137" i="27"/>
  <c r="V119" i="27"/>
  <c r="V48" i="27"/>
  <c r="D69" i="27"/>
  <c r="P62" i="27"/>
  <c r="J62" i="27" s="1"/>
  <c r="L26" i="27"/>
  <c r="D112" i="27"/>
  <c r="F116" i="27"/>
  <c r="S26" i="27"/>
  <c r="L41" i="27"/>
  <c r="V56" i="27"/>
  <c r="S72" i="27"/>
  <c r="P137" i="27"/>
  <c r="K137" i="27" s="1"/>
  <c r="V13" i="27"/>
  <c r="F51" i="27"/>
  <c r="L77" i="27"/>
  <c r="V33" i="27"/>
  <c r="F146" i="27"/>
  <c r="S55" i="27"/>
  <c r="L54" i="27"/>
  <c r="V70" i="27"/>
  <c r="F123" i="27"/>
  <c r="F147" i="27"/>
  <c r="D138" i="27"/>
  <c r="S137" i="27"/>
  <c r="P6" i="27"/>
  <c r="J6" i="27" s="1"/>
  <c r="L96" i="27"/>
  <c r="S21" i="27"/>
  <c r="P9" i="27"/>
  <c r="J9" i="27" s="1"/>
  <c r="L5" i="27"/>
  <c r="V21" i="27"/>
  <c r="D75" i="27"/>
  <c r="P146" i="27"/>
  <c r="J146" i="27" s="1"/>
  <c r="P105" i="27"/>
  <c r="K105" i="27" s="1"/>
  <c r="V26" i="27"/>
  <c r="S96" i="27"/>
  <c r="S101" i="27"/>
  <c r="D63" i="27"/>
  <c r="F71" i="27"/>
  <c r="V145" i="27"/>
  <c r="F47" i="27"/>
  <c r="P53" i="27"/>
  <c r="K53" i="27" s="1"/>
  <c r="E47" i="27"/>
  <c r="L60" i="27"/>
  <c r="V49" i="27"/>
  <c r="V94" i="27"/>
  <c r="F52" i="27"/>
  <c r="F48" i="27"/>
  <c r="F68" i="27"/>
  <c r="L127" i="27"/>
  <c r="D71" i="27"/>
  <c r="E45" i="27"/>
  <c r="P44" i="27"/>
  <c r="K44" i="27" s="1"/>
  <c r="F130" i="27"/>
  <c r="S95" i="27"/>
  <c r="S33" i="27"/>
  <c r="L45" i="27"/>
  <c r="V105" i="27"/>
  <c r="D56" i="27"/>
  <c r="F114" i="27"/>
  <c r="V34" i="27"/>
  <c r="P94" i="27"/>
  <c r="K94" i="27" s="1"/>
  <c r="V6" i="27"/>
  <c r="D119" i="27"/>
  <c r="P90" i="27"/>
  <c r="J90" i="27" s="1"/>
  <c r="P33" i="27"/>
  <c r="J33" i="27" s="1"/>
  <c r="P13" i="27"/>
  <c r="K13" i="27" s="1"/>
  <c r="D94" i="27"/>
  <c r="D73" i="27"/>
  <c r="V36" i="27"/>
  <c r="E109" i="27"/>
  <c r="V109" i="27"/>
  <c r="P109" i="27"/>
  <c r="J109" i="27" s="1"/>
  <c r="F8" i="27"/>
  <c r="F99" i="27"/>
  <c r="G105" i="27"/>
  <c r="I105" i="27" s="1"/>
  <c r="G146" i="27"/>
  <c r="H146" i="27" s="1"/>
  <c r="G129" i="27"/>
  <c r="I129" i="27" s="1"/>
  <c r="I210" i="16"/>
  <c r="I497" i="16"/>
  <c r="I348" i="16"/>
  <c r="I160" i="16"/>
  <c r="I288" i="16"/>
  <c r="I484" i="16"/>
  <c r="I157" i="16"/>
  <c r="I306" i="16"/>
  <c r="I499" i="16"/>
  <c r="I178" i="16"/>
  <c r="I132" i="16"/>
  <c r="I372" i="16"/>
  <c r="I166" i="16"/>
  <c r="I67" i="16"/>
  <c r="I124" i="16"/>
  <c r="G326" i="16"/>
  <c r="H326" i="16" s="1"/>
  <c r="G274" i="16"/>
  <c r="H274" i="16" s="1"/>
  <c r="G483" i="16"/>
  <c r="H483" i="16" s="1"/>
  <c r="G113" i="16"/>
  <c r="H113" i="16" s="1"/>
  <c r="G101" i="16"/>
  <c r="H101" i="16" s="1"/>
  <c r="G396" i="16"/>
  <c r="H396" i="16" s="1"/>
  <c r="G469" i="16"/>
  <c r="H469" i="16" s="1"/>
  <c r="G114" i="16"/>
  <c r="H114" i="16" s="1"/>
  <c r="G361" i="16"/>
  <c r="H361" i="16" s="1"/>
  <c r="G511" i="16"/>
  <c r="H511" i="16" s="1"/>
  <c r="G491" i="16"/>
  <c r="H491" i="16" s="1"/>
  <c r="G431" i="16"/>
  <c r="H431" i="16" s="1"/>
  <c r="G112" i="16"/>
  <c r="H112" i="16" s="1"/>
  <c r="G404" i="16"/>
  <c r="H404" i="16" s="1"/>
  <c r="G291" i="16"/>
  <c r="H291" i="16" s="1"/>
  <c r="G176" i="16"/>
  <c r="H176" i="16" s="1"/>
  <c r="G436" i="16"/>
  <c r="H436" i="16" s="1"/>
  <c r="G338" i="16"/>
  <c r="H338" i="16" s="1"/>
  <c r="G200" i="16"/>
  <c r="H200" i="16" s="1"/>
  <c r="G401" i="16"/>
  <c r="H401" i="16" s="1"/>
  <c r="G293" i="16"/>
  <c r="H293" i="16" s="1"/>
  <c r="G13" i="16"/>
  <c r="H13" i="16" s="1"/>
  <c r="G57" i="16"/>
  <c r="H57" i="16" s="1"/>
  <c r="G313" i="16"/>
  <c r="H313" i="16" s="1"/>
  <c r="G22" i="16"/>
  <c r="H22" i="16" s="1"/>
  <c r="G260" i="16"/>
  <c r="H260" i="16" s="1"/>
  <c r="G64" i="16"/>
  <c r="H64" i="16" s="1"/>
  <c r="F53" i="16"/>
  <c r="P460" i="16"/>
  <c r="P516" i="16"/>
  <c r="K516" i="16" s="1" a="1"/>
  <c r="K516" i="16" s="1"/>
  <c r="P187" i="16"/>
  <c r="J187" i="16" s="1"/>
  <c r="P346" i="16"/>
  <c r="K346" i="16" s="1" a="1"/>
  <c r="K346" i="16" s="1"/>
  <c r="P341" i="16"/>
  <c r="P94" i="16"/>
  <c r="I508" i="4"/>
  <c r="D175" i="16" s="1"/>
  <c r="I504" i="4"/>
  <c r="D160" i="16" s="1"/>
  <c r="I500" i="4"/>
  <c r="D17" i="16" s="1"/>
  <c r="I496" i="4"/>
  <c r="D424" i="16" s="1"/>
  <c r="I492" i="4"/>
  <c r="D64" i="16" s="1"/>
  <c r="I488" i="4"/>
  <c r="D329" i="16" s="1"/>
  <c r="I484" i="4"/>
  <c r="D105" i="27" s="1"/>
  <c r="I480" i="4"/>
  <c r="D146" i="27" s="1"/>
  <c r="I476" i="4"/>
  <c r="D132" i="16" s="1"/>
  <c r="I472" i="4"/>
  <c r="D499" i="16" s="1"/>
  <c r="I468" i="4"/>
  <c r="D393" i="16" s="1"/>
  <c r="I464" i="4"/>
  <c r="D453" i="16" s="1"/>
  <c r="I460" i="4"/>
  <c r="D491" i="16" s="1"/>
  <c r="I456" i="4"/>
  <c r="D462" i="16" s="1"/>
  <c r="I452" i="4"/>
  <c r="D121" i="16" s="1"/>
  <c r="I448" i="4"/>
  <c r="D336" i="16" s="1"/>
  <c r="I444" i="4"/>
  <c r="D40" i="16" s="1"/>
  <c r="I440" i="4"/>
  <c r="D13" i="16" s="1"/>
  <c r="I436" i="4"/>
  <c r="D116" i="16" s="1"/>
  <c r="I432" i="4"/>
  <c r="D93" i="16" s="1"/>
  <c r="K371" i="4"/>
  <c r="F245" i="16" s="1"/>
  <c r="I371" i="4"/>
  <c r="D245" i="16" s="1"/>
  <c r="K355" i="4"/>
  <c r="F90" i="16" s="1"/>
  <c r="I355" i="4"/>
  <c r="D90" i="16" s="1"/>
  <c r="K342" i="4"/>
  <c r="F385" i="16" s="1"/>
  <c r="I342" i="4"/>
  <c r="D385" i="16" s="1"/>
  <c r="D148" i="16"/>
  <c r="K312" i="4"/>
  <c r="F335" i="16" s="1"/>
  <c r="I312" i="4"/>
  <c r="D335" i="16" s="1"/>
  <c r="K272" i="4"/>
  <c r="F419" i="16" s="1"/>
  <c r="I272" i="4"/>
  <c r="D419" i="16" s="1"/>
  <c r="K266" i="4"/>
  <c r="F212" i="16" s="1"/>
  <c r="I266" i="4"/>
  <c r="D212" i="16" s="1"/>
  <c r="P514" i="16"/>
  <c r="J514" i="16" s="1"/>
  <c r="P370" i="16"/>
  <c r="P176" i="16"/>
  <c r="K176" i="16" s="1" a="1"/>
  <c r="K176" i="16" s="1"/>
  <c r="P515" i="16"/>
  <c r="K515" i="16" s="1" a="1"/>
  <c r="K515" i="16" s="1"/>
  <c r="N515" i="16" s="1"/>
  <c r="P363" i="16"/>
  <c r="K363" i="16" s="1" a="1"/>
  <c r="K363" i="16" s="1"/>
  <c r="P320" i="16"/>
  <c r="J320" i="16" s="1"/>
  <c r="P58" i="16"/>
  <c r="P299" i="16"/>
  <c r="I356" i="16"/>
  <c r="G487" i="16"/>
  <c r="H487" i="16" s="1"/>
  <c r="G272" i="16"/>
  <c r="H272" i="16" s="1"/>
  <c r="G490" i="16"/>
  <c r="H490" i="16" s="1"/>
  <c r="G247" i="16"/>
  <c r="H247" i="16" s="1"/>
  <c r="G425" i="16"/>
  <c r="H425" i="16" s="1"/>
  <c r="G391" i="16"/>
  <c r="H391" i="16" s="1"/>
  <c r="G345" i="16"/>
  <c r="H345" i="16" s="1"/>
  <c r="G412" i="16"/>
  <c r="H412" i="16" s="1"/>
  <c r="G385" i="16"/>
  <c r="H385" i="16" s="1"/>
  <c r="G388" i="16"/>
  <c r="H388" i="16" s="1"/>
  <c r="G413" i="16"/>
  <c r="H413" i="16" s="1"/>
  <c r="G24" i="16"/>
  <c r="H24" i="16" s="1"/>
  <c r="G105" i="16"/>
  <c r="H105" i="16" s="1"/>
  <c r="G183" i="16"/>
  <c r="H183" i="16" s="1"/>
  <c r="G453" i="16"/>
  <c r="H453" i="16" s="1"/>
  <c r="G166" i="16"/>
  <c r="H166" i="16" s="1"/>
  <c r="G32" i="16"/>
  <c r="H32" i="16" s="1"/>
  <c r="G492" i="16"/>
  <c r="H492" i="16" s="1"/>
  <c r="G235" i="16"/>
  <c r="H235" i="16" s="1"/>
  <c r="G187" i="16"/>
  <c r="H187" i="16" s="1"/>
  <c r="G178" i="16"/>
  <c r="H178" i="16" s="1"/>
  <c r="G120" i="16"/>
  <c r="H120" i="16" s="1"/>
  <c r="G367" i="16"/>
  <c r="H367" i="16" s="1"/>
  <c r="G52" i="16"/>
  <c r="H52" i="16" s="1"/>
  <c r="G237" i="16"/>
  <c r="H237" i="16" s="1"/>
  <c r="G439" i="16"/>
  <c r="H439" i="16" s="1"/>
  <c r="G17" i="16"/>
  <c r="H17" i="16" s="1"/>
  <c r="G457" i="16"/>
  <c r="H457" i="16" s="1"/>
  <c r="G390" i="16"/>
  <c r="H390" i="16" s="1"/>
  <c r="G258" i="16"/>
  <c r="H258" i="16" s="1"/>
  <c r="G221" i="16"/>
  <c r="H221" i="16" s="1"/>
  <c r="G497" i="16"/>
  <c r="H497" i="16" s="1"/>
  <c r="G8" i="16"/>
  <c r="H8" i="16" s="1"/>
  <c r="G194" i="16"/>
  <c r="H194" i="16" s="1"/>
  <c r="G336" i="16"/>
  <c r="H336" i="16" s="1"/>
  <c r="I474" i="16"/>
  <c r="I443" i="16"/>
  <c r="I252" i="16"/>
  <c r="I205" i="16"/>
  <c r="I304" i="16"/>
  <c r="I487" i="16"/>
  <c r="I65" i="16"/>
  <c r="I253" i="16"/>
  <c r="I435" i="16"/>
  <c r="I13" i="16"/>
  <c r="I215" i="16"/>
  <c r="I218" i="16"/>
  <c r="I293" i="16"/>
  <c r="I213" i="16"/>
  <c r="I345" i="16"/>
  <c r="I47" i="16"/>
  <c r="I151" i="16"/>
  <c r="I388" i="16"/>
  <c r="I413" i="16"/>
  <c r="I402" i="16"/>
  <c r="I338" i="16"/>
  <c r="I159" i="16"/>
  <c r="I176" i="16"/>
  <c r="I34" i="16"/>
  <c r="I40" i="16"/>
  <c r="I265" i="16"/>
  <c r="I97" i="16"/>
  <c r="I354" i="16"/>
  <c r="I197" i="16"/>
  <c r="I456" i="16"/>
  <c r="I93" i="16"/>
  <c r="I307" i="16"/>
  <c r="I54" i="16"/>
  <c r="I346" i="16"/>
  <c r="I360" i="16"/>
  <c r="I271" i="16"/>
  <c r="I399" i="16"/>
  <c r="I329" i="16"/>
  <c r="I359" i="16"/>
  <c r="I220" i="16"/>
  <c r="I196" i="16"/>
  <c r="I52" i="16"/>
  <c r="I381" i="16"/>
  <c r="I361" i="16"/>
  <c r="I114" i="16"/>
  <c r="I344" i="16"/>
  <c r="I17" i="16"/>
  <c r="I58" i="16"/>
  <c r="I315" i="16"/>
  <c r="I390" i="16"/>
  <c r="I507" i="16"/>
  <c r="I393" i="16"/>
  <c r="I221" i="16"/>
  <c r="V75" i="16"/>
  <c r="V67" i="16"/>
  <c r="F55" i="16"/>
  <c r="F132" i="16"/>
  <c r="E178" i="16"/>
  <c r="E73" i="16"/>
  <c r="F97" i="16"/>
  <c r="E424" i="16"/>
  <c r="E17" i="16"/>
  <c r="E74" i="16"/>
  <c r="E407" i="16"/>
  <c r="E210" i="16"/>
  <c r="E502" i="16"/>
  <c r="E348" i="16"/>
  <c r="F344" i="16"/>
  <c r="F114" i="16"/>
  <c r="L499" i="16"/>
  <c r="O499" i="16" s="1"/>
  <c r="L236" i="16"/>
  <c r="N236" i="16" s="1"/>
  <c r="D32" i="27"/>
  <c r="F119" i="27"/>
  <c r="F56" i="27"/>
  <c r="V50" i="27"/>
  <c r="D33" i="27"/>
  <c r="F137" i="27"/>
  <c r="P18" i="27"/>
  <c r="J18" i="27" s="1"/>
  <c r="L73" i="27"/>
  <c r="D129" i="27"/>
  <c r="L143" i="27"/>
  <c r="D137" i="27"/>
  <c r="P46" i="27"/>
  <c r="J46" i="27" s="1"/>
  <c r="F44" i="27"/>
  <c r="L63" i="27"/>
  <c r="P72" i="27"/>
  <c r="K72" i="27" s="1"/>
  <c r="V136" i="27"/>
  <c r="F90" i="27"/>
  <c r="L116" i="27"/>
  <c r="V101" i="27"/>
  <c r="L148" i="27"/>
  <c r="F29" i="27"/>
  <c r="F145" i="27"/>
  <c r="P25" i="27"/>
  <c r="K25" i="27" s="1"/>
  <c r="V139" i="27"/>
  <c r="V143" i="27"/>
  <c r="E57" i="27"/>
  <c r="V112" i="27"/>
  <c r="P77" i="27"/>
  <c r="J77" i="27" s="1"/>
  <c r="E71" i="27"/>
  <c r="S8" i="27"/>
  <c r="L128" i="27"/>
  <c r="S127" i="27"/>
  <c r="L123" i="27"/>
  <c r="S148" i="27"/>
  <c r="F78" i="27"/>
  <c r="S78" i="27"/>
  <c r="S474" i="27"/>
  <c r="D70" i="27"/>
  <c r="L10" i="27"/>
  <c r="D58" i="27"/>
  <c r="F69" i="27"/>
  <c r="V51" i="27"/>
  <c r="F128" i="27"/>
  <c r="S18" i="27"/>
  <c r="D55" i="27"/>
  <c r="L9" i="27"/>
  <c r="V45" i="27"/>
  <c r="S4" i="27"/>
  <c r="L48" i="27"/>
  <c r="S69" i="27"/>
  <c r="S124" i="27"/>
  <c r="L105" i="27"/>
  <c r="O105" i="27" s="1"/>
  <c r="V68" i="27"/>
  <c r="S29" i="27"/>
  <c r="D77" i="27"/>
  <c r="P51" i="27"/>
  <c r="K51" i="27" s="1"/>
  <c r="D145" i="27"/>
  <c r="V95" i="27"/>
  <c r="S136" i="27"/>
  <c r="F70" i="27"/>
  <c r="F63" i="27"/>
  <c r="F65" i="27"/>
  <c r="L101" i="27"/>
  <c r="P119" i="27"/>
  <c r="K119" i="27" s="1"/>
  <c r="F120" i="27"/>
  <c r="F61" i="27"/>
  <c r="F129" i="27"/>
  <c r="L53" i="27"/>
  <c r="P101" i="27"/>
  <c r="K101" i="27" s="1"/>
  <c r="S138" i="27"/>
  <c r="L75" i="27"/>
  <c r="P136" i="27"/>
  <c r="J136" i="27" s="1"/>
  <c r="P102" i="27"/>
  <c r="J102" i="27" s="1"/>
  <c r="P120" i="27"/>
  <c r="K120" i="27" s="1"/>
  <c r="D143" i="27"/>
  <c r="P21" i="27"/>
  <c r="K21" i="27" s="1"/>
  <c r="L107" i="27"/>
  <c r="P65" i="27"/>
  <c r="J65" i="27" s="1"/>
  <c r="L62" i="27"/>
  <c r="P145" i="27"/>
  <c r="K145" i="27" s="1"/>
  <c r="L13" i="27"/>
  <c r="L71" i="27"/>
  <c r="V114" i="27"/>
  <c r="L109" i="27"/>
  <c r="F139" i="27"/>
  <c r="F101" i="27"/>
  <c r="G59" i="27"/>
  <c r="H59" i="27" s="1"/>
  <c r="I258" i="16"/>
  <c r="I299" i="16"/>
  <c r="I216" i="16"/>
  <c r="I424" i="16"/>
  <c r="I482" i="16"/>
  <c r="I367" i="16"/>
  <c r="I502" i="16"/>
  <c r="I491" i="16"/>
  <c r="I371" i="16"/>
  <c r="I458" i="16"/>
  <c r="I453" i="16"/>
  <c r="I421" i="16"/>
  <c r="G348" i="16"/>
  <c r="H348" i="16" s="1"/>
  <c r="G58" i="16"/>
  <c r="H58" i="16" s="1"/>
  <c r="G216" i="16"/>
  <c r="H216" i="16" s="1"/>
  <c r="G424" i="16"/>
  <c r="H424" i="16" s="1"/>
  <c r="G484" i="16"/>
  <c r="H484" i="16" s="1"/>
  <c r="G407" i="16"/>
  <c r="H407" i="16" s="1"/>
  <c r="G372" i="16"/>
  <c r="H372" i="16" s="1"/>
  <c r="G458" i="16"/>
  <c r="H458" i="16" s="1"/>
  <c r="S516" i="16"/>
  <c r="P497" i="16"/>
  <c r="K497" i="16" s="1" a="1"/>
  <c r="K497" i="16" s="1"/>
  <c r="P329" i="16"/>
  <c r="K329" i="16" s="1" a="1"/>
  <c r="K329" i="16" s="1"/>
  <c r="P196" i="16"/>
  <c r="I505" i="4"/>
  <c r="D348" i="16" s="1"/>
  <c r="I501" i="4"/>
  <c r="D469" i="16" s="1"/>
  <c r="I497" i="4"/>
  <c r="D216" i="16" s="1"/>
  <c r="I493" i="4"/>
  <c r="D460" i="16" s="1"/>
  <c r="I489" i="4"/>
  <c r="D157" i="16" s="1"/>
  <c r="I485" i="4"/>
  <c r="D58" i="16" s="1"/>
  <c r="I481" i="4"/>
  <c r="D421" i="16" s="1"/>
  <c r="I477" i="4"/>
  <c r="D502" i="16" s="1"/>
  <c r="I473" i="4"/>
  <c r="D306" i="16" s="1"/>
  <c r="I469" i="4"/>
  <c r="D193" i="16" s="1"/>
  <c r="I465" i="4"/>
  <c r="D320" i="16" s="1"/>
  <c r="I461" i="4"/>
  <c r="D196" i="16" s="1"/>
  <c r="I457" i="4"/>
  <c r="D178" i="16" s="1"/>
  <c r="I453" i="4"/>
  <c r="D482" i="16" s="1"/>
  <c r="I449" i="4"/>
  <c r="D141" i="27" s="1"/>
  <c r="I445" i="4"/>
  <c r="D54" i="16" s="1"/>
  <c r="I441" i="4"/>
  <c r="D326" i="16" s="1"/>
  <c r="I437" i="4"/>
  <c r="D451" i="16" s="1"/>
  <c r="I433" i="4"/>
  <c r="D363" i="16" s="1"/>
  <c r="K430" i="4"/>
  <c r="F354" i="16" s="1"/>
  <c r="I430" i="4"/>
  <c r="D354" i="16" s="1"/>
  <c r="K428" i="4"/>
  <c r="F448" i="16" s="1"/>
  <c r="I428" i="4"/>
  <c r="D448" i="16" s="1"/>
  <c r="K426" i="4"/>
  <c r="F394" i="16" s="1"/>
  <c r="I426" i="4"/>
  <c r="D394" i="16" s="1"/>
  <c r="K424" i="4"/>
  <c r="F355" i="16" s="1"/>
  <c r="I424" i="4"/>
  <c r="D355" i="16" s="1"/>
  <c r="K422" i="4"/>
  <c r="F104" i="16" s="1"/>
  <c r="I422" i="4"/>
  <c r="D104" i="16" s="1"/>
  <c r="K420" i="4"/>
  <c r="F508" i="16" s="1"/>
  <c r="I420" i="4"/>
  <c r="D508" i="16" s="1"/>
  <c r="K418" i="4"/>
  <c r="F194" i="16" s="1"/>
  <c r="I418" i="4"/>
  <c r="D194" i="16" s="1"/>
  <c r="K416" i="4"/>
  <c r="F365" i="16" s="1"/>
  <c r="I416" i="4"/>
  <c r="D365" i="16" s="1"/>
  <c r="K414" i="4"/>
  <c r="F120" i="16" s="1"/>
  <c r="I414" i="4"/>
  <c r="D120" i="16" s="1"/>
  <c r="K412" i="4"/>
  <c r="F45" i="16" s="1"/>
  <c r="I412" i="4"/>
  <c r="D45" i="16" s="1"/>
  <c r="K410" i="4"/>
  <c r="F294" i="16" s="1"/>
  <c r="I410" i="4"/>
  <c r="D294" i="16" s="1"/>
  <c r="K408" i="4"/>
  <c r="F436" i="16" s="1"/>
  <c r="I408" i="4"/>
  <c r="D436" i="16" s="1"/>
  <c r="K406" i="4"/>
  <c r="F208" i="16" s="1"/>
  <c r="I406" i="4"/>
  <c r="D208" i="16" s="1"/>
  <c r="K404" i="4"/>
  <c r="F519" i="16" s="1"/>
  <c r="I404" i="4"/>
  <c r="D519" i="16" s="1"/>
  <c r="K402" i="4"/>
  <c r="F8" i="16" s="1"/>
  <c r="I402" i="4"/>
  <c r="D8" i="16" s="1"/>
  <c r="K400" i="4"/>
  <c r="F313" i="16" s="1"/>
  <c r="I400" i="4"/>
  <c r="D313" i="16" s="1"/>
  <c r="K398" i="4"/>
  <c r="F431" i="16" s="1"/>
  <c r="I398" i="4"/>
  <c r="D431" i="16" s="1"/>
  <c r="K396" i="4"/>
  <c r="F515" i="16" s="1"/>
  <c r="I396" i="4"/>
  <c r="D515" i="16" s="1"/>
  <c r="K394" i="4"/>
  <c r="F395" i="16" s="1"/>
  <c r="I394" i="4"/>
  <c r="D395" i="16" s="1"/>
  <c r="K392" i="4"/>
  <c r="F457" i="16" s="1"/>
  <c r="I392" i="4"/>
  <c r="D457" i="16" s="1"/>
  <c r="K390" i="4"/>
  <c r="F388" i="16" s="1"/>
  <c r="I390" i="4"/>
  <c r="D388" i="16" s="1"/>
  <c r="K388" i="4"/>
  <c r="F346" i="16" s="1"/>
  <c r="I388" i="4"/>
  <c r="D346" i="16" s="1"/>
  <c r="K386" i="4"/>
  <c r="I386" i="4"/>
  <c r="D483" i="16" s="1"/>
  <c r="K384" i="4"/>
  <c r="F459" i="16" s="1"/>
  <c r="I384" i="4"/>
  <c r="D459" i="16" s="1"/>
  <c r="K382" i="4"/>
  <c r="F435" i="16" s="1"/>
  <c r="I382" i="4"/>
  <c r="D435" i="16" s="1"/>
  <c r="K380" i="4"/>
  <c r="F506" i="16" s="1"/>
  <c r="I380" i="4"/>
  <c r="D506" i="16" s="1"/>
  <c r="K378" i="4"/>
  <c r="F141" i="16" s="1"/>
  <c r="I378" i="4"/>
  <c r="D141" i="16" s="1"/>
  <c r="K376" i="4"/>
  <c r="F369" i="16" s="1"/>
  <c r="I376" i="4"/>
  <c r="D369" i="16" s="1"/>
  <c r="K374" i="4"/>
  <c r="F91" i="16" s="1"/>
  <c r="I374" i="4"/>
  <c r="D91" i="16" s="1"/>
  <c r="K366" i="4"/>
  <c r="F260" i="16" s="1"/>
  <c r="I366" i="4"/>
  <c r="D260" i="16" s="1"/>
  <c r="K358" i="4"/>
  <c r="F420" i="16" s="1"/>
  <c r="I358" i="4"/>
  <c r="D420" i="16" s="1"/>
  <c r="K315" i="4"/>
  <c r="F384" i="16" s="1"/>
  <c r="I315" i="4"/>
  <c r="D384" i="16" s="1"/>
  <c r="K280" i="4"/>
  <c r="F296" i="16" s="1"/>
  <c r="I280" i="4"/>
  <c r="D296" i="16" s="1"/>
  <c r="K357" i="4"/>
  <c r="F92" i="16" s="1"/>
  <c r="I357" i="4"/>
  <c r="D92" i="16" s="1"/>
  <c r="I354" i="4"/>
  <c r="D490" i="16" s="1"/>
  <c r="D22" i="16"/>
  <c r="K341" i="4"/>
  <c r="I341" i="4"/>
  <c r="D135" i="16" s="1"/>
  <c r="D125" i="16"/>
  <c r="D368" i="16"/>
  <c r="K320" i="4"/>
  <c r="F254" i="16" s="1"/>
  <c r="I320" i="4"/>
  <c r="D254" i="16" s="1"/>
  <c r="K314" i="4"/>
  <c r="F443" i="16" s="1"/>
  <c r="I314" i="4"/>
  <c r="D443" i="16" s="1"/>
  <c r="I311" i="4"/>
  <c r="D6" i="16" s="1"/>
  <c r="D151" i="16"/>
  <c r="K288" i="4"/>
  <c r="F183" i="16" s="1"/>
  <c r="I288" i="4"/>
  <c r="D183" i="16" s="1"/>
  <c r="K282" i="4"/>
  <c r="F235" i="16" s="1"/>
  <c r="I282" i="4"/>
  <c r="D235" i="16" s="1"/>
  <c r="I279" i="4"/>
  <c r="D277" i="16" s="1"/>
  <c r="D4" i="16"/>
  <c r="D310" i="16"/>
  <c r="K256" i="4"/>
  <c r="F234" i="16" s="1"/>
  <c r="I256" i="4"/>
  <c r="D234" i="16" s="1"/>
  <c r="K248" i="4"/>
  <c r="F475" i="16" s="1"/>
  <c r="I248" i="4"/>
  <c r="D475" i="16" s="1"/>
  <c r="K240" i="4"/>
  <c r="F9" i="16" s="1"/>
  <c r="I240" i="4"/>
  <c r="D9" i="16" s="1"/>
  <c r="K232" i="4"/>
  <c r="F380" i="16" s="1"/>
  <c r="I232" i="4"/>
  <c r="D380" i="16" s="1"/>
  <c r="K224" i="4"/>
  <c r="F377" i="16" s="1"/>
  <c r="I224" i="4"/>
  <c r="D377" i="16" s="1"/>
  <c r="K208" i="4"/>
  <c r="F100" i="16" s="1"/>
  <c r="I208" i="4"/>
  <c r="D100" i="16" s="1"/>
  <c r="D474" i="16"/>
  <c r="K361" i="4"/>
  <c r="F507" i="16" s="1"/>
  <c r="I361" i="4"/>
  <c r="D507" i="16" s="1"/>
  <c r="K345" i="4"/>
  <c r="F65" i="16" s="1"/>
  <c r="I345" i="4"/>
  <c r="D65" i="16" s="1"/>
  <c r="D247" i="16"/>
  <c r="K323" i="4"/>
  <c r="F509" i="16" s="1"/>
  <c r="I323" i="4"/>
  <c r="D509" i="16" s="1"/>
  <c r="D88" i="27"/>
  <c r="K318" i="4"/>
  <c r="F345" i="16" s="1"/>
  <c r="I318" i="4"/>
  <c r="D345" i="16" s="1"/>
  <c r="K306" i="4"/>
  <c r="F520" i="16" s="1"/>
  <c r="I306" i="4"/>
  <c r="D520" i="16" s="1"/>
  <c r="K291" i="4"/>
  <c r="F406" i="16" s="1"/>
  <c r="I291" i="4"/>
  <c r="D406" i="16" s="1"/>
  <c r="K286" i="4"/>
  <c r="F441" i="16" s="1"/>
  <c r="I286" i="4"/>
  <c r="D441" i="16" s="1"/>
  <c r="D152" i="16"/>
  <c r="K274" i="4"/>
  <c r="F205" i="16" s="1"/>
  <c r="I274" i="4"/>
  <c r="D205" i="16" s="1"/>
  <c r="K259" i="4"/>
  <c r="F433" i="16" s="1"/>
  <c r="I259" i="4"/>
  <c r="D433" i="16" s="1"/>
  <c r="D163" i="16"/>
  <c r="K251" i="4"/>
  <c r="F223" i="16" s="1"/>
  <c r="I251" i="4"/>
  <c r="D223" i="16" s="1"/>
  <c r="K243" i="4"/>
  <c r="F282" i="16" s="1"/>
  <c r="I243" i="4"/>
  <c r="D282" i="16" s="1"/>
  <c r="D133" i="27"/>
  <c r="K235" i="4"/>
  <c r="F211" i="16" s="1"/>
  <c r="I235" i="4"/>
  <c r="D211" i="16" s="1"/>
  <c r="K227" i="4"/>
  <c r="F162" i="16" s="1"/>
  <c r="I227" i="4"/>
  <c r="D162" i="16" s="1"/>
  <c r="D179" i="16"/>
  <c r="K211" i="4"/>
  <c r="F322" i="16" s="1"/>
  <c r="I211" i="4"/>
  <c r="D322" i="16" s="1"/>
  <c r="D168" i="16"/>
  <c r="K192" i="4"/>
  <c r="F366" i="16" s="1"/>
  <c r="I192" i="4"/>
  <c r="D366" i="16" s="1"/>
  <c r="K186" i="4"/>
  <c r="F95" i="16" s="1"/>
  <c r="I186" i="4"/>
  <c r="D95" i="16" s="1"/>
  <c r="P464" i="16"/>
  <c r="P212" i="16"/>
  <c r="P57" i="16"/>
  <c r="P125" i="16"/>
  <c r="P430" i="16"/>
  <c r="K430" i="16" s="1" a="1"/>
  <c r="K430" i="16" s="1"/>
  <c r="P401" i="16"/>
  <c r="K401" i="16" s="1" a="1"/>
  <c r="K401" i="16" s="1"/>
  <c r="P291" i="16"/>
  <c r="K291" i="16" s="1" a="1"/>
  <c r="K291" i="16" s="1"/>
  <c r="P283" i="16"/>
  <c r="P121" i="16"/>
  <c r="K121" i="16" s="1" a="1"/>
  <c r="K121" i="16" s="1"/>
  <c r="P367" i="16"/>
  <c r="K367" i="16" s="1" a="1"/>
  <c r="K367" i="16" s="1"/>
  <c r="P270" i="16"/>
  <c r="K270" i="16" s="1" a="1"/>
  <c r="K270" i="16" s="1"/>
  <c r="P236" i="16"/>
  <c r="F483" i="16"/>
  <c r="F462" i="16"/>
  <c r="E194" i="16"/>
  <c r="E516" i="16"/>
  <c r="G356" i="16"/>
  <c r="H356" i="16" s="1"/>
  <c r="G124" i="16"/>
  <c r="H124" i="16" s="1"/>
  <c r="G78" i="16"/>
  <c r="H78" i="16" s="1"/>
  <c r="G11" i="16"/>
  <c r="H11" i="16" s="1"/>
  <c r="G303" i="16"/>
  <c r="H303" i="16" s="1"/>
  <c r="G430" i="16"/>
  <c r="H430" i="16" s="1"/>
  <c r="G443" i="16"/>
  <c r="H443" i="16" s="1"/>
  <c r="G227" i="16"/>
  <c r="H227" i="16" s="1"/>
  <c r="G363" i="16"/>
  <c r="H363" i="16" s="1"/>
  <c r="G304" i="16"/>
  <c r="H304" i="16" s="1"/>
  <c r="G228" i="16"/>
  <c r="H228" i="16" s="1"/>
  <c r="G368" i="16"/>
  <c r="H368" i="16" s="1"/>
  <c r="G464" i="16"/>
  <c r="H464" i="16" s="1"/>
  <c r="G283" i="16"/>
  <c r="H283" i="16" s="1"/>
  <c r="G94" i="16"/>
  <c r="H94" i="16" s="1"/>
  <c r="G162" i="16"/>
  <c r="H162" i="16" s="1"/>
  <c r="G154" i="16"/>
  <c r="H154" i="16" s="1"/>
  <c r="G290" i="16"/>
  <c r="H290" i="16" s="1"/>
  <c r="G377" i="16"/>
  <c r="H377" i="16" s="1"/>
  <c r="G232" i="16"/>
  <c r="H232" i="16" s="1"/>
  <c r="G379" i="16"/>
  <c r="H379" i="16" s="1"/>
  <c r="G337" i="16"/>
  <c r="H337" i="16" s="1"/>
  <c r="G395" i="16"/>
  <c r="H395" i="16" s="1"/>
  <c r="G141" i="16"/>
  <c r="H141" i="16" s="1"/>
  <c r="G217" i="16"/>
  <c r="H217" i="16" s="1"/>
  <c r="G275" i="16"/>
  <c r="H275" i="16" s="1"/>
  <c r="G374" i="16"/>
  <c r="H374" i="16" s="1"/>
  <c r="G148" i="16"/>
  <c r="H148" i="16" s="1"/>
  <c r="G181" i="16"/>
  <c r="H181" i="16" s="1"/>
  <c r="G352" i="16"/>
  <c r="H352" i="16" s="1"/>
  <c r="G405" i="16"/>
  <c r="H405" i="16" s="1"/>
  <c r="G509" i="16"/>
  <c r="H509" i="16" s="1"/>
  <c r="G55" i="16"/>
  <c r="H55" i="16" s="1"/>
  <c r="G56" i="16"/>
  <c r="H56" i="16" s="1"/>
  <c r="G143" i="16"/>
  <c r="H143" i="16" s="1"/>
  <c r="G498" i="16"/>
  <c r="H498" i="16" s="1"/>
  <c r="G508" i="16"/>
  <c r="H508" i="16" s="1"/>
  <c r="G397" i="16"/>
  <c r="H397" i="16" s="1"/>
  <c r="G335" i="16"/>
  <c r="H335" i="16" s="1"/>
  <c r="G193" i="16"/>
  <c r="H193" i="16" s="1"/>
  <c r="G7" i="16"/>
  <c r="H7" i="16" s="1"/>
  <c r="G500" i="16"/>
  <c r="H500" i="16" s="1"/>
  <c r="G157" i="16"/>
  <c r="H157" i="16" s="1"/>
  <c r="G482" i="16"/>
  <c r="H482" i="16" s="1"/>
  <c r="G117" i="16"/>
  <c r="H117" i="16" s="1"/>
  <c r="G185" i="16"/>
  <c r="H185" i="16" s="1"/>
  <c r="G299" i="16"/>
  <c r="H299" i="16" s="1"/>
  <c r="G236" i="16"/>
  <c r="H236" i="16" s="1"/>
  <c r="G121" i="16"/>
  <c r="H121" i="16" s="1"/>
  <c r="G286" i="16"/>
  <c r="H286" i="16" s="1"/>
  <c r="G186" i="16"/>
  <c r="H186" i="16" s="1"/>
  <c r="G89" i="16"/>
  <c r="H89" i="16" s="1"/>
  <c r="G109" i="16"/>
  <c r="H109" i="16" s="1"/>
  <c r="G466" i="16"/>
  <c r="H466" i="16" s="1"/>
  <c r="G222" i="16"/>
  <c r="H222" i="16" s="1"/>
  <c r="G394" i="16"/>
  <c r="H394" i="16" s="1"/>
  <c r="G449" i="16"/>
  <c r="H449" i="16" s="1"/>
  <c r="G198" i="16"/>
  <c r="H198" i="16" s="1"/>
  <c r="G448" i="16"/>
  <c r="H448" i="16" s="1"/>
  <c r="G462" i="16"/>
  <c r="H462" i="16" s="1"/>
  <c r="I270" i="16"/>
  <c r="I64" i="16"/>
  <c r="I175" i="16"/>
  <c r="I4" i="16"/>
  <c r="I460" i="16"/>
  <c r="I353" i="16"/>
  <c r="I179" i="16"/>
  <c r="I303" i="16"/>
  <c r="I131" i="16"/>
  <c r="I147" i="16"/>
  <c r="I363" i="16"/>
  <c r="I325" i="16"/>
  <c r="I163" i="16"/>
  <c r="I298" i="16"/>
  <c r="I256" i="16"/>
  <c r="I228" i="16"/>
  <c r="I423" i="16"/>
  <c r="I406" i="16"/>
  <c r="I272" i="16"/>
  <c r="I378" i="16"/>
  <c r="I368" i="16"/>
  <c r="I285" i="16"/>
  <c r="I289" i="16"/>
  <c r="I512" i="16"/>
  <c r="I247" i="16"/>
  <c r="I211" i="16"/>
  <c r="I223" i="16"/>
  <c r="I425" i="16"/>
  <c r="I420" i="16"/>
  <c r="I5" i="16"/>
  <c r="I387" i="16"/>
  <c r="I370" i="16"/>
  <c r="I208" i="16"/>
  <c r="I461" i="16"/>
  <c r="I92" i="16"/>
  <c r="I459" i="16"/>
  <c r="I9" i="16"/>
  <c r="I337" i="16"/>
  <c r="I6" i="16"/>
  <c r="I24" i="16"/>
  <c r="I432" i="16"/>
  <c r="I105" i="16"/>
  <c r="I275" i="16"/>
  <c r="I207" i="16"/>
  <c r="I436" i="16"/>
  <c r="I225" i="16"/>
  <c r="I181" i="16"/>
  <c r="K195" i="4"/>
  <c r="I195" i="4"/>
  <c r="D82" i="27" s="1"/>
  <c r="E76" i="16"/>
  <c r="E148" i="27"/>
  <c r="E127" i="27"/>
  <c r="E120" i="27"/>
  <c r="E115" i="27"/>
  <c r="E106" i="27"/>
  <c r="E145" i="27"/>
  <c r="E36" i="27"/>
  <c r="E80" i="27"/>
  <c r="E79" i="27"/>
  <c r="E143" i="27"/>
  <c r="E66" i="16"/>
  <c r="E140" i="27"/>
  <c r="E138" i="27"/>
  <c r="E78" i="27"/>
  <c r="E77" i="27"/>
  <c r="E135" i="27"/>
  <c r="E74" i="27"/>
  <c r="E73" i="27"/>
  <c r="E70" i="27"/>
  <c r="E67" i="27"/>
  <c r="E66" i="27"/>
  <c r="E65" i="27"/>
  <c r="E64" i="27"/>
  <c r="E63" i="27"/>
  <c r="E62" i="27"/>
  <c r="E137" i="27"/>
  <c r="E124" i="27"/>
  <c r="E58" i="27"/>
  <c r="E29" i="27"/>
  <c r="E55" i="27"/>
  <c r="E54" i="27"/>
  <c r="E53" i="27"/>
  <c r="E119" i="27"/>
  <c r="E51" i="27"/>
  <c r="E18" i="27"/>
  <c r="E32" i="27"/>
  <c r="E48" i="27"/>
  <c r="E123" i="27"/>
  <c r="E112" i="27"/>
  <c r="E102" i="27"/>
  <c r="E41" i="27"/>
  <c r="O35" i="16"/>
  <c r="J35" i="16"/>
  <c r="K369" i="4"/>
  <c r="F225" i="16" s="1"/>
  <c r="I369" i="4"/>
  <c r="D225" i="16" s="1"/>
  <c r="I363" i="4"/>
  <c r="D239" i="16" s="1"/>
  <c r="K353" i="4"/>
  <c r="F430" i="16" s="1"/>
  <c r="I353" i="4"/>
  <c r="D430" i="16" s="1"/>
  <c r="I350" i="4"/>
  <c r="D425" i="16" s="1"/>
  <c r="I347" i="4"/>
  <c r="D52" i="16" s="1"/>
  <c r="K337" i="4"/>
  <c r="F341" i="16" s="1"/>
  <c r="I337" i="4"/>
  <c r="D341" i="16" s="1"/>
  <c r="I334" i="4"/>
  <c r="D169" i="16" s="1"/>
  <c r="D492" i="16"/>
  <c r="D374" i="16"/>
  <c r="K322" i="4"/>
  <c r="F34" i="16" s="1"/>
  <c r="I322" i="4"/>
  <c r="D34" i="16" s="1"/>
  <c r="K307" i="4"/>
  <c r="F423" i="16" s="1"/>
  <c r="I307" i="4"/>
  <c r="D423" i="16" s="1"/>
  <c r="K302" i="4"/>
  <c r="F261" i="16" s="1"/>
  <c r="I302" i="4"/>
  <c r="D261" i="16" s="1"/>
  <c r="D207" i="16"/>
  <c r="D109" i="16"/>
  <c r="D391" i="16"/>
  <c r="K290" i="4"/>
  <c r="F304" i="16" s="1"/>
  <c r="I290" i="4"/>
  <c r="D304" i="16" s="1"/>
  <c r="K275" i="4"/>
  <c r="F325" i="16" s="1"/>
  <c r="I275" i="4"/>
  <c r="D325" i="16" s="1"/>
  <c r="K270" i="4"/>
  <c r="F252" i="16" s="1"/>
  <c r="I270" i="4"/>
  <c r="D252" i="16" s="1"/>
  <c r="D275" i="16"/>
  <c r="K258" i="4"/>
  <c r="F161" i="16" s="1"/>
  <c r="I258" i="4"/>
  <c r="D161" i="16" s="1"/>
  <c r="K250" i="4"/>
  <c r="F349" i="16" s="1"/>
  <c r="I250" i="4"/>
  <c r="D349" i="16" s="1"/>
  <c r="K242" i="4"/>
  <c r="F96" i="16" s="1"/>
  <c r="I242" i="4"/>
  <c r="D96" i="16" s="1"/>
  <c r="K234" i="4"/>
  <c r="F62" i="16" s="1"/>
  <c r="I234" i="4"/>
  <c r="D62" i="16" s="1"/>
  <c r="K226" i="4"/>
  <c r="F11" i="16" s="1"/>
  <c r="I226" i="4"/>
  <c r="D11" i="16" s="1"/>
  <c r="K218" i="4"/>
  <c r="F12" i="16" s="1"/>
  <c r="I218" i="4"/>
  <c r="D12" i="16" s="1"/>
  <c r="K202" i="4"/>
  <c r="F255" i="16" s="1"/>
  <c r="I202" i="4"/>
  <c r="D255" i="16" s="1"/>
  <c r="K254" i="4"/>
  <c r="F227" i="16" s="1"/>
  <c r="I254" i="4"/>
  <c r="D227" i="16" s="1"/>
  <c r="D83" i="27"/>
  <c r="K238" i="4"/>
  <c r="I238" i="4"/>
  <c r="D131" i="16" s="1"/>
  <c r="D510" i="16"/>
  <c r="K222" i="4"/>
  <c r="F182" i="16" s="1"/>
  <c r="I222" i="4"/>
  <c r="D182" i="16" s="1"/>
  <c r="I219" i="4"/>
  <c r="D450" i="16" s="1"/>
  <c r="I216" i="4"/>
  <c r="D449" i="16" s="1"/>
  <c r="K206" i="4"/>
  <c r="F382" i="16" s="1"/>
  <c r="I206" i="4"/>
  <c r="D382" i="16" s="1"/>
  <c r="I203" i="4"/>
  <c r="D257" i="16" s="1"/>
  <c r="K190" i="4"/>
  <c r="F81" i="16" s="1"/>
  <c r="I190" i="4"/>
  <c r="D81" i="16" s="1"/>
  <c r="D126" i="16"/>
  <c r="D518" i="16"/>
  <c r="D259" i="16"/>
  <c r="K174" i="4"/>
  <c r="F42" i="16" s="1"/>
  <c r="I174" i="4"/>
  <c r="D42" i="16" s="1"/>
  <c r="D473" i="16"/>
  <c r="I166" i="4"/>
  <c r="D86" i="16" s="1"/>
  <c r="K166" i="4"/>
  <c r="F86" i="16" s="1"/>
  <c r="I103" i="4"/>
  <c r="D287" i="16" s="1"/>
  <c r="K103" i="4"/>
  <c r="F287" i="16" s="1"/>
  <c r="K39" i="4"/>
  <c r="F428" i="16" s="1"/>
  <c r="I39" i="4"/>
  <c r="D428" i="16" s="1"/>
  <c r="D432" i="16"/>
  <c r="K210" i="4"/>
  <c r="I210" i="4"/>
  <c r="D39" i="27" s="1"/>
  <c r="D358" i="16"/>
  <c r="D379" i="16"/>
  <c r="K194" i="4"/>
  <c r="F517" i="16" s="1"/>
  <c r="I194" i="4"/>
  <c r="D517" i="16" s="1"/>
  <c r="D78" i="16"/>
  <c r="K178" i="4"/>
  <c r="F454" i="16" s="1"/>
  <c r="I178" i="4"/>
  <c r="D454" i="16" s="1"/>
  <c r="D328" i="16"/>
  <c r="I169" i="4"/>
  <c r="D48" i="16" s="1"/>
  <c r="K169" i="4"/>
  <c r="F48" i="16" s="1"/>
  <c r="K163" i="4"/>
  <c r="F446" i="16" s="1"/>
  <c r="K158" i="4"/>
  <c r="F188" i="16" s="1"/>
  <c r="K150" i="4"/>
  <c r="F318" i="16" s="1"/>
  <c r="K147" i="4"/>
  <c r="F297" i="16" s="1"/>
  <c r="K139" i="4"/>
  <c r="F43" i="16" s="1"/>
  <c r="K133" i="4"/>
  <c r="F139" i="16" s="1"/>
  <c r="K130" i="4"/>
  <c r="F123" i="16" s="1"/>
  <c r="K127" i="4"/>
  <c r="F442" i="16" s="1"/>
  <c r="I111" i="4"/>
  <c r="D447" i="16" s="1"/>
  <c r="K111" i="4"/>
  <c r="F447" i="16" s="1"/>
  <c r="E326" i="16"/>
  <c r="E198" i="16"/>
  <c r="K326" i="4"/>
  <c r="F7" i="16" s="1"/>
  <c r="I326" i="4"/>
  <c r="D7" i="16" s="1"/>
  <c r="K310" i="4"/>
  <c r="F237" i="16" s="1"/>
  <c r="I310" i="4"/>
  <c r="D237" i="16" s="1"/>
  <c r="D143" i="16"/>
  <c r="K294" i="4"/>
  <c r="F272" i="16" s="1"/>
  <c r="I294" i="4"/>
  <c r="D272" i="16" s="1"/>
  <c r="D94" i="16"/>
  <c r="K278" i="4"/>
  <c r="F301" i="16" s="1"/>
  <c r="I278" i="4"/>
  <c r="D301" i="16" s="1"/>
  <c r="D416" i="16"/>
  <c r="K262" i="4"/>
  <c r="I262" i="4"/>
  <c r="D104" i="27" s="1"/>
  <c r="K246" i="4"/>
  <c r="F202" i="16" s="1"/>
  <c r="I246" i="4"/>
  <c r="D202" i="16" s="1"/>
  <c r="K230" i="4"/>
  <c r="I230" i="4"/>
  <c r="D38" i="27" s="1"/>
  <c r="D321" i="16"/>
  <c r="K214" i="4"/>
  <c r="F285" i="16" s="1"/>
  <c r="I214" i="4"/>
  <c r="D285" i="16" s="1"/>
  <c r="K198" i="4"/>
  <c r="F298" i="16" s="1"/>
  <c r="I198" i="4"/>
  <c r="D298" i="16" s="1"/>
  <c r="K182" i="4"/>
  <c r="F192" i="16" s="1"/>
  <c r="I182" i="4"/>
  <c r="D192" i="16" s="1"/>
  <c r="I179" i="4"/>
  <c r="D229" i="16" s="1"/>
  <c r="I176" i="4"/>
  <c r="D324" i="16" s="1"/>
  <c r="K170" i="4"/>
  <c r="I170" i="4"/>
  <c r="D100" i="27" s="1"/>
  <c r="D297" i="16"/>
  <c r="D139" i="16"/>
  <c r="D123" i="16"/>
  <c r="I95" i="4"/>
  <c r="D312" i="16" s="1"/>
  <c r="K95" i="4"/>
  <c r="F312" i="16" s="1"/>
  <c r="K42" i="4"/>
  <c r="F172" i="16" s="1"/>
  <c r="I42" i="4"/>
  <c r="D172" i="16" s="1"/>
  <c r="D489" i="16"/>
  <c r="I119" i="4"/>
  <c r="K119" i="4"/>
  <c r="K52" i="4"/>
  <c r="F347" i="16" s="1"/>
  <c r="I52" i="4"/>
  <c r="D347" i="16" s="1"/>
  <c r="D373" i="16"/>
  <c r="D309" i="16"/>
  <c r="P184" i="16"/>
  <c r="E67" i="16"/>
  <c r="E69" i="16"/>
  <c r="E71" i="16"/>
  <c r="J496" i="16"/>
  <c r="M496" i="16" s="1"/>
  <c r="I165" i="4"/>
  <c r="D503" i="16" s="1"/>
  <c r="K165" i="4"/>
  <c r="F503" i="16" s="1"/>
  <c r="P366" i="16"/>
  <c r="K366" i="16" s="1" a="1"/>
  <c r="K366" i="16" s="1"/>
  <c r="P510" i="16"/>
  <c r="P227" i="16"/>
  <c r="K227" i="16" s="1" a="1"/>
  <c r="K227" i="16" s="1"/>
  <c r="P235" i="16"/>
  <c r="K235" i="16" s="1" a="1"/>
  <c r="K235" i="16" s="1"/>
  <c r="P387" i="16"/>
  <c r="P249" i="16"/>
  <c r="J249" i="16" s="1"/>
  <c r="P65" i="16"/>
  <c r="K65" i="16" s="1" a="1"/>
  <c r="K65" i="16" s="1"/>
  <c r="P331" i="16"/>
  <c r="P506" i="16"/>
  <c r="K506" i="16" s="1" a="1"/>
  <c r="K506" i="16" s="1"/>
  <c r="P413" i="16"/>
  <c r="P508" i="16"/>
  <c r="K508" i="16" s="1" a="1"/>
  <c r="K508" i="16" s="1"/>
  <c r="P451" i="16"/>
  <c r="P491" i="16"/>
  <c r="K491" i="16" s="1" a="1"/>
  <c r="K491" i="16" s="1"/>
  <c r="P499" i="16"/>
  <c r="K499" i="16" s="1" a="1"/>
  <c r="K499" i="16" s="1"/>
  <c r="P421" i="16"/>
  <c r="P64" i="16"/>
  <c r="K64" i="16" s="1" a="1"/>
  <c r="K64" i="16" s="1"/>
  <c r="P469" i="16"/>
  <c r="K469" i="16" s="1" a="1"/>
  <c r="K469" i="16" s="1"/>
  <c r="P175" i="16"/>
  <c r="E483" i="16"/>
  <c r="E274" i="16"/>
  <c r="E462" i="16"/>
  <c r="G516" i="16"/>
  <c r="H516" i="16" s="1"/>
  <c r="E356" i="16"/>
  <c r="S356" i="16"/>
  <c r="G421" i="16"/>
  <c r="H421" i="16" s="1"/>
  <c r="G48" i="16"/>
  <c r="H48" i="16" s="1"/>
  <c r="G324" i="16"/>
  <c r="H324" i="16" s="1"/>
  <c r="G199" i="16"/>
  <c r="H199" i="16" s="1"/>
  <c r="G460" i="16"/>
  <c r="H460" i="16" s="1"/>
  <c r="G81" i="16"/>
  <c r="H81" i="16" s="1"/>
  <c r="G179" i="16"/>
  <c r="H179" i="16" s="1"/>
  <c r="G62" i="16"/>
  <c r="H62" i="16" s="1"/>
  <c r="G229" i="16"/>
  <c r="H229" i="16" s="1"/>
  <c r="G251" i="16"/>
  <c r="H251" i="16" s="1"/>
  <c r="G147" i="16"/>
  <c r="H147" i="16" s="1"/>
  <c r="G104" i="16"/>
  <c r="H104" i="16" s="1"/>
  <c r="G301" i="16"/>
  <c r="H301" i="16" s="1"/>
  <c r="G173" i="16"/>
  <c r="H173" i="16" s="1"/>
  <c r="G163" i="16"/>
  <c r="H163" i="16" s="1"/>
  <c r="G321" i="16"/>
  <c r="H321" i="16" s="1"/>
  <c r="G174" i="16"/>
  <c r="H174" i="16" s="1"/>
  <c r="G406" i="16"/>
  <c r="H406" i="16" s="1"/>
  <c r="G214" i="16"/>
  <c r="H214" i="16" s="1"/>
  <c r="G285" i="16"/>
  <c r="H285" i="16" s="1"/>
  <c r="G87" i="16"/>
  <c r="H87" i="16" s="1"/>
  <c r="G122" i="16"/>
  <c r="H122" i="16" s="1"/>
  <c r="G211" i="16"/>
  <c r="H211" i="16" s="1"/>
  <c r="G95" i="16"/>
  <c r="H95" i="16" s="1"/>
  <c r="G514" i="16"/>
  <c r="H514" i="16" s="1"/>
  <c r="G420" i="16"/>
  <c r="H420" i="16" s="1"/>
  <c r="G5" i="16"/>
  <c r="H5" i="16" s="1"/>
  <c r="G387" i="16"/>
  <c r="H387" i="16" s="1"/>
  <c r="G370" i="16"/>
  <c r="H370" i="16" s="1"/>
  <c r="G208" i="16"/>
  <c r="H208" i="16" s="1"/>
  <c r="G461" i="16"/>
  <c r="H461" i="16" s="1"/>
  <c r="G92" i="16"/>
  <c r="H92" i="16" s="1"/>
  <c r="G459" i="16"/>
  <c r="H459" i="16" s="1"/>
  <c r="G9" i="16"/>
  <c r="H9" i="16" s="1"/>
  <c r="G165" i="16"/>
  <c r="H165" i="16" s="1"/>
  <c r="G177" i="16"/>
  <c r="H177" i="16" s="1"/>
  <c r="G125" i="16"/>
  <c r="H125" i="16" s="1"/>
  <c r="G416" i="16"/>
  <c r="H416" i="16" s="1"/>
  <c r="G519" i="16"/>
  <c r="H519" i="16" s="1"/>
  <c r="G159" i="16"/>
  <c r="H159" i="16" s="1"/>
  <c r="G320" i="16"/>
  <c r="H320" i="16" s="1"/>
  <c r="G276" i="16"/>
  <c r="H276" i="16" s="1"/>
  <c r="G90" i="16"/>
  <c r="H90" i="16" s="1"/>
  <c r="G34" i="16"/>
  <c r="H34" i="16" s="1"/>
  <c r="G40" i="16"/>
  <c r="H40" i="16" s="1"/>
  <c r="G265" i="16"/>
  <c r="H265" i="16" s="1"/>
  <c r="G97" i="16"/>
  <c r="H97" i="16" s="1"/>
  <c r="G354" i="16"/>
  <c r="H354" i="16" s="1"/>
  <c r="G197" i="16"/>
  <c r="H197" i="16" s="1"/>
  <c r="G456" i="16"/>
  <c r="H456" i="16" s="1"/>
  <c r="G93" i="16"/>
  <c r="H93" i="16" s="1"/>
  <c r="G307" i="16"/>
  <c r="H307" i="16" s="1"/>
  <c r="G54" i="16"/>
  <c r="H54" i="16" s="1"/>
  <c r="G346" i="16"/>
  <c r="H346" i="16" s="1"/>
  <c r="G360" i="16"/>
  <c r="H360" i="16" s="1"/>
  <c r="G271" i="16"/>
  <c r="H271" i="16" s="1"/>
  <c r="G399" i="16"/>
  <c r="H399" i="16" s="1"/>
  <c r="G329" i="16"/>
  <c r="H329" i="16" s="1"/>
  <c r="G359" i="16"/>
  <c r="H359" i="16" s="1"/>
  <c r="G220" i="16"/>
  <c r="H220" i="16" s="1"/>
  <c r="E72" i="16"/>
  <c r="E77" i="16"/>
  <c r="O317" i="16"/>
  <c r="J317" i="16"/>
  <c r="I168" i="4"/>
  <c r="D203" i="16" s="1"/>
  <c r="K168" i="4"/>
  <c r="F203" i="16" s="1"/>
  <c r="D111" i="16"/>
  <c r="K161" i="4"/>
  <c r="I160" i="4"/>
  <c r="D295" i="16" s="1"/>
  <c r="K160" i="4"/>
  <c r="F295" i="16" s="1"/>
  <c r="K155" i="4"/>
  <c r="F373" i="16" s="1"/>
  <c r="I151" i="4"/>
  <c r="D281" i="16" s="1"/>
  <c r="G310" i="16"/>
  <c r="H310" i="16" s="1"/>
  <c r="G168" i="16"/>
  <c r="H168" i="16" s="1"/>
  <c r="G248" i="16"/>
  <c r="H248" i="16" s="1"/>
  <c r="G400" i="16"/>
  <c r="H400" i="16" s="1"/>
  <c r="G358" i="16"/>
  <c r="H358" i="16" s="1"/>
  <c r="G339" i="16"/>
  <c r="H339" i="16" s="1"/>
  <c r="G277" i="16"/>
  <c r="H277" i="16" s="1"/>
  <c r="G520" i="16"/>
  <c r="H520" i="16" s="1"/>
  <c r="G65" i="16"/>
  <c r="H65" i="16" s="1"/>
  <c r="G182" i="16"/>
  <c r="H182" i="16" s="1"/>
  <c r="G246" i="16"/>
  <c r="H246" i="16" s="1"/>
  <c r="G25" i="16"/>
  <c r="H25" i="16" s="1"/>
  <c r="G435" i="16"/>
  <c r="H435" i="16" s="1"/>
  <c r="G161" i="16"/>
  <c r="H161" i="16" s="1"/>
  <c r="G494" i="16"/>
  <c r="H494" i="16" s="1"/>
  <c r="G38" i="16"/>
  <c r="H38" i="16" s="1"/>
  <c r="G380" i="16"/>
  <c r="H380" i="16" s="1"/>
  <c r="G218" i="16"/>
  <c r="H218" i="16" s="1"/>
  <c r="G180" i="16"/>
  <c r="H180" i="16" s="1"/>
  <c r="K151" i="4"/>
  <c r="F281" i="16" s="1"/>
  <c r="I164" i="4"/>
  <c r="D233" i="16" s="1"/>
  <c r="K164" i="4"/>
  <c r="F233" i="16" s="1"/>
  <c r="K159" i="4"/>
  <c r="F41" i="16" s="1"/>
  <c r="D398" i="16"/>
  <c r="D138" i="16"/>
  <c r="P54" i="16"/>
  <c r="K62" i="4"/>
  <c r="F445" i="16" s="1"/>
  <c r="I62" i="4"/>
  <c r="D445" i="16" s="1"/>
  <c r="K22" i="4"/>
  <c r="F262" i="16" s="1"/>
  <c r="I22" i="4"/>
  <c r="D262" i="16" s="1"/>
  <c r="G268" i="16"/>
  <c r="H268" i="16" s="1"/>
  <c r="G486" i="16"/>
  <c r="H486" i="16" s="1"/>
  <c r="G455" i="16"/>
  <c r="H455" i="16" s="1"/>
  <c r="G296" i="16"/>
  <c r="H296" i="16" s="1"/>
  <c r="G349" i="16"/>
  <c r="H349" i="16" s="1"/>
  <c r="G309" i="16"/>
  <c r="H309" i="16" s="1"/>
  <c r="G226" i="16"/>
  <c r="H226" i="16" s="1"/>
  <c r="G234" i="16"/>
  <c r="H234" i="16" s="1"/>
  <c r="G366" i="16"/>
  <c r="H366" i="16" s="1"/>
  <c r="G83" i="16"/>
  <c r="H83" i="16" s="1"/>
  <c r="G382" i="16"/>
  <c r="H382" i="16" s="1"/>
  <c r="G255" i="16"/>
  <c r="H255" i="16" s="1"/>
  <c r="G169" i="16"/>
  <c r="H169" i="16" s="1"/>
  <c r="G493" i="16"/>
  <c r="H493" i="16" s="1"/>
  <c r="G318" i="16"/>
  <c r="H318" i="16" s="1"/>
  <c r="G170" i="16"/>
  <c r="H170" i="16" s="1"/>
  <c r="G50" i="16"/>
  <c r="H50" i="16" s="1"/>
  <c r="G129" i="16"/>
  <c r="H129" i="16" s="1"/>
  <c r="G408" i="16"/>
  <c r="H408" i="16" s="1"/>
  <c r="G270" i="16"/>
  <c r="H270" i="16" s="1"/>
  <c r="G106" i="27"/>
  <c r="I106" i="27" s="1"/>
  <c r="L356" i="16"/>
  <c r="N356" i="16" s="1"/>
  <c r="V516" i="16"/>
  <c r="I516" i="16"/>
  <c r="E355" i="16"/>
  <c r="F336" i="16"/>
  <c r="P160" i="16"/>
  <c r="K160" i="16" s="1" a="1"/>
  <c r="K160" i="16" s="1"/>
  <c r="P216" i="16"/>
  <c r="P371" i="16"/>
  <c r="P484" i="16"/>
  <c r="P132" i="16"/>
  <c r="P193" i="16"/>
  <c r="K193" i="16" s="1" a="1"/>
  <c r="K193" i="16" s="1"/>
  <c r="P482" i="16"/>
  <c r="K482" i="16" s="1" a="1"/>
  <c r="K482" i="16" s="1"/>
  <c r="P326" i="16"/>
  <c r="P448" i="16"/>
  <c r="P45" i="16"/>
  <c r="P185" i="16"/>
  <c r="P105" i="16"/>
  <c r="P225" i="16"/>
  <c r="K225" i="16" s="1" a="1"/>
  <c r="K225" i="16" s="1"/>
  <c r="P246" i="16"/>
  <c r="P135" i="16"/>
  <c r="P374" i="16"/>
  <c r="P181" i="16"/>
  <c r="K181" i="16" s="1" a="1"/>
  <c r="K181" i="16" s="1"/>
  <c r="P109" i="16"/>
  <c r="K109" i="16" s="1" a="1"/>
  <c r="K109" i="16" s="1"/>
  <c r="P466" i="16"/>
  <c r="P234" i="16"/>
  <c r="P9" i="16"/>
  <c r="P449" i="16"/>
  <c r="P493" i="16"/>
  <c r="K493" i="16" s="1" a="1"/>
  <c r="K493" i="16" s="1"/>
  <c r="P50" i="16"/>
  <c r="D343" i="16"/>
  <c r="D188" i="16"/>
  <c r="K156" i="4"/>
  <c r="F111" i="16" s="1"/>
  <c r="K152" i="4"/>
  <c r="F311" i="16" s="1"/>
  <c r="D318" i="16"/>
  <c r="K148" i="4"/>
  <c r="K144" i="4"/>
  <c r="F309" i="16" s="1"/>
  <c r="K140" i="4"/>
  <c r="F263" i="16" s="1"/>
  <c r="K136" i="4"/>
  <c r="F314" i="16" s="1"/>
  <c r="K132" i="4"/>
  <c r="F30" i="16" s="1"/>
  <c r="K67" i="4"/>
  <c r="F434" i="16" s="1"/>
  <c r="I67" i="4"/>
  <c r="D434" i="16" s="1"/>
  <c r="K27" i="4"/>
  <c r="F504" i="16" s="1"/>
  <c r="I27" i="4"/>
  <c r="D504" i="16" s="1"/>
  <c r="K145" i="4"/>
  <c r="F138" i="16" s="1"/>
  <c r="D319" i="16"/>
  <c r="K141" i="4"/>
  <c r="F26" i="16" s="1"/>
  <c r="D43" i="16"/>
  <c r="K137" i="4"/>
  <c r="F478" i="16" s="1"/>
  <c r="D86" i="27"/>
  <c r="D350" i="16"/>
  <c r="K129" i="4"/>
  <c r="F383" i="16" s="1"/>
  <c r="D442" i="16"/>
  <c r="K125" i="4"/>
  <c r="F485" i="16" s="1"/>
  <c r="D357" i="16"/>
  <c r="K121" i="4"/>
  <c r="F136" i="16" s="1"/>
  <c r="K117" i="4"/>
  <c r="K113" i="4"/>
  <c r="F79" i="16" s="1"/>
  <c r="K109" i="4"/>
  <c r="F44" i="16" s="1"/>
  <c r="K105" i="4"/>
  <c r="F267" i="16" s="1"/>
  <c r="K101" i="4"/>
  <c r="K97" i="4"/>
  <c r="F463" i="16" s="1"/>
  <c r="K93" i="4"/>
  <c r="F106" i="16" s="1"/>
  <c r="K72" i="4"/>
  <c r="F18" i="16" s="1"/>
  <c r="I72" i="4"/>
  <c r="D18" i="16" s="1"/>
  <c r="I68" i="4"/>
  <c r="D149" i="16" s="1"/>
  <c r="K126" i="4"/>
  <c r="F164" i="16" s="1"/>
  <c r="D364" i="16"/>
  <c r="K122" i="4"/>
  <c r="F49" i="16" s="1"/>
  <c r="K118" i="4"/>
  <c r="F103" i="16" s="1"/>
  <c r="K114" i="4"/>
  <c r="F23" i="16" s="1"/>
  <c r="K110" i="4"/>
  <c r="F37" i="16" s="1"/>
  <c r="K106" i="4"/>
  <c r="F244" i="16" s="1"/>
  <c r="K102" i="4"/>
  <c r="F392" i="16" s="1"/>
  <c r="K98" i="4"/>
  <c r="F36" i="16" s="1"/>
  <c r="K94" i="4"/>
  <c r="F426" i="16" s="1"/>
  <c r="P130" i="16"/>
  <c r="K30" i="4"/>
  <c r="F243" i="16" s="1"/>
  <c r="I30" i="4"/>
  <c r="D243" i="16" s="1"/>
  <c r="K36" i="4"/>
  <c r="F266" i="16" s="1"/>
  <c r="I36" i="4"/>
  <c r="D266" i="16" s="1"/>
  <c r="D170" i="16"/>
  <c r="D486" i="16"/>
  <c r="D190" i="16"/>
  <c r="D38" i="16"/>
  <c r="D97" i="16"/>
  <c r="D87" i="27"/>
  <c r="E26" i="27"/>
  <c r="D25" i="27"/>
  <c r="E9" i="27"/>
  <c r="G66" i="27"/>
  <c r="I66" i="27" s="1"/>
  <c r="G44" i="27"/>
  <c r="H44" i="27" s="1"/>
  <c r="D276" i="16"/>
  <c r="D467" i="16"/>
  <c r="E5" i="27"/>
  <c r="G29" i="27"/>
  <c r="I29" i="27" s="1"/>
  <c r="G80" i="27"/>
  <c r="I80" i="27" s="1"/>
  <c r="O428" i="16"/>
  <c r="J428" i="16"/>
  <c r="O417" i="16"/>
  <c r="J417" i="16"/>
  <c r="D278" i="16"/>
  <c r="P71" i="16"/>
  <c r="I68" i="16"/>
  <c r="P76" i="16"/>
  <c r="J76" i="16" s="1"/>
  <c r="I73" i="16"/>
  <c r="I75" i="16"/>
  <c r="I66" i="16"/>
  <c r="G99" i="27"/>
  <c r="I99" i="27" s="1"/>
  <c r="G18" i="27"/>
  <c r="I18" i="27" s="1"/>
  <c r="G74" i="27"/>
  <c r="I74" i="27" s="1"/>
  <c r="G8" i="27"/>
  <c r="I8" i="27" s="1"/>
  <c r="G26" i="27"/>
  <c r="I26" i="27" s="1"/>
  <c r="G139" i="27"/>
  <c r="H139" i="27" s="1"/>
  <c r="E21" i="27"/>
  <c r="F25" i="27"/>
  <c r="E136" i="27"/>
  <c r="E130" i="27"/>
  <c r="F79" i="27"/>
  <c r="V29" i="27"/>
  <c r="L43" i="27"/>
  <c r="F62" i="27"/>
  <c r="F80" i="27"/>
  <c r="D44" i="27"/>
  <c r="L61" i="27"/>
  <c r="S54" i="27"/>
  <c r="D96" i="27"/>
  <c r="F106" i="27"/>
  <c r="L67" i="27"/>
  <c r="P54" i="27"/>
  <c r="K54" i="27" s="1"/>
  <c r="S27" i="27"/>
  <c r="S32" i="27"/>
  <c r="V138" i="27"/>
  <c r="D123" i="27"/>
  <c r="D65" i="27"/>
  <c r="G67" i="16"/>
  <c r="H67" i="16" s="1"/>
  <c r="G5" i="27"/>
  <c r="I5" i="27" s="1"/>
  <c r="G51" i="27"/>
  <c r="I51" i="27" s="1"/>
  <c r="G114" i="27"/>
  <c r="I114" i="27" s="1"/>
  <c r="G138" i="27"/>
  <c r="I138" i="27" s="1"/>
  <c r="F117" i="27"/>
  <c r="E27" i="27"/>
  <c r="E101" i="27"/>
  <c r="E8" i="27"/>
  <c r="P99" i="27"/>
  <c r="K99" i="27" s="1"/>
  <c r="S119" i="27"/>
  <c r="D49" i="27"/>
  <c r="P131" i="27"/>
  <c r="K131" i="27" s="1"/>
  <c r="S47" i="27"/>
  <c r="E43" i="27"/>
  <c r="E147" i="27"/>
  <c r="S123" i="27"/>
  <c r="P78" i="27"/>
  <c r="J78" i="27" s="1"/>
  <c r="S145" i="27"/>
  <c r="L6" i="27"/>
  <c r="P35" i="27"/>
  <c r="J35" i="27" s="1"/>
  <c r="L25" i="27"/>
  <c r="E50" i="27"/>
  <c r="F60" i="27"/>
  <c r="L94" i="27"/>
  <c r="D53" i="27"/>
  <c r="D102" i="27"/>
  <c r="D47" i="27"/>
  <c r="S46" i="27"/>
  <c r="P36" i="27"/>
  <c r="K36" i="27" s="1"/>
  <c r="V64" i="27"/>
  <c r="F127" i="27"/>
  <c r="D34" i="27"/>
  <c r="L124" i="27"/>
  <c r="S114" i="27"/>
  <c r="P11" i="27"/>
  <c r="J11" i="27" s="1"/>
  <c r="S115" i="27"/>
  <c r="N488" i="16"/>
  <c r="J488" i="16"/>
  <c r="J264" i="16"/>
  <c r="M264" i="16" s="1"/>
  <c r="P17" i="16"/>
  <c r="J17" i="16" s="1"/>
  <c r="P117" i="16"/>
  <c r="P157" i="16"/>
  <c r="P170" i="16"/>
  <c r="P55" i="16"/>
  <c r="P306" i="16"/>
  <c r="P393" i="16"/>
  <c r="K393" i="16" s="1" a="1"/>
  <c r="K393" i="16" s="1"/>
  <c r="P178" i="16"/>
  <c r="J178" i="16" s="1"/>
  <c r="P116" i="16"/>
  <c r="P307" i="16"/>
  <c r="P198" i="16"/>
  <c r="P519" i="16"/>
  <c r="P402" i="16"/>
  <c r="P220" i="16"/>
  <c r="P213" i="16"/>
  <c r="P507" i="16"/>
  <c r="K507" i="16" s="1" a="1"/>
  <c r="K507" i="16" s="1"/>
  <c r="P412" i="16"/>
  <c r="K412" i="16" s="1" a="1"/>
  <c r="K412" i="16" s="1"/>
  <c r="P148" i="16"/>
  <c r="P368" i="16"/>
  <c r="P423" i="16"/>
  <c r="P142" i="16"/>
  <c r="P152" i="16"/>
  <c r="K152" i="16" s="1" a="1"/>
  <c r="K152" i="16" s="1"/>
  <c r="P438" i="16"/>
  <c r="P349" i="16"/>
  <c r="P62" i="16"/>
  <c r="P321" i="16"/>
  <c r="P186" i="16"/>
  <c r="K186" i="16" s="1" a="1"/>
  <c r="K186" i="16" s="1"/>
  <c r="P328" i="16"/>
  <c r="P318" i="16"/>
  <c r="P49" i="16"/>
  <c r="K49" i="16" s="1" a="1"/>
  <c r="K49" i="16" s="1"/>
  <c r="P15" i="16"/>
  <c r="P513" i="16"/>
  <c r="K87" i="4"/>
  <c r="F409" i="16" s="1"/>
  <c r="I87" i="4"/>
  <c r="D409" i="16" s="1"/>
  <c r="I80" i="4"/>
  <c r="D82" i="16" s="1"/>
  <c r="I75" i="4"/>
  <c r="D240" i="16" s="1"/>
  <c r="K60" i="4"/>
  <c r="F51" i="16" s="1"/>
  <c r="I60" i="4"/>
  <c r="D51" i="16" s="1"/>
  <c r="I54" i="4"/>
  <c r="D230" i="16" s="1"/>
  <c r="I51" i="4"/>
  <c r="D468" i="16" s="1"/>
  <c r="K34" i="4"/>
  <c r="F140" i="16" s="1"/>
  <c r="I34" i="4"/>
  <c r="D140" i="16" s="1"/>
  <c r="I32" i="4"/>
  <c r="D46" i="16" s="1"/>
  <c r="I88" i="4"/>
  <c r="D204" i="16" s="1"/>
  <c r="I83" i="4"/>
  <c r="D273" i="16" s="1"/>
  <c r="K63" i="4"/>
  <c r="F505" i="16" s="1"/>
  <c r="I63" i="4"/>
  <c r="D505" i="16" s="1"/>
  <c r="K44" i="4"/>
  <c r="F35" i="16" s="1"/>
  <c r="I44" i="4"/>
  <c r="D35" i="16" s="1"/>
  <c r="I38" i="4"/>
  <c r="D429" i="16" s="1"/>
  <c r="I35" i="4"/>
  <c r="D279" i="16" s="1"/>
  <c r="K15" i="4"/>
  <c r="F167" i="16" s="1"/>
  <c r="I15" i="4"/>
  <c r="D167" i="16" s="1"/>
  <c r="G264" i="16"/>
  <c r="H264" i="16" s="1"/>
  <c r="G389" i="16"/>
  <c r="H389" i="16" s="1"/>
  <c r="G167" i="16"/>
  <c r="H167" i="16" s="1"/>
  <c r="G333" i="16"/>
  <c r="H333" i="16" s="1"/>
  <c r="G29" i="16"/>
  <c r="H29" i="16" s="1"/>
  <c r="G128" i="16"/>
  <c r="H128" i="16" s="1"/>
  <c r="G474" i="16"/>
  <c r="H474" i="16" s="1"/>
  <c r="G204" i="16"/>
  <c r="H204" i="16" s="1"/>
  <c r="G444" i="16"/>
  <c r="H444" i="16" s="1"/>
  <c r="G417" i="16"/>
  <c r="H417" i="16" s="1"/>
  <c r="G155" i="16"/>
  <c r="H155" i="16" s="1"/>
  <c r="G287" i="16"/>
  <c r="H287" i="16" s="1"/>
  <c r="G153" i="16"/>
  <c r="H153" i="16" s="1"/>
  <c r="G158" i="16"/>
  <c r="H158" i="16" s="1"/>
  <c r="G106" i="16"/>
  <c r="H106" i="16" s="1"/>
  <c r="G27" i="16"/>
  <c r="H27" i="16" s="1"/>
  <c r="K71" i="4"/>
  <c r="F333" i="16" s="1"/>
  <c r="I71" i="4"/>
  <c r="D333" i="16" s="1"/>
  <c r="K47" i="4"/>
  <c r="F145" i="16" s="1"/>
  <c r="I47" i="4"/>
  <c r="D145" i="16" s="1"/>
  <c r="K23" i="4"/>
  <c r="F417" i="16" s="1"/>
  <c r="I23" i="4"/>
  <c r="D417" i="16" s="1"/>
  <c r="K79" i="4"/>
  <c r="F292" i="16" s="1"/>
  <c r="I79" i="4"/>
  <c r="D292" i="16" s="1"/>
  <c r="K50" i="4"/>
  <c r="F184" i="16" s="1"/>
  <c r="I50" i="4"/>
  <c r="D184" i="16" s="1"/>
  <c r="K31" i="4"/>
  <c r="F334" i="16" s="1"/>
  <c r="I31" i="4"/>
  <c r="D334" i="16" s="1"/>
  <c r="K5" i="4"/>
  <c r="S333" i="27"/>
  <c r="F336" i="27"/>
  <c r="F343" i="27"/>
  <c r="L342" i="16"/>
  <c r="N342" i="16" s="1"/>
  <c r="E342" i="16"/>
  <c r="L19" i="16"/>
  <c r="N19" i="16" s="1"/>
  <c r="E19" i="16"/>
  <c r="F415" i="16"/>
  <c r="F280" i="16"/>
  <c r="F356" i="16"/>
  <c r="F516" i="16"/>
  <c r="F224" i="16"/>
  <c r="S231" i="16"/>
  <c r="G231" i="16"/>
  <c r="H231" i="16" s="1"/>
  <c r="V18" i="16"/>
  <c r="T18" i="16" s="1"/>
  <c r="U18" i="16" s="1"/>
  <c r="I18" i="16"/>
  <c r="E376" i="16"/>
  <c r="E20" i="16"/>
  <c r="E365" i="16"/>
  <c r="E8" i="16"/>
  <c r="F20" i="16"/>
  <c r="J51" i="16"/>
  <c r="M51" i="16" s="1"/>
  <c r="P224" i="16"/>
  <c r="K224" i="16" s="1" a="1"/>
  <c r="K224" i="16" s="1"/>
  <c r="O224" i="16" s="1"/>
  <c r="P258" i="16"/>
  <c r="K258" i="16" s="1" a="1"/>
  <c r="K258" i="16" s="1"/>
  <c r="P362" i="16"/>
  <c r="P344" i="16"/>
  <c r="K344" i="16" s="1" a="1"/>
  <c r="K344" i="16" s="1"/>
  <c r="P288" i="16"/>
  <c r="K288" i="16" s="1" a="1"/>
  <c r="K288" i="16" s="1"/>
  <c r="P114" i="16"/>
  <c r="P487" i="16"/>
  <c r="P113" i="16"/>
  <c r="K113" i="16" s="1" a="1"/>
  <c r="K113" i="16" s="1"/>
  <c r="P407" i="16"/>
  <c r="P500" i="16"/>
  <c r="P356" i="16"/>
  <c r="P453" i="16"/>
  <c r="K453" i="16" s="1" a="1"/>
  <c r="K453" i="16" s="1"/>
  <c r="P462" i="16"/>
  <c r="P336" i="16"/>
  <c r="K336" i="16" s="1" a="1"/>
  <c r="K336" i="16" s="1"/>
  <c r="P13" i="16"/>
  <c r="P93" i="16"/>
  <c r="P355" i="16"/>
  <c r="P365" i="16"/>
  <c r="P436" i="16"/>
  <c r="P313" i="16"/>
  <c r="P457" i="16"/>
  <c r="P459" i="16"/>
  <c r="P369" i="16"/>
  <c r="P474" i="16"/>
  <c r="P119" i="16"/>
  <c r="P89" i="16"/>
  <c r="P38" i="16"/>
  <c r="P247" i="16"/>
  <c r="P127" i="16"/>
  <c r="P254" i="16"/>
  <c r="P335" i="16"/>
  <c r="P143" i="16"/>
  <c r="P406" i="16"/>
  <c r="P315" i="16"/>
  <c r="P252" i="16"/>
  <c r="P87" i="16"/>
  <c r="P60" i="16"/>
  <c r="P131" i="16"/>
  <c r="P173" i="16"/>
  <c r="P305" i="16"/>
  <c r="K305" i="16" s="1" a="1"/>
  <c r="K305" i="16" s="1"/>
  <c r="P268" i="16"/>
  <c r="P192" i="16"/>
  <c r="P295" i="16"/>
  <c r="P43" i="16"/>
  <c r="P103" i="16"/>
  <c r="P351" i="16"/>
  <c r="P240" i="16"/>
  <c r="P99" i="16"/>
  <c r="P150" i="16"/>
  <c r="P429" i="16"/>
  <c r="K429" i="16" s="1" a="1"/>
  <c r="K429" i="16" s="1"/>
  <c r="P504" i="16"/>
  <c r="J504" i="16" s="1"/>
  <c r="P316" i="16"/>
  <c r="P84" i="16"/>
  <c r="K4" i="4"/>
  <c r="F10" i="16" s="1"/>
  <c r="P327" i="16"/>
  <c r="K327" i="16" s="1" a="1"/>
  <c r="K327" i="16" s="1"/>
  <c r="P19" i="16"/>
  <c r="K19" i="16" s="1" a="1"/>
  <c r="K19" i="16" s="1"/>
  <c r="P242" i="16"/>
  <c r="K242" i="16" s="1" a="1"/>
  <c r="K242" i="16" s="1"/>
  <c r="P27" i="16"/>
  <c r="P243" i="16"/>
  <c r="K243" i="16" s="1" a="1"/>
  <c r="K243" i="16" s="1"/>
  <c r="P279" i="16"/>
  <c r="P465" i="16"/>
  <c r="K465" i="16" s="1" a="1"/>
  <c r="K465" i="16" s="1"/>
  <c r="P128" i="16"/>
  <c r="P468" i="16"/>
  <c r="K468" i="16" s="1" a="1"/>
  <c r="K468" i="16" s="1"/>
  <c r="P107" i="16"/>
  <c r="P445" i="16"/>
  <c r="K445" i="16" s="1" a="1"/>
  <c r="K445" i="16" s="1"/>
  <c r="P39" i="16"/>
  <c r="J39" i="16" s="1"/>
  <c r="P82" i="16"/>
  <c r="P29" i="16"/>
  <c r="K29" i="16" s="1" a="1"/>
  <c r="K29" i="16" s="1"/>
  <c r="P392" i="16"/>
  <c r="P158" i="16"/>
  <c r="P357" i="16"/>
  <c r="P323" i="16"/>
  <c r="P309" i="16"/>
  <c r="P373" i="16"/>
  <c r="P86" i="16"/>
  <c r="P324" i="16"/>
  <c r="P251" i="16"/>
  <c r="P226" i="16"/>
  <c r="P146" i="16"/>
  <c r="P168" i="16"/>
  <c r="P418" i="16"/>
  <c r="P179" i="16"/>
  <c r="P199" i="16"/>
  <c r="P330" i="16"/>
  <c r="P486" i="16"/>
  <c r="P202" i="16"/>
  <c r="K202" i="16" s="1" a="1"/>
  <c r="K202" i="16" s="1"/>
  <c r="P286" i="16"/>
  <c r="P163" i="16"/>
  <c r="P25" i="16"/>
  <c r="P310" i="16"/>
  <c r="P399" i="16"/>
  <c r="P301" i="16"/>
  <c r="P461" i="16"/>
  <c r="P183" i="16"/>
  <c r="P391" i="16"/>
  <c r="P207" i="16"/>
  <c r="P238" i="16"/>
  <c r="P122" i="16"/>
  <c r="P443" i="16"/>
  <c r="P345" i="16"/>
  <c r="P34" i="16"/>
  <c r="P7" i="16"/>
  <c r="P218" i="16"/>
  <c r="P169" i="16"/>
  <c r="P359" i="16"/>
  <c r="P385" i="16"/>
  <c r="P177" i="16"/>
  <c r="P425" i="16"/>
  <c r="P490" i="16"/>
  <c r="P420" i="16"/>
  <c r="P221" i="16"/>
  <c r="P260" i="16"/>
  <c r="P290" i="16"/>
  <c r="P91" i="16"/>
  <c r="P141" i="16"/>
  <c r="P435" i="16"/>
  <c r="P483" i="16"/>
  <c r="P388" i="16"/>
  <c r="P395" i="16"/>
  <c r="P431" i="16"/>
  <c r="P8" i="16"/>
  <c r="P208" i="16"/>
  <c r="P294" i="16"/>
  <c r="P120" i="16"/>
  <c r="K120" i="16" s="1" a="1"/>
  <c r="K120" i="16" s="1"/>
  <c r="P194" i="16"/>
  <c r="P104" i="16"/>
  <c r="P394" i="16"/>
  <c r="P354" i="16"/>
  <c r="P56" i="16"/>
  <c r="P404" i="16"/>
  <c r="P352" i="16"/>
  <c r="P112" i="16"/>
  <c r="P32" i="16"/>
  <c r="P390" i="16"/>
  <c r="P265" i="16"/>
  <c r="P97" i="16"/>
  <c r="K97" i="16" s="1" a="1"/>
  <c r="K97" i="16" s="1"/>
  <c r="P458" i="16"/>
  <c r="P10" i="16"/>
  <c r="K10" i="16" s="1" a="1"/>
  <c r="K10" i="16" s="1"/>
  <c r="P137" i="16"/>
  <c r="P167" i="16"/>
  <c r="P342" i="16"/>
  <c r="P231" i="16"/>
  <c r="K231" i="16" s="1" a="1"/>
  <c r="K231" i="16" s="1"/>
  <c r="P334" i="16"/>
  <c r="P266" i="16"/>
  <c r="P172" i="16"/>
  <c r="P145" i="16"/>
  <c r="K145" i="16" s="1" a="1"/>
  <c r="K145" i="16" s="1"/>
  <c r="P347" i="16"/>
  <c r="P411" i="16"/>
  <c r="P505" i="16"/>
  <c r="P302" i="16"/>
  <c r="K302" i="16" s="1" a="1"/>
  <c r="K302" i="16" s="1"/>
  <c r="P470" i="16"/>
  <c r="P312" i="16"/>
  <c r="P244" i="16"/>
  <c r="P427" i="16"/>
  <c r="P442" i="16"/>
  <c r="P481" i="16"/>
  <c r="K481" i="16" s="1" a="1"/>
  <c r="K481" i="16" s="1"/>
  <c r="P209" i="16"/>
  <c r="K209" i="16" s="1" a="1"/>
  <c r="K209" i="16" s="1"/>
  <c r="P41" i="16"/>
  <c r="P386" i="16"/>
  <c r="P455" i="16"/>
  <c r="P339" i="16"/>
  <c r="K339" i="16" s="1" a="1"/>
  <c r="K339" i="16" s="1"/>
  <c r="P476" i="16"/>
  <c r="P379" i="16"/>
  <c r="P83" i="16"/>
  <c r="P432" i="16"/>
  <c r="P11" i="16"/>
  <c r="K11" i="16" s="1" a="1"/>
  <c r="K11" i="16" s="1"/>
  <c r="P380" i="16"/>
  <c r="P303" i="16"/>
  <c r="P96" i="16"/>
  <c r="P475" i="16"/>
  <c r="K475" i="16" s="1" a="1"/>
  <c r="K475" i="16" s="1"/>
  <c r="P147" i="16"/>
  <c r="P161" i="16"/>
  <c r="P512" i="16"/>
  <c r="P416" i="16"/>
  <c r="P205" i="16"/>
  <c r="P296" i="16"/>
  <c r="K296" i="16" s="1" a="1"/>
  <c r="K296" i="16" s="1"/>
  <c r="P5" i="16"/>
  <c r="K5" i="16" s="1" a="1"/>
  <c r="K5" i="16" s="1"/>
  <c r="P33" i="16"/>
  <c r="K33" i="16" s="1" a="1"/>
  <c r="K33" i="16" s="1"/>
  <c r="P256" i="16"/>
  <c r="P151" i="16"/>
  <c r="P501" i="16"/>
  <c r="P6" i="16"/>
  <c r="K6" i="16" s="1" a="1"/>
  <c r="K6" i="16" s="1"/>
  <c r="P384" i="16"/>
  <c r="P253" i="16"/>
  <c r="P509" i="16"/>
  <c r="P222" i="16"/>
  <c r="K222" i="16" s="1" a="1"/>
  <c r="K222" i="16" s="1"/>
  <c r="P492" i="16"/>
  <c r="P381" i="16"/>
  <c r="P494" i="16"/>
  <c r="P47" i="16"/>
  <c r="P52" i="16"/>
  <c r="P215" i="16"/>
  <c r="P90" i="16"/>
  <c r="K90" i="16" s="1" a="1"/>
  <c r="K90" i="16" s="1"/>
  <c r="P232" i="16"/>
  <c r="P239" i="16"/>
  <c r="P278" i="16"/>
  <c r="P245" i="16"/>
  <c r="P159" i="16"/>
  <c r="P24" i="16"/>
  <c r="P21" i="16"/>
  <c r="P397" i="16"/>
  <c r="P456" i="16"/>
  <c r="P396" i="16"/>
  <c r="P511" i="16"/>
  <c r="K511" i="16" s="1" a="1"/>
  <c r="K511" i="16" s="1"/>
  <c r="P191" i="16"/>
  <c r="P53" i="16"/>
  <c r="P274" i="16"/>
  <c r="P101" i="16"/>
  <c r="P195" i="16"/>
  <c r="P16" i="16"/>
  <c r="P165" i="16"/>
  <c r="P439" i="16"/>
  <c r="P293" i="16"/>
  <c r="K293" i="16" s="1" a="1"/>
  <c r="K293" i="16" s="1"/>
  <c r="P20" i="16"/>
  <c r="P271" i="16"/>
  <c r="P360" i="16"/>
  <c r="P166" i="16"/>
  <c r="P338" i="16"/>
  <c r="K338" i="16" s="1" a="1"/>
  <c r="K338" i="16" s="1"/>
  <c r="P210" i="16"/>
  <c r="P337" i="16"/>
  <c r="K337" i="16" s="1" a="1"/>
  <c r="K337" i="16" s="1"/>
  <c r="P376" i="16"/>
  <c r="K376" i="16" s="1" a="1"/>
  <c r="K376" i="16" s="1"/>
  <c r="J149" i="16"/>
  <c r="M149" i="16" s="1"/>
  <c r="J30" i="16"/>
  <c r="M30" i="16" s="1"/>
  <c r="J340" i="16"/>
  <c r="M340" i="16" s="1"/>
  <c r="J118" i="16"/>
  <c r="M118" i="16" s="1"/>
  <c r="J289" i="16"/>
  <c r="M289" i="16" s="1"/>
  <c r="L213" i="27"/>
  <c r="L229" i="27"/>
  <c r="L484" i="27"/>
  <c r="H92" i="27"/>
  <c r="O118" i="16"/>
  <c r="O242" i="16"/>
  <c r="I511" i="4"/>
  <c r="K511" i="4"/>
  <c r="G147" i="27"/>
  <c r="H147" i="27" s="1"/>
  <c r="G95" i="27"/>
  <c r="I95" i="27" s="1"/>
  <c r="G45" i="27"/>
  <c r="I45" i="27" s="1"/>
  <c r="G52" i="27"/>
  <c r="I52" i="27" s="1"/>
  <c r="G67" i="27"/>
  <c r="I67" i="27" s="1"/>
  <c r="G75" i="27"/>
  <c r="H75" i="27" s="1"/>
  <c r="G79" i="27"/>
  <c r="I79" i="27" s="1"/>
  <c r="G90" i="27"/>
  <c r="I90" i="27" s="1"/>
  <c r="G102" i="27"/>
  <c r="I102" i="27" s="1"/>
  <c r="G13" i="27"/>
  <c r="H13" i="27" s="1"/>
  <c r="G145" i="27"/>
  <c r="I145" i="27" s="1"/>
  <c r="G137" i="27"/>
  <c r="I137" i="27" s="1"/>
  <c r="D11" i="27"/>
  <c r="F21" i="27"/>
  <c r="F9" i="27"/>
  <c r="E13" i="27"/>
  <c r="D7" i="27"/>
  <c r="D6" i="27"/>
  <c r="F26" i="27"/>
  <c r="G127" i="27"/>
  <c r="G117" i="27"/>
  <c r="I117" i="27" s="1"/>
  <c r="G35" i="27"/>
  <c r="I35" i="27" s="1"/>
  <c r="G48" i="27"/>
  <c r="I48" i="27" s="1"/>
  <c r="G55" i="27"/>
  <c r="G63" i="27"/>
  <c r="I63" i="27" s="1"/>
  <c r="G70" i="27"/>
  <c r="I70" i="27" s="1"/>
  <c r="G78" i="27"/>
  <c r="I78" i="27" s="1"/>
  <c r="G9" i="27"/>
  <c r="H9" i="27" s="1"/>
  <c r="E117" i="27"/>
  <c r="D5" i="27"/>
  <c r="D27" i="27"/>
  <c r="F4" i="27"/>
  <c r="D101" i="27"/>
  <c r="F13" i="27"/>
  <c r="E7" i="27"/>
  <c r="F6" i="27"/>
  <c r="D139" i="27"/>
  <c r="L51" i="27"/>
  <c r="V52" i="27"/>
  <c r="L114" i="27"/>
  <c r="V7" i="27"/>
  <c r="V123" i="27"/>
  <c r="S35" i="27"/>
  <c r="L135" i="27"/>
  <c r="F66" i="27"/>
  <c r="E116" i="27"/>
  <c r="L46" i="27"/>
  <c r="L74" i="27"/>
  <c r="E44" i="27"/>
  <c r="S61" i="27"/>
  <c r="F42" i="27"/>
  <c r="P67" i="27"/>
  <c r="K67" i="27" s="1"/>
  <c r="L59" i="27"/>
  <c r="V65" i="27"/>
  <c r="L27" i="27"/>
  <c r="V25" i="27"/>
  <c r="S25" i="27"/>
  <c r="S135" i="27"/>
  <c r="V72" i="27"/>
  <c r="P57" i="27"/>
  <c r="K57" i="27" s="1"/>
  <c r="D130" i="27"/>
  <c r="S74" i="27"/>
  <c r="D95" i="27"/>
  <c r="S94" i="27"/>
  <c r="L102" i="27"/>
  <c r="S48" i="27"/>
  <c r="D62" i="27"/>
  <c r="E60" i="27"/>
  <c r="L79" i="27"/>
  <c r="F64" i="27"/>
  <c r="F107" i="27"/>
  <c r="S129" i="27"/>
  <c r="E90" i="27"/>
  <c r="S34" i="27"/>
  <c r="L44" i="27"/>
  <c r="P138" i="27"/>
  <c r="J138" i="27" s="1"/>
  <c r="E49" i="27"/>
  <c r="L138" i="27"/>
  <c r="V10" i="27"/>
  <c r="P42" i="27"/>
  <c r="J42" i="27" s="1"/>
  <c r="D116" i="27"/>
  <c r="P4" i="27"/>
  <c r="J4" i="27" s="1"/>
  <c r="V140" i="27"/>
  <c r="F57" i="27"/>
  <c r="P76" i="27"/>
  <c r="K76" i="27" s="1"/>
  <c r="S67" i="27"/>
  <c r="P50" i="27"/>
  <c r="J50" i="27" s="1"/>
  <c r="P147" i="27"/>
  <c r="K147" i="27" s="1"/>
  <c r="V66" i="27"/>
  <c r="L65" i="27"/>
  <c r="F75" i="27"/>
  <c r="E72" i="27"/>
  <c r="F142" i="27"/>
  <c r="P74" i="27"/>
  <c r="J74" i="27" s="1"/>
  <c r="D135" i="27"/>
  <c r="S112" i="27"/>
  <c r="E107" i="27"/>
  <c r="P64" i="27"/>
  <c r="K64" i="27" s="1"/>
  <c r="F59" i="27"/>
  <c r="E76" i="27"/>
  <c r="D442" i="27"/>
  <c r="L35" i="27"/>
  <c r="L21" i="27"/>
  <c r="V75" i="27"/>
  <c r="E129" i="27"/>
  <c r="S68" i="27"/>
  <c r="L28" i="27"/>
  <c r="D107" i="27"/>
  <c r="P116" i="27"/>
  <c r="K116" i="27" s="1"/>
  <c r="F95" i="27"/>
  <c r="V153" i="27"/>
  <c r="D74" i="27"/>
  <c r="D57" i="27"/>
  <c r="V107" i="27"/>
  <c r="E42" i="27"/>
  <c r="E142" i="27"/>
  <c r="V61" i="27"/>
  <c r="S70" i="27"/>
  <c r="S120" i="27"/>
  <c r="V78" i="27"/>
  <c r="D35" i="27"/>
  <c r="E34" i="27"/>
  <c r="P142" i="27"/>
  <c r="S66" i="27"/>
  <c r="D68" i="27"/>
  <c r="L136" i="27"/>
  <c r="D147" i="27"/>
  <c r="L18" i="27"/>
  <c r="D127" i="27"/>
  <c r="L8" i="27"/>
  <c r="V115" i="27"/>
  <c r="V71" i="27"/>
  <c r="L130" i="27"/>
  <c r="P52" i="27"/>
  <c r="K52" i="27" s="1"/>
  <c r="V80" i="27"/>
  <c r="F18" i="27"/>
  <c r="V18" i="27"/>
  <c r="V54" i="27"/>
  <c r="L4" i="27"/>
  <c r="V102" i="27"/>
  <c r="L36" i="27"/>
  <c r="E310" i="27"/>
  <c r="E210" i="27"/>
  <c r="F72" i="27"/>
  <c r="P162" i="27"/>
  <c r="V63" i="27"/>
  <c r="V47" i="27"/>
  <c r="S73" i="27"/>
  <c r="S77" i="27"/>
  <c r="V106" i="27"/>
  <c r="V96" i="27"/>
  <c r="L56" i="27"/>
  <c r="F43" i="27"/>
  <c r="L69" i="27"/>
  <c r="D124" i="27"/>
  <c r="L52" i="27"/>
  <c r="L106" i="27"/>
  <c r="L42" i="27"/>
  <c r="E68" i="27"/>
  <c r="L290" i="27"/>
  <c r="L32" i="27"/>
  <c r="S257" i="27"/>
  <c r="F23" i="27"/>
  <c r="E322" i="27"/>
  <c r="F32" i="27"/>
  <c r="V57" i="27"/>
  <c r="V120" i="27"/>
  <c r="E52" i="27"/>
  <c r="P112" i="27"/>
  <c r="V11" i="27"/>
  <c r="E46" i="27"/>
  <c r="E35" i="27"/>
  <c r="P117" i="27"/>
  <c r="E95" i="27"/>
  <c r="L64" i="27"/>
  <c r="F102" i="27"/>
  <c r="L140" i="27"/>
  <c r="D61" i="27"/>
  <c r="D18" i="27"/>
  <c r="I513" i="4"/>
  <c r="K513" i="4"/>
  <c r="I515" i="4"/>
  <c r="K515" i="4"/>
  <c r="I517" i="4"/>
  <c r="K517" i="4"/>
  <c r="I519" i="4"/>
  <c r="K519" i="4"/>
  <c r="N433" i="16"/>
  <c r="N98" i="16"/>
  <c r="V32" i="27"/>
  <c r="P66" i="16"/>
  <c r="P70" i="16"/>
  <c r="P75" i="16"/>
  <c r="S9" i="27"/>
  <c r="V129" i="27"/>
  <c r="G74" i="16"/>
  <c r="H74" i="16" s="1"/>
  <c r="G76" i="16"/>
  <c r="H76" i="16" s="1"/>
  <c r="G70" i="16"/>
  <c r="H70" i="16" s="1"/>
  <c r="I74" i="16"/>
  <c r="I76" i="16"/>
  <c r="I70" i="16"/>
  <c r="G84" i="27"/>
  <c r="G36" i="27"/>
  <c r="G33" i="27"/>
  <c r="H33" i="27" s="1"/>
  <c r="G11" i="27"/>
  <c r="G34" i="27"/>
  <c r="H34" i="27" s="1"/>
  <c r="G42" i="27"/>
  <c r="G47" i="27"/>
  <c r="H47" i="27" s="1"/>
  <c r="G50" i="27"/>
  <c r="G54" i="27"/>
  <c r="G58" i="27"/>
  <c r="G62" i="27"/>
  <c r="G65" i="27"/>
  <c r="H65" i="27" s="1"/>
  <c r="G69" i="27"/>
  <c r="G73" i="27"/>
  <c r="I73" i="27" s="1"/>
  <c r="G77" i="27"/>
  <c r="I77" i="27" s="1"/>
  <c r="G142" i="27"/>
  <c r="H142" i="27" s="1"/>
  <c r="G107" i="27"/>
  <c r="I107" i="27" s="1"/>
  <c r="G96" i="27"/>
  <c r="G25" i="27"/>
  <c r="I25" i="27" s="1"/>
  <c r="G112" i="27"/>
  <c r="I112" i="27" s="1"/>
  <c r="G6" i="27"/>
  <c r="I6" i="27" s="1"/>
  <c r="G136" i="27"/>
  <c r="G124" i="27"/>
  <c r="I124" i="27" s="1"/>
  <c r="G135" i="27"/>
  <c r="H135" i="27" s="1"/>
  <c r="D117" i="27"/>
  <c r="E99" i="27"/>
  <c r="F11" i="27"/>
  <c r="D21" i="27"/>
  <c r="E10" i="27"/>
  <c r="D9" i="27"/>
  <c r="E4" i="27"/>
  <c r="D13" i="27"/>
  <c r="E25" i="27"/>
  <c r="D8" i="27"/>
  <c r="E6" i="27"/>
  <c r="F136" i="27"/>
  <c r="D26" i="27"/>
  <c r="E139" i="27"/>
  <c r="P139" i="27"/>
  <c r="L115" i="27"/>
  <c r="S76" i="27"/>
  <c r="E96" i="27"/>
  <c r="S10" i="27"/>
  <c r="P43" i="27"/>
  <c r="E69" i="27"/>
  <c r="D46" i="27"/>
  <c r="F53" i="27"/>
  <c r="L142" i="27"/>
  <c r="P80" i="27"/>
  <c r="P10" i="27"/>
  <c r="S45" i="27"/>
  <c r="L145" i="27"/>
  <c r="P61" i="27"/>
  <c r="J61" i="27" s="1"/>
  <c r="V148" i="27"/>
  <c r="S140" i="27"/>
  <c r="P59" i="27"/>
  <c r="K59" i="27" s="1"/>
  <c r="E128" i="27"/>
  <c r="P27" i="27"/>
  <c r="S36" i="27"/>
  <c r="P47" i="27"/>
  <c r="F115" i="27"/>
  <c r="L90" i="27"/>
  <c r="P75" i="27"/>
  <c r="L99" i="27"/>
  <c r="S5" i="27"/>
  <c r="L57" i="27"/>
  <c r="S65" i="27"/>
  <c r="P96" i="27"/>
  <c r="J96" i="27" s="1"/>
  <c r="D51" i="27"/>
  <c r="E114" i="27"/>
  <c r="F74" i="27"/>
  <c r="E33" i="27"/>
  <c r="F77" i="27"/>
  <c r="P73" i="27"/>
  <c r="V90" i="27"/>
  <c r="S50" i="27"/>
  <c r="D114" i="27"/>
  <c r="L50" i="27"/>
  <c r="L117" i="27"/>
  <c r="F135" i="27"/>
  <c r="S44" i="27"/>
  <c r="D76" i="27"/>
  <c r="D41" i="27"/>
  <c r="L129" i="27"/>
  <c r="S130" i="27"/>
  <c r="P68" i="16"/>
  <c r="P72" i="16"/>
  <c r="P77" i="16"/>
  <c r="P32" i="27"/>
  <c r="K510" i="4"/>
  <c r="V5" i="27"/>
  <c r="G73" i="16"/>
  <c r="H73" i="16" s="1"/>
  <c r="G75" i="16"/>
  <c r="H75" i="16" s="1"/>
  <c r="G66" i="16"/>
  <c r="H66" i="16" s="1"/>
  <c r="P69" i="16"/>
  <c r="I510" i="4"/>
  <c r="V9" i="27"/>
  <c r="G76" i="27"/>
  <c r="G77" i="16"/>
  <c r="H77" i="16" s="1"/>
  <c r="G72" i="16"/>
  <c r="H72" i="16" s="1"/>
  <c r="G69" i="16"/>
  <c r="H69" i="16" s="1"/>
  <c r="G71" i="16"/>
  <c r="H71" i="16" s="1"/>
  <c r="I77" i="16"/>
  <c r="I72" i="16"/>
  <c r="I69" i="16"/>
  <c r="I71" i="16"/>
  <c r="G120" i="27"/>
  <c r="H120" i="27" s="1"/>
  <c r="G130" i="27"/>
  <c r="G148" i="27"/>
  <c r="G32" i="27"/>
  <c r="I32" i="27" s="1"/>
  <c r="G21" i="27"/>
  <c r="G43" i="27"/>
  <c r="G46" i="27"/>
  <c r="I46" i="27" s="1"/>
  <c r="G49" i="27"/>
  <c r="G53" i="27"/>
  <c r="G57" i="27"/>
  <c r="H57" i="27" s="1"/>
  <c r="G61" i="27"/>
  <c r="G64" i="27"/>
  <c r="G68" i="27"/>
  <c r="H68" i="27" s="1"/>
  <c r="G72" i="27"/>
  <c r="I72" i="27" s="1"/>
  <c r="G131" i="27"/>
  <c r="G140" i="27"/>
  <c r="I140" i="27" s="1"/>
  <c r="G27" i="27"/>
  <c r="I27" i="27" s="1"/>
  <c r="G4" i="27"/>
  <c r="I4" i="27" s="1"/>
  <c r="G115" i="27"/>
  <c r="G94" i="27"/>
  <c r="G101" i="27"/>
  <c r="I101" i="27" s="1"/>
  <c r="G7" i="27"/>
  <c r="H7" i="27" s="1"/>
  <c r="G119" i="27"/>
  <c r="G123" i="27"/>
  <c r="I123" i="27" s="1"/>
  <c r="G128" i="27"/>
  <c r="D99" i="27"/>
  <c r="E11" i="27"/>
  <c r="F5" i="27"/>
  <c r="D10" i="27"/>
  <c r="F27" i="27"/>
  <c r="D4" i="27"/>
  <c r="I512" i="4"/>
  <c r="K512" i="4"/>
  <c r="I514" i="4"/>
  <c r="K514" i="4"/>
  <c r="I516" i="4"/>
  <c r="K516" i="4"/>
  <c r="I518" i="4"/>
  <c r="K518" i="4"/>
  <c r="I520" i="4"/>
  <c r="K520" i="4"/>
  <c r="P67" i="16"/>
  <c r="K90" i="4"/>
  <c r="I90" i="4"/>
  <c r="K82" i="4"/>
  <c r="F410" i="16" s="1"/>
  <c r="I82" i="4"/>
  <c r="D410" i="16" s="1"/>
  <c r="K74" i="4"/>
  <c r="F302" i="16" s="1"/>
  <c r="I74" i="4"/>
  <c r="D302" i="16" s="1"/>
  <c r="K66" i="4"/>
  <c r="F403" i="16" s="1"/>
  <c r="P434" i="16"/>
  <c r="K434" i="16" s="1" a="1"/>
  <c r="K434" i="16" s="1"/>
  <c r="P18" i="16"/>
  <c r="K18" i="16" s="1" a="1"/>
  <c r="K18" i="16" s="1"/>
  <c r="P59" i="16"/>
  <c r="K59" i="16" s="1" a="1"/>
  <c r="K59" i="16" s="1"/>
  <c r="N59" i="16" s="1"/>
  <c r="P273" i="16"/>
  <c r="K273" i="16" s="1" a="1"/>
  <c r="K273" i="16" s="1"/>
  <c r="P204" i="16"/>
  <c r="K204" i="16" s="1" a="1"/>
  <c r="K204" i="16" s="1"/>
  <c r="P426" i="16"/>
  <c r="K426" i="16" s="1" a="1"/>
  <c r="K426" i="16" s="1"/>
  <c r="P156" i="16"/>
  <c r="K156" i="16" s="1" a="1"/>
  <c r="K156" i="16" s="1"/>
  <c r="P108" i="16"/>
  <c r="K108" i="16" s="1" a="1"/>
  <c r="K108" i="16" s="1"/>
  <c r="P37" i="16"/>
  <c r="K37" i="16" s="1" a="1"/>
  <c r="K37" i="16" s="1"/>
  <c r="P80" i="16"/>
  <c r="K80" i="16" s="1" a="1"/>
  <c r="K80" i="16" s="1"/>
  <c r="P14" i="16"/>
  <c r="K14" i="16" s="1" a="1"/>
  <c r="K14" i="16" s="1"/>
  <c r="P164" i="16"/>
  <c r="K164" i="16" s="1" a="1"/>
  <c r="K164" i="16" s="1"/>
  <c r="P350" i="16"/>
  <c r="K350" i="16" s="1" a="1"/>
  <c r="K350" i="16" s="1"/>
  <c r="P314" i="16"/>
  <c r="K314" i="16" s="1" a="1"/>
  <c r="K314" i="16" s="1"/>
  <c r="P206" i="16"/>
  <c r="K206" i="16" s="1" a="1"/>
  <c r="K206" i="16" s="1"/>
  <c r="P297" i="16"/>
  <c r="K297" i="16" s="1" a="1"/>
  <c r="K297" i="16" s="1"/>
  <c r="P311" i="16"/>
  <c r="K311" i="16" s="1" a="1"/>
  <c r="K311" i="16" s="1"/>
  <c r="P188" i="16"/>
  <c r="K188" i="16" s="1" a="1"/>
  <c r="K188" i="16" s="1"/>
  <c r="P446" i="16"/>
  <c r="K446" i="16" s="1" a="1"/>
  <c r="K446" i="16" s="1"/>
  <c r="P203" i="16"/>
  <c r="K203" i="16" s="1" a="1"/>
  <c r="K203" i="16" s="1"/>
  <c r="P42" i="16"/>
  <c r="K42" i="16" s="1" a="1"/>
  <c r="K42" i="16" s="1"/>
  <c r="P229" i="16"/>
  <c r="K229" i="16" s="1" a="1"/>
  <c r="K229" i="16" s="1"/>
  <c r="P126" i="16"/>
  <c r="K126" i="16" s="1" a="1"/>
  <c r="K126" i="16" s="1"/>
  <c r="P78" i="16"/>
  <c r="K78" i="16" s="1" a="1"/>
  <c r="K78" i="16" s="1"/>
  <c r="P174" i="16"/>
  <c r="K174" i="16" s="1" a="1"/>
  <c r="K174" i="16" s="1"/>
  <c r="P228" i="16"/>
  <c r="K228" i="16" s="1" a="1"/>
  <c r="K228" i="16" s="1"/>
  <c r="P257" i="16"/>
  <c r="K257" i="16" s="1" a="1"/>
  <c r="K257" i="16" s="1"/>
  <c r="P358" i="16"/>
  <c r="K358" i="16" s="1" a="1"/>
  <c r="K358" i="16" s="1"/>
  <c r="P322" i="16"/>
  <c r="K322" i="16" s="1" a="1"/>
  <c r="K322" i="16" s="1"/>
  <c r="P477" i="16"/>
  <c r="K477" i="16" s="1" a="1"/>
  <c r="K477" i="16" s="1"/>
  <c r="P450" i="16"/>
  <c r="K450" i="16" s="1" a="1"/>
  <c r="K450" i="16" s="1"/>
  <c r="P353" i="16"/>
  <c r="K353" i="16" s="1" a="1"/>
  <c r="K353" i="16" s="1"/>
  <c r="P162" i="16"/>
  <c r="K162" i="16" s="1" a="1"/>
  <c r="K162" i="16" s="1"/>
  <c r="P308" i="16"/>
  <c r="K308" i="16" s="1" a="1"/>
  <c r="K308" i="16" s="1"/>
  <c r="P211" i="16"/>
  <c r="K211" i="16" s="1" a="1"/>
  <c r="K211" i="16" s="1"/>
  <c r="P85" i="16"/>
  <c r="K85" i="16" s="1" a="1"/>
  <c r="K85" i="16" s="1"/>
  <c r="P282" i="16"/>
  <c r="K282" i="16" s="1" a="1"/>
  <c r="K282" i="16" s="1"/>
  <c r="P248" i="16"/>
  <c r="K248" i="16" s="1" a="1"/>
  <c r="K248" i="16" s="1"/>
  <c r="P223" i="16"/>
  <c r="K223" i="16" s="1" a="1"/>
  <c r="K223" i="16" s="1"/>
  <c r="P214" i="16"/>
  <c r="K214" i="16" s="1" a="1"/>
  <c r="K214" i="16" s="1"/>
  <c r="P433" i="16"/>
  <c r="K433" i="16" s="1" a="1"/>
  <c r="K433" i="16" s="1"/>
  <c r="P180" i="16"/>
  <c r="K180" i="16" s="1" a="1"/>
  <c r="K180" i="16" s="1"/>
  <c r="P275" i="16"/>
  <c r="K275" i="16" s="1" a="1"/>
  <c r="K275" i="16" s="1"/>
  <c r="P4" i="16"/>
  <c r="K4" i="16" s="1" a="1"/>
  <c r="K4" i="16" s="1"/>
  <c r="P325" i="16"/>
  <c r="K325" i="16" s="1" a="1"/>
  <c r="K325" i="16" s="1"/>
  <c r="P277" i="16"/>
  <c r="K277" i="16" s="1" a="1"/>
  <c r="K277" i="16" s="1"/>
  <c r="P441" i="16"/>
  <c r="K441" i="16" s="1" a="1"/>
  <c r="K441" i="16" s="1"/>
  <c r="P304" i="16"/>
  <c r="K304" i="16" s="1" a="1"/>
  <c r="K304" i="16" s="1"/>
  <c r="P272" i="16"/>
  <c r="K272" i="16" s="1" a="1"/>
  <c r="K272" i="16" s="1"/>
  <c r="P405" i="16"/>
  <c r="K405" i="16" s="1" a="1"/>
  <c r="K405" i="16" s="1"/>
  <c r="P261" i="16"/>
  <c r="K261" i="16" s="1" a="1"/>
  <c r="K261" i="16" s="1"/>
  <c r="P520" i="16"/>
  <c r="K520" i="16" s="1" a="1"/>
  <c r="K520" i="16" s="1"/>
  <c r="P237" i="16"/>
  <c r="K237" i="16" s="1" a="1"/>
  <c r="K237" i="16" s="1"/>
  <c r="I66" i="4"/>
  <c r="D403" i="16" s="1"/>
  <c r="P403" i="16"/>
  <c r="K403" i="16" s="1" a="1"/>
  <c r="K403" i="16" s="1"/>
  <c r="P333" i="16"/>
  <c r="K333" i="16" s="1" a="1"/>
  <c r="K333" i="16" s="1"/>
  <c r="P480" i="16"/>
  <c r="K480" i="16" s="1" a="1"/>
  <c r="K480" i="16" s="1"/>
  <c r="P410" i="16"/>
  <c r="K410" i="16" s="1" a="1"/>
  <c r="K410" i="16" s="1"/>
  <c r="P409" i="16"/>
  <c r="K409" i="16" s="1" a="1"/>
  <c r="K409" i="16" s="1"/>
  <c r="P452" i="16"/>
  <c r="K452" i="16" s="1" a="1"/>
  <c r="K452" i="16" s="1"/>
  <c r="P36" i="16"/>
  <c r="K36" i="16" s="1" a="1"/>
  <c r="K36" i="16" s="1"/>
  <c r="P287" i="16"/>
  <c r="K287" i="16" s="1" a="1"/>
  <c r="K287" i="16" s="1"/>
  <c r="P269" i="16"/>
  <c r="K269" i="16" s="1" a="1"/>
  <c r="K269" i="16" s="1"/>
  <c r="P23" i="16"/>
  <c r="K23" i="16" s="1" a="1"/>
  <c r="K23" i="16" s="1"/>
  <c r="P241" i="16"/>
  <c r="K241" i="16" s="1" a="1"/>
  <c r="K241" i="16" s="1"/>
  <c r="P364" i="16"/>
  <c r="K364" i="16" s="1" a="1"/>
  <c r="K364" i="16" s="1"/>
  <c r="P123" i="16"/>
  <c r="K123" i="16" s="1" a="1"/>
  <c r="K123" i="16" s="1"/>
  <c r="P190" i="16"/>
  <c r="K190" i="16" s="1" a="1"/>
  <c r="K190" i="16" s="1"/>
  <c r="P263" i="16"/>
  <c r="K263" i="16" s="1" a="1"/>
  <c r="K263" i="16" s="1"/>
  <c r="P408" i="16"/>
  <c r="K408" i="16" s="1" a="1"/>
  <c r="K408" i="16" s="1"/>
  <c r="P281" i="16"/>
  <c r="K281" i="16" s="1" a="1"/>
  <c r="K281" i="16" s="1"/>
  <c r="P111" i="16"/>
  <c r="K111" i="16" s="1" a="1"/>
  <c r="K111" i="16" s="1"/>
  <c r="P343" i="16"/>
  <c r="K343" i="16" s="1" a="1"/>
  <c r="K343" i="16" s="1"/>
  <c r="P489" i="16"/>
  <c r="K489" i="16" s="1" a="1"/>
  <c r="K489" i="16" s="1"/>
  <c r="P332" i="16"/>
  <c r="K332" i="16" s="1" a="1"/>
  <c r="K332" i="16" s="1"/>
  <c r="P454" i="16"/>
  <c r="K454" i="16" s="1" a="1"/>
  <c r="K454" i="16" s="1"/>
  <c r="P400" i="16"/>
  <c r="P95" i="16"/>
  <c r="K95" i="16" s="1" a="1"/>
  <c r="K95" i="16" s="1"/>
  <c r="P81" i="16"/>
  <c r="K81" i="16" s="1" a="1"/>
  <c r="K81" i="16" s="1"/>
  <c r="P517" i="16"/>
  <c r="K517" i="16" s="1" a="1"/>
  <c r="K517" i="16" s="1"/>
  <c r="P298" i="16"/>
  <c r="K298" i="16" s="1" a="1"/>
  <c r="K298" i="16" s="1"/>
  <c r="P255" i="16"/>
  <c r="K255" i="16" s="1" a="1"/>
  <c r="K255" i="16" s="1"/>
  <c r="P382" i="16"/>
  <c r="K382" i="16" s="1" a="1"/>
  <c r="K382" i="16" s="1"/>
  <c r="P154" i="16"/>
  <c r="K154" i="16" s="1" a="1"/>
  <c r="K154" i="16" s="1"/>
  <c r="P285" i="16"/>
  <c r="K285" i="16" s="1" a="1"/>
  <c r="K285" i="16" s="1"/>
  <c r="P12" i="16"/>
  <c r="K12" i="16" s="1" a="1"/>
  <c r="K12" i="16" s="1"/>
  <c r="P182" i="16"/>
  <c r="K182" i="16" s="1" a="1"/>
  <c r="K182" i="16" s="1"/>
  <c r="K86" i="4"/>
  <c r="I86" i="4"/>
  <c r="K78" i="4"/>
  <c r="F59" i="16" s="1"/>
  <c r="I78" i="4"/>
  <c r="D59" i="16" s="1"/>
  <c r="K70" i="4"/>
  <c r="F39" i="16" s="1"/>
  <c r="I70" i="4"/>
  <c r="D39" i="16" s="1"/>
  <c r="P74" i="16"/>
  <c r="P259" i="16"/>
  <c r="K259" i="16" s="1" a="1"/>
  <c r="K259" i="16" s="1"/>
  <c r="P115" i="16"/>
  <c r="P110" i="16"/>
  <c r="P48" i="16"/>
  <c r="P503" i="16"/>
  <c r="P422" i="16"/>
  <c r="P398" i="16"/>
  <c r="K398" i="16" s="1" a="1"/>
  <c r="K398" i="16" s="1"/>
  <c r="P129" i="16"/>
  <c r="P88" i="16"/>
  <c r="K88" i="16" s="1" a="1"/>
  <c r="K88" i="16" s="1"/>
  <c r="P138" i="16"/>
  <c r="K138" i="16" s="1" a="1"/>
  <c r="K138" i="16" s="1"/>
  <c r="P26" i="16"/>
  <c r="K26" i="16" s="1" a="1"/>
  <c r="K26" i="16" s="1"/>
  <c r="P478" i="16"/>
  <c r="P139" i="16"/>
  <c r="K139" i="16" s="1" a="1"/>
  <c r="K139" i="16" s="1"/>
  <c r="P383" i="16"/>
  <c r="K383" i="16" s="1" a="1"/>
  <c r="K383" i="16" s="1"/>
  <c r="P485" i="16"/>
  <c r="K485" i="16" s="1" a="1"/>
  <c r="K485" i="16" s="1"/>
  <c r="P136" i="16"/>
  <c r="K136" i="16" s="1" a="1"/>
  <c r="K136" i="16" s="1"/>
  <c r="P102" i="16"/>
  <c r="K102" i="16" s="1" a="1"/>
  <c r="K102" i="16" s="1"/>
  <c r="P79" i="16"/>
  <c r="K79" i="16" s="1" a="1"/>
  <c r="K79" i="16" s="1"/>
  <c r="P44" i="16"/>
  <c r="K44" i="16" s="1" a="1"/>
  <c r="K44" i="16" s="1"/>
  <c r="P267" i="16"/>
  <c r="P155" i="16"/>
  <c r="P463" i="16"/>
  <c r="P106" i="16"/>
  <c r="P133" i="16"/>
  <c r="P134" i="16"/>
  <c r="P250" i="16"/>
  <c r="P300" i="16"/>
  <c r="P375" i="16"/>
  <c r="P153" i="16"/>
  <c r="K153" i="16" s="1" a="1"/>
  <c r="K153" i="16" s="1"/>
  <c r="P389" i="16"/>
  <c r="K389" i="16" s="1" a="1"/>
  <c r="K389" i="16" s="1"/>
  <c r="P189" i="16"/>
  <c r="K189" i="16" s="1" a="1"/>
  <c r="K189" i="16" s="1"/>
  <c r="P437" i="16"/>
  <c r="K437" i="16" s="1" a="1"/>
  <c r="K437" i="16" s="1"/>
  <c r="P144" i="16"/>
  <c r="K144" i="16" s="1" a="1"/>
  <c r="K144" i="16" s="1"/>
  <c r="P171" i="16"/>
  <c r="K171" i="16" s="1" a="1"/>
  <c r="K171" i="16" s="1"/>
  <c r="P284" i="16"/>
  <c r="K284" i="16" s="1" a="1"/>
  <c r="K284" i="16" s="1"/>
  <c r="P414" i="16"/>
  <c r="P201" i="16"/>
  <c r="P63" i="16"/>
  <c r="K63" i="16" s="1" a="1"/>
  <c r="K63" i="16" s="1"/>
  <c r="P98" i="16"/>
  <c r="K98" i="16" s="1" a="1"/>
  <c r="K98" i="16" s="1"/>
  <c r="P444" i="16"/>
  <c r="P471" i="16"/>
  <c r="K471" i="16" s="1" a="1"/>
  <c r="K471" i="16" s="1"/>
  <c r="P28" i="16"/>
  <c r="K28" i="16" s="1" a="1"/>
  <c r="K28" i="16" s="1"/>
  <c r="P440" i="16"/>
  <c r="P280" i="16"/>
  <c r="K280" i="16" s="1" a="1"/>
  <c r="K280" i="16" s="1"/>
  <c r="I6" i="4"/>
  <c r="D84" i="16" s="1"/>
  <c r="I28" i="4"/>
  <c r="D264" i="16" s="1"/>
  <c r="I24" i="4"/>
  <c r="D27" i="16" s="1"/>
  <c r="I20" i="4"/>
  <c r="D342" i="16" s="1"/>
  <c r="I16" i="4"/>
  <c r="D316" i="16" s="1"/>
  <c r="I12" i="4"/>
  <c r="D415" i="16" s="1"/>
  <c r="I8" i="4"/>
  <c r="D327" i="16" s="1"/>
  <c r="I89" i="4"/>
  <c r="D133" i="16" s="1"/>
  <c r="I85" i="4"/>
  <c r="D134" i="16" s="1"/>
  <c r="I81" i="4"/>
  <c r="D250" i="16" s="1"/>
  <c r="I77" i="4"/>
  <c r="D300" i="16" s="1"/>
  <c r="I73" i="4"/>
  <c r="D375" i="16" s="1"/>
  <c r="I69" i="4"/>
  <c r="D153" i="16" s="1"/>
  <c r="I65" i="4"/>
  <c r="D389" i="16" s="1"/>
  <c r="I61" i="4"/>
  <c r="D189" i="16" s="1"/>
  <c r="I57" i="4"/>
  <c r="D437" i="16" s="1"/>
  <c r="I53" i="4"/>
  <c r="D144" i="16" s="1"/>
  <c r="I49" i="4"/>
  <c r="D171" i="16" s="1"/>
  <c r="I45" i="4"/>
  <c r="D284" i="16" s="1"/>
  <c r="I41" i="4"/>
  <c r="D414" i="16" s="1"/>
  <c r="I37" i="4"/>
  <c r="D201" i="16" s="1"/>
  <c r="I33" i="4"/>
  <c r="D63" i="16" s="1"/>
  <c r="I29" i="4"/>
  <c r="D98" i="16" s="1"/>
  <c r="I25" i="4"/>
  <c r="D444" i="16" s="1"/>
  <c r="I21" i="4"/>
  <c r="D471" i="16" s="1"/>
  <c r="I17" i="4"/>
  <c r="D28" i="16" s="1"/>
  <c r="I13" i="4"/>
  <c r="I9" i="4"/>
  <c r="D280" i="16" s="1"/>
  <c r="P73" i="16"/>
  <c r="G41" i="27"/>
  <c r="I41" i="27" s="1"/>
  <c r="G60" i="27"/>
  <c r="V42" i="27"/>
  <c r="P7" i="27"/>
  <c r="J7" i="27" s="1"/>
  <c r="L508" i="27"/>
  <c r="P41" i="27"/>
  <c r="P472" i="27"/>
  <c r="E218" i="27"/>
  <c r="P205" i="27"/>
  <c r="K205" i="27" s="1"/>
  <c r="S472" i="27"/>
  <c r="L512" i="27"/>
  <c r="V177" i="27"/>
  <c r="S60" i="27"/>
  <c r="P297" i="27"/>
  <c r="K297" i="27" s="1"/>
  <c r="V450" i="27"/>
  <c r="P250" i="27"/>
  <c r="J250" i="27" s="1"/>
  <c r="V200" i="27"/>
  <c r="F166" i="27"/>
  <c r="V178" i="27"/>
  <c r="G158" i="27"/>
  <c r="I158" i="27" s="1"/>
  <c r="O327" i="16"/>
  <c r="N155" i="16"/>
  <c r="E31" i="27"/>
  <c r="S41" i="27"/>
  <c r="L7" i="27"/>
  <c r="V60" i="27"/>
  <c r="S42" i="27"/>
  <c r="F41" i="27"/>
  <c r="L405" i="27"/>
  <c r="P60" i="27"/>
  <c r="V442" i="27"/>
  <c r="V469" i="27"/>
  <c r="V41" i="27"/>
  <c r="F7" i="27"/>
  <c r="F10" i="27"/>
  <c r="G10" i="27"/>
  <c r="I10" i="27" s="1"/>
  <c r="F196" i="27"/>
  <c r="P446" i="27"/>
  <c r="V390" i="27"/>
  <c r="V291" i="27"/>
  <c r="P167" i="27"/>
  <c r="K167" i="27" s="1"/>
  <c r="V202" i="27"/>
  <c r="S239" i="27"/>
  <c r="S488" i="27"/>
  <c r="P444" i="27"/>
  <c r="K444" i="27" s="1"/>
  <c r="L175" i="27"/>
  <c r="P222" i="27"/>
  <c r="K222" i="27" s="1"/>
  <c r="F164" i="27"/>
  <c r="F388" i="27"/>
  <c r="V239" i="27"/>
  <c r="P184" i="27"/>
  <c r="L242" i="27"/>
  <c r="F241" i="27"/>
  <c r="S166" i="27"/>
  <c r="O406" i="16"/>
  <c r="N201" i="16"/>
  <c r="N414" i="16"/>
  <c r="N99" i="16"/>
  <c r="N46" i="16"/>
  <c r="O46" i="16"/>
  <c r="L261" i="27"/>
  <c r="L300" i="27"/>
  <c r="V234" i="27"/>
  <c r="S430" i="27"/>
  <c r="L268" i="27"/>
  <c r="E126" i="27"/>
  <c r="V154" i="27"/>
  <c r="L236" i="27"/>
  <c r="D360" i="27"/>
  <c r="E338" i="27"/>
  <c r="V400" i="27"/>
  <c r="E188" i="27"/>
  <c r="L378" i="27"/>
  <c r="N373" i="16"/>
  <c r="N450" i="16"/>
  <c r="N134" i="16"/>
  <c r="N184" i="16"/>
  <c r="D452" i="27"/>
  <c r="V317" i="27"/>
  <c r="D216" i="27"/>
  <c r="S308" i="27"/>
  <c r="D349" i="27"/>
  <c r="F436" i="27"/>
  <c r="S434" i="27"/>
  <c r="P505" i="27"/>
  <c r="S327" i="27"/>
  <c r="S216" i="27"/>
  <c r="F366" i="27"/>
  <c r="P479" i="27"/>
  <c r="D445" i="27"/>
  <c r="P264" i="27"/>
  <c r="K264" i="27" s="1"/>
  <c r="P462" i="27"/>
  <c r="S294" i="27"/>
  <c r="E296" i="27"/>
  <c r="L379" i="27"/>
  <c r="F262" i="27"/>
  <c r="D165" i="27"/>
  <c r="V15" i="27"/>
  <c r="V327" i="27"/>
  <c r="E312" i="27"/>
  <c r="E351" i="27"/>
  <c r="F218" i="27"/>
  <c r="E144" i="27"/>
  <c r="E224" i="27"/>
  <c r="D384" i="27"/>
  <c r="F362" i="27"/>
  <c r="D477" i="27"/>
  <c r="P423" i="27"/>
  <c r="F357" i="27"/>
  <c r="F516" i="27"/>
  <c r="L411" i="27"/>
  <c r="S329" i="27"/>
  <c r="L500" i="27"/>
  <c r="P443" i="27"/>
  <c r="K443" i="27" s="1"/>
  <c r="S481" i="27"/>
  <c r="D403" i="27"/>
  <c r="L348" i="27"/>
  <c r="S435" i="27"/>
  <c r="E392" i="27"/>
  <c r="L467" i="27"/>
  <c r="S408" i="27"/>
  <c r="S376" i="27"/>
  <c r="D368" i="27"/>
  <c r="E185" i="27"/>
  <c r="F181" i="27"/>
  <c r="P412" i="27"/>
  <c r="J412" i="27" s="1"/>
  <c r="D295" i="27"/>
  <c r="F264" i="27"/>
  <c r="D410" i="27"/>
  <c r="F308" i="27"/>
  <c r="E307" i="27"/>
  <c r="P236" i="27"/>
  <c r="J236" i="27" s="1"/>
  <c r="E256" i="27"/>
  <c r="D16" i="27"/>
  <c r="S426" i="27"/>
  <c r="P186" i="27"/>
  <c r="K186" i="27" s="1"/>
  <c r="P344" i="27"/>
  <c r="S208" i="27"/>
  <c r="F153" i="27"/>
  <c r="F287" i="27"/>
  <c r="D192" i="27"/>
  <c r="D302" i="27"/>
  <c r="F458" i="27"/>
  <c r="L427" i="27"/>
  <c r="E198" i="27"/>
  <c r="S324" i="27"/>
  <c r="F341" i="27"/>
  <c r="V437" i="27"/>
  <c r="S365" i="27"/>
  <c r="D487" i="27"/>
  <c r="D276" i="27"/>
  <c r="E226" i="27"/>
  <c r="S443" i="27"/>
  <c r="P515" i="27"/>
  <c r="V378" i="27"/>
  <c r="E475" i="27"/>
  <c r="L224" i="27"/>
  <c r="D254" i="27"/>
  <c r="F481" i="27"/>
  <c r="V319" i="27"/>
  <c r="L340" i="27"/>
  <c r="V164" i="27"/>
  <c r="P484" i="27"/>
  <c r="J484" i="27" s="1"/>
  <c r="L407" i="27"/>
  <c r="D381" i="27"/>
  <c r="F369" i="27"/>
  <c r="P173" i="27"/>
  <c r="L424" i="27"/>
  <c r="L418" i="27"/>
  <c r="P427" i="27"/>
  <c r="K427" i="27" s="1"/>
  <c r="L454" i="27"/>
  <c r="P418" i="27"/>
  <c r="V404" i="27"/>
  <c r="S287" i="27"/>
  <c r="S336" i="27"/>
  <c r="S319" i="27"/>
  <c r="S210" i="27"/>
  <c r="D404" i="27"/>
  <c r="D509" i="27"/>
  <c r="P460" i="27"/>
  <c r="K460" i="27" s="1"/>
  <c r="L406" i="27"/>
  <c r="V446" i="27"/>
  <c r="V458" i="27"/>
  <c r="S391" i="27"/>
  <c r="S260" i="27"/>
  <c r="P337" i="27"/>
  <c r="J337" i="27" s="1"/>
  <c r="L472" i="27"/>
  <c r="P382" i="27"/>
  <c r="F502" i="27"/>
  <c r="D316" i="27"/>
  <c r="L480" i="27"/>
  <c r="L413" i="27"/>
  <c r="S217" i="27"/>
  <c r="F217" i="27"/>
  <c r="S284" i="27"/>
  <c r="P126" i="27"/>
  <c r="J126" i="27" s="1"/>
  <c r="E418" i="27"/>
  <c r="V238" i="27"/>
  <c r="P196" i="27"/>
  <c r="F167" i="27"/>
  <c r="L208" i="27"/>
  <c r="L400" i="27"/>
  <c r="L237" i="27"/>
  <c r="F292" i="27"/>
  <c r="P312" i="27"/>
  <c r="F195" i="27"/>
  <c r="D173" i="27"/>
  <c r="D196" i="27"/>
  <c r="S346" i="27"/>
  <c r="E314" i="27"/>
  <c r="E503" i="27"/>
  <c r="P259" i="27"/>
  <c r="S325" i="27"/>
  <c r="P346" i="27"/>
  <c r="E504" i="27"/>
  <c r="V150" i="27"/>
  <c r="V289" i="27"/>
  <c r="P214" i="27"/>
  <c r="F349" i="27"/>
  <c r="V338" i="27"/>
  <c r="F495" i="27"/>
  <c r="E288" i="27"/>
  <c r="S249" i="27"/>
  <c r="L294" i="27"/>
  <c r="V447" i="27"/>
  <c r="V505" i="27"/>
  <c r="L451" i="27"/>
  <c r="E235" i="27"/>
  <c r="P207" i="27"/>
  <c r="P192" i="27"/>
  <c r="J192" i="27" s="1"/>
  <c r="P20" i="27"/>
  <c r="V192" i="27"/>
  <c r="D209" i="27"/>
  <c r="L211" i="27"/>
  <c r="V455" i="27"/>
  <c r="L278" i="27"/>
  <c r="L493" i="27"/>
  <c r="L250" i="27"/>
  <c r="V283" i="27"/>
  <c r="S301" i="27"/>
  <c r="V144" i="27"/>
  <c r="D370" i="27"/>
  <c r="E448" i="27"/>
  <c r="S202" i="27"/>
  <c r="S450" i="27"/>
  <c r="L515" i="27"/>
  <c r="V194" i="27"/>
  <c r="D261" i="27"/>
  <c r="D203" i="27"/>
  <c r="F419" i="27"/>
  <c r="D310" i="27"/>
  <c r="E384" i="27"/>
  <c r="S215" i="27"/>
  <c r="S281" i="27"/>
  <c r="L166" i="27"/>
  <c r="E246" i="27"/>
  <c r="V275" i="27"/>
  <c r="E315" i="27"/>
  <c r="P262" i="27"/>
  <c r="L439" i="27"/>
  <c r="E241" i="27"/>
  <c r="V267" i="27"/>
  <c r="P314" i="27"/>
  <c r="L223" i="27"/>
  <c r="P233" i="27"/>
  <c r="J233" i="27" s="1"/>
  <c r="D23" i="27"/>
  <c r="S179" i="27"/>
  <c r="E160" i="27"/>
  <c r="V176" i="27"/>
  <c r="E199" i="27"/>
  <c r="V169" i="27"/>
  <c r="D243" i="27"/>
  <c r="E200" i="27"/>
  <c r="L206" i="27"/>
  <c r="L189" i="27"/>
  <c r="P84" i="27"/>
  <c r="E262" i="27"/>
  <c r="E328" i="27"/>
  <c r="P498" i="27"/>
  <c r="J498" i="27" s="1"/>
  <c r="V351" i="27"/>
  <c r="E496" i="27"/>
  <c r="L248" i="27"/>
  <c r="V246" i="27"/>
  <c r="S288" i="27"/>
  <c r="L230" i="27"/>
  <c r="P376" i="27"/>
  <c r="V513" i="27"/>
  <c r="E388" i="27"/>
  <c r="S490" i="27"/>
  <c r="D185" i="27"/>
  <c r="D253" i="27"/>
  <c r="D338" i="27"/>
  <c r="S272" i="27"/>
  <c r="S330" i="27"/>
  <c r="L488" i="27"/>
  <c r="D300" i="27"/>
  <c r="L274" i="27"/>
  <c r="D242" i="27"/>
  <c r="L430" i="27"/>
  <c r="P518" i="27"/>
  <c r="K518" i="27" s="1"/>
  <c r="S468" i="27"/>
  <c r="V217" i="27"/>
  <c r="V298" i="27"/>
  <c r="D157" i="27"/>
  <c r="L156" i="27"/>
  <c r="P225" i="27"/>
  <c r="K225" i="27" s="1"/>
  <c r="E258" i="27"/>
  <c r="D174" i="27"/>
  <c r="V155" i="27"/>
  <c r="D169" i="27"/>
  <c r="V170" i="27"/>
  <c r="V214" i="27"/>
  <c r="S461" i="27"/>
  <c r="D390" i="27"/>
  <c r="V485" i="27"/>
  <c r="V394" i="27"/>
  <c r="F189" i="27"/>
  <c r="V507" i="27"/>
  <c r="L464" i="27"/>
  <c r="V498" i="27"/>
  <c r="E330" i="27"/>
  <c r="E345" i="27"/>
  <c r="L190" i="27"/>
  <c r="V310" i="27"/>
  <c r="E404" i="27"/>
  <c r="F177" i="27"/>
  <c r="L468" i="27"/>
  <c r="D475" i="27"/>
  <c r="D321" i="27"/>
  <c r="V461" i="27"/>
  <c r="L380" i="27"/>
  <c r="L372" i="27"/>
  <c r="F459" i="27"/>
  <c r="F329" i="27"/>
  <c r="E477" i="27"/>
  <c r="D417" i="27"/>
  <c r="P316" i="27"/>
  <c r="F236" i="27"/>
  <c r="L31" i="27"/>
  <c r="F247" i="27"/>
  <c r="E313" i="27"/>
  <c r="D171" i="27"/>
  <c r="L188" i="27"/>
  <c r="E286" i="27"/>
  <c r="L203" i="27"/>
  <c r="L161" i="27"/>
  <c r="S242" i="27"/>
  <c r="P168" i="27"/>
  <c r="E204" i="27"/>
  <c r="L187" i="27"/>
  <c r="L234" i="27"/>
  <c r="D84" i="27"/>
  <c r="D515" i="27"/>
  <c r="L305" i="27"/>
  <c r="D503" i="27"/>
  <c r="E520" i="27"/>
  <c r="P452" i="27"/>
  <c r="S357" i="27"/>
  <c r="P201" i="27"/>
  <c r="D255" i="27"/>
  <c r="F24" i="27"/>
  <c r="V315" i="27"/>
  <c r="D508" i="27"/>
  <c r="V466" i="27"/>
  <c r="E217" i="27"/>
  <c r="S258" i="27"/>
  <c r="D228" i="27"/>
  <c r="F151" i="27"/>
  <c r="S192" i="27"/>
  <c r="F172" i="27"/>
  <c r="F232" i="27"/>
  <c r="F185" i="27"/>
  <c r="E239" i="27"/>
  <c r="V336" i="27"/>
  <c r="F506" i="27"/>
  <c r="F432" i="27"/>
  <c r="P224" i="27"/>
  <c r="V228" i="27"/>
  <c r="V360" i="27"/>
  <c r="V514" i="27"/>
  <c r="D284" i="27"/>
  <c r="S282" i="27"/>
  <c r="P235" i="27"/>
  <c r="V174" i="27"/>
  <c r="P269" i="27"/>
  <c r="K269" i="27" s="1"/>
  <c r="D250" i="27"/>
  <c r="E450" i="27"/>
  <c r="F374" i="27"/>
  <c r="F496" i="27"/>
  <c r="F245" i="27"/>
  <c r="E297" i="27"/>
  <c r="F355" i="27"/>
  <c r="E360" i="27"/>
  <c r="P212" i="27"/>
  <c r="E242" i="27"/>
  <c r="D282" i="27"/>
  <c r="F159" i="27"/>
  <c r="D245" i="27"/>
  <c r="F12" i="27"/>
  <c r="S169" i="27"/>
  <c r="F204" i="27"/>
  <c r="S332" i="27"/>
  <c r="F452" i="27"/>
  <c r="S337" i="27"/>
  <c r="E519" i="27"/>
  <c r="E250" i="27"/>
  <c r="L283" i="27"/>
  <c r="S442" i="27"/>
  <c r="S335" i="27"/>
  <c r="E255" i="27"/>
  <c r="L254" i="27"/>
  <c r="D424" i="27"/>
  <c r="L354" i="27"/>
  <c r="D241" i="27"/>
  <c r="S233" i="27"/>
  <c r="F364" i="27"/>
  <c r="L498" i="27"/>
  <c r="L457" i="27"/>
  <c r="D198" i="27"/>
  <c r="S317" i="27"/>
  <c r="S255" i="27"/>
  <c r="D159" i="27"/>
  <c r="P158" i="27"/>
  <c r="V30" i="27"/>
  <c r="P266" i="27"/>
  <c r="F353" i="27"/>
  <c r="S149" i="27"/>
  <c r="S237" i="27"/>
  <c r="E490" i="27"/>
  <c r="D465" i="27"/>
  <c r="P323" i="27"/>
  <c r="D408" i="27"/>
  <c r="S164" i="27"/>
  <c r="S161" i="27"/>
  <c r="L227" i="27"/>
  <c r="E295" i="27"/>
  <c r="D444" i="27"/>
  <c r="F485" i="27"/>
  <c r="S167" i="27"/>
  <c r="E157" i="27"/>
  <c r="S84" i="27"/>
  <c r="F84" i="27"/>
  <c r="V422" i="27"/>
  <c r="V230" i="27"/>
  <c r="E166" i="27"/>
  <c r="F428" i="27"/>
  <c r="L497" i="27"/>
  <c r="P286" i="27"/>
  <c r="J286" i="27" s="1"/>
  <c r="V385" i="27"/>
  <c r="L219" i="27"/>
  <c r="P482" i="27"/>
  <c r="D401" i="27"/>
  <c r="P366" i="27"/>
  <c r="S503" i="27"/>
  <c r="E406" i="27"/>
  <c r="F251" i="27"/>
  <c r="L319" i="27"/>
  <c r="L126" i="27"/>
  <c r="F228" i="27"/>
  <c r="F311" i="27"/>
  <c r="D186" i="27"/>
  <c r="S407" i="27"/>
  <c r="V203" i="27"/>
  <c r="P231" i="27"/>
  <c r="P247" i="27"/>
  <c r="E340" i="27"/>
  <c r="D468" i="27"/>
  <c r="E208" i="27"/>
  <c r="E431" i="27"/>
  <c r="F410" i="27"/>
  <c r="E281" i="27"/>
  <c r="P283" i="27"/>
  <c r="D280" i="27"/>
  <c r="D472" i="27"/>
  <c r="F510" i="27"/>
  <c r="E240" i="27"/>
  <c r="V454" i="27"/>
  <c r="D320" i="27"/>
  <c r="P509" i="27"/>
  <c r="F186" i="27"/>
  <c r="P305" i="27"/>
  <c r="K305" i="27" s="1"/>
  <c r="E24" i="27"/>
  <c r="F197" i="27"/>
  <c r="D179" i="27"/>
  <c r="P270" i="27"/>
  <c r="J270" i="27" s="1"/>
  <c r="P257" i="27"/>
  <c r="K257" i="27" s="1"/>
  <c r="F187" i="27"/>
  <c r="V198" i="27"/>
  <c r="E30" i="27"/>
  <c r="S16" i="27"/>
  <c r="V210" i="27"/>
  <c r="D443" i="27"/>
  <c r="F331" i="27"/>
  <c r="S518" i="27"/>
  <c r="D286" i="27"/>
  <c r="S230" i="27"/>
  <c r="D431" i="27"/>
  <c r="V354" i="27"/>
  <c r="V482" i="27"/>
  <c r="L221" i="27"/>
  <c r="D376" i="27"/>
  <c r="S510" i="27"/>
  <c r="V460" i="27"/>
  <c r="V232" i="27"/>
  <c r="E271" i="27"/>
  <c r="F324" i="27"/>
  <c r="V508" i="27"/>
  <c r="F206" i="27"/>
  <c r="P150" i="27"/>
  <c r="E261" i="27"/>
  <c r="L282" i="27"/>
  <c r="F183" i="27"/>
  <c r="S514" i="27"/>
  <c r="S484" i="27"/>
  <c r="F261" i="27"/>
  <c r="D507" i="27"/>
  <c r="D364" i="27"/>
  <c r="S229" i="27"/>
  <c r="D272" i="27"/>
  <c r="P258" i="27"/>
  <c r="K258" i="27" s="1"/>
  <c r="V332" i="27"/>
  <c r="V318" i="27"/>
  <c r="F276" i="27"/>
  <c r="S466" i="27"/>
  <c r="L218" i="27"/>
  <c r="L358" i="27"/>
  <c r="D177" i="27"/>
  <c r="S189" i="27"/>
  <c r="E189" i="27"/>
  <c r="S176" i="27"/>
  <c r="L507" i="27"/>
  <c r="V331" i="27"/>
  <c r="V282" i="27"/>
  <c r="D236" i="27"/>
  <c r="S331" i="27"/>
  <c r="P260" i="27"/>
  <c r="K260" i="27" s="1"/>
  <c r="D512" i="27"/>
  <c r="E458" i="27"/>
  <c r="F273" i="27"/>
  <c r="V201" i="27"/>
  <c r="V326" i="27"/>
  <c r="L285" i="27"/>
  <c r="P24" i="27"/>
  <c r="F230" i="27"/>
  <c r="L163" i="27"/>
  <c r="F380" i="27"/>
  <c r="V322" i="27"/>
  <c r="L249" i="27"/>
  <c r="E365" i="27"/>
  <c r="D305" i="27"/>
  <c r="D448" i="27"/>
  <c r="D294" i="27"/>
  <c r="E152" i="27"/>
  <c r="L373" i="27"/>
  <c r="V284" i="27"/>
  <c r="P377" i="27"/>
  <c r="F255" i="27"/>
  <c r="P217" i="27"/>
  <c r="D480" i="27"/>
  <c r="L397" i="27"/>
  <c r="P448" i="27"/>
  <c r="S515" i="27"/>
  <c r="L314" i="27"/>
  <c r="D20" i="27"/>
  <c r="S177" i="27"/>
  <c r="E209" i="27"/>
  <c r="S290" i="27"/>
  <c r="F393" i="27"/>
  <c r="S419" i="27"/>
  <c r="L495" i="27"/>
  <c r="S321" i="27"/>
  <c r="V179" i="27"/>
  <c r="P261" i="27"/>
  <c r="D239" i="27"/>
  <c r="S424" i="27"/>
  <c r="D451" i="27"/>
  <c r="P302" i="27"/>
  <c r="S250" i="27"/>
  <c r="L317" i="27"/>
  <c r="P239" i="27"/>
  <c r="S504" i="27"/>
  <c r="P290" i="27"/>
  <c r="K290" i="27" s="1"/>
  <c r="V500" i="27"/>
  <c r="S289" i="27"/>
  <c r="S313" i="27"/>
  <c r="S226" i="27"/>
  <c r="L338" i="27"/>
  <c r="D197" i="27"/>
  <c r="S437" i="27"/>
  <c r="D500" i="27"/>
  <c r="E221" i="27"/>
  <c r="D283" i="27"/>
  <c r="D176" i="27"/>
  <c r="D281" i="27"/>
  <c r="V245" i="27"/>
  <c r="F240" i="27"/>
  <c r="V431" i="27"/>
  <c r="D288" i="27"/>
  <c r="S265" i="27"/>
  <c r="F163" i="27"/>
  <c r="L465" i="27"/>
  <c r="E347" i="27"/>
  <c r="L232" i="27"/>
  <c r="V484" i="27"/>
  <c r="L177" i="27"/>
  <c r="E317" i="27"/>
  <c r="V186" i="27"/>
  <c r="P364" i="27"/>
  <c r="K364" i="27" s="1"/>
  <c r="F317" i="27"/>
  <c r="P287" i="27"/>
  <c r="D447" i="27"/>
  <c r="S423" i="27"/>
  <c r="F243" i="27"/>
  <c r="P241" i="27"/>
  <c r="S425" i="27"/>
  <c r="L240" i="27"/>
  <c r="S263" i="27"/>
  <c r="E305" i="27"/>
  <c r="E368" i="27"/>
  <c r="D375" i="27"/>
  <c r="S268" i="27"/>
  <c r="P322" i="27"/>
  <c r="L385" i="27"/>
  <c r="P292" i="27"/>
  <c r="D458" i="27"/>
  <c r="F272" i="27"/>
  <c r="F15" i="27"/>
  <c r="F193" i="27"/>
  <c r="F227" i="27"/>
  <c r="D224" i="27"/>
  <c r="D486" i="27"/>
  <c r="L247" i="27"/>
  <c r="P202" i="27"/>
  <c r="S170" i="27"/>
  <c r="V199" i="27"/>
  <c r="L410" i="27"/>
  <c r="F418" i="27"/>
  <c r="V242" i="27"/>
  <c r="D324" i="27"/>
  <c r="E153" i="27"/>
  <c r="S197" i="27"/>
  <c r="F158" i="27"/>
  <c r="D156" i="27"/>
  <c r="L241" i="27"/>
  <c r="E248" i="27"/>
  <c r="D252" i="27"/>
  <c r="E357" i="27"/>
  <c r="D482" i="27"/>
  <c r="P428" i="27"/>
  <c r="F461" i="27"/>
  <c r="E449" i="27"/>
  <c r="E176" i="27"/>
  <c r="V270" i="27"/>
  <c r="L356" i="27"/>
  <c r="E420" i="27"/>
  <c r="L281" i="27"/>
  <c r="E158" i="27"/>
  <c r="D162" i="27"/>
  <c r="S144" i="27"/>
  <c r="L176" i="27"/>
  <c r="S278" i="27"/>
  <c r="D206" i="27"/>
  <c r="V175" i="27"/>
  <c r="F370" i="27"/>
  <c r="F208" i="27"/>
  <c r="V495" i="27"/>
  <c r="L276" i="27"/>
  <c r="E190" i="27"/>
  <c r="V376" i="27"/>
  <c r="D266" i="27"/>
  <c r="S220" i="27"/>
  <c r="L244" i="27"/>
  <c r="V464" i="27"/>
  <c r="V288" i="27"/>
  <c r="D274" i="27"/>
  <c r="L502" i="27"/>
  <c r="E298" i="27"/>
  <c r="F301" i="27"/>
  <c r="E28" i="27"/>
  <c r="V496" i="27"/>
  <c r="F225" i="27"/>
  <c r="L387" i="27"/>
  <c r="D188" i="27"/>
  <c r="E207" i="27"/>
  <c r="D363" i="27"/>
  <c r="L332" i="27"/>
  <c r="P457" i="27"/>
  <c r="E363" i="27"/>
  <c r="E438" i="27"/>
  <c r="D289" i="27"/>
  <c r="V415" i="27"/>
  <c r="L144" i="27"/>
  <c r="L435" i="27"/>
  <c r="E488" i="27"/>
  <c r="P189" i="27"/>
  <c r="K189" i="27" s="1"/>
  <c r="L355" i="27"/>
  <c r="S404" i="27"/>
  <c r="V380" i="27"/>
  <c r="P410" i="27"/>
  <c r="J410" i="27" s="1"/>
  <c r="F449" i="27"/>
  <c r="L295" i="27"/>
  <c r="P508" i="27"/>
  <c r="E470" i="27"/>
  <c r="E451" i="27"/>
  <c r="P414" i="27"/>
  <c r="L301" i="27"/>
  <c r="V219" i="27"/>
  <c r="E165" i="27"/>
  <c r="P304" i="27"/>
  <c r="L334" i="27"/>
  <c r="P497" i="27"/>
  <c r="V358" i="27"/>
  <c r="V247" i="27"/>
  <c r="D449" i="27"/>
  <c r="P407" i="27"/>
  <c r="E485" i="27"/>
  <c r="D466" i="27"/>
  <c r="S374" i="27"/>
  <c r="L280" i="27"/>
  <c r="L474" i="27"/>
  <c r="E395" i="27"/>
  <c r="S392" i="27"/>
  <c r="D194" i="27"/>
  <c r="E171" i="27"/>
  <c r="E383" i="27"/>
  <c r="P252" i="27"/>
  <c r="F316" i="27"/>
  <c r="S227" i="27"/>
  <c r="F252" i="27"/>
  <c r="F165" i="27"/>
  <c r="S379" i="27"/>
  <c r="L183" i="27"/>
  <c r="V23" i="27"/>
  <c r="S502" i="27"/>
  <c r="V479" i="27"/>
  <c r="D504" i="27"/>
  <c r="S465" i="27"/>
  <c r="F520" i="27"/>
  <c r="D464" i="27"/>
  <c r="V395" i="27"/>
  <c r="E355" i="27"/>
  <c r="F498" i="27"/>
  <c r="S433" i="27"/>
  <c r="D491" i="27"/>
  <c r="F463" i="27"/>
  <c r="F405" i="27"/>
  <c r="D411" i="27"/>
  <c r="S334" i="27"/>
  <c r="L429" i="27"/>
  <c r="P299" i="27"/>
  <c r="L306" i="27"/>
  <c r="D457" i="27"/>
  <c r="F411" i="27"/>
  <c r="D391" i="27"/>
  <c r="D385" i="27"/>
  <c r="D371" i="27"/>
  <c r="S236" i="27"/>
  <c r="S240" i="27"/>
  <c r="D182" i="27"/>
  <c r="D15" i="27"/>
  <c r="D394" i="27"/>
  <c r="D229" i="27"/>
  <c r="D213" i="27"/>
  <c r="F260" i="27"/>
  <c r="S380" i="27"/>
  <c r="S406" i="27"/>
  <c r="P334" i="27"/>
  <c r="J334" i="27" s="1"/>
  <c r="L209" i="27"/>
  <c r="V223" i="27"/>
  <c r="E377" i="27"/>
  <c r="D214" i="27"/>
  <c r="S303" i="27"/>
  <c r="V197" i="27"/>
  <c r="P268" i="27"/>
  <c r="J268" i="27" s="1"/>
  <c r="L375" i="27"/>
  <c r="D189" i="27"/>
  <c r="S187" i="27"/>
  <c r="P249" i="27"/>
  <c r="J249" i="27" s="1"/>
  <c r="D459" i="27"/>
  <c r="E358" i="27"/>
  <c r="P203" i="27"/>
  <c r="S309" i="27"/>
  <c r="D518" i="27"/>
  <c r="L389" i="27"/>
  <c r="E391" i="27"/>
  <c r="D346" i="27"/>
  <c r="F213" i="27"/>
  <c r="D167" i="27"/>
  <c r="P416" i="27"/>
  <c r="F371" i="27"/>
  <c r="P388" i="27"/>
  <c r="K388" i="27" s="1"/>
  <c r="V470" i="27"/>
  <c r="E321" i="27"/>
  <c r="V375" i="27"/>
  <c r="D318" i="27"/>
  <c r="E381" i="27"/>
  <c r="L514" i="27"/>
  <c r="P421" i="27"/>
  <c r="E369" i="27"/>
  <c r="D297" i="27"/>
  <c r="S291" i="27"/>
  <c r="D219" i="27"/>
  <c r="P389" i="27"/>
  <c r="J389" i="27" s="1"/>
  <c r="E266" i="27"/>
  <c r="L172" i="27"/>
  <c r="L361" i="27"/>
  <c r="P31" i="27"/>
  <c r="K31" i="27" s="1"/>
  <c r="V453" i="27"/>
  <c r="F469" i="27"/>
  <c r="L331" i="27"/>
  <c r="D446" i="27"/>
  <c r="P405" i="27"/>
  <c r="S328" i="27"/>
  <c r="D495" i="27"/>
  <c r="V216" i="27"/>
  <c r="S320" i="27"/>
  <c r="D396" i="27"/>
  <c r="L347" i="27"/>
  <c r="D484" i="27"/>
  <c r="S487" i="27"/>
  <c r="E202" i="27"/>
  <c r="S418" i="27"/>
  <c r="S373" i="27"/>
  <c r="V411" i="27"/>
  <c r="P311" i="27"/>
  <c r="S221" i="27"/>
  <c r="V361" i="27"/>
  <c r="L185" i="27"/>
  <c r="V391" i="27"/>
  <c r="E380" i="27"/>
  <c r="D355" i="27"/>
  <c r="L303" i="27"/>
  <c r="F238" i="27"/>
  <c r="E263" i="27"/>
  <c r="F265" i="27"/>
  <c r="L168" i="27"/>
  <c r="P379" i="27"/>
  <c r="E319" i="27"/>
  <c r="E353" i="27"/>
  <c r="S214" i="27"/>
  <c r="D158" i="27"/>
  <c r="P175" i="27"/>
  <c r="V188" i="27"/>
  <c r="S198" i="27"/>
  <c r="F297" i="27"/>
  <c r="S520" i="27"/>
  <c r="F332" i="27"/>
  <c r="V434" i="27"/>
  <c r="D362" i="27"/>
  <c r="E476" i="27"/>
  <c r="F477" i="27"/>
  <c r="E414" i="27"/>
  <c r="D492" i="27"/>
  <c r="E370" i="27"/>
  <c r="S498" i="27"/>
  <c r="L443" i="27"/>
  <c r="D473" i="27"/>
  <c r="P440" i="27"/>
  <c r="J440" i="27" s="1"/>
  <c r="P483" i="27"/>
  <c r="V403" i="27"/>
  <c r="S393" i="27"/>
  <c r="V386" i="27"/>
  <c r="V349" i="27"/>
  <c r="S307" i="27"/>
  <c r="E203" i="27"/>
  <c r="S445" i="27"/>
  <c r="E362" i="27"/>
  <c r="S512" i="27"/>
  <c r="D342" i="27"/>
  <c r="S513" i="27"/>
  <c r="V472" i="27"/>
  <c r="L403" i="27"/>
  <c r="V436" i="27"/>
  <c r="D386" i="27"/>
  <c r="S368" i="27"/>
  <c r="E292" i="27"/>
  <c r="S506" i="27"/>
  <c r="E378" i="27"/>
  <c r="D296" i="27"/>
  <c r="F438" i="27"/>
  <c r="F256" i="27"/>
  <c r="V478" i="27"/>
  <c r="S467" i="27"/>
  <c r="E435" i="27"/>
  <c r="L438" i="27"/>
  <c r="P397" i="27"/>
  <c r="F421" i="27"/>
  <c r="S378" i="27"/>
  <c r="S403" i="27"/>
  <c r="F325" i="27"/>
  <c r="F233" i="27"/>
  <c r="E306" i="27"/>
  <c r="S184" i="27"/>
  <c r="S178" i="27"/>
  <c r="D178" i="27"/>
  <c r="L309" i="27"/>
  <c r="V389" i="27"/>
  <c r="S252" i="27"/>
  <c r="E373" i="27"/>
  <c r="F278" i="27"/>
  <c r="E193" i="27"/>
  <c r="P280" i="27"/>
  <c r="F318" i="27"/>
  <c r="V151" i="27"/>
  <c r="V237" i="27"/>
  <c r="P381" i="27"/>
  <c r="K381" i="27" s="1"/>
  <c r="D153" i="27"/>
  <c r="F335" i="27"/>
  <c r="S244" i="27"/>
  <c r="L363" i="27"/>
  <c r="P254" i="27"/>
  <c r="K254" i="27" s="1"/>
  <c r="P368" i="27"/>
  <c r="S256" i="27"/>
  <c r="V187" i="27"/>
  <c r="V165" i="27"/>
  <c r="S222" i="27"/>
  <c r="F344" i="27"/>
  <c r="E149" i="27"/>
  <c r="D369" i="27"/>
  <c r="P209" i="27"/>
  <c r="F315" i="27"/>
  <c r="S211" i="27"/>
  <c r="V312" i="27"/>
  <c r="D227" i="27"/>
  <c r="V265" i="27"/>
  <c r="S247" i="27"/>
  <c r="E276" i="27"/>
  <c r="P216" i="27"/>
  <c r="D28" i="27"/>
  <c r="P223" i="27"/>
  <c r="K223" i="27" s="1"/>
  <c r="D205" i="27"/>
  <c r="E84" i="27"/>
  <c r="F274" i="27"/>
  <c r="V190" i="27"/>
  <c r="S286" i="27"/>
  <c r="V365" i="27"/>
  <c r="F448" i="27"/>
  <c r="P502" i="27"/>
  <c r="K502" i="27" s="1"/>
  <c r="L318" i="27"/>
  <c r="S455" i="27"/>
  <c r="V490" i="27"/>
  <c r="P243" i="27"/>
  <c r="K243" i="27" s="1"/>
  <c r="S270" i="27"/>
  <c r="D172" i="27"/>
  <c r="P267" i="27"/>
  <c r="L270" i="27"/>
  <c r="D304" i="27"/>
  <c r="P347" i="27"/>
  <c r="L501" i="27"/>
  <c r="S470" i="27"/>
  <c r="L325" i="27"/>
  <c r="E412" i="27"/>
  <c r="L157" i="27"/>
  <c r="D175" i="27"/>
  <c r="V255" i="27"/>
  <c r="S246" i="27"/>
  <c r="V296" i="27"/>
  <c r="V483" i="27"/>
  <c r="V467" i="27"/>
  <c r="D519" i="27"/>
  <c r="D406" i="27"/>
  <c r="P378" i="27"/>
  <c r="L366" i="27"/>
  <c r="E211" i="27"/>
  <c r="V161" i="27"/>
  <c r="S160" i="27"/>
  <c r="V286" i="27"/>
  <c r="P169" i="27"/>
  <c r="L155" i="27"/>
  <c r="P306" i="27"/>
  <c r="S219" i="27"/>
  <c r="S181" i="27"/>
  <c r="E16" i="27"/>
  <c r="P163" i="27"/>
  <c r="P190" i="27"/>
  <c r="L392" i="27"/>
  <c r="E452" i="27"/>
  <c r="V346" i="27"/>
  <c r="S413" i="27"/>
  <c r="V408" i="27"/>
  <c r="P424" i="27"/>
  <c r="K424" i="27" s="1"/>
  <c r="L279" i="27"/>
  <c r="L395" i="27"/>
  <c r="D311" i="27"/>
  <c r="E318" i="27"/>
  <c r="S511" i="27"/>
  <c r="L402" i="27"/>
  <c r="F360" i="27"/>
  <c r="L207" i="27"/>
  <c r="F211" i="27"/>
  <c r="S266" i="27"/>
  <c r="V294" i="27"/>
  <c r="S387" i="27"/>
  <c r="F223" i="27"/>
  <c r="D151" i="27"/>
  <c r="V300" i="27"/>
  <c r="P278" i="27"/>
  <c r="D339" i="27"/>
  <c r="D247" i="27"/>
  <c r="L251" i="27"/>
  <c r="V209" i="27"/>
  <c r="S158" i="27"/>
  <c r="L179" i="27"/>
  <c r="E186" i="27"/>
  <c r="S186" i="27"/>
  <c r="D428" i="27"/>
  <c r="P492" i="27"/>
  <c r="F348" i="27"/>
  <c r="P463" i="27"/>
  <c r="D426" i="27"/>
  <c r="P451" i="27"/>
  <c r="P307" i="27"/>
  <c r="V420" i="27"/>
  <c r="E459" i="27"/>
  <c r="S458" i="27"/>
  <c r="E426" i="27"/>
  <c r="D438" i="27"/>
  <c r="P325" i="27"/>
  <c r="K325" i="27" s="1"/>
  <c r="P328" i="27"/>
  <c r="V494" i="27"/>
  <c r="P425" i="27"/>
  <c r="J425" i="27" s="1"/>
  <c r="D238" i="27"/>
  <c r="V233" i="27"/>
  <c r="E440" i="27"/>
  <c r="S440" i="27"/>
  <c r="F416" i="27"/>
  <c r="E325" i="27"/>
  <c r="P362" i="27"/>
  <c r="P468" i="27"/>
  <c r="K468" i="27" s="1"/>
  <c r="E376" i="27"/>
  <c r="S439" i="27"/>
  <c r="V517" i="27"/>
  <c r="V435" i="27"/>
  <c r="P469" i="27"/>
  <c r="E408" i="27"/>
  <c r="F382" i="27"/>
  <c r="L408" i="27"/>
  <c r="D389" i="27"/>
  <c r="L291" i="27"/>
  <c r="D326" i="27"/>
  <c r="L299" i="27"/>
  <c r="S444" i="27"/>
  <c r="E379" i="27"/>
  <c r="S422" i="27"/>
  <c r="V262" i="27"/>
  <c r="S340" i="27"/>
  <c r="D193" i="27"/>
  <c r="L152" i="27"/>
  <c r="L169" i="27"/>
  <c r="P361" i="27"/>
  <c r="K361" i="27" s="1"/>
  <c r="P198" i="27"/>
  <c r="P272" i="27"/>
  <c r="V329" i="27"/>
  <c r="E219" i="27"/>
  <c r="P181" i="27"/>
  <c r="D181" i="27"/>
  <c r="S180" i="27"/>
  <c r="V325" i="27"/>
  <c r="S382" i="27"/>
  <c r="S375" i="27"/>
  <c r="E227" i="27"/>
  <c r="E300" i="27"/>
  <c r="D195" i="27"/>
  <c r="D154" i="27"/>
  <c r="P315" i="27"/>
  <c r="L195" i="27"/>
  <c r="F154" i="27"/>
  <c r="E257" i="27"/>
  <c r="S163" i="27"/>
  <c r="P157" i="27"/>
  <c r="V163" i="27"/>
  <c r="F220" i="27"/>
  <c r="P265" i="27"/>
  <c r="D427" i="27"/>
  <c r="V489" i="27"/>
  <c r="F376" i="27"/>
  <c r="D474" i="27"/>
  <c r="D259" i="27"/>
  <c r="V243" i="27"/>
  <c r="V244" i="27"/>
  <c r="L149" i="27"/>
  <c r="E289" i="27"/>
  <c r="E337" i="27"/>
  <c r="F384" i="27"/>
  <c r="S453" i="27"/>
  <c r="F312" i="27"/>
  <c r="V339" i="27"/>
  <c r="F440" i="27"/>
  <c r="L499" i="27"/>
  <c r="S209" i="27"/>
  <c r="V309" i="27"/>
  <c r="E168" i="27"/>
  <c r="E212" i="27"/>
  <c r="P232" i="27"/>
  <c r="D248" i="27"/>
  <c r="V321" i="27"/>
  <c r="P392" i="27"/>
  <c r="V456" i="27"/>
  <c r="E494" i="27"/>
  <c r="D327" i="27"/>
  <c r="P400" i="27"/>
  <c r="E492" i="27"/>
  <c r="V235" i="27"/>
  <c r="S156" i="27"/>
  <c r="E274" i="27"/>
  <c r="E222" i="27"/>
  <c r="V225" i="27"/>
  <c r="V260" i="27"/>
  <c r="D352" i="27"/>
  <c r="F406" i="27"/>
  <c r="F487" i="27"/>
  <c r="V264" i="27"/>
  <c r="P349" i="27"/>
  <c r="J349" i="27" s="1"/>
  <c r="P458" i="27"/>
  <c r="E483" i="27"/>
  <c r="D285" i="27"/>
  <c r="P282" i="27"/>
  <c r="V221" i="27"/>
  <c r="T221" i="27" s="1"/>
  <c r="E201" i="27"/>
  <c r="L235" i="27"/>
  <c r="E177" i="27"/>
  <c r="V172" i="27"/>
  <c r="F214" i="27"/>
  <c r="S30" i="27"/>
  <c r="L159" i="27"/>
  <c r="L257" i="27"/>
  <c r="F171" i="27"/>
  <c r="L16" i="27"/>
  <c r="E172" i="27"/>
  <c r="F170" i="27"/>
  <c r="P273" i="27"/>
  <c r="K273" i="27" s="1"/>
  <c r="E170" i="27"/>
  <c r="L308" i="27"/>
  <c r="V368" i="27"/>
  <c r="P449" i="27"/>
  <c r="V486" i="27"/>
  <c r="E356" i="27"/>
  <c r="L434" i="27"/>
  <c r="F508" i="27"/>
  <c r="L253" i="27"/>
  <c r="P152" i="27"/>
  <c r="F248" i="27"/>
  <c r="L170" i="27"/>
  <c r="D270" i="27"/>
  <c r="F194" i="27"/>
  <c r="F359" i="27"/>
  <c r="V427" i="27"/>
  <c r="S478" i="27"/>
  <c r="V497" i="27"/>
  <c r="V320" i="27"/>
  <c r="E455" i="27"/>
  <c r="P506" i="27"/>
  <c r="L191" i="27"/>
  <c r="P303" i="27"/>
  <c r="K303" i="27" s="1"/>
  <c r="S241" i="27"/>
  <c r="L267" i="27"/>
  <c r="P242" i="27"/>
  <c r="V324" i="27"/>
  <c r="L256" i="27"/>
  <c r="D378" i="27"/>
  <c r="V468" i="27"/>
  <c r="E481" i="27"/>
  <c r="E336" i="27"/>
  <c r="V423" i="27"/>
  <c r="E489" i="27"/>
  <c r="L288" i="27"/>
  <c r="P324" i="27"/>
  <c r="L272" i="27"/>
  <c r="V207" i="27"/>
  <c r="P185" i="27"/>
  <c r="V334" i="27"/>
  <c r="F482" i="27"/>
  <c r="S342" i="27"/>
  <c r="L323" i="27"/>
  <c r="D502" i="27"/>
  <c r="L289" i="27"/>
  <c r="D184" i="27"/>
  <c r="L277" i="27"/>
  <c r="S199" i="27"/>
  <c r="S297" i="27"/>
  <c r="P281" i="27"/>
  <c r="D277" i="27"/>
  <c r="P172" i="27"/>
  <c r="P156" i="27"/>
  <c r="P288" i="27"/>
  <c r="F174" i="27"/>
  <c r="S193" i="27"/>
  <c r="F162" i="27"/>
  <c r="E182" i="27"/>
  <c r="F20" i="27"/>
  <c r="P30" i="27"/>
  <c r="J30" i="27" s="1"/>
  <c r="L193" i="27"/>
  <c r="P28" i="27"/>
  <c r="D190" i="27"/>
  <c r="L24" i="27"/>
  <c r="D163" i="27"/>
  <c r="P289" i="27"/>
  <c r="D336" i="27"/>
  <c r="E433" i="27"/>
  <c r="E493" i="27"/>
  <c r="P499" i="27"/>
  <c r="L341" i="27"/>
  <c r="V433" i="27"/>
  <c r="P487" i="27"/>
  <c r="D516" i="27"/>
  <c r="S285" i="27"/>
  <c r="F254" i="27"/>
  <c r="P221" i="27"/>
  <c r="L298" i="27"/>
  <c r="F257" i="27"/>
  <c r="F249" i="27"/>
  <c r="D354" i="27"/>
  <c r="D366" i="27"/>
  <c r="V462" i="27"/>
  <c r="D256" i="27"/>
  <c r="E329" i="27"/>
  <c r="E428" i="27"/>
  <c r="S486" i="27"/>
  <c r="D267" i="27"/>
  <c r="E215" i="27"/>
  <c r="F277" i="27"/>
  <c r="L210" i="27"/>
  <c r="L228" i="27"/>
  <c r="V356" i="27"/>
  <c r="F400" i="27"/>
  <c r="L487" i="27"/>
  <c r="V211" i="27"/>
  <c r="L390" i="27"/>
  <c r="E180" i="27"/>
  <c r="D161" i="27"/>
  <c r="D260" i="27"/>
  <c r="D273" i="27"/>
  <c r="D221" i="27"/>
  <c r="P277" i="27"/>
  <c r="P296" i="27"/>
  <c r="K296" i="27" s="1"/>
  <c r="V443" i="27"/>
  <c r="E491" i="27"/>
  <c r="V518" i="27"/>
  <c r="F392" i="27"/>
  <c r="P474" i="27"/>
  <c r="S273" i="27"/>
  <c r="D298" i="27"/>
  <c r="F267" i="27"/>
  <c r="V274" i="27"/>
  <c r="V160" i="27"/>
  <c r="S204" i="27"/>
  <c r="L174" i="27"/>
  <c r="D170" i="27"/>
  <c r="V213" i="27"/>
  <c r="S248" i="27"/>
  <c r="V28" i="27"/>
  <c r="F184" i="27"/>
  <c r="D155" i="27"/>
  <c r="L214" i="27"/>
  <c r="P210" i="27"/>
  <c r="E156" i="27"/>
  <c r="F169" i="27"/>
  <c r="O505" i="16"/>
  <c r="T111" i="16"/>
  <c r="O496" i="16"/>
  <c r="E174" i="27"/>
  <c r="S151" i="27"/>
  <c r="P179" i="27"/>
  <c r="K179" i="27" s="1"/>
  <c r="F239" i="27"/>
  <c r="F150" i="27"/>
  <c r="E154" i="27"/>
  <c r="L264" i="27"/>
  <c r="F161" i="27"/>
  <c r="S126" i="27"/>
  <c r="L154" i="27"/>
  <c r="V218" i="27"/>
  <c r="F222" i="27"/>
  <c r="E499" i="27"/>
  <c r="D419" i="27"/>
  <c r="F304" i="27"/>
  <c r="V465" i="27"/>
  <c r="D319" i="27"/>
  <c r="D246" i="27"/>
  <c r="V168" i="27"/>
  <c r="D264" i="27"/>
  <c r="L446" i="27"/>
  <c r="E334" i="27"/>
  <c r="S496" i="27"/>
  <c r="L344" i="27"/>
  <c r="V306" i="27"/>
  <c r="D183" i="27"/>
  <c r="V240" i="27"/>
  <c r="D257" i="27"/>
  <c r="D299" i="27"/>
  <c r="V84" i="27"/>
  <c r="E507" i="27"/>
  <c r="D441" i="27"/>
  <c r="F358" i="27"/>
  <c r="D490" i="27"/>
  <c r="L376" i="27"/>
  <c r="E216" i="27"/>
  <c r="P317" i="27"/>
  <c r="K317" i="27" s="1"/>
  <c r="F281" i="27"/>
  <c r="F168" i="27"/>
  <c r="P520" i="27"/>
  <c r="L421" i="27"/>
  <c r="D333" i="27"/>
  <c r="F504" i="27"/>
  <c r="S432" i="27"/>
  <c r="P319" i="27"/>
  <c r="J319" i="27" s="1"/>
  <c r="E169" i="27"/>
  <c r="V183" i="27"/>
  <c r="V189" i="27"/>
  <c r="F205" i="27"/>
  <c r="E206" i="27"/>
  <c r="P171" i="27"/>
  <c r="V191" i="27"/>
  <c r="E183" i="27"/>
  <c r="E195" i="27"/>
  <c r="E278" i="27"/>
  <c r="V149" i="27"/>
  <c r="L324" i="27"/>
  <c r="V281" i="27"/>
  <c r="S489" i="27"/>
  <c r="V359" i="27"/>
  <c r="L518" i="27"/>
  <c r="S358" i="27"/>
  <c r="L180" i="27"/>
  <c r="V206" i="27"/>
  <c r="V196" i="27"/>
  <c r="L503" i="27"/>
  <c r="E425" i="27"/>
  <c r="P321" i="27"/>
  <c r="E472" i="27"/>
  <c r="F430" i="27"/>
  <c r="F258" i="27"/>
  <c r="V166" i="27"/>
  <c r="V258" i="27"/>
  <c r="E259" i="27"/>
  <c r="E161" i="27"/>
  <c r="L239" i="27"/>
  <c r="E514" i="27"/>
  <c r="F361" i="27"/>
  <c r="D308" i="27"/>
  <c r="F489" i="27"/>
  <c r="F390" i="27"/>
  <c r="F346" i="27"/>
  <c r="L255" i="27"/>
  <c r="P253" i="27"/>
  <c r="V31" i="27"/>
  <c r="F271" i="27"/>
  <c r="E220" i="27"/>
  <c r="E510" i="27"/>
  <c r="P430" i="27"/>
  <c r="V509" i="27"/>
  <c r="D439" i="27"/>
  <c r="L374" i="27"/>
  <c r="P255" i="27"/>
  <c r="L186" i="27"/>
  <c r="D210" i="27"/>
  <c r="V226" i="27"/>
  <c r="P15" i="27"/>
  <c r="E253" i="27"/>
  <c r="F16" i="27"/>
  <c r="S205" i="27"/>
  <c r="S298" i="27"/>
  <c r="P285" i="27"/>
  <c r="K285" i="27" s="1"/>
  <c r="P338" i="27"/>
  <c r="V182" i="27"/>
  <c r="P519" i="27"/>
  <c r="K519" i="27" s="1"/>
  <c r="E422" i="27"/>
  <c r="L216" i="27"/>
  <c r="P488" i="27"/>
  <c r="K488" i="27" s="1"/>
  <c r="L252" i="27"/>
  <c r="E223" i="27"/>
  <c r="D234" i="27"/>
  <c r="V299" i="27"/>
  <c r="F285" i="27"/>
  <c r="P501" i="27"/>
  <c r="K501" i="27" s="1"/>
  <c r="L458" i="27"/>
  <c r="F356" i="27"/>
  <c r="F490" i="27"/>
  <c r="V438" i="27"/>
  <c r="S352" i="27"/>
  <c r="V212" i="27"/>
  <c r="F288" i="27"/>
  <c r="P197" i="27"/>
  <c r="L246" i="27"/>
  <c r="D488" i="27"/>
  <c r="V366" i="27"/>
  <c r="V504" i="27"/>
  <c r="S396" i="27"/>
  <c r="F302" i="27"/>
  <c r="V277" i="27"/>
  <c r="P219" i="27"/>
  <c r="L486" i="27"/>
  <c r="D268" i="27"/>
  <c r="S459" i="27"/>
  <c r="D350" i="27"/>
  <c r="F253" i="27"/>
  <c r="V171" i="27"/>
  <c r="L171" i="27"/>
  <c r="P211" i="27"/>
  <c r="J211" i="27" s="1"/>
  <c r="V377" i="27"/>
  <c r="V341" i="27"/>
  <c r="D395" i="27"/>
  <c r="L162" i="27"/>
  <c r="L233" i="27"/>
  <c r="L275" i="27"/>
  <c r="F219" i="27"/>
  <c r="L220" i="27"/>
  <c r="P413" i="27"/>
  <c r="F210" i="27"/>
  <c r="S224" i="27"/>
  <c r="V337" i="27"/>
  <c r="S359" i="27"/>
  <c r="S31" i="27"/>
  <c r="D160" i="27"/>
  <c r="D217" i="27"/>
  <c r="F31" i="27"/>
  <c r="S253" i="27"/>
  <c r="F306" i="27"/>
  <c r="D287" i="27"/>
  <c r="V371" i="27"/>
  <c r="P391" i="27"/>
  <c r="F505" i="27"/>
  <c r="L469" i="27"/>
  <c r="V463" i="27"/>
  <c r="D460" i="27"/>
  <c r="E273" i="27"/>
  <c r="S343" i="27"/>
  <c r="E419" i="27"/>
  <c r="P485" i="27"/>
  <c r="F365" i="27"/>
  <c r="P348" i="27"/>
  <c r="K348" i="27" s="1"/>
  <c r="L490" i="27"/>
  <c r="E417" i="27"/>
  <c r="D383" i="27"/>
  <c r="S394" i="27"/>
  <c r="V425" i="27"/>
  <c r="D356" i="27"/>
  <c r="F512" i="27"/>
  <c r="D510" i="27"/>
  <c r="L445" i="27"/>
  <c r="P293" i="27"/>
  <c r="J293" i="27" s="1"/>
  <c r="L519" i="27"/>
  <c r="V499" i="27"/>
  <c r="L194" i="27"/>
  <c r="E254" i="27"/>
  <c r="V16" i="27"/>
  <c r="P352" i="27"/>
  <c r="K352" i="27" s="1"/>
  <c r="D199" i="27"/>
  <c r="F266" i="27"/>
  <c r="L151" i="27"/>
  <c r="S168" i="27"/>
  <c r="V417" i="27"/>
  <c r="E155" i="27"/>
  <c r="E284" i="27"/>
  <c r="E167" i="27"/>
  <c r="E333" i="27"/>
  <c r="V347" i="27"/>
  <c r="L482" i="27"/>
  <c r="V410" i="27"/>
  <c r="S371" i="27"/>
  <c r="S428" i="27"/>
  <c r="L370" i="27"/>
  <c r="D348" i="27"/>
  <c r="P476" i="27"/>
  <c r="E465" i="27"/>
  <c r="E509" i="27"/>
  <c r="P355" i="27"/>
  <c r="K355" i="27" s="1"/>
  <c r="V251" i="27"/>
  <c r="E316" i="27"/>
  <c r="E375" i="27"/>
  <c r="F445" i="27"/>
  <c r="S280" i="27"/>
  <c r="V301" i="27"/>
  <c r="F319" i="27"/>
  <c r="L520" i="27"/>
  <c r="E151" i="27"/>
  <c r="P308" i="27"/>
  <c r="E85" i="27"/>
  <c r="L367" i="27"/>
  <c r="S295" i="27"/>
  <c r="P477" i="27"/>
  <c r="F464" i="27"/>
  <c r="V335" i="27"/>
  <c r="O452" i="16"/>
  <c r="O347" i="16"/>
  <c r="N437" i="16"/>
  <c r="N351" i="16"/>
  <c r="O275" i="16"/>
  <c r="O30" i="16"/>
  <c r="N144" i="16"/>
  <c r="P301" i="27"/>
  <c r="E320" i="27"/>
  <c r="D392" i="27"/>
  <c r="S356" i="27"/>
  <c r="L426" i="27"/>
  <c r="V367" i="27"/>
  <c r="F497" i="27"/>
  <c r="V373" i="27"/>
  <c r="E268" i="27"/>
  <c r="P385" i="27"/>
  <c r="K385" i="27" s="1"/>
  <c r="F259" i="27"/>
  <c r="S183" i="27"/>
  <c r="E252" i="27"/>
  <c r="E311" i="27"/>
  <c r="F333" i="27"/>
  <c r="S150" i="27"/>
  <c r="V357" i="27"/>
  <c r="V302" i="27"/>
  <c r="E512" i="27"/>
  <c r="L414" i="27"/>
  <c r="F447" i="27"/>
  <c r="F334" i="27"/>
  <c r="P489" i="27"/>
  <c r="E354" i="27"/>
  <c r="D407" i="27"/>
  <c r="F340" i="27"/>
  <c r="E443" i="27"/>
  <c r="E366" i="27"/>
  <c r="P517" i="27"/>
  <c r="V440" i="27"/>
  <c r="P333" i="27"/>
  <c r="V313" i="27"/>
  <c r="S264" i="27"/>
  <c r="D168" i="27"/>
  <c r="V369" i="27"/>
  <c r="L393" i="27"/>
  <c r="S231" i="27"/>
  <c r="D180" i="27"/>
  <c r="V280" i="27"/>
  <c r="E245" i="27"/>
  <c r="F397" i="27"/>
  <c r="S195" i="27"/>
  <c r="P154" i="27"/>
  <c r="E197" i="27"/>
  <c r="E279" i="27"/>
  <c r="E234" i="27"/>
  <c r="S185" i="27"/>
  <c r="L447" i="27"/>
  <c r="V344" i="27"/>
  <c r="D467" i="27"/>
  <c r="P399" i="27"/>
  <c r="J399" i="27" s="1"/>
  <c r="P367" i="27"/>
  <c r="P370" i="27"/>
  <c r="E463" i="27"/>
  <c r="L476" i="27"/>
  <c r="D397" i="27"/>
  <c r="L394" i="27"/>
  <c r="P434" i="27"/>
  <c r="S191" i="27"/>
  <c r="P455" i="27"/>
  <c r="F321" i="27"/>
  <c r="D456" i="27"/>
  <c r="F475" i="27"/>
  <c r="F518" i="27"/>
  <c r="F387" i="27"/>
  <c r="E394" i="27"/>
  <c r="L353" i="27"/>
  <c r="P486" i="27"/>
  <c r="V279" i="27"/>
  <c r="L504" i="27"/>
  <c r="D374" i="27"/>
  <c r="E457" i="27"/>
  <c r="F513" i="27"/>
  <c r="E403" i="27"/>
  <c r="P408" i="27"/>
  <c r="F368" i="27"/>
  <c r="S306" i="27"/>
  <c r="F250" i="27"/>
  <c r="D293" i="27"/>
  <c r="E308" i="27"/>
  <c r="L184" i="27"/>
  <c r="P263" i="27"/>
  <c r="D265" i="27"/>
  <c r="G190" i="27"/>
  <c r="G288" i="27"/>
  <c r="G330" i="27"/>
  <c r="H330" i="27" s="1"/>
  <c r="G367" i="27"/>
  <c r="G396" i="27"/>
  <c r="I396" i="27" s="1"/>
  <c r="G445" i="27"/>
  <c r="G473" i="27"/>
  <c r="G505" i="27"/>
  <c r="D499" i="27"/>
  <c r="L506" i="27"/>
  <c r="D317" i="27"/>
  <c r="L286" i="27"/>
  <c r="F156" i="27"/>
  <c r="L433" i="27"/>
  <c r="P336" i="27"/>
  <c r="D301" i="27"/>
  <c r="V303" i="27"/>
  <c r="V158" i="27"/>
  <c r="E327" i="27"/>
  <c r="V501" i="27"/>
  <c r="E441" i="27"/>
  <c r="S228" i="27"/>
  <c r="V278" i="27"/>
  <c r="D240" i="27"/>
  <c r="P170" i="27"/>
  <c r="D511" i="27"/>
  <c r="L463" i="27"/>
  <c r="P200" i="27"/>
  <c r="F224" i="27"/>
  <c r="L165" i="27"/>
  <c r="E214" i="27"/>
  <c r="S23" i="27"/>
  <c r="V208" i="27"/>
  <c r="L192" i="27"/>
  <c r="D164" i="27"/>
  <c r="P159" i="27"/>
  <c r="K159" i="27" s="1"/>
  <c r="D187" i="27"/>
  <c r="S492" i="27"/>
  <c r="V263" i="27"/>
  <c r="D493" i="27"/>
  <c r="S367" i="27"/>
  <c r="P441" i="27"/>
  <c r="P426" i="27"/>
  <c r="P490" i="27"/>
  <c r="P384" i="27"/>
  <c r="D312" i="27"/>
  <c r="V439" i="27"/>
  <c r="D332" i="27"/>
  <c r="S454" i="27"/>
  <c r="F470" i="27"/>
  <c r="L437" i="27"/>
  <c r="L442" i="27"/>
  <c r="D415" i="27"/>
  <c r="S339" i="27"/>
  <c r="F326" i="27"/>
  <c r="E232" i="27"/>
  <c r="S457" i="27"/>
  <c r="P326" i="27"/>
  <c r="S296" i="27"/>
  <c r="E349" i="27"/>
  <c r="P327" i="27"/>
  <c r="D454" i="27"/>
  <c r="V480" i="27"/>
  <c r="E454" i="27"/>
  <c r="F401" i="27"/>
  <c r="E401" i="27"/>
  <c r="E389" i="27"/>
  <c r="E339" i="27"/>
  <c r="S344" i="27"/>
  <c r="S304" i="27"/>
  <c r="D496" i="27"/>
  <c r="V432" i="27"/>
  <c r="L360" i="27"/>
  <c r="D494" i="27"/>
  <c r="P431" i="27"/>
  <c r="P318" i="27"/>
  <c r="V314" i="27"/>
  <c r="L475" i="27"/>
  <c r="F446" i="27"/>
  <c r="S446" i="27"/>
  <c r="S397" i="27"/>
  <c r="V387" i="27"/>
  <c r="P386" i="27"/>
  <c r="K386" i="27" s="1"/>
  <c r="D330" i="27"/>
  <c r="G225" i="27"/>
  <c r="I225" i="27" s="1"/>
  <c r="G310" i="27"/>
  <c r="I310" i="27" s="1"/>
  <c r="G356" i="27"/>
  <c r="G414" i="27"/>
  <c r="I414" i="27" s="1"/>
  <c r="G457" i="27"/>
  <c r="G495" i="27"/>
  <c r="L337" i="27"/>
  <c r="P237" i="27"/>
  <c r="E270" i="27"/>
  <c r="V305" i="27"/>
  <c r="P271" i="27"/>
  <c r="E249" i="27"/>
  <c r="P342" i="27"/>
  <c r="L302" i="27"/>
  <c r="L494" i="27"/>
  <c r="L260" i="27"/>
  <c r="E398" i="27"/>
  <c r="D398" i="27"/>
  <c r="S172" i="27"/>
  <c r="F179" i="27"/>
  <c r="F30" i="27"/>
  <c r="E299" i="27"/>
  <c r="V511" i="27"/>
  <c r="D433" i="27"/>
  <c r="F465" i="27"/>
  <c r="L473" i="27"/>
  <c r="E444" i="27"/>
  <c r="V493" i="27"/>
  <c r="E335" i="27"/>
  <c r="F451" i="27"/>
  <c r="D290" i="27"/>
  <c r="P454" i="27"/>
  <c r="D455" i="27"/>
  <c r="L409" i="27"/>
  <c r="L383" i="27"/>
  <c r="L345" i="27"/>
  <c r="L199" i="27"/>
  <c r="E442" i="27"/>
  <c r="L292" i="27"/>
  <c r="S360" i="27"/>
  <c r="S479" i="27"/>
  <c r="P436" i="27"/>
  <c r="K436" i="27" s="1"/>
  <c r="D437" i="27"/>
  <c r="V416" i="27"/>
  <c r="V406" i="27"/>
  <c r="F320" i="27"/>
  <c r="S351" i="27"/>
  <c r="F519" i="27"/>
  <c r="P420" i="27"/>
  <c r="F322" i="27"/>
  <c r="L452" i="27"/>
  <c r="F367" i="27"/>
  <c r="F466" i="27"/>
  <c r="E464" i="27"/>
  <c r="E432" i="27"/>
  <c r="E429" i="27"/>
  <c r="P404" i="27"/>
  <c r="E413" i="27"/>
  <c r="L420" i="27"/>
  <c r="S401" i="27"/>
  <c r="E191" i="27"/>
  <c r="L265" i="27"/>
  <c r="S196" i="27"/>
  <c r="E290" i="27"/>
  <c r="P213" i="27"/>
  <c r="S175" i="27"/>
  <c r="S155" i="27"/>
  <c r="D144" i="27"/>
  <c r="F175" i="27"/>
  <c r="V409" i="27"/>
  <c r="S245" i="27"/>
  <c r="D329" i="27"/>
  <c r="D220" i="27"/>
  <c r="L307" i="27"/>
  <c r="E238" i="27"/>
  <c r="D307" i="27"/>
  <c r="D149" i="27"/>
  <c r="L181" i="27"/>
  <c r="F246" i="27"/>
  <c r="D263" i="27"/>
  <c r="F391" i="27"/>
  <c r="V418" i="27"/>
  <c r="F215" i="27"/>
  <c r="F231" i="27"/>
  <c r="F291" i="27"/>
  <c r="L215" i="27"/>
  <c r="P220" i="27"/>
  <c r="D275" i="27"/>
  <c r="L85" i="27"/>
  <c r="P23" i="27"/>
  <c r="K23" i="27" s="1"/>
  <c r="S305" i="27"/>
  <c r="S12" i="27"/>
  <c r="L419" i="27"/>
  <c r="D412" i="27"/>
  <c r="S414" i="27"/>
  <c r="F275" i="27"/>
  <c r="D191" i="27"/>
  <c r="P295" i="27"/>
  <c r="K295" i="27" s="1"/>
  <c r="S190" i="27"/>
  <c r="P182" i="27"/>
  <c r="P371" i="27"/>
  <c r="L273" i="27"/>
  <c r="L205" i="27"/>
  <c r="E159" i="27"/>
  <c r="V520" i="27"/>
  <c r="D513" i="27"/>
  <c r="S463" i="27"/>
  <c r="S438" i="27"/>
  <c r="P365" i="27"/>
  <c r="D314" i="27"/>
  <c r="V421" i="27"/>
  <c r="S384" i="27"/>
  <c r="P291" i="27"/>
  <c r="K291" i="27" s="1"/>
  <c r="D471" i="27"/>
  <c r="S516" i="27"/>
  <c r="F511" i="27"/>
  <c r="P439" i="27"/>
  <c r="K439" i="27" s="1"/>
  <c r="E505" i="27"/>
  <c r="L461" i="27"/>
  <c r="P433" i="27"/>
  <c r="D306" i="27"/>
  <c r="L492" i="27"/>
  <c r="D420" i="27"/>
  <c r="E367" i="27"/>
  <c r="S477" i="27"/>
  <c r="V476" i="27"/>
  <c r="F479" i="27"/>
  <c r="D479" i="27"/>
  <c r="V407" i="27"/>
  <c r="L415" i="27"/>
  <c r="F413" i="27"/>
  <c r="E371" i="27"/>
  <c r="F385" i="27"/>
  <c r="L322" i="27"/>
  <c r="F284" i="27"/>
  <c r="V195" i="27"/>
  <c r="V452" i="27"/>
  <c r="L315" i="27"/>
  <c r="S519" i="27"/>
  <c r="S452" i="27"/>
  <c r="E326" i="27"/>
  <c r="E332" i="27"/>
  <c r="S497" i="27"/>
  <c r="L478" i="27"/>
  <c r="P466" i="27"/>
  <c r="J466" i="27" s="1"/>
  <c r="S398" i="27"/>
  <c r="L398" i="27"/>
  <c r="S395" i="27"/>
  <c r="S369" i="27"/>
  <c r="V383" i="27"/>
  <c r="P320" i="27"/>
  <c r="S300" i="27"/>
  <c r="P495" i="27"/>
  <c r="L455" i="27"/>
  <c r="F327" i="27"/>
  <c r="V512" i="27"/>
  <c r="L460" i="27"/>
  <c r="P359" i="27"/>
  <c r="S338" i="27"/>
  <c r="S483" i="27"/>
  <c r="V426" i="27"/>
  <c r="F474" i="27"/>
  <c r="D413" i="27"/>
  <c r="F412" i="27"/>
  <c r="P417" i="27"/>
  <c r="S377" i="27"/>
  <c r="L404" i="27"/>
  <c r="V397" i="27"/>
  <c r="S275" i="27"/>
  <c r="S363" i="27"/>
  <c r="G176" i="27"/>
  <c r="G313" i="27"/>
  <c r="H313" i="27" s="1"/>
  <c r="G383" i="27"/>
  <c r="G452" i="27"/>
  <c r="I452" i="27" s="1"/>
  <c r="G511" i="27"/>
  <c r="S431" i="27"/>
  <c r="D453" i="27"/>
  <c r="G258" i="27"/>
  <c r="H258" i="27" s="1"/>
  <c r="G339" i="27"/>
  <c r="G388" i="27"/>
  <c r="G467" i="27"/>
  <c r="E303" i="27"/>
  <c r="P245" i="27"/>
  <c r="J245" i="27" s="1"/>
  <c r="L339" i="27"/>
  <c r="E467" i="27"/>
  <c r="S302" i="27"/>
  <c r="F423" i="27"/>
  <c r="E343" i="27"/>
  <c r="F460" i="27"/>
  <c r="P244" i="27"/>
  <c r="F270" i="27"/>
  <c r="E260" i="27"/>
  <c r="P177" i="27"/>
  <c r="K177" i="27" s="1"/>
  <c r="E205" i="27"/>
  <c r="S451" i="27"/>
  <c r="E390" i="27"/>
  <c r="V475" i="27"/>
  <c r="S494" i="27"/>
  <c r="E251" i="27"/>
  <c r="V330" i="27"/>
  <c r="S507" i="27"/>
  <c r="S417" i="27"/>
  <c r="V428" i="27"/>
  <c r="F378" i="27"/>
  <c r="E501" i="27"/>
  <c r="P357" i="27"/>
  <c r="E436" i="27"/>
  <c r="D470" i="27"/>
  <c r="S480" i="27"/>
  <c r="V392" i="27"/>
  <c r="E416" i="27"/>
  <c r="P363" i="27"/>
  <c r="L505" i="27"/>
  <c r="D400" i="27"/>
  <c r="P491" i="27"/>
  <c r="L263" i="27"/>
  <c r="E446" i="27"/>
  <c r="L477" i="27"/>
  <c r="V388" i="27"/>
  <c r="P403" i="27"/>
  <c r="J403" i="27" s="1"/>
  <c r="P339" i="27"/>
  <c r="F394" i="27"/>
  <c r="V316" i="27"/>
  <c r="V229" i="27"/>
  <c r="S316" i="27"/>
  <c r="D365" i="27"/>
  <c r="E23" i="27"/>
  <c r="F207" i="27"/>
  <c r="S154" i="27"/>
  <c r="F383" i="27"/>
  <c r="S402" i="27"/>
  <c r="S206" i="27"/>
  <c r="P276" i="27"/>
  <c r="P188" i="27"/>
  <c r="P329" i="27"/>
  <c r="L399" i="27"/>
  <c r="D347" i="27"/>
  <c r="V266" i="27"/>
  <c r="D269" i="27"/>
  <c r="L382" i="27"/>
  <c r="E386" i="27"/>
  <c r="L226" i="27"/>
  <c r="L293" i="27"/>
  <c r="S372" i="27"/>
  <c r="F242" i="27"/>
  <c r="D233" i="27"/>
  <c r="L182" i="27"/>
  <c r="V167" i="27"/>
  <c r="E150" i="27"/>
  <c r="V515" i="27"/>
  <c r="E471" i="27"/>
  <c r="S436" i="27"/>
  <c r="E341" i="27"/>
  <c r="V457" i="27"/>
  <c r="F443" i="27"/>
  <c r="L296" i="27"/>
  <c r="V481" i="27"/>
  <c r="E456" i="27"/>
  <c r="L440" i="27"/>
  <c r="L462" i="27"/>
  <c r="V430" i="27"/>
  <c r="L304" i="27"/>
  <c r="E461" i="27"/>
  <c r="L231" i="27"/>
  <c r="P467" i="27"/>
  <c r="V449" i="27"/>
  <c r="F501" i="27"/>
  <c r="F399" i="27"/>
  <c r="F389" i="27"/>
  <c r="L381" i="27"/>
  <c r="F375" i="27"/>
  <c r="F345" i="27"/>
  <c r="F212" i="27"/>
  <c r="L441" i="27"/>
  <c r="D262" i="27"/>
  <c r="E468" i="27"/>
  <c r="P351" i="27"/>
  <c r="V516" i="27"/>
  <c r="V448" i="27"/>
  <c r="E434" i="27"/>
  <c r="E415" i="27"/>
  <c r="D405" i="27"/>
  <c r="L351" i="27"/>
  <c r="L359" i="27"/>
  <c r="S314" i="27"/>
  <c r="L466" i="27"/>
  <c r="L368" i="27"/>
  <c r="P309" i="27"/>
  <c r="E400" i="27"/>
  <c r="V342" i="27"/>
  <c r="E462" i="27"/>
  <c r="F462" i="27"/>
  <c r="V444" i="27"/>
  <c r="S386" i="27"/>
  <c r="E410" i="27"/>
  <c r="P345" i="27"/>
  <c r="J345" i="27" s="1"/>
  <c r="F425" i="27"/>
  <c r="D421" i="27"/>
  <c r="V256" i="27"/>
  <c r="D340" i="27"/>
  <c r="F226" i="27"/>
  <c r="D343" i="27"/>
  <c r="S225" i="27"/>
  <c r="E264" i="27"/>
  <c r="V241" i="27"/>
  <c r="L271" i="27"/>
  <c r="P153" i="27"/>
  <c r="V401" i="27"/>
  <c r="V355" i="27"/>
  <c r="F290" i="27"/>
  <c r="E397" i="27"/>
  <c r="L269" i="27"/>
  <c r="V398" i="27"/>
  <c r="F160" i="27"/>
  <c r="F176" i="27"/>
  <c r="F180" i="27"/>
  <c r="E437" i="27"/>
  <c r="S385" i="27"/>
  <c r="L377" i="27"/>
  <c r="L212" i="27"/>
  <c r="P300" i="27"/>
  <c r="J300" i="27" s="1"/>
  <c r="P195" i="27"/>
  <c r="K195" i="27" s="1"/>
  <c r="P144" i="27"/>
  <c r="L198" i="27"/>
  <c r="F279" i="27"/>
  <c r="E291" i="27"/>
  <c r="V405" i="27"/>
  <c r="F373" i="27"/>
  <c r="L197" i="27"/>
  <c r="F307" i="27"/>
  <c r="P218" i="27"/>
  <c r="D328" i="27"/>
  <c r="E237" i="27"/>
  <c r="D231" i="27"/>
  <c r="E20" i="27"/>
  <c r="V20" i="27"/>
  <c r="F152" i="27"/>
  <c r="E184" i="27"/>
  <c r="V156" i="27"/>
  <c r="F200" i="27"/>
  <c r="S159" i="27"/>
  <c r="P516" i="27"/>
  <c r="F480" i="27"/>
  <c r="L423" i="27"/>
  <c r="V304" i="27"/>
  <c r="E424" i="27"/>
  <c r="P374" i="27"/>
  <c r="L517" i="27"/>
  <c r="S501" i="27"/>
  <c r="F503" i="27"/>
  <c r="P435" i="27"/>
  <c r="L513" i="27"/>
  <c r="S482" i="27"/>
  <c r="L362" i="27"/>
  <c r="E287" i="27"/>
  <c r="P442" i="27"/>
  <c r="K442" i="27" s="1"/>
  <c r="V348" i="27"/>
  <c r="S485" i="27"/>
  <c r="F486" i="27"/>
  <c r="F429" i="27"/>
  <c r="F491" i="27"/>
  <c r="D425" i="27"/>
  <c r="P387" i="27"/>
  <c r="J387" i="27" s="1"/>
  <c r="E387" i="27"/>
  <c r="F379" i="27"/>
  <c r="F372" i="27"/>
  <c r="E372" i="27"/>
  <c r="E225" i="27"/>
  <c r="E484" i="27"/>
  <c r="F450" i="27"/>
  <c r="V328" i="27"/>
  <c r="F293" i="27"/>
  <c r="E500" i="27"/>
  <c r="F455" i="27"/>
  <c r="L352" i="27"/>
  <c r="S517" i="27"/>
  <c r="S475" i="27"/>
  <c r="L422" i="27"/>
  <c r="V412" i="27"/>
  <c r="D418" i="27"/>
  <c r="V384" i="27"/>
  <c r="S381" i="27"/>
  <c r="P429" i="27"/>
  <c r="E513" i="27"/>
  <c r="V491" i="27"/>
  <c r="F427" i="27"/>
  <c r="S341" i="27"/>
  <c r="L496" i="27"/>
  <c r="F398" i="27"/>
  <c r="D358" i="27"/>
  <c r="L481" i="27"/>
  <c r="L470" i="27"/>
  <c r="S456" i="27"/>
  <c r="F457" i="27"/>
  <c r="V393" i="27"/>
  <c r="D393" i="27"/>
  <c r="S399" i="27"/>
  <c r="V343" i="27"/>
  <c r="F328" i="27"/>
  <c r="E323" i="27"/>
  <c r="F417" i="27"/>
  <c r="E293" i="27"/>
  <c r="P369" i="27"/>
  <c r="K369" i="27" s="1"/>
  <c r="V273" i="27"/>
  <c r="S370" i="27"/>
  <c r="P279" i="27"/>
  <c r="F190" i="27"/>
  <c r="P149" i="27"/>
  <c r="S165" i="27"/>
  <c r="V181" i="27"/>
  <c r="P335" i="27"/>
  <c r="L150" i="27"/>
  <c r="P12" i="27"/>
  <c r="L320" i="27"/>
  <c r="V345" i="27"/>
  <c r="L245" i="27"/>
  <c r="E301" i="27"/>
  <c r="P229" i="27"/>
  <c r="E175" i="27"/>
  <c r="L173" i="27"/>
  <c r="L201" i="27"/>
  <c r="S173" i="27"/>
  <c r="P353" i="27"/>
  <c r="K353" i="27" s="1"/>
  <c r="S251" i="27"/>
  <c r="D372" i="27"/>
  <c r="V276" i="27"/>
  <c r="P191" i="27"/>
  <c r="K191" i="27" s="1"/>
  <c r="E280" i="27"/>
  <c r="P193" i="27"/>
  <c r="L167" i="27"/>
  <c r="D150" i="27"/>
  <c r="P356" i="27"/>
  <c r="D152" i="27"/>
  <c r="V396" i="27"/>
  <c r="E265" i="27"/>
  <c r="F381" i="27"/>
  <c r="V285" i="27"/>
  <c r="P215" i="27"/>
  <c r="F303" i="27"/>
  <c r="E231" i="27"/>
  <c r="F286" i="27"/>
  <c r="S157" i="27"/>
  <c r="P155" i="27"/>
  <c r="E236" i="27"/>
  <c r="E12" i="27"/>
  <c r="P174" i="27"/>
  <c r="D232" i="27"/>
  <c r="V222" i="27"/>
  <c r="E179" i="27"/>
  <c r="V506" i="27"/>
  <c r="P406" i="27"/>
  <c r="V290" i="27"/>
  <c r="V487" i="27"/>
  <c r="S420" i="27"/>
  <c r="V370" i="27"/>
  <c r="F492" i="27"/>
  <c r="L431" i="27"/>
  <c r="P464" i="27"/>
  <c r="E518" i="27"/>
  <c r="S449" i="27"/>
  <c r="P330" i="27"/>
  <c r="S218" i="27"/>
  <c r="E482" i="27"/>
  <c r="F330" i="27"/>
  <c r="F483" i="27"/>
  <c r="D483" i="27"/>
  <c r="E486" i="27"/>
  <c r="F473" i="27"/>
  <c r="L412" i="27"/>
  <c r="V419" i="27"/>
  <c r="S416" i="27"/>
  <c r="D377" i="27"/>
  <c r="V363" i="27"/>
  <c r="P274" i="27"/>
  <c r="K274" i="27" s="1"/>
  <c r="F188" i="27"/>
  <c r="S491" i="27"/>
  <c r="E427" i="27"/>
  <c r="P341" i="27"/>
  <c r="P514" i="27"/>
  <c r="L327" i="27"/>
  <c r="F472" i="27"/>
  <c r="V471" i="27"/>
  <c r="F515" i="27"/>
  <c r="P411" i="27"/>
  <c r="E411" i="27"/>
  <c r="D409" i="27"/>
  <c r="S361" i="27"/>
  <c r="V379" i="27"/>
  <c r="L386" i="27"/>
  <c r="E497" i="27"/>
  <c r="D478" i="27"/>
  <c r="E396" i="27"/>
  <c r="D335" i="27"/>
  <c r="P510" i="27"/>
  <c r="K510" i="27" s="1"/>
  <c r="F424" i="27"/>
  <c r="D331" i="27"/>
  <c r="E453" i="27"/>
  <c r="L453" i="27"/>
  <c r="V451" i="27"/>
  <c r="T451" i="27" s="1"/>
  <c r="W451" i="27" s="1"/>
  <c r="D436" i="27"/>
  <c r="S400" i="27"/>
  <c r="V399" i="27"/>
  <c r="L388" i="27"/>
  <c r="L336" i="27"/>
  <c r="D325" i="27"/>
  <c r="E304" i="27"/>
  <c r="S409" i="27"/>
  <c r="F386" i="27"/>
  <c r="F269" i="27"/>
  <c r="F201" i="27"/>
  <c r="V271" i="27"/>
  <c r="S201" i="27"/>
  <c r="L164" i="27"/>
  <c r="V374" i="27"/>
  <c r="P160" i="27"/>
  <c r="P226" i="27"/>
  <c r="K226" i="27" s="1"/>
  <c r="G275" i="27"/>
  <c r="H275" i="27" s="1"/>
  <c r="G419" i="27"/>
  <c r="F363" i="27"/>
  <c r="P507" i="27"/>
  <c r="K507" i="27" s="1"/>
  <c r="L84" i="27"/>
  <c r="P453" i="27"/>
  <c r="J453" i="27" s="1"/>
  <c r="F338" i="27"/>
  <c r="S232" i="27"/>
  <c r="S152" i="27"/>
  <c r="V152" i="27"/>
  <c r="E162" i="27"/>
  <c r="D505" i="27"/>
  <c r="V227" i="27"/>
  <c r="P461" i="27"/>
  <c r="V459" i="27"/>
  <c r="V488" i="27"/>
  <c r="P470" i="27"/>
  <c r="P409" i="27"/>
  <c r="J409" i="27" s="1"/>
  <c r="D373" i="27"/>
  <c r="S269" i="27"/>
  <c r="V364" i="27"/>
  <c r="L364" i="27"/>
  <c r="F507" i="27"/>
  <c r="E409" i="27"/>
  <c r="S355" i="27"/>
  <c r="F289" i="27"/>
  <c r="P343" i="27"/>
  <c r="S427" i="27"/>
  <c r="V477" i="27"/>
  <c r="P465" i="27"/>
  <c r="P419" i="27"/>
  <c r="D357" i="27"/>
  <c r="F403" i="27"/>
  <c r="P284" i="27"/>
  <c r="D351" i="27"/>
  <c r="S279" i="27"/>
  <c r="D303" i="27"/>
  <c r="D291" i="27"/>
  <c r="V272" i="27"/>
  <c r="V293" i="27"/>
  <c r="D237" i="27"/>
  <c r="L349" i="27"/>
  <c r="D166" i="27"/>
  <c r="L343" i="27"/>
  <c r="F199" i="27"/>
  <c r="E233" i="27"/>
  <c r="L158" i="27"/>
  <c r="S85" i="27"/>
  <c r="D414" i="27"/>
  <c r="F202" i="27"/>
  <c r="F237" i="27"/>
  <c r="S262" i="27"/>
  <c r="P166" i="27"/>
  <c r="F149" i="27"/>
  <c r="F347" i="27"/>
  <c r="L12" i="27"/>
  <c r="P161" i="27"/>
  <c r="D501" i="27"/>
  <c r="F493" i="27"/>
  <c r="S366" i="27"/>
  <c r="E474" i="27"/>
  <c r="E350" i="27"/>
  <c r="S509" i="27"/>
  <c r="P481" i="27"/>
  <c r="D402" i="27"/>
  <c r="F441" i="27"/>
  <c r="P275" i="27"/>
  <c r="F433" i="27"/>
  <c r="F313" i="27"/>
  <c r="D435" i="27"/>
  <c r="F435" i="27"/>
  <c r="E399" i="27"/>
  <c r="D353" i="27"/>
  <c r="P340" i="27"/>
  <c r="K340" i="27" s="1"/>
  <c r="F229" i="27"/>
  <c r="F422" i="27"/>
  <c r="F476" i="27"/>
  <c r="P372" i="27"/>
  <c r="F467" i="27"/>
  <c r="F499" i="27"/>
  <c r="D434" i="27"/>
  <c r="D387" i="27"/>
  <c r="G303" i="27"/>
  <c r="G431" i="27"/>
  <c r="H431" i="27" s="1"/>
  <c r="E517" i="27"/>
  <c r="F456" i="27"/>
  <c r="V261" i="27"/>
  <c r="V259" i="27"/>
  <c r="D520" i="27"/>
  <c r="G348" i="27"/>
  <c r="S364" i="27"/>
  <c r="L316" i="27"/>
  <c r="E15" i="27"/>
  <c r="S234" i="27"/>
  <c r="S15" i="27"/>
  <c r="P187" i="27"/>
  <c r="P313" i="27"/>
  <c r="K313" i="27" s="1"/>
  <c r="L459" i="27"/>
  <c r="V311" i="27"/>
  <c r="P298" i="27"/>
  <c r="E393" i="27"/>
  <c r="S410" i="27"/>
  <c r="S390" i="27"/>
  <c r="L262" i="27"/>
  <c r="L436" i="27"/>
  <c r="V382" i="27"/>
  <c r="F478" i="27"/>
  <c r="D313" i="27"/>
  <c r="E294" i="27"/>
  <c r="F415" i="27"/>
  <c r="D380" i="27"/>
  <c r="F342" i="27"/>
  <c r="P246" i="27"/>
  <c r="K246" i="27" s="1"/>
  <c r="D251" i="27"/>
  <c r="D24" i="27"/>
  <c r="D222" i="27"/>
  <c r="S188" i="27"/>
  <c r="P206" i="27"/>
  <c r="J206" i="27" s="1"/>
  <c r="L20" i="27"/>
  <c r="S405" i="27"/>
  <c r="L287" i="27"/>
  <c r="D200" i="27"/>
  <c r="S212" i="27"/>
  <c r="F157" i="27"/>
  <c r="L178" i="27"/>
  <c r="V372" i="27"/>
  <c r="S259" i="27"/>
  <c r="D208" i="27"/>
  <c r="F198" i="27"/>
  <c r="E498" i="27"/>
  <c r="L342" i="27"/>
  <c r="L425" i="27"/>
  <c r="D481" i="27"/>
  <c r="F471" i="27"/>
  <c r="V474" i="27"/>
  <c r="P350" i="27"/>
  <c r="V323" i="27"/>
  <c r="S499" i="27"/>
  <c r="L450" i="27"/>
  <c r="D422" i="27"/>
  <c r="L417" i="27"/>
  <c r="E247" i="27"/>
  <c r="V295" i="27"/>
  <c r="V441" i="27"/>
  <c r="S213" i="27"/>
  <c r="P478" i="27"/>
  <c r="S388" i="27"/>
  <c r="L333" i="27"/>
  <c r="L432" i="27"/>
  <c r="E479" i="27"/>
  <c r="E348" i="27"/>
  <c r="D506" i="27"/>
  <c r="V352" i="27"/>
  <c r="V473" i="27"/>
  <c r="L485" i="27"/>
  <c r="P395" i="27"/>
  <c r="S383" i="27"/>
  <c r="V353" i="27"/>
  <c r="V308" i="27"/>
  <c r="D230" i="27"/>
  <c r="D279" i="27"/>
  <c r="F377" i="27"/>
  <c r="D211" i="27"/>
  <c r="S171" i="27"/>
  <c r="P383" i="27"/>
  <c r="K383" i="27" s="1"/>
  <c r="S322" i="27"/>
  <c r="D323" i="27"/>
  <c r="S323" i="27"/>
  <c r="F216" i="27"/>
  <c r="P85" i="27"/>
  <c r="K85" i="27" s="1"/>
  <c r="F178" i="27"/>
  <c r="S24" i="27"/>
  <c r="L371" i="27"/>
  <c r="S315" i="27"/>
  <c r="S345" i="27"/>
  <c r="P227" i="27"/>
  <c r="L15" i="27"/>
  <c r="S153" i="27"/>
  <c r="D379" i="27"/>
  <c r="S411" i="27"/>
  <c r="L243" i="27"/>
  <c r="L326" i="27"/>
  <c r="D202" i="27"/>
  <c r="V292" i="27"/>
  <c r="E302" i="27"/>
  <c r="L160" i="27"/>
  <c r="D30" i="27"/>
  <c r="V173" i="27"/>
  <c r="S162" i="27"/>
  <c r="E178" i="27"/>
  <c r="P503" i="27"/>
  <c r="D461" i="27"/>
  <c r="V340" i="27"/>
  <c r="P447" i="27"/>
  <c r="K447" i="27" s="1"/>
  <c r="D322" i="27"/>
  <c r="D469" i="27"/>
  <c r="L449" i="27"/>
  <c r="L416" i="27"/>
  <c r="E502" i="27"/>
  <c r="S349" i="27"/>
  <c r="D497" i="27"/>
  <c r="E430" i="27"/>
  <c r="S310" i="27"/>
  <c r="S473" i="27"/>
  <c r="D463" i="27"/>
  <c r="V445" i="27"/>
  <c r="E423" i="27"/>
  <c r="P394" i="27"/>
  <c r="K394" i="27" s="1"/>
  <c r="E382" i="27"/>
  <c r="F339" i="27"/>
  <c r="P513" i="27"/>
  <c r="J513" i="27" s="1"/>
  <c r="F444" i="27"/>
  <c r="V231" i="27"/>
  <c r="F494" i="27"/>
  <c r="F442" i="27"/>
  <c r="L312" i="27"/>
  <c r="P445" i="27"/>
  <c r="J445" i="27" s="1"/>
  <c r="D429" i="27"/>
  <c r="E405" i="27"/>
  <c r="V402" i="27"/>
  <c r="F407" i="27"/>
  <c r="L335" i="27"/>
  <c r="F484" i="27"/>
  <c r="S460" i="27"/>
  <c r="F337" i="27"/>
  <c r="D432" i="27"/>
  <c r="D334" i="27"/>
  <c r="L471" i="27"/>
  <c r="E439" i="27"/>
  <c r="P471" i="27"/>
  <c r="E385" i="27"/>
  <c r="S415" i="27"/>
  <c r="E361" i="27"/>
  <c r="V413" i="27"/>
  <c r="E272" i="27"/>
  <c r="P393" i="27"/>
  <c r="J393" i="27" s="1"/>
  <c r="L330" i="27"/>
  <c r="F221" i="27"/>
  <c r="P294" i="27"/>
  <c r="P238" i="27"/>
  <c r="F295" i="27"/>
  <c r="V252" i="27"/>
  <c r="V268" i="27"/>
  <c r="S326" i="27"/>
  <c r="F300" i="27"/>
  <c r="E213" i="27"/>
  <c r="V248" i="27"/>
  <c r="F155" i="27"/>
  <c r="L23" i="27"/>
  <c r="L225" i="27"/>
  <c r="P375" i="27"/>
  <c r="V205" i="27"/>
  <c r="F294" i="27"/>
  <c r="P373" i="27"/>
  <c r="K373" i="27" s="1"/>
  <c r="F244" i="27"/>
  <c r="D235" i="27"/>
  <c r="F203" i="27"/>
  <c r="D388" i="27"/>
  <c r="V236" i="27"/>
  <c r="G369" i="27"/>
  <c r="E244" i="27"/>
  <c r="F439" i="27"/>
  <c r="E515" i="27"/>
  <c r="E277" i="27"/>
  <c r="F500" i="27"/>
  <c r="E421" i="27"/>
  <c r="V502" i="27"/>
  <c r="F437" i="27"/>
  <c r="L391" i="27"/>
  <c r="S353" i="27"/>
  <c r="P496" i="27"/>
  <c r="S505" i="27"/>
  <c r="F409" i="27"/>
  <c r="S389" i="27"/>
  <c r="L456" i="27"/>
  <c r="L444" i="27"/>
  <c r="F434" i="27"/>
  <c r="E407" i="27"/>
  <c r="F350" i="27"/>
  <c r="L329" i="27"/>
  <c r="D215" i="27"/>
  <c r="P230" i="27"/>
  <c r="L200" i="27"/>
  <c r="L369" i="27"/>
  <c r="F182" i="27"/>
  <c r="S293" i="27"/>
  <c r="V381" i="27"/>
  <c r="D359" i="27"/>
  <c r="S292" i="27"/>
  <c r="P176" i="27"/>
  <c r="V297" i="27"/>
  <c r="L222" i="27"/>
  <c r="S312" i="27"/>
  <c r="P165" i="27"/>
  <c r="S200" i="27"/>
  <c r="V12" i="27"/>
  <c r="T12" i="27" s="1"/>
  <c r="E163" i="27"/>
  <c r="D225" i="27"/>
  <c r="S421" i="27"/>
  <c r="L266" i="27"/>
  <c r="L311" i="27"/>
  <c r="S469" i="27"/>
  <c r="P456" i="27"/>
  <c r="V414" i="27"/>
  <c r="E508" i="27"/>
  <c r="F352" i="27"/>
  <c r="E466" i="27"/>
  <c r="D416" i="27"/>
  <c r="L396" i="27"/>
  <c r="D361" i="27"/>
  <c r="L509" i="27"/>
  <c r="S354" i="27"/>
  <c r="V424" i="27"/>
  <c r="D476" i="27"/>
  <c r="P415" i="27"/>
  <c r="S412" i="27"/>
  <c r="F414" i="27"/>
  <c r="D344" i="27"/>
  <c r="F426" i="27"/>
  <c r="E346" i="27"/>
  <c r="F454" i="27"/>
  <c r="P251" i="27"/>
  <c r="D462" i="27"/>
  <c r="S462" i="27"/>
  <c r="F404" i="27"/>
  <c r="P390" i="27"/>
  <c r="V333" i="27"/>
  <c r="D440" i="27"/>
  <c r="S207" i="27"/>
  <c r="F263" i="27"/>
  <c r="S311" i="27"/>
  <c r="V193" i="27"/>
  <c r="L153" i="27"/>
  <c r="V307" i="27"/>
  <c r="F191" i="27"/>
  <c r="L346" i="27"/>
  <c r="F268" i="27"/>
  <c r="F305" i="27"/>
  <c r="D201" i="27"/>
  <c r="D31" i="27"/>
  <c r="F323" i="27"/>
  <c r="F280" i="27"/>
  <c r="D315" i="27"/>
  <c r="V269" i="27"/>
  <c r="L321" i="27"/>
  <c r="L428" i="27"/>
  <c r="E173" i="27"/>
  <c r="E402" i="27"/>
  <c r="D218" i="27"/>
  <c r="D271" i="27"/>
  <c r="V185" i="27"/>
  <c r="E275" i="27"/>
  <c r="E181" i="27"/>
  <c r="V85" i="27"/>
  <c r="L313" i="27"/>
  <c r="P183" i="27"/>
  <c r="P204" i="27"/>
  <c r="J204" i="27" s="1"/>
  <c r="L516" i="27"/>
  <c r="F453" i="27"/>
  <c r="E331" i="27"/>
  <c r="D423" i="27"/>
  <c r="P331" i="27"/>
  <c r="K331" i="27" s="1"/>
  <c r="P450" i="27"/>
  <c r="L479" i="27"/>
  <c r="F408" i="27"/>
  <c r="D489" i="27"/>
  <c r="E374" i="27"/>
  <c r="P493" i="27"/>
  <c r="V362" i="27"/>
  <c r="P475" i="27"/>
  <c r="N350" i="16"/>
  <c r="T240" i="16"/>
  <c r="W240" i="16" s="1"/>
  <c r="D278" i="27"/>
  <c r="V220" i="27"/>
  <c r="L258" i="27"/>
  <c r="E283" i="27"/>
  <c r="L511" i="27"/>
  <c r="G493" i="27"/>
  <c r="G479" i="27"/>
  <c r="H479" i="27" s="1"/>
  <c r="N284" i="16"/>
  <c r="N103" i="16"/>
  <c r="N264" i="16"/>
  <c r="O264" i="16"/>
  <c r="N41" i="16"/>
  <c r="N262" i="16"/>
  <c r="T398" i="16"/>
  <c r="W398" i="16" s="1"/>
  <c r="N220" i="16"/>
  <c r="N279" i="16"/>
  <c r="O480" i="16"/>
  <c r="T434" i="16"/>
  <c r="U434" i="16" s="1"/>
  <c r="O472" i="16"/>
  <c r="N10" i="16"/>
  <c r="N158" i="16"/>
  <c r="N156" i="16"/>
  <c r="G144" i="27"/>
  <c r="G206" i="27"/>
  <c r="H206" i="27" s="1"/>
  <c r="G263" i="27"/>
  <c r="H263" i="27" s="1"/>
  <c r="G298" i="27"/>
  <c r="I298" i="27" s="1"/>
  <c r="G323" i="27"/>
  <c r="H323" i="27" s="1"/>
  <c r="G340" i="27"/>
  <c r="G359" i="27"/>
  <c r="G380" i="27"/>
  <c r="G402" i="27"/>
  <c r="G428" i="27"/>
  <c r="G446" i="27"/>
  <c r="G465" i="27"/>
  <c r="G481" i="27"/>
  <c r="G496" i="27"/>
  <c r="G516" i="27"/>
  <c r="I516" i="27" s="1"/>
  <c r="S464" i="27"/>
  <c r="D430" i="27"/>
  <c r="S283" i="27"/>
  <c r="S299" i="27"/>
  <c r="L204" i="27"/>
  <c r="V287" i="27"/>
  <c r="S493" i="27"/>
  <c r="F420" i="27"/>
  <c r="V224" i="27"/>
  <c r="S203" i="27"/>
  <c r="S267" i="27"/>
  <c r="D345" i="27"/>
  <c r="F514" i="27"/>
  <c r="D367" i="27"/>
  <c r="S500" i="27"/>
  <c r="V249" i="27"/>
  <c r="D309" i="27"/>
  <c r="E309" i="27"/>
  <c r="S362" i="27"/>
  <c r="F310" i="27"/>
  <c r="D450" i="27"/>
  <c r="E228" i="27"/>
  <c r="E196" i="27"/>
  <c r="E243" i="27"/>
  <c r="F309" i="27"/>
  <c r="P151" i="27"/>
  <c r="J151" i="27" s="1"/>
  <c r="F144" i="27"/>
  <c r="V157" i="27"/>
  <c r="P248" i="27"/>
  <c r="S28" i="27"/>
  <c r="E229" i="27"/>
  <c r="L217" i="27"/>
  <c r="V126" i="27"/>
  <c r="F282" i="27"/>
  <c r="V503" i="27"/>
  <c r="F488" i="27"/>
  <c r="E344" i="27"/>
  <c r="E469" i="27"/>
  <c r="P402" i="27"/>
  <c r="L238" i="27"/>
  <c r="S471" i="27"/>
  <c r="P473" i="27"/>
  <c r="J473" i="27" s="1"/>
  <c r="F395" i="27"/>
  <c r="P500" i="27"/>
  <c r="S447" i="27"/>
  <c r="E342" i="27"/>
  <c r="L489" i="27"/>
  <c r="P396" i="27"/>
  <c r="P354" i="27"/>
  <c r="P480" i="27"/>
  <c r="E480" i="27"/>
  <c r="F509" i="27"/>
  <c r="P438" i="27"/>
  <c r="P401" i="27"/>
  <c r="L401" i="27"/>
  <c r="D399" i="27"/>
  <c r="L357" i="27"/>
  <c r="L365" i="27"/>
  <c r="D382" i="27"/>
  <c r="V215" i="27"/>
  <c r="D514" i="27"/>
  <c r="F431" i="27"/>
  <c r="S350" i="27"/>
  <c r="P504" i="27"/>
  <c r="P437" i="27"/>
  <c r="H81" i="27"/>
  <c r="H98" i="27"/>
  <c r="G509" i="27"/>
  <c r="I509" i="27" s="1"/>
  <c r="G486" i="27"/>
  <c r="G458" i="27"/>
  <c r="G436" i="27"/>
  <c r="G406" i="27"/>
  <c r="I406" i="27" s="1"/>
  <c r="G370" i="27"/>
  <c r="G352" i="27"/>
  <c r="G325" i="27"/>
  <c r="I325" i="27" s="1"/>
  <c r="G291" i="27"/>
  <c r="I291" i="27" s="1"/>
  <c r="G232" i="27"/>
  <c r="I232" i="27" s="1"/>
  <c r="G162" i="27"/>
  <c r="K108" i="27"/>
  <c r="O108" i="27" s="1"/>
  <c r="J108" i="27"/>
  <c r="N243" i="16"/>
  <c r="O485" i="16"/>
  <c r="N411" i="16"/>
  <c r="T229" i="16"/>
  <c r="U229" i="16" s="1"/>
  <c r="T147" i="16"/>
  <c r="T440" i="16"/>
  <c r="W440" i="16" s="1"/>
  <c r="T411" i="16"/>
  <c r="W411" i="16" s="1"/>
  <c r="N102" i="16"/>
  <c r="N375" i="16"/>
  <c r="O442" i="16"/>
  <c r="O445" i="16"/>
  <c r="N23" i="16"/>
  <c r="O79" i="16"/>
  <c r="N328" i="16"/>
  <c r="N295" i="16"/>
  <c r="N12" i="16"/>
  <c r="N206" i="16"/>
  <c r="N244" i="16"/>
  <c r="N51" i="16"/>
  <c r="O51" i="16"/>
  <c r="N357" i="16"/>
  <c r="N108" i="16"/>
  <c r="N417" i="16"/>
  <c r="N240" i="16"/>
  <c r="O447" i="16"/>
  <c r="O292" i="16"/>
  <c r="O281" i="16"/>
  <c r="J92" i="27"/>
  <c r="K92" i="27"/>
  <c r="O92" i="27" s="1"/>
  <c r="T267" i="16"/>
  <c r="T203" i="16"/>
  <c r="W203" i="16" s="1"/>
  <c r="T35" i="16"/>
  <c r="W35" i="16" s="1"/>
  <c r="K91" i="27"/>
  <c r="M91" i="27" s="1"/>
  <c r="K134" i="27"/>
  <c r="M134" i="27" s="1"/>
  <c r="G24" i="27"/>
  <c r="G168" i="27"/>
  <c r="G199" i="27"/>
  <c r="H199" i="27" s="1"/>
  <c r="G221" i="27"/>
  <c r="G246" i="27"/>
  <c r="G272" i="27"/>
  <c r="G287" i="27"/>
  <c r="G297" i="27"/>
  <c r="G305" i="27"/>
  <c r="H305" i="27" s="1"/>
  <c r="G316" i="27"/>
  <c r="G324" i="27"/>
  <c r="G334" i="27"/>
  <c r="G343" i="27"/>
  <c r="G351" i="27"/>
  <c r="G358" i="27"/>
  <c r="G365" i="27"/>
  <c r="G374" i="27"/>
  <c r="G382" i="27"/>
  <c r="G391" i="27"/>
  <c r="G401" i="27"/>
  <c r="H401" i="27" s="1"/>
  <c r="G410" i="27"/>
  <c r="G418" i="27"/>
  <c r="G426" i="27"/>
  <c r="I426" i="27" s="1"/>
  <c r="G433" i="27"/>
  <c r="G441" i="27"/>
  <c r="G447" i="27"/>
  <c r="G455" i="27"/>
  <c r="G462" i="27"/>
  <c r="H462" i="27" s="1"/>
  <c r="G468" i="27"/>
  <c r="G477" i="27"/>
  <c r="H477" i="27" s="1"/>
  <c r="G484" i="27"/>
  <c r="G492" i="27"/>
  <c r="G497" i="27"/>
  <c r="G506" i="27"/>
  <c r="G513" i="27"/>
  <c r="L297" i="27"/>
  <c r="P380" i="27"/>
  <c r="V492" i="27"/>
  <c r="L328" i="27"/>
  <c r="E478" i="27"/>
  <c r="E516" i="27"/>
  <c r="E267" i="27"/>
  <c r="S194" i="27"/>
  <c r="S271" i="27"/>
  <c r="S182" i="27"/>
  <c r="D258" i="27"/>
  <c r="D292" i="27"/>
  <c r="P422" i="27"/>
  <c r="E473" i="27"/>
  <c r="P358" i="27"/>
  <c r="E445" i="27"/>
  <c r="S277" i="27"/>
  <c r="E269" i="27"/>
  <c r="E285" i="27"/>
  <c r="E230" i="27"/>
  <c r="F234" i="27"/>
  <c r="F299" i="27"/>
  <c r="F314" i="27"/>
  <c r="F351" i="27"/>
  <c r="E447" i="27"/>
  <c r="P512" i="27"/>
  <c r="P332" i="27"/>
  <c r="S347" i="27"/>
  <c r="L491" i="27"/>
  <c r="E511" i="27"/>
  <c r="P208" i="27"/>
  <c r="D212" i="27"/>
  <c r="P234" i="27"/>
  <c r="E324" i="27"/>
  <c r="E192" i="27"/>
  <c r="F283" i="27"/>
  <c r="S238" i="27"/>
  <c r="L350" i="27"/>
  <c r="S495" i="27"/>
  <c r="F354" i="27"/>
  <c r="E460" i="27"/>
  <c r="P494" i="27"/>
  <c r="D249" i="27"/>
  <c r="V162" i="27"/>
  <c r="P228" i="27"/>
  <c r="V253" i="27"/>
  <c r="P199" i="27"/>
  <c r="G150" i="27"/>
  <c r="G185" i="27"/>
  <c r="I185" i="27" s="1"/>
  <c r="G217" i="27"/>
  <c r="H217" i="27" s="1"/>
  <c r="G257" i="27"/>
  <c r="G280" i="27"/>
  <c r="G294" i="27"/>
  <c r="G309" i="27"/>
  <c r="G320" i="27"/>
  <c r="I320" i="27" s="1"/>
  <c r="G331" i="27"/>
  <c r="H331" i="27" s="1"/>
  <c r="G345" i="27"/>
  <c r="H345" i="27" s="1"/>
  <c r="G353" i="27"/>
  <c r="H353" i="27" s="1"/>
  <c r="G364" i="27"/>
  <c r="G375" i="27"/>
  <c r="H375" i="27" s="1"/>
  <c r="G387" i="27"/>
  <c r="H387" i="27" s="1"/>
  <c r="G399" i="27"/>
  <c r="G412" i="27"/>
  <c r="G420" i="27"/>
  <c r="G432" i="27"/>
  <c r="I432" i="27" s="1"/>
  <c r="G442" i="27"/>
  <c r="G451" i="27"/>
  <c r="G461" i="27"/>
  <c r="I461" i="27" s="1"/>
  <c r="G471" i="27"/>
  <c r="G480" i="27"/>
  <c r="G490" i="27"/>
  <c r="G500" i="27"/>
  <c r="I500" i="27" s="1"/>
  <c r="G510" i="27"/>
  <c r="H510" i="27" s="1"/>
  <c r="G519" i="27"/>
  <c r="D341" i="27"/>
  <c r="F396" i="27"/>
  <c r="S508" i="27"/>
  <c r="S174" i="27"/>
  <c r="F235" i="27"/>
  <c r="E187" i="27"/>
  <c r="S261" i="27"/>
  <c r="L30" i="27"/>
  <c r="E364" i="27"/>
  <c r="F468" i="27"/>
  <c r="D337" i="27"/>
  <c r="S476" i="27"/>
  <c r="S223" i="27"/>
  <c r="L259" i="27"/>
  <c r="V254" i="27"/>
  <c r="V184" i="27"/>
  <c r="L384" i="27"/>
  <c r="E506" i="27"/>
  <c r="P256" i="27"/>
  <c r="P398" i="27"/>
  <c r="D498" i="27"/>
  <c r="S254" i="27"/>
  <c r="F209" i="27"/>
  <c r="D207" i="27"/>
  <c r="S348" i="27"/>
  <c r="V429" i="27"/>
  <c r="V350" i="27"/>
  <c r="S429" i="27"/>
  <c r="V250" i="27"/>
  <c r="P178" i="27"/>
  <c r="S235" i="27"/>
  <c r="E282" i="27"/>
  <c r="P164" i="27"/>
  <c r="E194" i="27"/>
  <c r="D244" i="27"/>
  <c r="S243" i="27"/>
  <c r="E164" i="27"/>
  <c r="F192" i="27"/>
  <c r="V257" i="27"/>
  <c r="D204" i="27"/>
  <c r="F173" i="27"/>
  <c r="V159" i="27"/>
  <c r="P194" i="27"/>
  <c r="V24" i="27"/>
  <c r="P16" i="27"/>
  <c r="P511" i="27"/>
  <c r="E487" i="27"/>
  <c r="F402" i="27"/>
  <c r="E352" i="27"/>
  <c r="L510" i="27"/>
  <c r="P432" i="27"/>
  <c r="E359" i="27"/>
  <c r="L483" i="27"/>
  <c r="P459" i="27"/>
  <c r="K459" i="27" s="1"/>
  <c r="D485" i="27"/>
  <c r="G515" i="27"/>
  <c r="G502" i="27"/>
  <c r="H502" i="27" s="1"/>
  <c r="G487" i="27"/>
  <c r="I487" i="27" s="1"/>
  <c r="G476" i="27"/>
  <c r="G463" i="27"/>
  <c r="G449" i="27"/>
  <c r="G438" i="27"/>
  <c r="G425" i="27"/>
  <c r="H425" i="27" s="1"/>
  <c r="G407" i="27"/>
  <c r="G394" i="27"/>
  <c r="G378" i="27"/>
  <c r="I378" i="27" s="1"/>
  <c r="G362" i="27"/>
  <c r="G349" i="27"/>
  <c r="G336" i="27"/>
  <c r="G318" i="27"/>
  <c r="G302" i="27"/>
  <c r="I302" i="27" s="1"/>
  <c r="G283" i="27"/>
  <c r="H283" i="27" s="1"/>
  <c r="G240" i="27"/>
  <c r="G200" i="27"/>
  <c r="G161" i="27"/>
  <c r="G281" i="27"/>
  <c r="I281" i="27" s="1"/>
  <c r="G270" i="27"/>
  <c r="H270" i="27" s="1"/>
  <c r="G249" i="27"/>
  <c r="G231" i="27"/>
  <c r="I231" i="27" s="1"/>
  <c r="G214" i="27"/>
  <c r="I214" i="27" s="1"/>
  <c r="G193" i="27"/>
  <c r="G172" i="27"/>
  <c r="G151" i="27"/>
  <c r="H151" i="27" s="1"/>
  <c r="G167" i="27"/>
  <c r="I167" i="27" s="1"/>
  <c r="G182" i="27"/>
  <c r="G194" i="27"/>
  <c r="H194" i="27" s="1"/>
  <c r="G210" i="27"/>
  <c r="G224" i="27"/>
  <c r="H224" i="27" s="1"/>
  <c r="G236" i="27"/>
  <c r="I236" i="27" s="1"/>
  <c r="G254" i="27"/>
  <c r="H254" i="27" s="1"/>
  <c r="G264" i="27"/>
  <c r="G277" i="27"/>
  <c r="I277" i="27" s="1"/>
  <c r="G286" i="27"/>
  <c r="G293" i="27"/>
  <c r="I293" i="27" s="1"/>
  <c r="G299" i="27"/>
  <c r="G307" i="27"/>
  <c r="I307" i="27" s="1"/>
  <c r="G314" i="27"/>
  <c r="I314" i="27" s="1"/>
  <c r="G321" i="27"/>
  <c r="I321" i="27" s="1"/>
  <c r="G328" i="27"/>
  <c r="G335" i="27"/>
  <c r="G342" i="27"/>
  <c r="G346" i="27"/>
  <c r="G350" i="27"/>
  <c r="H350" i="27" s="1"/>
  <c r="G355" i="27"/>
  <c r="H355" i="27" s="1"/>
  <c r="G361" i="27"/>
  <c r="G366" i="27"/>
  <c r="H366" i="27" s="1"/>
  <c r="G372" i="27"/>
  <c r="G379" i="27"/>
  <c r="G386" i="27"/>
  <c r="G393" i="27"/>
  <c r="G398" i="27"/>
  <c r="H398" i="27" s="1"/>
  <c r="G404" i="27"/>
  <c r="I404" i="27" s="1"/>
  <c r="G411" i="27"/>
  <c r="G415" i="27"/>
  <c r="H415" i="27" s="1"/>
  <c r="G423" i="27"/>
  <c r="G430" i="27"/>
  <c r="H430" i="27" s="1"/>
  <c r="G435" i="27"/>
  <c r="G439" i="27"/>
  <c r="G444" i="27"/>
  <c r="G448" i="27"/>
  <c r="G454" i="27"/>
  <c r="G460" i="27"/>
  <c r="G464" i="27"/>
  <c r="G470" i="27"/>
  <c r="G474" i="27"/>
  <c r="G478" i="27"/>
  <c r="H478" i="27" s="1"/>
  <c r="G483" i="27"/>
  <c r="I483" i="27" s="1"/>
  <c r="G489" i="27"/>
  <c r="G494" i="27"/>
  <c r="H494" i="27" s="1"/>
  <c r="G499" i="27"/>
  <c r="G503" i="27"/>
  <c r="G508" i="27"/>
  <c r="G512" i="27"/>
  <c r="G518" i="27"/>
  <c r="F517" i="27"/>
  <c r="L310" i="27"/>
  <c r="S318" i="27"/>
  <c r="L448" i="27"/>
  <c r="V519" i="27"/>
  <c r="P360" i="27"/>
  <c r="S448" i="27"/>
  <c r="L196" i="27"/>
  <c r="S274" i="27"/>
  <c r="P310" i="27"/>
  <c r="S276" i="27"/>
  <c r="D223" i="27"/>
  <c r="L202" i="27"/>
  <c r="F298" i="27"/>
  <c r="L284" i="27"/>
  <c r="S441" i="27"/>
  <c r="V510" i="27"/>
  <c r="F296" i="27"/>
  <c r="E495" i="27"/>
  <c r="P240" i="27"/>
  <c r="V204" i="27"/>
  <c r="V180" i="27"/>
  <c r="D226" i="27"/>
  <c r="T241" i="16"/>
  <c r="W241" i="16" s="1"/>
  <c r="G23" i="27"/>
  <c r="H23" i="27" s="1"/>
  <c r="G154" i="27"/>
  <c r="G165" i="27"/>
  <c r="G175" i="27"/>
  <c r="G186" i="27"/>
  <c r="G197" i="27"/>
  <c r="I197" i="27" s="1"/>
  <c r="G207" i="27"/>
  <c r="I207" i="27" s="1"/>
  <c r="G218" i="27"/>
  <c r="H218" i="27" s="1"/>
  <c r="G228" i="27"/>
  <c r="G239" i="27"/>
  <c r="I239" i="27" s="1"/>
  <c r="G250" i="27"/>
  <c r="G261" i="27"/>
  <c r="G271" i="27"/>
  <c r="H271" i="27" s="1"/>
  <c r="G279" i="27"/>
  <c r="G284" i="27"/>
  <c r="G290" i="27"/>
  <c r="G295" i="27"/>
  <c r="I295" i="27" s="1"/>
  <c r="G301" i="27"/>
  <c r="H301" i="27" s="1"/>
  <c r="G306" i="27"/>
  <c r="G312" i="27"/>
  <c r="G317" i="27"/>
  <c r="G322" i="27"/>
  <c r="I322" i="27" s="1"/>
  <c r="G327" i="27"/>
  <c r="G332" i="27"/>
  <c r="G338" i="27"/>
  <c r="G341" i="27"/>
  <c r="I341" i="27" s="1"/>
  <c r="G344" i="27"/>
  <c r="G347" i="27"/>
  <c r="I347" i="27" s="1"/>
  <c r="G354" i="27"/>
  <c r="G357" i="27"/>
  <c r="G360" i="27"/>
  <c r="H360" i="27" s="1"/>
  <c r="G363" i="27"/>
  <c r="G371" i="27"/>
  <c r="G377" i="27"/>
  <c r="I377" i="27" s="1"/>
  <c r="G385" i="27"/>
  <c r="G390" i="27"/>
  <c r="G395" i="27"/>
  <c r="H395" i="27" s="1"/>
  <c r="G403" i="27"/>
  <c r="G409" i="27"/>
  <c r="G417" i="27"/>
  <c r="H417" i="27" s="1"/>
  <c r="G422" i="27"/>
  <c r="G427" i="27"/>
  <c r="G434" i="27"/>
  <c r="G437" i="27"/>
  <c r="I437" i="27" s="1"/>
  <c r="G440" i="27"/>
  <c r="I440" i="27" s="1"/>
  <c r="G443" i="27"/>
  <c r="G450" i="27"/>
  <c r="G453" i="27"/>
  <c r="G456" i="27"/>
  <c r="G459" i="27"/>
  <c r="H459" i="27" s="1"/>
  <c r="G466" i="27"/>
  <c r="G469" i="27"/>
  <c r="H469" i="27" s="1"/>
  <c r="G472" i="27"/>
  <c r="H472" i="27" s="1"/>
  <c r="G475" i="27"/>
  <c r="G482" i="27"/>
  <c r="G485" i="27"/>
  <c r="G488" i="27"/>
  <c r="H488" i="27" s="1"/>
  <c r="G491" i="27"/>
  <c r="G498" i="27"/>
  <c r="G501" i="27"/>
  <c r="G504" i="27"/>
  <c r="G507" i="27"/>
  <c r="H507" i="27" s="1"/>
  <c r="G514" i="27"/>
  <c r="G517" i="27"/>
  <c r="H517" i="27" s="1"/>
  <c r="G520" i="27"/>
  <c r="D517" i="27"/>
  <c r="T127" i="16"/>
  <c r="W127" i="16" s="1"/>
  <c r="T377" i="16"/>
  <c r="U377" i="16" s="1"/>
  <c r="T279" i="16"/>
  <c r="W279" i="16" s="1"/>
  <c r="T272" i="16"/>
  <c r="U272" i="16" s="1"/>
  <c r="T471" i="16"/>
  <c r="U471" i="16" s="1"/>
  <c r="T357" i="16"/>
  <c r="T262" i="16"/>
  <c r="U262" i="16" s="1"/>
  <c r="T383" i="16"/>
  <c r="T481" i="16"/>
  <c r="T444" i="16"/>
  <c r="W444" i="16" s="1"/>
  <c r="T478" i="16"/>
  <c r="W478" i="16" s="1"/>
  <c r="T215" i="16"/>
  <c r="T41" i="16"/>
  <c r="T269" i="16"/>
  <c r="U269" i="16" s="1"/>
  <c r="T43" i="16"/>
  <c r="T204" i="16"/>
  <c r="W204" i="16" s="1"/>
  <c r="T465" i="16"/>
  <c r="W465" i="16" s="1"/>
  <c r="T86" i="16"/>
  <c r="W86" i="16" s="1"/>
  <c r="T408" i="16"/>
  <c r="T186" i="16"/>
  <c r="W186" i="16" s="1"/>
  <c r="T179" i="16"/>
  <c r="W179" i="16" s="1"/>
  <c r="T202" i="16"/>
  <c r="W202" i="16" s="1"/>
  <c r="T169" i="16"/>
  <c r="W169" i="16" s="1"/>
  <c r="T46" i="16"/>
  <c r="W46" i="16" s="1"/>
  <c r="T284" i="16"/>
  <c r="W284" i="16" s="1"/>
  <c r="T34" i="16"/>
  <c r="W34" i="16" s="1"/>
  <c r="T300" i="16"/>
  <c r="U300" i="16" s="1"/>
  <c r="T15" i="16"/>
  <c r="W15" i="16" s="1"/>
  <c r="T445" i="16"/>
  <c r="W445" i="16" s="1"/>
  <c r="T428" i="16"/>
  <c r="U428" i="16" s="1"/>
  <c r="T244" i="16"/>
  <c r="W244" i="16" s="1"/>
  <c r="T452" i="16"/>
  <c r="U452" i="16" s="1"/>
  <c r="T391" i="16"/>
  <c r="W391" i="16" s="1"/>
  <c r="T323" i="16"/>
  <c r="T418" i="16"/>
  <c r="U418" i="16" s="1"/>
  <c r="T505" i="16"/>
  <c r="W505" i="16" s="1"/>
  <c r="T106" i="16"/>
  <c r="T477" i="16"/>
  <c r="U477" i="16" s="1"/>
  <c r="T49" i="16"/>
  <c r="W49" i="16" s="1"/>
  <c r="T172" i="16"/>
  <c r="U172" i="16" s="1"/>
  <c r="T403" i="16"/>
  <c r="W403" i="16" s="1"/>
  <c r="T30" i="16"/>
  <c r="U30" i="16" s="1"/>
  <c r="T80" i="16"/>
  <c r="U80" i="16" s="1"/>
  <c r="T433" i="16"/>
  <c r="W433" i="16" s="1"/>
  <c r="T211" i="16"/>
  <c r="W211" i="16" s="1"/>
  <c r="T51" i="16"/>
  <c r="T302" i="16"/>
  <c r="W302" i="16" s="1"/>
  <c r="T103" i="16"/>
  <c r="T264" i="16"/>
  <c r="W264" i="16" s="1"/>
  <c r="T129" i="16"/>
  <c r="U129" i="16" s="1"/>
  <c r="G16" i="27"/>
  <c r="G20" i="27"/>
  <c r="G157" i="27"/>
  <c r="G164" i="27"/>
  <c r="G171" i="27"/>
  <c r="H171" i="27" s="1"/>
  <c r="G179" i="27"/>
  <c r="H179" i="27" s="1"/>
  <c r="G189" i="27"/>
  <c r="G196" i="27"/>
  <c r="I196" i="27" s="1"/>
  <c r="G203" i="27"/>
  <c r="G213" i="27"/>
  <c r="H213" i="27" s="1"/>
  <c r="G220" i="27"/>
  <c r="I220" i="27" s="1"/>
  <c r="G227" i="27"/>
  <c r="H227" i="27" s="1"/>
  <c r="G235" i="27"/>
  <c r="H235" i="27" s="1"/>
  <c r="G243" i="27"/>
  <c r="H243" i="27" s="1"/>
  <c r="G253" i="27"/>
  <c r="I253" i="27" s="1"/>
  <c r="G260" i="27"/>
  <c r="H260" i="27" s="1"/>
  <c r="G267" i="27"/>
  <c r="G274" i="27"/>
  <c r="G278" i="27"/>
  <c r="G282" i="27"/>
  <c r="G285" i="27"/>
  <c r="G289" i="27"/>
  <c r="G292" i="27"/>
  <c r="I292" i="27" s="1"/>
  <c r="G296" i="27"/>
  <c r="I296" i="27" s="1"/>
  <c r="G300" i="27"/>
  <c r="I300" i="27" s="1"/>
  <c r="G304" i="27"/>
  <c r="G308" i="27"/>
  <c r="H308" i="27" s="1"/>
  <c r="G311" i="27"/>
  <c r="I311" i="27" s="1"/>
  <c r="G315" i="27"/>
  <c r="G319" i="27"/>
  <c r="G326" i="27"/>
  <c r="G329" i="27"/>
  <c r="G333" i="27"/>
  <c r="I333" i="27" s="1"/>
  <c r="G337" i="27"/>
  <c r="I337" i="27" s="1"/>
  <c r="G368" i="27"/>
  <c r="G373" i="27"/>
  <c r="G376" i="27"/>
  <c r="G381" i="27"/>
  <c r="H381" i="27" s="1"/>
  <c r="G384" i="27"/>
  <c r="G389" i="27"/>
  <c r="G392" i="27"/>
  <c r="G397" i="27"/>
  <c r="G400" i="27"/>
  <c r="G405" i="27"/>
  <c r="H405" i="27" s="1"/>
  <c r="G408" i="27"/>
  <c r="G413" i="27"/>
  <c r="G416" i="27"/>
  <c r="G421" i="27"/>
  <c r="H421" i="27" s="1"/>
  <c r="G424" i="27"/>
  <c r="G429" i="27"/>
  <c r="G126" i="27"/>
  <c r="I126" i="27" s="1"/>
  <c r="T10" i="16"/>
  <c r="W10" i="16" s="1"/>
  <c r="T489" i="16"/>
  <c r="W489" i="16" s="1"/>
  <c r="T84" i="16"/>
  <c r="W84" i="16" s="1"/>
  <c r="T392" i="16"/>
  <c r="U392" i="16" s="1"/>
  <c r="T50" i="16"/>
  <c r="W50" i="16" s="1"/>
  <c r="T409" i="16"/>
  <c r="W409" i="16" s="1"/>
  <c r="T332" i="16"/>
  <c r="U332" i="16" s="1"/>
  <c r="T27" i="16"/>
  <c r="U27" i="16" s="1"/>
  <c r="T495" i="16"/>
  <c r="U495" i="16" s="1"/>
  <c r="T518" i="16"/>
  <c r="W518" i="16" s="1"/>
  <c r="T423" i="16"/>
  <c r="W423" i="16" s="1"/>
  <c r="T222" i="16"/>
  <c r="W222" i="16" s="1"/>
  <c r="T254" i="16"/>
  <c r="U254" i="16" s="1"/>
  <c r="T364" i="16"/>
  <c r="U364" i="16" s="1"/>
  <c r="T149" i="16"/>
  <c r="U149" i="16" s="1"/>
  <c r="T235" i="16"/>
  <c r="W235" i="16" s="1"/>
  <c r="T190" i="16"/>
  <c r="W190" i="16" s="1"/>
  <c r="T131" i="16"/>
  <c r="T99" i="16"/>
  <c r="U99" i="16" s="1"/>
  <c r="T429" i="16"/>
  <c r="T29" i="16"/>
  <c r="T312" i="16"/>
  <c r="W312" i="16" s="1"/>
  <c r="T90" i="16"/>
  <c r="T33" i="16"/>
  <c r="T126" i="16"/>
  <c r="U126" i="16" s="1"/>
  <c r="T237" i="16"/>
  <c r="W237" i="16" s="1"/>
  <c r="T142" i="16"/>
  <c r="W142" i="16" s="1"/>
  <c r="T485" i="16"/>
  <c r="U485" i="16" s="1"/>
  <c r="T138" i="16"/>
  <c r="T63" i="16"/>
  <c r="U63" i="16" s="1"/>
  <c r="T214" i="16"/>
  <c r="U214" i="16" s="1"/>
  <c r="T349" i="16"/>
  <c r="W349" i="16" s="1"/>
  <c r="T59" i="16"/>
  <c r="T350" i="16"/>
  <c r="W350" i="16" s="1"/>
  <c r="T156" i="16"/>
  <c r="T379" i="16"/>
  <c r="T335" i="16"/>
  <c r="W335" i="16" s="1"/>
  <c r="T311" i="16"/>
  <c r="U311" i="16" s="1"/>
  <c r="T248" i="16"/>
  <c r="W248" i="16" s="1"/>
  <c r="T125" i="16"/>
  <c r="U125" i="16" s="1"/>
  <c r="T318" i="16"/>
  <c r="T150" i="16"/>
  <c r="T256" i="16"/>
  <c r="W256" i="16" s="1"/>
  <c r="T251" i="16"/>
  <c r="U251" i="16" s="1"/>
  <c r="T145" i="16"/>
  <c r="W145" i="16" s="1"/>
  <c r="T136" i="16"/>
  <c r="W136" i="16" s="1"/>
  <c r="T128" i="16"/>
  <c r="W128" i="16" s="1"/>
  <c r="T378" i="16"/>
  <c r="W378" i="16" s="1"/>
  <c r="T164" i="16"/>
  <c r="W164" i="16" s="1"/>
  <c r="T140" i="16"/>
  <c r="U140" i="16" s="1"/>
  <c r="T137" i="16"/>
  <c r="W137" i="16" s="1"/>
  <c r="J81" i="27"/>
  <c r="K81" i="27"/>
  <c r="O81" i="27" s="1"/>
  <c r="I91" i="27"/>
  <c r="H91" i="27"/>
  <c r="T79" i="16"/>
  <c r="U79" i="16" s="1"/>
  <c r="T188" i="16"/>
  <c r="T517" i="16"/>
  <c r="U517" i="16" s="1"/>
  <c r="T219" i="16"/>
  <c r="U219" i="16" s="1"/>
  <c r="I134" i="27"/>
  <c r="H134" i="27"/>
  <c r="T351" i="16"/>
  <c r="W351" i="16" s="1"/>
  <c r="T107" i="16"/>
  <c r="U107" i="16" s="1"/>
  <c r="T394" i="16"/>
  <c r="K89" i="27"/>
  <c r="O89" i="27" s="1"/>
  <c r="J89" i="27"/>
  <c r="G12" i="27"/>
  <c r="G15" i="27"/>
  <c r="H15" i="27" s="1"/>
  <c r="G85" i="27"/>
  <c r="I85" i="27" s="1"/>
  <c r="G28" i="27"/>
  <c r="I28" i="27" s="1"/>
  <c r="G152" i="27"/>
  <c r="G155" i="27"/>
  <c r="G159" i="27"/>
  <c r="G166" i="27"/>
  <c r="H166" i="27" s="1"/>
  <c r="G169" i="27"/>
  <c r="G173" i="27"/>
  <c r="G177" i="27"/>
  <c r="H177" i="27" s="1"/>
  <c r="G180" i="27"/>
  <c r="I180" i="27" s="1"/>
  <c r="G183" i="27"/>
  <c r="G187" i="27"/>
  <c r="H187" i="27" s="1"/>
  <c r="G191" i="27"/>
  <c r="I191" i="27" s="1"/>
  <c r="G198" i="27"/>
  <c r="H198" i="27" s="1"/>
  <c r="G201" i="27"/>
  <c r="I201" i="27" s="1"/>
  <c r="G204" i="27"/>
  <c r="G208" i="27"/>
  <c r="I208" i="27" s="1"/>
  <c r="G211" i="27"/>
  <c r="G215" i="27"/>
  <c r="I215" i="27" s="1"/>
  <c r="G222" i="27"/>
  <c r="G226" i="27"/>
  <c r="H226" i="27" s="1"/>
  <c r="G229" i="27"/>
  <c r="G233" i="27"/>
  <c r="G237" i="27"/>
  <c r="I237" i="27" s="1"/>
  <c r="G241" i="27"/>
  <c r="H241" i="27" s="1"/>
  <c r="G244" i="27"/>
  <c r="G247" i="27"/>
  <c r="I247" i="27" s="1"/>
  <c r="G251" i="27"/>
  <c r="G255" i="27"/>
  <c r="G262" i="27"/>
  <c r="H262" i="27" s="1"/>
  <c r="G265" i="27"/>
  <c r="H265" i="27" s="1"/>
  <c r="G268" i="27"/>
  <c r="G30" i="27"/>
  <c r="G31" i="27"/>
  <c r="G149" i="27"/>
  <c r="G153" i="27"/>
  <c r="I153" i="27" s="1"/>
  <c r="G156" i="27"/>
  <c r="G160" i="27"/>
  <c r="G163" i="27"/>
  <c r="I163" i="27" s="1"/>
  <c r="G170" i="27"/>
  <c r="G174" i="27"/>
  <c r="G178" i="27"/>
  <c r="G181" i="27"/>
  <c r="G184" i="27"/>
  <c r="G188" i="27"/>
  <c r="G192" i="27"/>
  <c r="G195" i="27"/>
  <c r="I195" i="27" s="1"/>
  <c r="G202" i="27"/>
  <c r="G205" i="27"/>
  <c r="I205" i="27" s="1"/>
  <c r="G209" i="27"/>
  <c r="G212" i="27"/>
  <c r="H212" i="27" s="1"/>
  <c r="G216" i="27"/>
  <c r="G219" i="27"/>
  <c r="G223" i="27"/>
  <c r="H223" i="27" s="1"/>
  <c r="G230" i="27"/>
  <c r="H230" i="27" s="1"/>
  <c r="G234" i="27"/>
  <c r="I234" i="27" s="1"/>
  <c r="G238" i="27"/>
  <c r="G242" i="27"/>
  <c r="G245" i="27"/>
  <c r="G248" i="27"/>
  <c r="I248" i="27" s="1"/>
  <c r="G252" i="27"/>
  <c r="H252" i="27" s="1"/>
  <c r="G256" i="27"/>
  <c r="G259" i="27"/>
  <c r="H259" i="27" s="1"/>
  <c r="G266" i="27"/>
  <c r="G269" i="27"/>
  <c r="H269" i="27" s="1"/>
  <c r="G273" i="27"/>
  <c r="G276" i="27"/>
  <c r="O161" i="16"/>
  <c r="T303" i="16"/>
  <c r="N422" i="16"/>
  <c r="T82" i="16"/>
  <c r="W82" i="16" s="1"/>
  <c r="N230" i="16"/>
  <c r="I97" i="27"/>
  <c r="I89" i="27"/>
  <c r="H89" i="27"/>
  <c r="O415" i="16"/>
  <c r="T342" i="16"/>
  <c r="U342" i="16" s="1"/>
  <c r="T85" i="16"/>
  <c r="U85" i="16" s="1"/>
  <c r="T4" i="16"/>
  <c r="W4" i="16" s="1"/>
  <c r="T510" i="16"/>
  <c r="T507" i="16"/>
  <c r="W507" i="16" s="1"/>
  <c r="T243" i="16"/>
  <c r="T201" i="16"/>
  <c r="T385" i="16"/>
  <c r="T276" i="16"/>
  <c r="W276" i="16" s="1"/>
  <c r="T263" i="16"/>
  <c r="W263" i="16" s="1"/>
  <c r="T496" i="16"/>
  <c r="T375" i="16"/>
  <c r="T432" i="16"/>
  <c r="U432" i="16" s="1"/>
  <c r="T226" i="16"/>
  <c r="T366" i="16"/>
  <c r="T374" i="16"/>
  <c r="W374" i="16" s="1"/>
  <c r="T333" i="16"/>
  <c r="W333" i="16" s="1"/>
  <c r="T384" i="16"/>
  <c r="T334" i="16"/>
  <c r="W334" i="16" s="1"/>
  <c r="T37" i="16"/>
  <c r="W37" i="16" s="1"/>
  <c r="T134" i="16"/>
  <c r="U134" i="16" s="1"/>
  <c r="T493" i="16"/>
  <c r="W493" i="16" s="1"/>
  <c r="T151" i="16"/>
  <c r="W151" i="16" s="1"/>
  <c r="T146" i="16"/>
  <c r="U146" i="16" s="1"/>
  <c r="T171" i="16"/>
  <c r="U171" i="16" s="1"/>
  <c r="T26" i="16"/>
  <c r="T9" i="16"/>
  <c r="U9" i="16" s="1"/>
  <c r="T259" i="16"/>
  <c r="T358" i="16"/>
  <c r="W358" i="16" s="1"/>
  <c r="T88" i="16"/>
  <c r="U88" i="16" s="1"/>
  <c r="T242" i="16"/>
  <c r="W242" i="16" s="1"/>
  <c r="T400" i="16"/>
  <c r="N139" i="16"/>
  <c r="N273" i="16"/>
  <c r="T44" i="16"/>
  <c r="U44" i="16" s="1"/>
  <c r="T246" i="16"/>
  <c r="T466" i="16"/>
  <c r="U466" i="16" s="1"/>
  <c r="T199" i="16"/>
  <c r="T513" i="16"/>
  <c r="W513" i="16" s="1"/>
  <c r="T447" i="16"/>
  <c r="U447" i="16" s="1"/>
  <c r="T266" i="16"/>
  <c r="U266" i="16" s="1"/>
  <c r="T476" i="16"/>
  <c r="T343" i="16"/>
  <c r="U343" i="16" s="1"/>
  <c r="T370" i="16"/>
  <c r="U370" i="16" s="1"/>
  <c r="T53" i="16"/>
  <c r="W53" i="16" s="1"/>
  <c r="T468" i="16"/>
  <c r="T319" i="16"/>
  <c r="T417" i="16"/>
  <c r="W417" i="16" s="1"/>
  <c r="T97" i="27"/>
  <c r="T91" i="27"/>
  <c r="W91" i="27" s="1"/>
  <c r="N415" i="16"/>
  <c r="T280" i="16"/>
  <c r="U280" i="16" s="1"/>
  <c r="N18" i="16"/>
  <c r="O446" i="16"/>
  <c r="N269" i="16"/>
  <c r="O340" i="16"/>
  <c r="N340" i="16"/>
  <c r="N82" i="16"/>
  <c r="N383" i="16"/>
  <c r="T327" i="16"/>
  <c r="U327" i="16" s="1"/>
  <c r="T209" i="16"/>
  <c r="U209" i="16" s="1"/>
  <c r="T285" i="16"/>
  <c r="U285" i="16" s="1"/>
  <c r="T155" i="16"/>
  <c r="W155" i="16" s="1"/>
  <c r="O468" i="16"/>
  <c r="N171" i="16"/>
  <c r="N129" i="16"/>
  <c r="N403" i="16"/>
  <c r="O149" i="16"/>
  <c r="T118" i="16"/>
  <c r="U118" i="16" s="1"/>
  <c r="T102" i="16"/>
  <c r="T250" i="16"/>
  <c r="U250" i="16" s="1"/>
  <c r="T340" i="16"/>
  <c r="W340" i="16" s="1"/>
  <c r="T65" i="16"/>
  <c r="U65" i="16" s="1"/>
  <c r="T486" i="16"/>
  <c r="W486" i="16" s="1"/>
  <c r="T373" i="16"/>
  <c r="U373" i="16" s="1"/>
  <c r="T437" i="16"/>
  <c r="U437" i="16" s="1"/>
  <c r="T315" i="16"/>
  <c r="U315" i="16" s="1"/>
  <c r="T42" i="16"/>
  <c r="W42" i="16" s="1"/>
  <c r="T108" i="16"/>
  <c r="W108" i="16" s="1"/>
  <c r="T504" i="16"/>
  <c r="U504" i="16" s="1"/>
  <c r="T480" i="16"/>
  <c r="W480" i="16" s="1"/>
  <c r="N128" i="16"/>
  <c r="T133" i="16"/>
  <c r="T438" i="16"/>
  <c r="W438" i="16" s="1"/>
  <c r="T463" i="16"/>
  <c r="W463" i="16" s="1"/>
  <c r="T163" i="16"/>
  <c r="U163" i="16" s="1"/>
  <c r="T289" i="16"/>
  <c r="U289" i="16" s="1"/>
  <c r="T287" i="16"/>
  <c r="W287" i="16" s="1"/>
  <c r="T406" i="16"/>
  <c r="U406" i="16" s="1"/>
  <c r="T94" i="16"/>
  <c r="U94" i="16" s="1"/>
  <c r="T39" i="16"/>
  <c r="W39" i="16" s="1"/>
  <c r="T467" i="16"/>
  <c r="W467" i="16" s="1"/>
  <c r="T470" i="16"/>
  <c r="T317" i="16"/>
  <c r="T123" i="16"/>
  <c r="U123" i="16" s="1"/>
  <c r="T153" i="16"/>
  <c r="W153" i="16" s="1"/>
  <c r="N146" i="16"/>
  <c r="N36" i="16"/>
  <c r="T167" i="16"/>
  <c r="W167" i="16" s="1"/>
  <c r="T295" i="16"/>
  <c r="U295" i="16" s="1"/>
  <c r="T301" i="16"/>
  <c r="U301" i="16" s="1"/>
  <c r="T368" i="16"/>
  <c r="U368" i="16" s="1"/>
  <c r="T206" i="16"/>
  <c r="W206" i="16" s="1"/>
  <c r="T189" i="16"/>
  <c r="U189" i="16" s="1"/>
  <c r="T361" i="16"/>
  <c r="U361" i="16" s="1"/>
  <c r="T87" i="16"/>
  <c r="T353" i="16"/>
  <c r="T427" i="16"/>
  <c r="W427" i="16" s="1"/>
  <c r="T309" i="16"/>
  <c r="U309" i="16" s="1"/>
  <c r="T414" i="16"/>
  <c r="U414" i="16" s="1"/>
  <c r="T426" i="16"/>
  <c r="W426" i="16" s="1"/>
  <c r="T230" i="16"/>
  <c r="W230" i="16" s="1"/>
  <c r="T253" i="16"/>
  <c r="W253" i="16" s="1"/>
  <c r="T139" i="16"/>
  <c r="U139" i="16" s="1"/>
  <c r="T31" i="16"/>
  <c r="U31" i="16" s="1"/>
  <c r="T297" i="16"/>
  <c r="U297" i="16" s="1"/>
  <c r="T347" i="16"/>
  <c r="U347" i="16" s="1"/>
  <c r="T389" i="16"/>
  <c r="W389" i="16" s="1"/>
  <c r="T23" i="16"/>
  <c r="W23" i="16" s="1"/>
  <c r="T130" i="16"/>
  <c r="U130" i="16" s="1"/>
  <c r="T314" i="16"/>
  <c r="W314" i="16" s="1"/>
  <c r="T410" i="16"/>
  <c r="T273" i="16"/>
  <c r="U273" i="16" s="1"/>
  <c r="T322" i="16"/>
  <c r="W322" i="16" s="1"/>
  <c r="T143" i="16"/>
  <c r="T442" i="16"/>
  <c r="U442" i="16" s="1"/>
  <c r="T488" i="16"/>
  <c r="U488" i="16" s="1"/>
  <c r="T144" i="16"/>
  <c r="U144" i="16" s="1"/>
  <c r="T324" i="16"/>
  <c r="W324" i="16" s="1"/>
  <c r="T28" i="16"/>
  <c r="W28" i="16" s="1"/>
  <c r="T292" i="16"/>
  <c r="U292" i="16" s="1"/>
  <c r="T98" i="16"/>
  <c r="U98" i="16" s="1"/>
  <c r="T14" i="16"/>
  <c r="W14" i="16" s="1"/>
  <c r="T36" i="16"/>
  <c r="U36" i="16" s="1"/>
  <c r="T207" i="16"/>
  <c r="U207" i="16" s="1"/>
  <c r="T472" i="16"/>
  <c r="W472" i="16" s="1"/>
  <c r="T275" i="16"/>
  <c r="W275" i="16" s="1"/>
  <c r="T281" i="16"/>
  <c r="T441" i="16"/>
  <c r="W441" i="16" s="1"/>
  <c r="T89" i="16"/>
  <c r="U89" i="16" s="1"/>
  <c r="T158" i="16"/>
  <c r="U158" i="16" s="1"/>
  <c r="T184" i="16"/>
  <c r="W184" i="16" s="1"/>
  <c r="T316" i="16"/>
  <c r="U316" i="16" s="1"/>
  <c r="T92" i="27"/>
  <c r="W92" i="27" s="1"/>
  <c r="K97" i="27"/>
  <c r="O97" i="27" s="1"/>
  <c r="J97" i="27"/>
  <c r="O91" i="27"/>
  <c r="I108" i="27"/>
  <c r="H108" i="27"/>
  <c r="N280" i="16"/>
  <c r="T81" i="27"/>
  <c r="W81" i="27" s="1"/>
  <c r="T134" i="27"/>
  <c r="W134" i="27" s="1"/>
  <c r="T89" i="27"/>
  <c r="U89" i="27" s="1"/>
  <c r="T108" i="27"/>
  <c r="U108" i="27" s="1"/>
  <c r="T415" i="16"/>
  <c r="U415" i="16" s="1"/>
  <c r="T224" i="16"/>
  <c r="U224" i="16" s="1"/>
  <c r="I86" i="27" l="1"/>
  <c r="T83" i="27"/>
  <c r="W83" i="27" s="1"/>
  <c r="I111" i="27"/>
  <c r="T66" i="16"/>
  <c r="U66" i="16" s="1"/>
  <c r="T307" i="16"/>
  <c r="U307" i="16" s="1"/>
  <c r="T336" i="16"/>
  <c r="U336" i="16" s="1"/>
  <c r="T166" i="16"/>
  <c r="W166" i="16" s="1"/>
  <c r="T195" i="16"/>
  <c r="W195" i="16" s="1"/>
  <c r="T508" i="16"/>
  <c r="W508" i="16" s="1"/>
  <c r="J83" i="27"/>
  <c r="K104" i="27"/>
  <c r="M104" i="27" s="1"/>
  <c r="H88" i="27"/>
  <c r="T216" i="16"/>
  <c r="W216" i="16" s="1"/>
  <c r="T502" i="16"/>
  <c r="U502" i="16" s="1"/>
  <c r="T40" i="16"/>
  <c r="U40" i="16" s="1"/>
  <c r="H87" i="27"/>
  <c r="T306" i="16"/>
  <c r="W306" i="16" s="1"/>
  <c r="T450" i="16"/>
  <c r="W450" i="16" s="1"/>
  <c r="T494" i="16"/>
  <c r="U494" i="16" s="1"/>
  <c r="O419" i="16"/>
  <c r="T43" i="27"/>
  <c r="W43" i="27" s="1"/>
  <c r="J122" i="27"/>
  <c r="M122" i="27" s="1"/>
  <c r="H38" i="27"/>
  <c r="T402" i="16"/>
  <c r="U402" i="16" s="1"/>
  <c r="T58" i="16"/>
  <c r="U58" i="16" s="1"/>
  <c r="T482" i="16"/>
  <c r="U482" i="16" s="1"/>
  <c r="T87" i="27"/>
  <c r="W87" i="27" s="1"/>
  <c r="T291" i="16"/>
  <c r="U291" i="16" s="1"/>
  <c r="T270" i="16"/>
  <c r="W270" i="16" s="1"/>
  <c r="T320" i="16"/>
  <c r="U320" i="16" s="1"/>
  <c r="T245" i="16"/>
  <c r="U245" i="16" s="1"/>
  <c r="T509" i="16"/>
  <c r="U509" i="16" s="1"/>
  <c r="T197" i="16"/>
  <c r="W197" i="16" s="1"/>
  <c r="T396" i="16"/>
  <c r="U396" i="16" s="1"/>
  <c r="H133" i="27"/>
  <c r="T453" i="16"/>
  <c r="W453" i="16" s="1"/>
  <c r="T491" i="16"/>
  <c r="W491" i="16" s="1"/>
  <c r="T113" i="16"/>
  <c r="U113" i="16" s="1"/>
  <c r="T32" i="16"/>
  <c r="W32" i="16" s="1"/>
  <c r="T271" i="16"/>
  <c r="W271" i="16" s="1"/>
  <c r="H93" i="27"/>
  <c r="N40" i="27"/>
  <c r="J40" i="27"/>
  <c r="M40" i="27" s="1"/>
  <c r="K88" i="27"/>
  <c r="O88" i="27" s="1"/>
  <c r="K37" i="27"/>
  <c r="N37" i="27" s="1"/>
  <c r="T17" i="16"/>
  <c r="U17" i="16" s="1"/>
  <c r="T196" i="16"/>
  <c r="W196" i="16" s="1"/>
  <c r="J518" i="16"/>
  <c r="M518" i="16" s="1"/>
  <c r="T17" i="27"/>
  <c r="U17" i="27" s="1"/>
  <c r="T55" i="16"/>
  <c r="U55" i="16" s="1"/>
  <c r="T236" i="16"/>
  <c r="W236" i="16" s="1"/>
  <c r="T9" i="27"/>
  <c r="W9" i="27" s="1"/>
  <c r="J49" i="27"/>
  <c r="M49" i="27" s="1"/>
  <c r="N419" i="16"/>
  <c r="T159" i="16"/>
  <c r="W159" i="16" s="1"/>
  <c r="N276" i="16"/>
  <c r="J22" i="27"/>
  <c r="M22" i="27" s="1"/>
  <c r="N72" i="27"/>
  <c r="N22" i="27"/>
  <c r="N363" i="16"/>
  <c r="N518" i="16"/>
  <c r="J98" i="27"/>
  <c r="M98" i="27" s="1"/>
  <c r="K39" i="27"/>
  <c r="O39" i="27" s="1"/>
  <c r="J63" i="27"/>
  <c r="M63" i="27" s="1"/>
  <c r="J123" i="27"/>
  <c r="M123" i="27" s="1"/>
  <c r="J124" i="27"/>
  <c r="M124" i="27" s="1"/>
  <c r="T22" i="27"/>
  <c r="U22" i="27" s="1"/>
  <c r="J87" i="27"/>
  <c r="M87" i="27" s="1"/>
  <c r="J419" i="16"/>
  <c r="M419" i="16" s="1"/>
  <c r="T46" i="27"/>
  <c r="U46" i="27" s="1"/>
  <c r="J319" i="16"/>
  <c r="M319" i="16" s="1"/>
  <c r="T217" i="16"/>
  <c r="U217" i="16" s="1"/>
  <c r="T456" i="16"/>
  <c r="U456" i="16" s="1"/>
  <c r="K56" i="27"/>
  <c r="M56" i="27" s="1"/>
  <c r="J40" i="16"/>
  <c r="M40" i="16" s="1"/>
  <c r="T113" i="27"/>
  <c r="U113" i="27" s="1"/>
  <c r="K107" i="27"/>
  <c r="M107" i="27" s="1"/>
  <c r="H103" i="27"/>
  <c r="T274" i="16"/>
  <c r="U274" i="16" s="1"/>
  <c r="T294" i="16"/>
  <c r="W294" i="16" s="1"/>
  <c r="T500" i="16"/>
  <c r="U500" i="16" s="1"/>
  <c r="T38" i="27"/>
  <c r="U38" i="27" s="1"/>
  <c r="T421" i="16"/>
  <c r="W421" i="16" s="1"/>
  <c r="T97" i="16"/>
  <c r="W97" i="16" s="1"/>
  <c r="T354" i="16"/>
  <c r="W354" i="16" s="1"/>
  <c r="T299" i="16"/>
  <c r="U299" i="16" s="1"/>
  <c r="T363" i="16"/>
  <c r="U363" i="16" s="1"/>
  <c r="T367" i="16"/>
  <c r="U367" i="16" s="1"/>
  <c r="T88" i="27"/>
  <c r="W88" i="27" s="1"/>
  <c r="T119" i="16"/>
  <c r="U119" i="16" s="1"/>
  <c r="T82" i="27"/>
  <c r="W82" i="27" s="1"/>
  <c r="T462" i="16"/>
  <c r="U462" i="16" s="1"/>
  <c r="T110" i="27"/>
  <c r="U110" i="27" s="1"/>
  <c r="T62" i="16"/>
  <c r="W62" i="16" s="1"/>
  <c r="T293" i="16"/>
  <c r="W293" i="16" s="1"/>
  <c r="T104" i="27"/>
  <c r="U104" i="27" s="1"/>
  <c r="T132" i="27"/>
  <c r="W132" i="27" s="1"/>
  <c r="T225" i="16"/>
  <c r="W225" i="16" s="1"/>
  <c r="T325" i="16"/>
  <c r="W325" i="16" s="1"/>
  <c r="T100" i="27"/>
  <c r="W100" i="27" s="1"/>
  <c r="T191" i="16"/>
  <c r="W191" i="16" s="1"/>
  <c r="T220" i="16"/>
  <c r="W220" i="16" s="1"/>
  <c r="T142" i="27"/>
  <c r="W142" i="27" s="1"/>
  <c r="T239" i="16"/>
  <c r="U239" i="16" s="1"/>
  <c r="T407" i="16"/>
  <c r="U407" i="16" s="1"/>
  <c r="T110" i="16"/>
  <c r="W110" i="16" s="1"/>
  <c r="T278" i="16"/>
  <c r="U278" i="16" s="1"/>
  <c r="T371" i="16"/>
  <c r="U371" i="16" s="1"/>
  <c r="T185" i="16"/>
  <c r="W185" i="16" s="1"/>
  <c r="O346" i="16"/>
  <c r="O110" i="27"/>
  <c r="K103" i="27"/>
  <c r="N103" i="27" s="1"/>
  <c r="O377" i="16"/>
  <c r="T341" i="16"/>
  <c r="U341" i="16" s="1"/>
  <c r="O86" i="27"/>
  <c r="H17" i="27"/>
  <c r="T448" i="16"/>
  <c r="W448" i="16" s="1"/>
  <c r="T135" i="16"/>
  <c r="U135" i="16" s="1"/>
  <c r="J34" i="27"/>
  <c r="M34" i="27" s="1"/>
  <c r="J100" i="27"/>
  <c r="M100" i="27" s="1"/>
  <c r="H56" i="27"/>
  <c r="O227" i="16"/>
  <c r="N479" i="16"/>
  <c r="T469" i="16"/>
  <c r="U469" i="16" s="1"/>
  <c r="H22" i="27"/>
  <c r="H39" i="27"/>
  <c r="K19" i="27"/>
  <c r="M19" i="27" s="1"/>
  <c r="J118" i="27"/>
  <c r="M118" i="27" s="1"/>
  <c r="I40" i="27"/>
  <c r="K14" i="27"/>
  <c r="O14" i="27" s="1"/>
  <c r="I121" i="27"/>
  <c r="T14" i="27"/>
  <c r="W14" i="27" s="1"/>
  <c r="T116" i="16"/>
  <c r="U116" i="16" s="1"/>
  <c r="T198" i="16"/>
  <c r="U198" i="16" s="1"/>
  <c r="T112" i="16"/>
  <c r="W112" i="16" s="1"/>
  <c r="T498" i="16"/>
  <c r="U498" i="16" s="1"/>
  <c r="T401" i="16"/>
  <c r="W401" i="16" s="1"/>
  <c r="T24" i="16"/>
  <c r="W24" i="16" s="1"/>
  <c r="T288" i="16"/>
  <c r="U288" i="16" s="1"/>
  <c r="T457" i="16"/>
  <c r="W457" i="16" s="1"/>
  <c r="J110" i="27"/>
  <c r="M110" i="27" s="1"/>
  <c r="N378" i="16"/>
  <c r="T132" i="16"/>
  <c r="U132" i="16" s="1"/>
  <c r="H125" i="27"/>
  <c r="J114" i="27"/>
  <c r="M114" i="27" s="1"/>
  <c r="H118" i="27"/>
  <c r="K141" i="27"/>
  <c r="O141" i="27" s="1"/>
  <c r="N40" i="16"/>
  <c r="H143" i="27"/>
  <c r="T80" i="27"/>
  <c r="W80" i="27" s="1"/>
  <c r="T116" i="27"/>
  <c r="W116" i="27" s="1"/>
  <c r="T458" i="16"/>
  <c r="W458" i="16" s="1"/>
  <c r="T193" i="16"/>
  <c r="U193" i="16" s="1"/>
  <c r="T68" i="16"/>
  <c r="U68" i="16" s="1"/>
  <c r="T122" i="27"/>
  <c r="W122" i="27" s="1"/>
  <c r="O98" i="27"/>
  <c r="O92" i="16"/>
  <c r="T117" i="27"/>
  <c r="W117" i="27" s="1"/>
  <c r="T232" i="16"/>
  <c r="U232" i="16" s="1"/>
  <c r="T381" i="16"/>
  <c r="U381" i="16" s="1"/>
  <c r="T355" i="16"/>
  <c r="U355" i="16" s="1"/>
  <c r="T61" i="16"/>
  <c r="W61" i="16" s="1"/>
  <c r="T397" i="16"/>
  <c r="U397" i="16" s="1"/>
  <c r="O233" i="16"/>
  <c r="O200" i="16"/>
  <c r="N124" i="16"/>
  <c r="T460" i="16"/>
  <c r="W460" i="16" s="1"/>
  <c r="N100" i="27"/>
  <c r="K82" i="27"/>
  <c r="O82" i="27" s="1"/>
  <c r="T369" i="16"/>
  <c r="W369" i="16" s="1"/>
  <c r="O361" i="16"/>
  <c r="O498" i="16"/>
  <c r="T499" i="16"/>
  <c r="U499" i="16" s="1"/>
  <c r="T313" i="16"/>
  <c r="U313" i="16" s="1"/>
  <c r="O70" i="27"/>
  <c r="J22" i="16"/>
  <c r="M22" i="16" s="1"/>
  <c r="O276" i="16"/>
  <c r="J121" i="27"/>
  <c r="M121" i="27" s="1"/>
  <c r="J132" i="27"/>
  <c r="M132" i="27" s="1"/>
  <c r="O122" i="27"/>
  <c r="K17" i="27"/>
  <c r="N17" i="27" s="1"/>
  <c r="N87" i="27"/>
  <c r="N473" i="16"/>
  <c r="J86" i="27"/>
  <c r="M86" i="27" s="1"/>
  <c r="K5" i="27"/>
  <c r="O5" i="27" s="1"/>
  <c r="O22" i="16"/>
  <c r="J124" i="16"/>
  <c r="M124" i="16" s="1"/>
  <c r="J378" i="16"/>
  <c r="M378" i="16" s="1"/>
  <c r="T37" i="27"/>
  <c r="W37" i="27" s="1"/>
  <c r="T506" i="16"/>
  <c r="U506" i="16" s="1"/>
  <c r="N113" i="27"/>
  <c r="T54" i="16"/>
  <c r="U54" i="16" s="1"/>
  <c r="T208" i="16"/>
  <c r="U208" i="16" s="1"/>
  <c r="T187" i="16"/>
  <c r="W187" i="16" s="1"/>
  <c r="T45" i="16"/>
  <c r="U45" i="16" s="1"/>
  <c r="T64" i="16"/>
  <c r="W64" i="16" s="1"/>
  <c r="T160" i="16"/>
  <c r="U160" i="16" s="1"/>
  <c r="T98" i="27"/>
  <c r="W98" i="27" s="1"/>
  <c r="T484" i="16"/>
  <c r="W484" i="16" s="1"/>
  <c r="T346" i="16"/>
  <c r="W346" i="16" s="1"/>
  <c r="O100" i="27"/>
  <c r="T16" i="16"/>
  <c r="U16" i="16" s="1"/>
  <c r="T76" i="16"/>
  <c r="W76" i="16" s="1"/>
  <c r="T376" i="16"/>
  <c r="W376" i="16" s="1"/>
  <c r="T176" i="16"/>
  <c r="U176" i="16" s="1"/>
  <c r="K38" i="27"/>
  <c r="O38" i="27" s="1"/>
  <c r="I110" i="27"/>
  <c r="T35" i="27"/>
  <c r="U35" i="27" s="1"/>
  <c r="T59" i="27"/>
  <c r="U59" i="27" s="1"/>
  <c r="T221" i="16"/>
  <c r="U221" i="16" s="1"/>
  <c r="H122" i="27"/>
  <c r="K133" i="27"/>
  <c r="M133" i="27" s="1"/>
  <c r="J219" i="16"/>
  <c r="M219" i="16" s="1"/>
  <c r="O305" i="16"/>
  <c r="H83" i="27"/>
  <c r="H37" i="27"/>
  <c r="H19" i="27"/>
  <c r="H132" i="27"/>
  <c r="H104" i="27"/>
  <c r="J113" i="27"/>
  <c r="M113" i="27" s="1"/>
  <c r="H14" i="27"/>
  <c r="O467" i="16"/>
  <c r="K93" i="27"/>
  <c r="N93" i="27" s="1"/>
  <c r="J69" i="27"/>
  <c r="M69" i="27" s="1"/>
  <c r="N121" i="27"/>
  <c r="T487" i="16"/>
  <c r="W487" i="16" s="1"/>
  <c r="T133" i="27"/>
  <c r="U133" i="27" s="1"/>
  <c r="T147" i="27"/>
  <c r="W147" i="27" s="1"/>
  <c r="T63" i="27"/>
  <c r="U63" i="27" s="1"/>
  <c r="O8" i="27"/>
  <c r="O76" i="27"/>
  <c r="T76" i="27"/>
  <c r="W76" i="27" s="1"/>
  <c r="T111" i="27"/>
  <c r="W111" i="27" s="1"/>
  <c r="D176" i="16"/>
  <c r="T334" i="27"/>
  <c r="W334" i="27" s="1"/>
  <c r="F85" i="27"/>
  <c r="D456" i="16"/>
  <c r="D111" i="27"/>
  <c r="D130" i="16"/>
  <c r="T77" i="16"/>
  <c r="U77" i="16" s="1"/>
  <c r="J4" i="22"/>
  <c r="T477" i="27"/>
  <c r="W477" i="27" s="1"/>
  <c r="T125" i="27"/>
  <c r="U125" i="27" s="1"/>
  <c r="T128" i="27"/>
  <c r="W128" i="27" s="1"/>
  <c r="J143" i="27"/>
  <c r="M143" i="27" s="1"/>
  <c r="H113" i="27"/>
  <c r="K115" i="27"/>
  <c r="M115" i="27" s="1"/>
  <c r="D85" i="27"/>
  <c r="L4" i="22"/>
  <c r="T73" i="27"/>
  <c r="U73" i="27" s="1"/>
  <c r="D498" i="16"/>
  <c r="D199" i="16"/>
  <c r="F28" i="27"/>
  <c r="D228" i="16"/>
  <c r="D132" i="27"/>
  <c r="D126" i="27"/>
  <c r="J276" i="16"/>
  <c r="M276" i="16" s="1"/>
  <c r="N289" i="16"/>
  <c r="T75" i="16"/>
  <c r="U75" i="16" s="1"/>
  <c r="T105" i="27"/>
  <c r="U105" i="27" s="1"/>
  <c r="J498" i="16"/>
  <c r="M498" i="16" s="1"/>
  <c r="J66" i="27"/>
  <c r="M66" i="27" s="1"/>
  <c r="K29" i="27"/>
  <c r="N29" i="27" s="1"/>
  <c r="J8" i="27"/>
  <c r="M8" i="27" s="1"/>
  <c r="T79" i="27"/>
  <c r="W79" i="27" s="1"/>
  <c r="T117" i="16"/>
  <c r="W117" i="16" s="1"/>
  <c r="T497" i="16"/>
  <c r="W497" i="16" s="1"/>
  <c r="T348" i="16"/>
  <c r="U348" i="16" s="1"/>
  <c r="O61" i="16"/>
  <c r="T175" i="16"/>
  <c r="U175" i="16" s="1"/>
  <c r="T99" i="27"/>
  <c r="W99" i="27" s="1"/>
  <c r="O58" i="27"/>
  <c r="I109" i="27"/>
  <c r="I116" i="27"/>
  <c r="H71" i="27"/>
  <c r="I100" i="27"/>
  <c r="J55" i="27"/>
  <c r="M55" i="27" s="1"/>
  <c r="I82" i="27"/>
  <c r="J148" i="27"/>
  <c r="M148" i="27" s="1"/>
  <c r="K127" i="27"/>
  <c r="M127" i="27" s="1"/>
  <c r="O55" i="27"/>
  <c r="K111" i="27"/>
  <c r="O111" i="27" s="1"/>
  <c r="O412" i="16"/>
  <c r="J106" i="27"/>
  <c r="M106" i="27" s="1"/>
  <c r="K125" i="27"/>
  <c r="N125" i="27" s="1"/>
  <c r="T90" i="27"/>
  <c r="W90" i="27" s="1"/>
  <c r="T135" i="27"/>
  <c r="W135" i="27" s="1"/>
  <c r="J348" i="16"/>
  <c r="M348" i="16" s="1"/>
  <c r="T77" i="27"/>
  <c r="W77" i="27" s="1"/>
  <c r="N129" i="27"/>
  <c r="T124" i="27"/>
  <c r="W124" i="27" s="1"/>
  <c r="N68" i="27"/>
  <c r="J129" i="27"/>
  <c r="M129" i="27" s="1"/>
  <c r="T7" i="27"/>
  <c r="W7" i="27" s="1"/>
  <c r="J473" i="16"/>
  <c r="M473" i="16" s="1"/>
  <c r="T58" i="27"/>
  <c r="U58" i="27" s="1"/>
  <c r="T69" i="27"/>
  <c r="W69" i="27" s="1"/>
  <c r="T67" i="16"/>
  <c r="U67" i="16" s="1"/>
  <c r="T73" i="16"/>
  <c r="W73" i="16" s="1"/>
  <c r="T106" i="27"/>
  <c r="U106" i="27" s="1"/>
  <c r="T74" i="27"/>
  <c r="W74" i="27" s="1"/>
  <c r="T356" i="16"/>
  <c r="U356" i="16" s="1"/>
  <c r="T4" i="27"/>
  <c r="U4" i="27" s="1"/>
  <c r="F126" i="27"/>
  <c r="T127" i="27"/>
  <c r="U127" i="27" s="1"/>
  <c r="D25" i="16"/>
  <c r="D174" i="16"/>
  <c r="D289" i="16"/>
  <c r="T141" i="27"/>
  <c r="W141" i="27" s="1"/>
  <c r="T72" i="16"/>
  <c r="W72" i="16" s="1"/>
  <c r="D113" i="27"/>
  <c r="T53" i="27"/>
  <c r="U53" i="27" s="1"/>
  <c r="F343" i="16"/>
  <c r="F98" i="27"/>
  <c r="F130" i="16"/>
  <c r="F17" i="27"/>
  <c r="O49" i="27"/>
  <c r="T146" i="27"/>
  <c r="U146" i="27" s="1"/>
  <c r="K79" i="27"/>
  <c r="O79" i="27" s="1"/>
  <c r="T52" i="27"/>
  <c r="W52" i="27" s="1"/>
  <c r="K26" i="27"/>
  <c r="M26" i="27" s="1"/>
  <c r="J135" i="27"/>
  <c r="M135" i="27" s="1"/>
  <c r="T51" i="27"/>
  <c r="U51" i="27" s="1"/>
  <c r="T137" i="27"/>
  <c r="U137" i="27" s="1"/>
  <c r="N58" i="27"/>
  <c r="J58" i="27"/>
  <c r="M58" i="27" s="1"/>
  <c r="J48" i="27"/>
  <c r="M48" i="27" s="1"/>
  <c r="T130" i="27"/>
  <c r="U130" i="27" s="1"/>
  <c r="T102" i="27"/>
  <c r="U102" i="27" s="1"/>
  <c r="T109" i="27"/>
  <c r="W109" i="27" s="1"/>
  <c r="J377" i="16"/>
  <c r="M377" i="16" s="1"/>
  <c r="J217" i="16"/>
  <c r="M217" i="16" s="1"/>
  <c r="J233" i="16"/>
  <c r="M233" i="16" s="1"/>
  <c r="O48" i="27"/>
  <c r="T13" i="27"/>
  <c r="U13" i="27" s="1"/>
  <c r="T49" i="27"/>
  <c r="U49" i="27" s="1"/>
  <c r="T107" i="27"/>
  <c r="U107" i="27" s="1"/>
  <c r="T11" i="27"/>
  <c r="U11" i="27" s="1"/>
  <c r="O95" i="27"/>
  <c r="O502" i="16"/>
  <c r="O120" i="27"/>
  <c r="O63" i="27"/>
  <c r="J68" i="27"/>
  <c r="M68" i="27" s="1"/>
  <c r="J200" i="16"/>
  <c r="M200" i="16" s="1"/>
  <c r="J128" i="27"/>
  <c r="M128" i="27" s="1"/>
  <c r="J479" i="16"/>
  <c r="M479" i="16" s="1"/>
  <c r="O66" i="27"/>
  <c r="J180" i="27"/>
  <c r="M180" i="27" s="1"/>
  <c r="N95" i="27"/>
  <c r="J95" i="27"/>
  <c r="M95" i="27" s="1"/>
  <c r="T64" i="27"/>
  <c r="W64" i="27" s="1"/>
  <c r="J197" i="16"/>
  <c r="M197" i="16" s="1"/>
  <c r="T57" i="27"/>
  <c r="W57" i="27" s="1"/>
  <c r="T67" i="27"/>
  <c r="U67" i="27" s="1"/>
  <c r="J100" i="16"/>
  <c r="M100" i="16" s="1"/>
  <c r="N119" i="27"/>
  <c r="T139" i="27"/>
  <c r="W139" i="27" s="1"/>
  <c r="T55" i="27"/>
  <c r="W55" i="27" s="1"/>
  <c r="J361" i="16"/>
  <c r="M361" i="16" s="1"/>
  <c r="K45" i="27"/>
  <c r="O45" i="27" s="1"/>
  <c r="O217" i="16"/>
  <c r="H141" i="27"/>
  <c r="J467" i="16"/>
  <c r="M467" i="16" s="1"/>
  <c r="T44" i="27"/>
  <c r="W44" i="27" s="1"/>
  <c r="T71" i="27"/>
  <c r="U71" i="27" s="1"/>
  <c r="J61" i="16"/>
  <c r="M61" i="16" s="1"/>
  <c r="J447" i="16"/>
  <c r="M447" i="16" s="1"/>
  <c r="T27" i="27"/>
  <c r="U27" i="27" s="1"/>
  <c r="T131" i="27"/>
  <c r="W131" i="27" s="1"/>
  <c r="J70" i="27"/>
  <c r="M70" i="27" s="1"/>
  <c r="J372" i="16"/>
  <c r="M372" i="16" s="1"/>
  <c r="J140" i="27"/>
  <c r="M140" i="27" s="1"/>
  <c r="N34" i="27"/>
  <c r="O140" i="27"/>
  <c r="O147" i="27"/>
  <c r="J92" i="16"/>
  <c r="M92" i="16" s="1"/>
  <c r="T8" i="27"/>
  <c r="W8" i="27" s="1"/>
  <c r="J292" i="16"/>
  <c r="M292" i="16" s="1"/>
  <c r="N94" i="27"/>
  <c r="O131" i="27"/>
  <c r="T29" i="27"/>
  <c r="U29" i="27" s="1"/>
  <c r="O64" i="16"/>
  <c r="J31" i="16"/>
  <c r="M31" i="16" s="1"/>
  <c r="D12" i="27"/>
  <c r="D372" i="16"/>
  <c r="D386" i="16"/>
  <c r="D494" i="16"/>
  <c r="T6" i="27"/>
  <c r="U6" i="27" s="1"/>
  <c r="T56" i="27"/>
  <c r="W56" i="27" s="1"/>
  <c r="F108" i="27"/>
  <c r="F269" i="16"/>
  <c r="F111" i="27"/>
  <c r="F455" i="16"/>
  <c r="D103" i="27"/>
  <c r="F467" i="16"/>
  <c r="F88" i="27"/>
  <c r="F83" i="27"/>
  <c r="F276" i="16"/>
  <c r="N372" i="16"/>
  <c r="J495" i="16"/>
  <c r="M495" i="16" s="1"/>
  <c r="F289" i="16"/>
  <c r="F37" i="27"/>
  <c r="D4" i="22"/>
  <c r="H4" i="22" s="1"/>
  <c r="F86" i="27"/>
  <c r="F190" i="16"/>
  <c r="F228" i="16"/>
  <c r="F40" i="27"/>
  <c r="C4" i="22"/>
  <c r="F4" i="22" s="1"/>
  <c r="T286" i="27"/>
  <c r="U286" i="27" s="1"/>
  <c r="N137" i="27"/>
  <c r="J140" i="16"/>
  <c r="M140" i="16" s="1"/>
  <c r="T143" i="27"/>
  <c r="U143" i="27" s="1"/>
  <c r="I146" i="27"/>
  <c r="T144" i="27"/>
  <c r="U144" i="27" s="1"/>
  <c r="T74" i="16"/>
  <c r="U74" i="16" s="1"/>
  <c r="I59" i="27"/>
  <c r="J230" i="16"/>
  <c r="M230" i="16" s="1"/>
  <c r="T19" i="16"/>
  <c r="U19" i="16" s="1"/>
  <c r="T48" i="27"/>
  <c r="U48" i="27" s="1"/>
  <c r="J137" i="27"/>
  <c r="M137" i="27" s="1"/>
  <c r="T95" i="27"/>
  <c r="W95" i="27" s="1"/>
  <c r="N502" i="16"/>
  <c r="H8" i="27"/>
  <c r="T120" i="27"/>
  <c r="W120" i="27" s="1"/>
  <c r="T112" i="27"/>
  <c r="W112" i="27" s="1"/>
  <c r="J25" i="27"/>
  <c r="M25" i="27" s="1"/>
  <c r="T26" i="27"/>
  <c r="U26" i="27" s="1"/>
  <c r="T101" i="27"/>
  <c r="W101" i="27" s="1"/>
  <c r="K90" i="27"/>
  <c r="O90" i="27" s="1"/>
  <c r="O372" i="16"/>
  <c r="N63" i="27"/>
  <c r="K9" i="27"/>
  <c r="M9" i="27" s="1"/>
  <c r="J44" i="27"/>
  <c r="M44" i="27" s="1"/>
  <c r="K62" i="27"/>
  <c r="N62" i="27" s="1"/>
  <c r="J502" i="16"/>
  <c r="M502" i="16" s="1"/>
  <c r="K109" i="27"/>
  <c r="N109" i="27" s="1"/>
  <c r="N123" i="27"/>
  <c r="K71" i="27"/>
  <c r="M71" i="27" s="1"/>
  <c r="K146" i="27"/>
  <c r="N146" i="27" s="1"/>
  <c r="O348" i="16"/>
  <c r="I44" i="27"/>
  <c r="H5" i="27"/>
  <c r="J130" i="27"/>
  <c r="M130" i="27" s="1"/>
  <c r="H66" i="27"/>
  <c r="T36" i="27"/>
  <c r="W36" i="27" s="1"/>
  <c r="T75" i="27"/>
  <c r="W75" i="27" s="1"/>
  <c r="T94" i="27"/>
  <c r="U94" i="27" s="1"/>
  <c r="O94" i="27"/>
  <c r="N143" i="27"/>
  <c r="H26" i="27"/>
  <c r="J105" i="27"/>
  <c r="M105" i="27" s="1"/>
  <c r="J131" i="27"/>
  <c r="M131" i="27" s="1"/>
  <c r="J120" i="27"/>
  <c r="M120" i="27" s="1"/>
  <c r="K35" i="27"/>
  <c r="O35" i="27" s="1"/>
  <c r="K6" i="27"/>
  <c r="N6" i="27" s="1"/>
  <c r="J53" i="27"/>
  <c r="M53" i="27" s="1"/>
  <c r="K65" i="27"/>
  <c r="O65" i="27" s="1"/>
  <c r="N71" i="27"/>
  <c r="J94" i="27"/>
  <c r="M94" i="27" s="1"/>
  <c r="H129" i="27"/>
  <c r="T467" i="27"/>
  <c r="W467" i="27" s="1"/>
  <c r="J346" i="16"/>
  <c r="M346" i="16" s="1"/>
  <c r="T70" i="27"/>
  <c r="W70" i="27" s="1"/>
  <c r="T136" i="27"/>
  <c r="U136" i="27" s="1"/>
  <c r="O116" i="27"/>
  <c r="J363" i="16"/>
  <c r="M363" i="16" s="1"/>
  <c r="K33" i="27"/>
  <c r="O33" i="27" s="1"/>
  <c r="H99" i="27"/>
  <c r="N53" i="27"/>
  <c r="K77" i="27"/>
  <c r="O77" i="27" s="1"/>
  <c r="H138" i="27"/>
  <c r="T114" i="27"/>
  <c r="W114" i="27" s="1"/>
  <c r="T119" i="27"/>
  <c r="U119" i="27" s="1"/>
  <c r="O53" i="27"/>
  <c r="T21" i="27"/>
  <c r="U21" i="27" s="1"/>
  <c r="T70" i="16"/>
  <c r="W70" i="16" s="1"/>
  <c r="T138" i="27"/>
  <c r="W138" i="27" s="1"/>
  <c r="N76" i="27"/>
  <c r="N48" i="27"/>
  <c r="K102" i="27"/>
  <c r="O102" i="27" s="1"/>
  <c r="I139" i="27"/>
  <c r="T33" i="27"/>
  <c r="W33" i="27" s="1"/>
  <c r="T34" i="27"/>
  <c r="W34" i="27" s="1"/>
  <c r="O13" i="27"/>
  <c r="J54" i="27"/>
  <c r="M54" i="27" s="1"/>
  <c r="K136" i="27"/>
  <c r="N136" i="27" s="1"/>
  <c r="J145" i="27"/>
  <c r="M145" i="27" s="1"/>
  <c r="O119" i="27"/>
  <c r="J424" i="16"/>
  <c r="M424" i="16" s="1"/>
  <c r="N49" i="27"/>
  <c r="T54" i="27"/>
  <c r="W54" i="27" s="1"/>
  <c r="N51" i="27"/>
  <c r="H51" i="27"/>
  <c r="T18" i="27"/>
  <c r="W18" i="27" s="1"/>
  <c r="H106" i="27"/>
  <c r="T145" i="27"/>
  <c r="U145" i="27" s="1"/>
  <c r="K11" i="27"/>
  <c r="N11" i="27" s="1"/>
  <c r="T333" i="27"/>
  <c r="W333" i="27" s="1"/>
  <c r="N124" i="27"/>
  <c r="N26" i="27"/>
  <c r="K46" i="27"/>
  <c r="N46" i="27" s="1"/>
  <c r="T50" i="27"/>
  <c r="U50" i="27" s="1"/>
  <c r="T78" i="27"/>
  <c r="U78" i="27" s="1"/>
  <c r="N101" i="27"/>
  <c r="N424" i="16"/>
  <c r="N105" i="27"/>
  <c r="H18" i="27"/>
  <c r="H80" i="27"/>
  <c r="H105" i="27"/>
  <c r="H74" i="27"/>
  <c r="J119" i="27"/>
  <c r="M119" i="27" s="1"/>
  <c r="J21" i="27"/>
  <c r="M21" i="27" s="1"/>
  <c r="H29" i="27"/>
  <c r="H114" i="27"/>
  <c r="T45" i="27"/>
  <c r="W45" i="27" s="1"/>
  <c r="T96" i="27"/>
  <c r="U96" i="27" s="1"/>
  <c r="T47" i="27"/>
  <c r="W47" i="27" s="1"/>
  <c r="T72" i="27"/>
  <c r="W72" i="27" s="1"/>
  <c r="J472" i="16"/>
  <c r="M472" i="16" s="1"/>
  <c r="J262" i="16"/>
  <c r="M262" i="16" s="1"/>
  <c r="N56" i="27"/>
  <c r="O72" i="27"/>
  <c r="O101" i="27"/>
  <c r="J72" i="27"/>
  <c r="M72" i="27" s="1"/>
  <c r="K78" i="27"/>
  <c r="O78" i="27" s="1"/>
  <c r="K18" i="27"/>
  <c r="N18" i="27" s="1"/>
  <c r="J36" i="27"/>
  <c r="M36" i="27" s="1"/>
  <c r="J99" i="27"/>
  <c r="M99" i="27" s="1"/>
  <c r="N35" i="27"/>
  <c r="O124" i="27"/>
  <c r="J13" i="27"/>
  <c r="M13" i="27" s="1"/>
  <c r="O128" i="27"/>
  <c r="O106" i="27"/>
  <c r="N13" i="27"/>
  <c r="N107" i="27"/>
  <c r="O137" i="27"/>
  <c r="N77" i="27"/>
  <c r="N147" i="27"/>
  <c r="T231" i="16"/>
  <c r="U231" i="16" s="1"/>
  <c r="K110" i="16" a="1"/>
  <c r="K110" i="16" s="1"/>
  <c r="N110" i="16" s="1"/>
  <c r="K20" i="16" a="1"/>
  <c r="K20" i="16" s="1"/>
  <c r="O20" i="16" s="1"/>
  <c r="K16" i="16" a="1"/>
  <c r="K16" i="16" s="1"/>
  <c r="O16" i="16" s="1"/>
  <c r="J53" i="16"/>
  <c r="K53" i="16" a="1"/>
  <c r="K53" i="16" s="1"/>
  <c r="O53" i="16" s="1"/>
  <c r="J456" i="16"/>
  <c r="K456" i="16" a="1"/>
  <c r="K456" i="16" s="1"/>
  <c r="J159" i="16"/>
  <c r="K159" i="16" a="1"/>
  <c r="K159" i="16" s="1"/>
  <c r="O159" i="16" s="1"/>
  <c r="J232" i="16"/>
  <c r="K232" i="16" a="1"/>
  <c r="K232" i="16" s="1"/>
  <c r="O232" i="16" s="1"/>
  <c r="J47" i="16"/>
  <c r="K47" i="16" a="1"/>
  <c r="K47" i="16" s="1"/>
  <c r="O47" i="16" s="1"/>
  <c r="J416" i="16"/>
  <c r="K416" i="16" a="1"/>
  <c r="K416" i="16" s="1"/>
  <c r="N416" i="16" s="1"/>
  <c r="J476" i="16"/>
  <c r="K476" i="16" a="1"/>
  <c r="K476" i="16" s="1"/>
  <c r="O476" i="16" s="1"/>
  <c r="J41" i="16"/>
  <c r="K41" i="16" a="1"/>
  <c r="K41" i="16" s="1"/>
  <c r="O41" i="16" s="1"/>
  <c r="J427" i="16"/>
  <c r="K427" i="16" a="1"/>
  <c r="K427" i="16" s="1"/>
  <c r="K390" i="16" a="1"/>
  <c r="K390" i="16" s="1"/>
  <c r="O390" i="16" s="1"/>
  <c r="K404" i="16" a="1"/>
  <c r="K404" i="16" s="1"/>
  <c r="O404" i="16" s="1"/>
  <c r="K104" i="16" a="1"/>
  <c r="K104" i="16" s="1"/>
  <c r="N104" i="16" s="1"/>
  <c r="K208" i="16" a="1"/>
  <c r="K208" i="16" s="1"/>
  <c r="O208" i="16" s="1"/>
  <c r="K388" i="16" a="1"/>
  <c r="K388" i="16" s="1"/>
  <c r="O388" i="16" s="1"/>
  <c r="K91" i="16" a="1"/>
  <c r="K91" i="16" s="1"/>
  <c r="O91" i="16" s="1"/>
  <c r="K420" i="16" a="1"/>
  <c r="K420" i="16" s="1"/>
  <c r="O420" i="16" s="1"/>
  <c r="K385" i="16" a="1"/>
  <c r="K385" i="16" s="1"/>
  <c r="O385" i="16" s="1"/>
  <c r="K7" i="16" a="1"/>
  <c r="K7" i="16" s="1"/>
  <c r="O7" i="16" s="1"/>
  <c r="K122" i="16" a="1"/>
  <c r="K122" i="16" s="1"/>
  <c r="O122" i="16" s="1"/>
  <c r="K183" i="16" a="1"/>
  <c r="K183" i="16" s="1"/>
  <c r="O183" i="16" s="1"/>
  <c r="K310" i="16" a="1"/>
  <c r="K310" i="16" s="1"/>
  <c r="N310" i="16" s="1"/>
  <c r="K179" i="16" a="1"/>
  <c r="K179" i="16" s="1"/>
  <c r="N179" i="16" s="1"/>
  <c r="K226" i="16" a="1"/>
  <c r="K226" i="16" s="1"/>
  <c r="O226" i="16" s="1"/>
  <c r="K373" i="16" a="1"/>
  <c r="K373" i="16" s="1"/>
  <c r="O373" i="16" s="1"/>
  <c r="K158" i="16" a="1"/>
  <c r="K158" i="16" s="1"/>
  <c r="O158" i="16" s="1"/>
  <c r="K39" i="16" a="1"/>
  <c r="K39" i="16" s="1"/>
  <c r="O39" i="16" s="1"/>
  <c r="K128" i="16" a="1"/>
  <c r="K128" i="16" s="1"/>
  <c r="O128" i="16" s="1"/>
  <c r="K27" i="16" a="1"/>
  <c r="K27" i="16" s="1"/>
  <c r="O27" i="16" s="1"/>
  <c r="K351" i="16" a="1"/>
  <c r="K351" i="16" s="1"/>
  <c r="O351" i="16" s="1"/>
  <c r="K192" i="16" a="1"/>
  <c r="K192" i="16" s="1"/>
  <c r="O192" i="16" s="1"/>
  <c r="K131" i="16" a="1"/>
  <c r="K131" i="16" s="1"/>
  <c r="O131" i="16" s="1"/>
  <c r="K315" i="16" a="1"/>
  <c r="K315" i="16" s="1"/>
  <c r="O315" i="16" s="1"/>
  <c r="K254" i="16" a="1"/>
  <c r="K254" i="16" s="1"/>
  <c r="O254" i="16" s="1"/>
  <c r="K89" i="16" a="1"/>
  <c r="K89" i="16" s="1"/>
  <c r="O89" i="16" s="1"/>
  <c r="K459" i="16" a="1"/>
  <c r="K459" i="16" s="1"/>
  <c r="N459" i="16" s="1"/>
  <c r="K365" i="16" a="1"/>
  <c r="K365" i="16" s="1"/>
  <c r="O365" i="16" s="1"/>
  <c r="K500" i="16" a="1"/>
  <c r="K500" i="16" s="1"/>
  <c r="N500" i="16" s="1"/>
  <c r="K114" i="16" a="1"/>
  <c r="K114" i="16" s="1"/>
  <c r="O114" i="16" s="1"/>
  <c r="K15" i="16" a="1"/>
  <c r="K15" i="16" s="1"/>
  <c r="O15" i="16" s="1"/>
  <c r="K438" i="16" a="1"/>
  <c r="K438" i="16" s="1"/>
  <c r="O438" i="16" s="1"/>
  <c r="K368" i="16" a="1"/>
  <c r="K368" i="16" s="1"/>
  <c r="O368" i="16" s="1"/>
  <c r="K213" i="16" a="1"/>
  <c r="K213" i="16" s="1"/>
  <c r="O213" i="16" s="1"/>
  <c r="K198" i="16" a="1"/>
  <c r="K198" i="16" s="1"/>
  <c r="O198" i="16" s="1"/>
  <c r="K157" i="16" a="1"/>
  <c r="K157" i="16" s="1"/>
  <c r="O157" i="16" s="1"/>
  <c r="K449" i="16" a="1"/>
  <c r="K449" i="16" s="1"/>
  <c r="N449" i="16" s="1"/>
  <c r="K246" i="16" a="1"/>
  <c r="K246" i="16" s="1"/>
  <c r="O246" i="16" s="1"/>
  <c r="K45" i="16" a="1"/>
  <c r="K45" i="16" s="1"/>
  <c r="O45" i="16" s="1"/>
  <c r="K216" i="16" a="1"/>
  <c r="K216" i="16" s="1"/>
  <c r="O216" i="16" s="1"/>
  <c r="K421" i="16" a="1"/>
  <c r="K421" i="16" s="1"/>
  <c r="O421" i="16" s="1"/>
  <c r="K184" i="16" a="1"/>
  <c r="K184" i="16" s="1"/>
  <c r="O184" i="16" s="1"/>
  <c r="K464" i="16" a="1"/>
  <c r="K464" i="16" s="1"/>
  <c r="N464" i="16" s="1"/>
  <c r="K58" i="16" a="1"/>
  <c r="K58" i="16" s="1"/>
  <c r="O58" i="16" s="1"/>
  <c r="K94" i="16" a="1"/>
  <c r="K94" i="16" s="1"/>
  <c r="O94" i="16" s="1"/>
  <c r="J400" i="16"/>
  <c r="K400" i="16" a="1"/>
  <c r="K400" i="16" s="1"/>
  <c r="O400" i="16" s="1"/>
  <c r="J509" i="16"/>
  <c r="K509" i="16" a="1"/>
  <c r="K509" i="16" s="1"/>
  <c r="O509" i="16" s="1"/>
  <c r="J501" i="16"/>
  <c r="K501" i="16" a="1"/>
  <c r="K501" i="16" s="1"/>
  <c r="O501" i="16" s="1"/>
  <c r="J244" i="16"/>
  <c r="K244" i="16" a="1"/>
  <c r="K244" i="16" s="1"/>
  <c r="O244" i="16" s="1"/>
  <c r="K505" i="16" a="1"/>
  <c r="K505" i="16" s="1"/>
  <c r="N505" i="16" s="1"/>
  <c r="J172" i="16"/>
  <c r="K172" i="16" a="1"/>
  <c r="K172" i="16" s="1"/>
  <c r="O172" i="16" s="1"/>
  <c r="K342" i="16" a="1"/>
  <c r="K342" i="16" s="1"/>
  <c r="O342" i="16" s="1"/>
  <c r="J458" i="16"/>
  <c r="K458" i="16" a="1"/>
  <c r="K458" i="16" s="1"/>
  <c r="O458" i="16" s="1"/>
  <c r="K194" i="16" a="1"/>
  <c r="K194" i="16" s="1"/>
  <c r="N194" i="16" s="1"/>
  <c r="K8" i="16" a="1"/>
  <c r="K8" i="16" s="1"/>
  <c r="O8" i="16" s="1"/>
  <c r="K483" i="16" a="1"/>
  <c r="K483" i="16" s="1"/>
  <c r="N483" i="16" s="1"/>
  <c r="K290" i="16" a="1"/>
  <c r="K290" i="16" s="1"/>
  <c r="O290" i="16" s="1"/>
  <c r="K490" i="16" a="1"/>
  <c r="K490" i="16" s="1"/>
  <c r="N490" i="16" s="1"/>
  <c r="K359" i="16" a="1"/>
  <c r="K359" i="16" s="1"/>
  <c r="O359" i="16" s="1"/>
  <c r="K34" i="16" a="1"/>
  <c r="K34" i="16" s="1"/>
  <c r="O34" i="16" s="1"/>
  <c r="K238" i="16" a="1"/>
  <c r="K238" i="16" s="1"/>
  <c r="O238" i="16" s="1"/>
  <c r="K461" i="16" a="1"/>
  <c r="K461" i="16" s="1"/>
  <c r="O461" i="16" s="1"/>
  <c r="K25" i="16" a="1"/>
  <c r="K25" i="16" s="1"/>
  <c r="O25" i="16" s="1"/>
  <c r="K486" i="16" a="1"/>
  <c r="K486" i="16" s="1"/>
  <c r="O486" i="16" s="1"/>
  <c r="K418" i="16" a="1"/>
  <c r="K418" i="16" s="1"/>
  <c r="O418" i="16" s="1"/>
  <c r="K251" i="16" a="1"/>
  <c r="K251" i="16" s="1"/>
  <c r="O251" i="16" s="1"/>
  <c r="K309" i="16" a="1"/>
  <c r="K309" i="16" s="1"/>
  <c r="O309" i="16" s="1"/>
  <c r="K392" i="16" a="1"/>
  <c r="K392" i="16" s="1"/>
  <c r="O392" i="16" s="1"/>
  <c r="K84" i="16" a="1"/>
  <c r="K84" i="16" s="1"/>
  <c r="O84" i="16" s="1"/>
  <c r="K150" i="16" a="1"/>
  <c r="K150" i="16" s="1"/>
  <c r="O150" i="16" s="1"/>
  <c r="K103" i="16" a="1"/>
  <c r="K103" i="16" s="1"/>
  <c r="O103" i="16" s="1"/>
  <c r="K268" i="16" a="1"/>
  <c r="K268" i="16" s="1"/>
  <c r="O268" i="16" s="1"/>
  <c r="K60" i="16" a="1"/>
  <c r="K60" i="16" s="1"/>
  <c r="O60" i="16" s="1"/>
  <c r="K406" i="16" a="1"/>
  <c r="K406" i="16" s="1"/>
  <c r="N406" i="16" s="1"/>
  <c r="K127" i="16" a="1"/>
  <c r="K127" i="16" s="1"/>
  <c r="O127" i="16" s="1"/>
  <c r="K119" i="16" a="1"/>
  <c r="K119" i="16" s="1"/>
  <c r="O119" i="16" s="1"/>
  <c r="K457" i="16" a="1"/>
  <c r="K457" i="16" s="1"/>
  <c r="O457" i="16" s="1"/>
  <c r="K355" i="16" a="1"/>
  <c r="K355" i="16" s="1"/>
  <c r="O355" i="16" s="1"/>
  <c r="K462" i="16" a="1"/>
  <c r="K462" i="16" s="1"/>
  <c r="N462" i="16" s="1"/>
  <c r="J407" i="16"/>
  <c r="K407" i="16" a="1"/>
  <c r="K407" i="16" s="1"/>
  <c r="N407" i="16" s="1"/>
  <c r="K321" i="16" a="1"/>
  <c r="K321" i="16" s="1"/>
  <c r="O321" i="16" s="1"/>
  <c r="K148" i="16" a="1"/>
  <c r="K148" i="16" s="1"/>
  <c r="O148" i="16" s="1"/>
  <c r="K220" i="16" a="1"/>
  <c r="K220" i="16" s="1"/>
  <c r="O220" i="16" s="1"/>
  <c r="K307" i="16" a="1"/>
  <c r="K307" i="16" s="1"/>
  <c r="N307" i="16" s="1"/>
  <c r="K306" i="16" a="1"/>
  <c r="K306" i="16" s="1"/>
  <c r="O306" i="16" s="1"/>
  <c r="K117" i="16" a="1"/>
  <c r="K117" i="16" s="1"/>
  <c r="O117" i="16" s="1"/>
  <c r="K9" i="16" a="1"/>
  <c r="K9" i="16" s="1"/>
  <c r="O9" i="16" s="1"/>
  <c r="K448" i="16" a="1"/>
  <c r="K448" i="16" s="1"/>
  <c r="O448" i="16" s="1"/>
  <c r="K132" i="16" a="1"/>
  <c r="K132" i="16" s="1"/>
  <c r="N132" i="16" s="1"/>
  <c r="K54" i="16" a="1"/>
  <c r="K54" i="16" s="1"/>
  <c r="N54" i="16" s="1"/>
  <c r="K175" i="16" a="1"/>
  <c r="K175" i="16" s="1"/>
  <c r="O175" i="16" s="1"/>
  <c r="K413" i="16" a="1"/>
  <c r="K413" i="16" s="1"/>
  <c r="O413" i="16" s="1"/>
  <c r="K249" i="16" a="1"/>
  <c r="K249" i="16" s="1"/>
  <c r="N249" i="16" s="1"/>
  <c r="K510" i="16" a="1"/>
  <c r="K510" i="16" s="1"/>
  <c r="N510" i="16" s="1"/>
  <c r="J236" i="16"/>
  <c r="K236" i="16" a="1"/>
  <c r="K236" i="16" s="1"/>
  <c r="O236" i="16" s="1"/>
  <c r="K283" i="16" a="1"/>
  <c r="K283" i="16" s="1"/>
  <c r="O283" i="16" s="1"/>
  <c r="K125" i="16" a="1"/>
  <c r="K125" i="16" s="1"/>
  <c r="N125" i="16" s="1"/>
  <c r="K196" i="16" a="1"/>
  <c r="K196" i="16" s="1"/>
  <c r="O196" i="16" s="1"/>
  <c r="K320" i="16" a="1"/>
  <c r="K320" i="16" s="1"/>
  <c r="O320" i="16" s="1"/>
  <c r="K370" i="16" a="1"/>
  <c r="K370" i="16" s="1"/>
  <c r="O370" i="16" s="1"/>
  <c r="K341" i="16" a="1"/>
  <c r="K341" i="16" s="1"/>
  <c r="O341" i="16" s="1"/>
  <c r="J460" i="16"/>
  <c r="K460" i="16" a="1"/>
  <c r="K460" i="16" s="1"/>
  <c r="N460" i="16" s="1"/>
  <c r="K440" i="16" a="1"/>
  <c r="K440" i="16" s="1"/>
  <c r="O440" i="16" s="1"/>
  <c r="K250" i="16" a="1"/>
  <c r="K250" i="16" s="1"/>
  <c r="O250" i="16" s="1"/>
  <c r="K463" i="16" a="1"/>
  <c r="K463" i="16" s="1"/>
  <c r="O463" i="16" s="1"/>
  <c r="J422" i="16"/>
  <c r="K422" i="16" a="1"/>
  <c r="K422" i="16" s="1"/>
  <c r="O422" i="16" s="1"/>
  <c r="J115" i="16"/>
  <c r="K115" i="16" a="1"/>
  <c r="K115" i="16" s="1"/>
  <c r="N115" i="16" s="1"/>
  <c r="J166" i="16"/>
  <c r="K166" i="16" a="1"/>
  <c r="K166" i="16" s="1"/>
  <c r="O166" i="16" s="1"/>
  <c r="K191" i="16" a="1"/>
  <c r="K191" i="16" s="1"/>
  <c r="O191" i="16" s="1"/>
  <c r="J397" i="16"/>
  <c r="K397" i="16" a="1"/>
  <c r="K397" i="16" s="1"/>
  <c r="N397" i="16" s="1"/>
  <c r="J245" i="16"/>
  <c r="K245" i="16" a="1"/>
  <c r="K245" i="16" s="1"/>
  <c r="O245" i="16" s="1"/>
  <c r="K494" i="16" a="1"/>
  <c r="K494" i="16" s="1"/>
  <c r="N494" i="16" s="1"/>
  <c r="K56" i="16" a="1"/>
  <c r="K56" i="16" s="1"/>
  <c r="N56" i="16" s="1"/>
  <c r="K134" i="16" a="1"/>
  <c r="K134" i="16" s="1"/>
  <c r="O134" i="16" s="1"/>
  <c r="K155" i="16" a="1"/>
  <c r="K155" i="16" s="1"/>
  <c r="O155" i="16" s="1"/>
  <c r="K360" i="16" a="1"/>
  <c r="K360" i="16" s="1"/>
  <c r="O360" i="16" s="1"/>
  <c r="J439" i="16"/>
  <c r="K439" i="16" a="1"/>
  <c r="K439" i="16" s="1"/>
  <c r="O439" i="16" s="1"/>
  <c r="K101" i="16" a="1"/>
  <c r="K101" i="16" s="1"/>
  <c r="O101" i="16" s="1"/>
  <c r="J21" i="16"/>
  <c r="K21" i="16" a="1"/>
  <c r="K21" i="16" s="1"/>
  <c r="O21" i="16" s="1"/>
  <c r="J278" i="16"/>
  <c r="K278" i="16" a="1"/>
  <c r="K278" i="16" s="1"/>
  <c r="N278" i="16" s="1"/>
  <c r="J215" i="16"/>
  <c r="K215" i="16" a="1"/>
  <c r="K215" i="16" s="1"/>
  <c r="O215" i="16" s="1"/>
  <c r="J381" i="16"/>
  <c r="K381" i="16" a="1"/>
  <c r="K381" i="16" s="1"/>
  <c r="O381" i="16" s="1"/>
  <c r="J253" i="16"/>
  <c r="K253" i="16" a="1"/>
  <c r="K253" i="16" s="1"/>
  <c r="O253" i="16" s="1"/>
  <c r="J151" i="16"/>
  <c r="K151" i="16" a="1"/>
  <c r="K151" i="16" s="1"/>
  <c r="O151" i="16" s="1"/>
  <c r="J161" i="16"/>
  <c r="K161" i="16" a="1"/>
  <c r="K161" i="16" s="1"/>
  <c r="N161" i="16" s="1"/>
  <c r="J303" i="16"/>
  <c r="K303" i="16" a="1"/>
  <c r="K303" i="16" s="1"/>
  <c r="O303" i="16" s="1"/>
  <c r="J83" i="16"/>
  <c r="K83" i="16" a="1"/>
  <c r="K83" i="16" s="1"/>
  <c r="O83" i="16" s="1"/>
  <c r="J455" i="16"/>
  <c r="K455" i="16" a="1"/>
  <c r="K455" i="16" s="1"/>
  <c r="N455" i="16" s="1"/>
  <c r="J312" i="16"/>
  <c r="K312" i="16" a="1"/>
  <c r="K312" i="16" s="1"/>
  <c r="N312" i="16" s="1"/>
  <c r="J411" i="16"/>
  <c r="K411" i="16" a="1"/>
  <c r="K411" i="16" s="1"/>
  <c r="O411" i="16" s="1"/>
  <c r="J266" i="16"/>
  <c r="K266" i="16" a="1"/>
  <c r="K266" i="16" s="1"/>
  <c r="O266" i="16" s="1"/>
  <c r="J167" i="16"/>
  <c r="K167" i="16" a="1"/>
  <c r="K167" i="16" s="1"/>
  <c r="O167" i="16" s="1"/>
  <c r="K112" i="16" a="1"/>
  <c r="K112" i="16" s="1"/>
  <c r="N112" i="16" s="1"/>
  <c r="K354" i="16" a="1"/>
  <c r="K354" i="16" s="1"/>
  <c r="O354" i="16" s="1"/>
  <c r="K431" i="16" a="1"/>
  <c r="K431" i="16" s="1"/>
  <c r="O431" i="16" s="1"/>
  <c r="K435" i="16" a="1"/>
  <c r="K435" i="16" s="1"/>
  <c r="N435" i="16" s="1"/>
  <c r="K260" i="16" a="1"/>
  <c r="K260" i="16" s="1"/>
  <c r="O260" i="16" s="1"/>
  <c r="K425" i="16" a="1"/>
  <c r="K425" i="16" s="1"/>
  <c r="O425" i="16" s="1"/>
  <c r="K169" i="16" a="1"/>
  <c r="K169" i="16" s="1"/>
  <c r="O169" i="16" s="1"/>
  <c r="K345" i="16" a="1"/>
  <c r="K345" i="16" s="1"/>
  <c r="O345" i="16" s="1"/>
  <c r="K207" i="16" a="1"/>
  <c r="K207" i="16" s="1"/>
  <c r="O207" i="16" s="1"/>
  <c r="K301" i="16" a="1"/>
  <c r="K301" i="16" s="1"/>
  <c r="O301" i="16" s="1"/>
  <c r="K163" i="16" a="1"/>
  <c r="K163" i="16" s="1"/>
  <c r="O163" i="16" s="1"/>
  <c r="K330" i="16" a="1"/>
  <c r="K330" i="16" s="1"/>
  <c r="O330" i="16" s="1"/>
  <c r="K168" i="16" a="1"/>
  <c r="K168" i="16" s="1"/>
  <c r="O168" i="16" s="1"/>
  <c r="K324" i="16" a="1"/>
  <c r="K324" i="16" s="1"/>
  <c r="O324" i="16" s="1"/>
  <c r="K323" i="16" a="1"/>
  <c r="K323" i="16" s="1"/>
  <c r="O323" i="16" s="1"/>
  <c r="K107" i="16" a="1"/>
  <c r="K107" i="16" s="1"/>
  <c r="O107" i="16" s="1"/>
  <c r="K279" i="16" a="1"/>
  <c r="K279" i="16" s="1"/>
  <c r="O279" i="16" s="1"/>
  <c r="K316" i="16" a="1"/>
  <c r="K316" i="16" s="1"/>
  <c r="O316" i="16" s="1"/>
  <c r="K99" i="16" a="1"/>
  <c r="K99" i="16" s="1"/>
  <c r="O99" i="16" s="1"/>
  <c r="K43" i="16" a="1"/>
  <c r="K43" i="16" s="1"/>
  <c r="N43" i="16" s="1"/>
  <c r="K87" i="16" a="1"/>
  <c r="K87" i="16" s="1"/>
  <c r="N87" i="16" s="1"/>
  <c r="K143" i="16" a="1"/>
  <c r="K143" i="16" s="1"/>
  <c r="O143" i="16" s="1"/>
  <c r="K247" i="16" a="1"/>
  <c r="K247" i="16" s="1"/>
  <c r="O247" i="16" s="1"/>
  <c r="K474" i="16" a="1"/>
  <c r="K474" i="16" s="1"/>
  <c r="N474" i="16" s="1"/>
  <c r="K313" i="16" a="1"/>
  <c r="K313" i="16" s="1"/>
  <c r="O313" i="16" s="1"/>
  <c r="K93" i="16" a="1"/>
  <c r="K93" i="16" s="1"/>
  <c r="N93" i="16" s="1"/>
  <c r="K318" i="16" a="1"/>
  <c r="K318" i="16" s="1"/>
  <c r="N318" i="16" s="1"/>
  <c r="K62" i="16" a="1"/>
  <c r="K62" i="16" s="1"/>
  <c r="O62" i="16" s="1"/>
  <c r="K142" i="16" a="1"/>
  <c r="K142" i="16" s="1"/>
  <c r="O142" i="16" s="1"/>
  <c r="K402" i="16" a="1"/>
  <c r="K402" i="16" s="1"/>
  <c r="O402" i="16" s="1"/>
  <c r="K116" i="16" a="1"/>
  <c r="K116" i="16" s="1"/>
  <c r="O116" i="16" s="1"/>
  <c r="J55" i="16"/>
  <c r="K55" i="16" a="1"/>
  <c r="K55" i="16" s="1"/>
  <c r="O55" i="16" s="1"/>
  <c r="K17" i="16" a="1"/>
  <c r="K17" i="16" s="1"/>
  <c r="O17" i="16" s="1"/>
  <c r="K50" i="16" a="1"/>
  <c r="K50" i="16" s="1"/>
  <c r="O50" i="16" s="1"/>
  <c r="K234" i="16" a="1"/>
  <c r="K234" i="16" s="1"/>
  <c r="O234" i="16" s="1"/>
  <c r="K374" i="16" a="1"/>
  <c r="K374" i="16" s="1"/>
  <c r="N374" i="16" s="1"/>
  <c r="K105" i="16" a="1"/>
  <c r="K105" i="16" s="1"/>
  <c r="O105" i="16" s="1"/>
  <c r="K326" i="16" a="1"/>
  <c r="K326" i="16" s="1"/>
  <c r="O326" i="16" s="1"/>
  <c r="J484" i="16"/>
  <c r="K484" i="16" a="1"/>
  <c r="K484" i="16" s="1"/>
  <c r="K387" i="16" a="1"/>
  <c r="K387" i="16" s="1"/>
  <c r="O387" i="16" s="1"/>
  <c r="K57" i="16" a="1"/>
  <c r="K57" i="16" s="1"/>
  <c r="O57" i="16" s="1"/>
  <c r="K514" i="16" a="1"/>
  <c r="K514" i="16" s="1"/>
  <c r="M514" i="16" s="1"/>
  <c r="K300" i="16" a="1"/>
  <c r="K300" i="16" s="1"/>
  <c r="K106" i="16" a="1"/>
  <c r="K106" i="16" s="1"/>
  <c r="O106" i="16" s="1"/>
  <c r="K195" i="16" a="1"/>
  <c r="K195" i="16" s="1"/>
  <c r="N195" i="16" s="1"/>
  <c r="J512" i="16"/>
  <c r="K512" i="16" a="1"/>
  <c r="K512" i="16" s="1"/>
  <c r="J96" i="16"/>
  <c r="K96" i="16" a="1"/>
  <c r="K96" i="16" s="1"/>
  <c r="O96" i="16" s="1"/>
  <c r="J432" i="16"/>
  <c r="K432" i="16" a="1"/>
  <c r="K432" i="16" s="1"/>
  <c r="O432" i="16" s="1"/>
  <c r="K32" i="16" a="1"/>
  <c r="K32" i="16" s="1"/>
  <c r="O32" i="16" s="1"/>
  <c r="K201" i="16" a="1"/>
  <c r="K201" i="16" s="1"/>
  <c r="O201" i="16" s="1"/>
  <c r="K503" i="16" a="1"/>
  <c r="K503" i="16" s="1"/>
  <c r="N503" i="16" s="1"/>
  <c r="J293" i="16"/>
  <c r="M293" i="16" s="1"/>
  <c r="K444" i="16" a="1"/>
  <c r="K444" i="16" s="1"/>
  <c r="N444" i="16" s="1"/>
  <c r="K414" i="16" a="1"/>
  <c r="K414" i="16" s="1"/>
  <c r="O414" i="16" s="1"/>
  <c r="K375" i="16" a="1"/>
  <c r="K375" i="16" s="1"/>
  <c r="O375" i="16" s="1"/>
  <c r="K133" i="16" a="1"/>
  <c r="K133" i="16" s="1"/>
  <c r="O133" i="16" s="1"/>
  <c r="K267" i="16" a="1"/>
  <c r="K267" i="16" s="1"/>
  <c r="O267" i="16" s="1"/>
  <c r="K478" i="16" a="1"/>
  <c r="K478" i="16" s="1"/>
  <c r="N478" i="16" s="1"/>
  <c r="K129" i="16" a="1"/>
  <c r="K129" i="16" s="1"/>
  <c r="O129" i="16" s="1"/>
  <c r="K48" i="16" a="1"/>
  <c r="K48" i="16" s="1"/>
  <c r="N48" i="16" s="1"/>
  <c r="J448" i="16"/>
  <c r="K210" i="16" a="1"/>
  <c r="K210" i="16" s="1"/>
  <c r="N210" i="16" s="1"/>
  <c r="J271" i="16"/>
  <c r="K271" i="16" a="1"/>
  <c r="K271" i="16" s="1"/>
  <c r="O271" i="16" s="1"/>
  <c r="K165" i="16" a="1"/>
  <c r="K165" i="16" s="1"/>
  <c r="O165" i="16" s="1"/>
  <c r="K274" i="16" a="1"/>
  <c r="K274" i="16" s="1"/>
  <c r="O274" i="16" s="1"/>
  <c r="K396" i="16" a="1"/>
  <c r="K396" i="16" s="1"/>
  <c r="O396" i="16" s="1"/>
  <c r="J24" i="16"/>
  <c r="K24" i="16" a="1"/>
  <c r="K24" i="16" s="1"/>
  <c r="N24" i="16" s="1"/>
  <c r="K239" i="16" a="1"/>
  <c r="K239" i="16" s="1"/>
  <c r="N239" i="16" s="1"/>
  <c r="K52" i="16" a="1"/>
  <c r="K52" i="16" s="1"/>
  <c r="O52" i="16" s="1"/>
  <c r="K492" i="16" a="1"/>
  <c r="K492" i="16" s="1"/>
  <c r="N492" i="16" s="1"/>
  <c r="J384" i="16"/>
  <c r="K384" i="16" a="1"/>
  <c r="K384" i="16" s="1"/>
  <c r="K256" i="16" a="1"/>
  <c r="K256" i="16" s="1"/>
  <c r="O256" i="16" s="1"/>
  <c r="J205" i="16"/>
  <c r="K205" i="16" a="1"/>
  <c r="K205" i="16" s="1"/>
  <c r="O205" i="16" s="1"/>
  <c r="K147" i="16" a="1"/>
  <c r="K147" i="16" s="1"/>
  <c r="O147" i="16" s="1"/>
  <c r="K380" i="16" a="1"/>
  <c r="K380" i="16" s="1"/>
  <c r="O380" i="16" s="1"/>
  <c r="J379" i="16"/>
  <c r="K379" i="16" a="1"/>
  <c r="K379" i="16" s="1"/>
  <c r="O379" i="16" s="1"/>
  <c r="K386" i="16" a="1"/>
  <c r="K386" i="16" s="1"/>
  <c r="N386" i="16" s="1"/>
  <c r="K442" i="16" a="1"/>
  <c r="K442" i="16" s="1"/>
  <c r="N442" i="16" s="1"/>
  <c r="K470" i="16" a="1"/>
  <c r="K470" i="16" s="1"/>
  <c r="N470" i="16" s="1"/>
  <c r="J347" i="16"/>
  <c r="K347" i="16" a="1"/>
  <c r="K347" i="16" s="1"/>
  <c r="N347" i="16" s="1"/>
  <c r="J334" i="16"/>
  <c r="K334" i="16" a="1"/>
  <c r="K334" i="16" s="1"/>
  <c r="O334" i="16" s="1"/>
  <c r="J137" i="16"/>
  <c r="K137" i="16" a="1"/>
  <c r="K137" i="16" s="1"/>
  <c r="N137" i="16" s="1"/>
  <c r="K265" i="16" a="1"/>
  <c r="K265" i="16" s="1"/>
  <c r="O265" i="16" s="1"/>
  <c r="K352" i="16" a="1"/>
  <c r="K352" i="16" s="1"/>
  <c r="O352" i="16" s="1"/>
  <c r="K394" i="16" a="1"/>
  <c r="K394" i="16" s="1"/>
  <c r="O394" i="16" s="1"/>
  <c r="K294" i="16" a="1"/>
  <c r="K294" i="16" s="1"/>
  <c r="O294" i="16" s="1"/>
  <c r="K395" i="16" a="1"/>
  <c r="K395" i="16" s="1"/>
  <c r="N395" i="16" s="1"/>
  <c r="K141" i="16" a="1"/>
  <c r="K141" i="16" s="1"/>
  <c r="O141" i="16" s="1"/>
  <c r="K221" i="16" a="1"/>
  <c r="K221" i="16" s="1"/>
  <c r="O221" i="16" s="1"/>
  <c r="K177" i="16" a="1"/>
  <c r="K177" i="16" s="1"/>
  <c r="N177" i="16" s="1"/>
  <c r="K218" i="16" a="1"/>
  <c r="K218" i="16" s="1"/>
  <c r="N218" i="16" s="1"/>
  <c r="K443" i="16" a="1"/>
  <c r="K443" i="16" s="1"/>
  <c r="N443" i="16" s="1"/>
  <c r="K391" i="16" a="1"/>
  <c r="K391" i="16" s="1"/>
  <c r="O391" i="16" s="1"/>
  <c r="K399" i="16" a="1"/>
  <c r="K399" i="16" s="1"/>
  <c r="O399" i="16" s="1"/>
  <c r="K286" i="16" a="1"/>
  <c r="K286" i="16" s="1"/>
  <c r="O286" i="16" s="1"/>
  <c r="K199" i="16" a="1"/>
  <c r="K199" i="16" s="1"/>
  <c r="O199" i="16" s="1"/>
  <c r="K146" i="16" a="1"/>
  <c r="K146" i="16" s="1"/>
  <c r="O146" i="16" s="1"/>
  <c r="K86" i="16" a="1"/>
  <c r="K86" i="16" s="1"/>
  <c r="O86" i="16" s="1"/>
  <c r="K357" i="16" a="1"/>
  <c r="K357" i="16" s="1"/>
  <c r="O357" i="16" s="1"/>
  <c r="K82" i="16" a="1"/>
  <c r="K82" i="16" s="1"/>
  <c r="O82" i="16" s="1"/>
  <c r="K504" i="16" a="1"/>
  <c r="K504" i="16" s="1"/>
  <c r="M504" i="16" s="1"/>
  <c r="K240" i="16" a="1"/>
  <c r="K240" i="16" s="1"/>
  <c r="O240" i="16" s="1"/>
  <c r="K295" i="16" a="1"/>
  <c r="K295" i="16" s="1"/>
  <c r="O295" i="16" s="1"/>
  <c r="K173" i="16" a="1"/>
  <c r="K173" i="16" s="1"/>
  <c r="O173" i="16" s="1"/>
  <c r="K252" i="16" a="1"/>
  <c r="K252" i="16" s="1"/>
  <c r="O252" i="16" s="1"/>
  <c r="K335" i="16" a="1"/>
  <c r="K335" i="16" s="1"/>
  <c r="N335" i="16" s="1"/>
  <c r="K38" i="16" a="1"/>
  <c r="K38" i="16" s="1"/>
  <c r="O38" i="16" s="1"/>
  <c r="K369" i="16" a="1"/>
  <c r="K369" i="16" s="1"/>
  <c r="N369" i="16" s="1"/>
  <c r="K436" i="16" a="1"/>
  <c r="K436" i="16" s="1"/>
  <c r="O436" i="16" s="1"/>
  <c r="K13" i="16" a="1"/>
  <c r="K13" i="16" s="1"/>
  <c r="O13" i="16" s="1"/>
  <c r="J356" i="16"/>
  <c r="K356" i="16" a="1"/>
  <c r="K356" i="16" s="1"/>
  <c r="O356" i="16" s="1"/>
  <c r="J487" i="16"/>
  <c r="K487" i="16" a="1"/>
  <c r="K487" i="16" s="1"/>
  <c r="N487" i="16" s="1"/>
  <c r="J362" i="16"/>
  <c r="K362" i="16" a="1"/>
  <c r="K362" i="16" s="1"/>
  <c r="O362" i="16" s="1"/>
  <c r="K513" i="16" a="1"/>
  <c r="K513" i="16" s="1"/>
  <c r="N513" i="16" s="1"/>
  <c r="K328" i="16" a="1"/>
  <c r="K328" i="16" s="1"/>
  <c r="O328" i="16" s="1"/>
  <c r="K349" i="16" a="1"/>
  <c r="K349" i="16" s="1"/>
  <c r="N349" i="16" s="1"/>
  <c r="K423" i="16" a="1"/>
  <c r="K423" i="16" s="1"/>
  <c r="O423" i="16" s="1"/>
  <c r="K519" i="16" a="1"/>
  <c r="K519" i="16" s="1"/>
  <c r="O519" i="16" s="1"/>
  <c r="K178" i="16" a="1"/>
  <c r="K178" i="16" s="1"/>
  <c r="O178" i="16" s="1"/>
  <c r="K170" i="16" a="1"/>
  <c r="K170" i="16" s="1"/>
  <c r="N170" i="16" s="1"/>
  <c r="K130" i="16" a="1"/>
  <c r="K130" i="16" s="1"/>
  <c r="N130" i="16" s="1"/>
  <c r="K466" i="16" a="1"/>
  <c r="K466" i="16" s="1"/>
  <c r="O466" i="16" s="1"/>
  <c r="K135" i="16" a="1"/>
  <c r="K135" i="16" s="1"/>
  <c r="O135" i="16" s="1"/>
  <c r="K185" i="16" a="1"/>
  <c r="K185" i="16" s="1"/>
  <c r="N185" i="16" s="1"/>
  <c r="J371" i="16"/>
  <c r="K371" i="16" a="1"/>
  <c r="K371" i="16" s="1"/>
  <c r="N371" i="16" s="1"/>
  <c r="K451" i="16" a="1"/>
  <c r="K451" i="16" s="1"/>
  <c r="O451" i="16" s="1"/>
  <c r="K331" i="16" a="1"/>
  <c r="K331" i="16" s="1"/>
  <c r="N331" i="16" s="1"/>
  <c r="K212" i="16" a="1"/>
  <c r="K212" i="16" s="1"/>
  <c r="N212" i="16" s="1"/>
  <c r="J299" i="16"/>
  <c r="K299" i="16" a="1"/>
  <c r="K299" i="16" s="1"/>
  <c r="O299" i="16" s="1"/>
  <c r="K187" i="16" a="1"/>
  <c r="K187" i="16" s="1"/>
  <c r="O187" i="16" s="1"/>
  <c r="O284" i="16"/>
  <c r="O76" i="16"/>
  <c r="N69" i="16"/>
  <c r="N72" i="16"/>
  <c r="O74" i="16"/>
  <c r="J71" i="16"/>
  <c r="M71" i="16" s="1"/>
  <c r="J449" i="16"/>
  <c r="J210" i="16"/>
  <c r="J58" i="16"/>
  <c r="J421" i="16"/>
  <c r="J175" i="16"/>
  <c r="J196" i="16"/>
  <c r="T516" i="16"/>
  <c r="U516" i="16" s="1"/>
  <c r="J288" i="16"/>
  <c r="M288" i="16" s="1"/>
  <c r="O424" i="16"/>
  <c r="J224" i="16"/>
  <c r="M224" i="16" s="1"/>
  <c r="J160" i="16"/>
  <c r="M160" i="16" s="1"/>
  <c r="J56" i="16"/>
  <c r="J306" i="16"/>
  <c r="J370" i="16"/>
  <c r="J152" i="16"/>
  <c r="M152" i="16" s="1"/>
  <c r="J510" i="16"/>
  <c r="N453" i="16"/>
  <c r="J32" i="16"/>
  <c r="J499" i="16"/>
  <c r="M499" i="16" s="1"/>
  <c r="J132" i="16"/>
  <c r="J494" i="16"/>
  <c r="J125" i="16"/>
  <c r="O367" i="16"/>
  <c r="J113" i="16"/>
  <c r="M113" i="16" s="1"/>
  <c r="N499" i="16"/>
  <c r="J117" i="16"/>
  <c r="J84" i="16"/>
  <c r="J283" i="16"/>
  <c r="J341" i="16"/>
  <c r="J57" i="16"/>
  <c r="O193" i="16"/>
  <c r="J97" i="16"/>
  <c r="M97" i="16" s="1"/>
  <c r="J326" i="16"/>
  <c r="J352" i="16"/>
  <c r="J360" i="16"/>
  <c r="J453" i="16"/>
  <c r="M453" i="16" s="1"/>
  <c r="J165" i="16"/>
  <c r="J367" i="16"/>
  <c r="M367" i="16" s="1"/>
  <c r="J64" i="16"/>
  <c r="M64" i="16" s="1"/>
  <c r="J247" i="16"/>
  <c r="J193" i="16"/>
  <c r="M193" i="16" s="1"/>
  <c r="J114" i="16"/>
  <c r="J45" i="16"/>
  <c r="J94" i="16"/>
  <c r="O288" i="16"/>
  <c r="J51" i="27"/>
  <c r="M51" i="27" s="1"/>
  <c r="O21" i="27"/>
  <c r="J464" i="16"/>
  <c r="N469" i="16"/>
  <c r="O491" i="16"/>
  <c r="J121" i="16"/>
  <c r="M121" i="16" s="1"/>
  <c r="J438" i="16"/>
  <c r="J251" i="16"/>
  <c r="J505" i="16"/>
  <c r="J16" i="16"/>
  <c r="J239" i="16"/>
  <c r="J395" i="16"/>
  <c r="J459" i="16"/>
  <c r="J82" i="16"/>
  <c r="J338" i="16"/>
  <c r="M338" i="16" s="1"/>
  <c r="J365" i="16"/>
  <c r="T68" i="27"/>
  <c r="W68" i="27" s="1"/>
  <c r="J91" i="16"/>
  <c r="J192" i="16"/>
  <c r="J368" i="16"/>
  <c r="J385" i="16"/>
  <c r="J315" i="16"/>
  <c r="J402" i="16"/>
  <c r="J13" i="16"/>
  <c r="J470" i="16"/>
  <c r="J386" i="16"/>
  <c r="J147" i="16"/>
  <c r="J256" i="16"/>
  <c r="J52" i="16"/>
  <c r="J274" i="16"/>
  <c r="J515" i="16"/>
  <c r="M515" i="16" s="1"/>
  <c r="J328" i="16"/>
  <c r="O338" i="16"/>
  <c r="J492" i="16"/>
  <c r="J369" i="16"/>
  <c r="J135" i="16"/>
  <c r="J212" i="16"/>
  <c r="J399" i="16"/>
  <c r="J199" i="16"/>
  <c r="O160" i="16"/>
  <c r="J394" i="16"/>
  <c r="J265" i="16"/>
  <c r="J101" i="27"/>
  <c r="M101" i="27" s="1"/>
  <c r="J442" i="16"/>
  <c r="J396" i="16"/>
  <c r="J141" i="16"/>
  <c r="J331" i="16"/>
  <c r="J86" i="16"/>
  <c r="T32" i="27"/>
  <c r="W32" i="27" s="1"/>
  <c r="T115" i="27"/>
  <c r="U115" i="27" s="1"/>
  <c r="J313" i="16"/>
  <c r="J290" i="16"/>
  <c r="J142" i="16"/>
  <c r="J318" i="16"/>
  <c r="T123" i="27"/>
  <c r="W123" i="27" s="1"/>
  <c r="J359" i="16"/>
  <c r="J412" i="16"/>
  <c r="M412" i="16" s="1"/>
  <c r="J116" i="16"/>
  <c r="J62" i="16"/>
  <c r="J387" i="16"/>
  <c r="J145" i="16"/>
  <c r="O145" i="16"/>
  <c r="O401" i="16"/>
  <c r="J401" i="16"/>
  <c r="J497" i="16"/>
  <c r="O497" i="16"/>
  <c r="O225" i="16"/>
  <c r="J225" i="16"/>
  <c r="J65" i="16"/>
  <c r="N430" i="16"/>
  <c r="J430" i="16"/>
  <c r="J176" i="16"/>
  <c r="O516" i="16"/>
  <c r="J516" i="16"/>
  <c r="N507" i="16"/>
  <c r="J507" i="16"/>
  <c r="J493" i="16"/>
  <c r="O482" i="16"/>
  <c r="N482" i="16"/>
  <c r="O366" i="16"/>
  <c r="J366" i="16"/>
  <c r="J519" i="16"/>
  <c r="J222" i="16"/>
  <c r="O222" i="16"/>
  <c r="J6" i="16"/>
  <c r="O6" i="16"/>
  <c r="J33" i="16"/>
  <c r="N33" i="16"/>
  <c r="J11" i="16"/>
  <c r="O11" i="16"/>
  <c r="J231" i="16"/>
  <c r="O231" i="16"/>
  <c r="J202" i="16"/>
  <c r="J429" i="16"/>
  <c r="O336" i="16"/>
  <c r="J336" i="16"/>
  <c r="N186" i="16"/>
  <c r="J186" i="16"/>
  <c r="O393" i="16"/>
  <c r="J393" i="16"/>
  <c r="O109" i="16"/>
  <c r="J109" i="16"/>
  <c r="J235" i="16"/>
  <c r="O235" i="16"/>
  <c r="J500" i="16"/>
  <c r="J258" i="16"/>
  <c r="M258" i="16" s="1"/>
  <c r="N428" i="16"/>
  <c r="J491" i="16"/>
  <c r="M491" i="16" s="1"/>
  <c r="J469" i="16"/>
  <c r="M469" i="16" s="1"/>
  <c r="J170" i="16"/>
  <c r="J89" i="16"/>
  <c r="J216" i="16"/>
  <c r="J310" i="16"/>
  <c r="J466" i="16"/>
  <c r="J351" i="16"/>
  <c r="O376" i="16"/>
  <c r="J376" i="16"/>
  <c r="J90" i="16"/>
  <c r="O90" i="16"/>
  <c r="O5" i="16"/>
  <c r="J5" i="16"/>
  <c r="O339" i="16"/>
  <c r="J339" i="16"/>
  <c r="N209" i="16"/>
  <c r="J209" i="16"/>
  <c r="N152" i="16"/>
  <c r="O152" i="16"/>
  <c r="O181" i="16"/>
  <c r="J181" i="16"/>
  <c r="N508" i="16"/>
  <c r="J508" i="16"/>
  <c r="N121" i="16"/>
  <c r="O121" i="16"/>
  <c r="J157" i="16"/>
  <c r="J191" i="16"/>
  <c r="J246" i="16"/>
  <c r="J185" i="16"/>
  <c r="J254" i="16"/>
  <c r="J54" i="16"/>
  <c r="J130" i="16"/>
  <c r="J451" i="16"/>
  <c r="J198" i="16"/>
  <c r="J194" i="16"/>
  <c r="J131" i="16"/>
  <c r="J226" i="16"/>
  <c r="J9" i="16"/>
  <c r="J15" i="16"/>
  <c r="O337" i="16"/>
  <c r="J337" i="16"/>
  <c r="J511" i="16"/>
  <c r="O511" i="16"/>
  <c r="N296" i="16"/>
  <c r="O296" i="16"/>
  <c r="J481" i="16"/>
  <c r="N481" i="16"/>
  <c r="N120" i="16"/>
  <c r="J120" i="16"/>
  <c r="O29" i="16"/>
  <c r="J29" i="16"/>
  <c r="N344" i="16"/>
  <c r="J344" i="16"/>
  <c r="O506" i="16"/>
  <c r="J506" i="16"/>
  <c r="O270" i="16"/>
  <c r="J270" i="16"/>
  <c r="O291" i="16"/>
  <c r="J291" i="16"/>
  <c r="O329" i="16"/>
  <c r="J329" i="16"/>
  <c r="D154" i="16"/>
  <c r="D241" i="16"/>
  <c r="D89" i="27"/>
  <c r="F104" i="27"/>
  <c r="F25" i="16"/>
  <c r="F154" i="16"/>
  <c r="F39" i="27"/>
  <c r="F405" i="16"/>
  <c r="F122" i="27"/>
  <c r="F121" i="27"/>
  <c r="F494" i="16"/>
  <c r="F402" i="16"/>
  <c r="F113" i="27"/>
  <c r="J342" i="16"/>
  <c r="N67" i="27"/>
  <c r="J148" i="16"/>
  <c r="J105" i="16"/>
  <c r="J482" i="16"/>
  <c r="M482" i="16" s="1"/>
  <c r="J213" i="16"/>
  <c r="J355" i="16"/>
  <c r="J38" i="16"/>
  <c r="J220" i="16"/>
  <c r="J413" i="16"/>
  <c r="J307" i="16"/>
  <c r="J436" i="16"/>
  <c r="J443" i="16"/>
  <c r="J286" i="16"/>
  <c r="J374" i="16"/>
  <c r="J423" i="16"/>
  <c r="J418" i="16"/>
  <c r="J321" i="16"/>
  <c r="J309" i="16"/>
  <c r="J296" i="16"/>
  <c r="M296" i="16" s="1"/>
  <c r="J184" i="16"/>
  <c r="D110" i="27"/>
  <c r="M35" i="16"/>
  <c r="F386" i="16"/>
  <c r="F100" i="27"/>
  <c r="F82" i="27"/>
  <c r="F174" i="16"/>
  <c r="F176" i="16"/>
  <c r="F19" i="27"/>
  <c r="F456" i="16"/>
  <c r="F125" i="27"/>
  <c r="J335" i="16"/>
  <c r="J221" i="16"/>
  <c r="J294" i="16"/>
  <c r="J218" i="16"/>
  <c r="J34" i="16"/>
  <c r="J103" i="16"/>
  <c r="J146" i="16"/>
  <c r="J357" i="16"/>
  <c r="F241" i="16"/>
  <c r="F89" i="27"/>
  <c r="F38" i="27"/>
  <c r="F199" i="16"/>
  <c r="F103" i="27"/>
  <c r="F131" i="16"/>
  <c r="F135" i="16"/>
  <c r="F110" i="27"/>
  <c r="D405" i="16"/>
  <c r="D122" i="27"/>
  <c r="J169" i="16"/>
  <c r="J101" i="16"/>
  <c r="J305" i="16"/>
  <c r="M305" i="16" s="1"/>
  <c r="J43" i="16"/>
  <c r="J316" i="16"/>
  <c r="F209" i="16"/>
  <c r="F93" i="27"/>
  <c r="J50" i="16"/>
  <c r="F118" i="27"/>
  <c r="F422" i="16"/>
  <c r="M317" i="16"/>
  <c r="J195" i="16"/>
  <c r="J425" i="16"/>
  <c r="J119" i="16"/>
  <c r="J8" i="16"/>
  <c r="J431" i="16"/>
  <c r="J490" i="16"/>
  <c r="J435" i="16"/>
  <c r="J25" i="16"/>
  <c r="J345" i="16"/>
  <c r="J143" i="16"/>
  <c r="J238" i="16"/>
  <c r="J60" i="16"/>
  <c r="J486" i="16"/>
  <c r="J150" i="16"/>
  <c r="J392" i="16"/>
  <c r="J279" i="16"/>
  <c r="J93" i="16"/>
  <c r="T140" i="27"/>
  <c r="U140" i="27" s="1"/>
  <c r="T10" i="27"/>
  <c r="U10" i="27" s="1"/>
  <c r="J483" i="16"/>
  <c r="J474" i="16"/>
  <c r="J127" i="16"/>
  <c r="J177" i="16"/>
  <c r="J461" i="16"/>
  <c r="J227" i="16"/>
  <c r="M227" i="16" s="1"/>
  <c r="J391" i="16"/>
  <c r="J87" i="16"/>
  <c r="J380" i="16"/>
  <c r="J234" i="16"/>
  <c r="J99" i="16"/>
  <c r="J349" i="16"/>
  <c r="J163" i="16"/>
  <c r="J168" i="16"/>
  <c r="J323" i="16"/>
  <c r="J513" i="16"/>
  <c r="F97" i="27"/>
  <c r="F155" i="16"/>
  <c r="F102" i="16"/>
  <c r="F92" i="27"/>
  <c r="O49" i="16"/>
  <c r="J49" i="16"/>
  <c r="J354" i="16"/>
  <c r="J112" i="16"/>
  <c r="J462" i="16"/>
  <c r="J20" i="16"/>
  <c r="J457" i="16"/>
  <c r="J388" i="16"/>
  <c r="J183" i="16"/>
  <c r="J173" i="16"/>
  <c r="J301" i="16"/>
  <c r="J252" i="16"/>
  <c r="J268" i="16"/>
  <c r="J295" i="16"/>
  <c r="J324" i="16"/>
  <c r="J128" i="16"/>
  <c r="J27" i="16"/>
  <c r="M428" i="16"/>
  <c r="J420" i="16"/>
  <c r="J7" i="16"/>
  <c r="J104" i="16"/>
  <c r="J240" i="16"/>
  <c r="J158" i="16"/>
  <c r="J404" i="16"/>
  <c r="J390" i="16"/>
  <c r="J260" i="16"/>
  <c r="J208" i="16"/>
  <c r="J122" i="16"/>
  <c r="J179" i="16"/>
  <c r="J207" i="16"/>
  <c r="J406" i="16"/>
  <c r="J330" i="16"/>
  <c r="J373" i="16"/>
  <c r="J107" i="16"/>
  <c r="M488" i="16"/>
  <c r="M417" i="16"/>
  <c r="N445" i="16"/>
  <c r="J445" i="16"/>
  <c r="J465" i="16"/>
  <c r="N242" i="16"/>
  <c r="J242" i="16"/>
  <c r="O19" i="16"/>
  <c r="J19" i="16"/>
  <c r="N468" i="16"/>
  <c r="J468" i="16"/>
  <c r="O243" i="16"/>
  <c r="J243" i="16"/>
  <c r="N327" i="16"/>
  <c r="J327" i="16"/>
  <c r="N475" i="16"/>
  <c r="J475" i="16"/>
  <c r="J302" i="16"/>
  <c r="O10" i="16"/>
  <c r="J10" i="16"/>
  <c r="T85" i="27"/>
  <c r="W85" i="27" s="1"/>
  <c r="T284" i="27"/>
  <c r="U284" i="27" s="1"/>
  <c r="T203" i="27"/>
  <c r="W203" i="27" s="1"/>
  <c r="H35" i="27"/>
  <c r="J110" i="16"/>
  <c r="T288" i="27"/>
  <c r="U288" i="27" s="1"/>
  <c r="H70" i="27"/>
  <c r="T61" i="27"/>
  <c r="W61" i="27" s="1"/>
  <c r="O519" i="27"/>
  <c r="J76" i="27"/>
  <c r="M76" i="27" s="1"/>
  <c r="K74" i="27"/>
  <c r="O74" i="27" s="1"/>
  <c r="I147" i="27"/>
  <c r="H102" i="27"/>
  <c r="H117" i="27"/>
  <c r="H63" i="27"/>
  <c r="T270" i="27"/>
  <c r="W270" i="27" s="1"/>
  <c r="N59" i="27"/>
  <c r="I75" i="27"/>
  <c r="K498" i="27"/>
  <c r="N498" i="27" s="1"/>
  <c r="H107" i="27"/>
  <c r="H67" i="27"/>
  <c r="N64" i="27"/>
  <c r="T66" i="27"/>
  <c r="U66" i="27" s="1"/>
  <c r="T25" i="27"/>
  <c r="U25" i="27" s="1"/>
  <c r="K4" i="27"/>
  <c r="O4" i="27" s="1"/>
  <c r="O51" i="27"/>
  <c r="J274" i="27"/>
  <c r="M274" i="27" s="1"/>
  <c r="N8" i="27"/>
  <c r="I13" i="27"/>
  <c r="H95" i="27"/>
  <c r="T413" i="27"/>
  <c r="W413" i="27" s="1"/>
  <c r="T382" i="27"/>
  <c r="W382" i="27" s="1"/>
  <c r="T439" i="27"/>
  <c r="W439" i="27" s="1"/>
  <c r="O52" i="27"/>
  <c r="H73" i="27"/>
  <c r="J364" i="27"/>
  <c r="M364" i="27" s="1"/>
  <c r="J64" i="27"/>
  <c r="M64" i="27" s="1"/>
  <c r="J52" i="27"/>
  <c r="M52" i="27" s="1"/>
  <c r="O114" i="27"/>
  <c r="I9" i="27"/>
  <c r="H52" i="27"/>
  <c r="N52" i="27"/>
  <c r="K30" i="27"/>
  <c r="M30" i="27" s="1"/>
  <c r="J57" i="27"/>
  <c r="M57" i="27" s="1"/>
  <c r="H90" i="27"/>
  <c r="J67" i="27"/>
  <c r="M67" i="27" s="1"/>
  <c r="H137" i="27"/>
  <c r="K138" i="27"/>
  <c r="N138" i="27" s="1"/>
  <c r="U14" i="16"/>
  <c r="T303" i="27"/>
  <c r="W303" i="27" s="1"/>
  <c r="T358" i="27"/>
  <c r="W358" i="27" s="1"/>
  <c r="J296" i="27"/>
  <c r="M296" i="27" s="1"/>
  <c r="J147" i="27"/>
  <c r="M147" i="27" s="1"/>
  <c r="N135" i="27"/>
  <c r="K42" i="27"/>
  <c r="O42" i="27" s="1"/>
  <c r="U465" i="16"/>
  <c r="U186" i="16"/>
  <c r="W452" i="16"/>
  <c r="I57" i="27"/>
  <c r="U148" i="16"/>
  <c r="U433" i="16"/>
  <c r="W416" i="16"/>
  <c r="H333" i="27"/>
  <c r="H191" i="27"/>
  <c r="H78" i="27"/>
  <c r="W382" i="16"/>
  <c r="I241" i="27"/>
  <c r="T207" i="27"/>
  <c r="U207" i="27" s="1"/>
  <c r="T250" i="27"/>
  <c r="U250" i="27" s="1"/>
  <c r="U391" i="16"/>
  <c r="N502" i="27"/>
  <c r="W495" i="16"/>
  <c r="H231" i="27"/>
  <c r="N44" i="27"/>
  <c r="K50" i="27"/>
  <c r="M50" i="27" s="1"/>
  <c r="H145" i="27"/>
  <c r="H45" i="27"/>
  <c r="H79" i="27"/>
  <c r="J77" i="16"/>
  <c r="M77" i="16" s="1"/>
  <c r="H48" i="27"/>
  <c r="J394" i="27"/>
  <c r="M394" i="27" s="1"/>
  <c r="I142" i="27"/>
  <c r="H72" i="27"/>
  <c r="H307" i="27"/>
  <c r="I254" i="27"/>
  <c r="N21" i="27"/>
  <c r="T466" i="27"/>
  <c r="W466" i="27" s="1"/>
  <c r="W229" i="16"/>
  <c r="J68" i="16"/>
  <c r="M68" i="16" s="1"/>
  <c r="I330" i="27"/>
  <c r="U164" i="16"/>
  <c r="U478" i="16"/>
  <c r="I23" i="27"/>
  <c r="I308" i="27"/>
  <c r="T347" i="27"/>
  <c r="W347" i="27" s="1"/>
  <c r="T194" i="27"/>
  <c r="U194" i="27" s="1"/>
  <c r="U179" i="16"/>
  <c r="W30" i="16"/>
  <c r="U279" i="16"/>
  <c r="W418" i="16"/>
  <c r="U505" i="16"/>
  <c r="U15" i="16"/>
  <c r="U264" i="16"/>
  <c r="W121" i="16"/>
  <c r="W477" i="16"/>
  <c r="N55" i="27"/>
  <c r="I177" i="27"/>
  <c r="I271" i="27"/>
  <c r="N91" i="27"/>
  <c r="J518" i="27"/>
  <c r="M518" i="27" s="1"/>
  <c r="I323" i="27"/>
  <c r="K473" i="27"/>
  <c r="M473" i="27" s="1"/>
  <c r="I479" i="27"/>
  <c r="I478" i="27"/>
  <c r="T257" i="27"/>
  <c r="U257" i="27" s="1"/>
  <c r="T350" i="27"/>
  <c r="U350" i="27" s="1"/>
  <c r="H295" i="27"/>
  <c r="U49" i="16"/>
  <c r="U284" i="16"/>
  <c r="I477" i="27"/>
  <c r="U10" i="16"/>
  <c r="U211" i="16"/>
  <c r="U115" i="16"/>
  <c r="W172" i="16"/>
  <c r="O135" i="27"/>
  <c r="O352" i="27"/>
  <c r="T198" i="27"/>
  <c r="W198" i="27" s="1"/>
  <c r="N348" i="27"/>
  <c r="J285" i="27"/>
  <c r="M285" i="27" s="1"/>
  <c r="U181" i="16"/>
  <c r="J442" i="27"/>
  <c r="M442" i="27" s="1"/>
  <c r="I263" i="27"/>
  <c r="J325" i="27"/>
  <c r="M325" i="27" s="1"/>
  <c r="K249" i="27"/>
  <c r="M249" i="27" s="1"/>
  <c r="N243" i="27"/>
  <c r="T396" i="27"/>
  <c r="U396" i="27" s="1"/>
  <c r="T386" i="27"/>
  <c r="W386" i="27" s="1"/>
  <c r="T418" i="27"/>
  <c r="U418" i="27" s="1"/>
  <c r="N501" i="27"/>
  <c r="T296" i="27"/>
  <c r="W296" i="27" s="1"/>
  <c r="J67" i="16"/>
  <c r="M67" i="16" s="1"/>
  <c r="I15" i="27"/>
  <c r="K399" i="27"/>
  <c r="N399" i="27" s="1"/>
  <c r="K268" i="27"/>
  <c r="O268" i="27" s="1"/>
  <c r="J167" i="27"/>
  <c r="M167" i="27" s="1"/>
  <c r="U142" i="16"/>
  <c r="U203" i="16"/>
  <c r="O87" i="27"/>
  <c r="N74" i="16"/>
  <c r="I415" i="27"/>
  <c r="K211" i="27"/>
  <c r="N211" i="27" s="1"/>
  <c r="I33" i="27"/>
  <c r="K425" i="27"/>
  <c r="N425" i="27" s="1"/>
  <c r="T495" i="27"/>
  <c r="W495" i="27" s="1"/>
  <c r="K151" i="27"/>
  <c r="N151" i="27" s="1"/>
  <c r="J444" i="27"/>
  <c r="M444" i="27" s="1"/>
  <c r="J460" i="27"/>
  <c r="M460" i="27" s="1"/>
  <c r="T285" i="27"/>
  <c r="U285" i="27" s="1"/>
  <c r="T470" i="27"/>
  <c r="W470" i="27" s="1"/>
  <c r="T229" i="27"/>
  <c r="W229" i="27" s="1"/>
  <c r="T228" i="27"/>
  <c r="U228" i="27" s="1"/>
  <c r="U296" i="16"/>
  <c r="U35" i="16"/>
  <c r="H321" i="27"/>
  <c r="J447" i="27"/>
  <c r="M447" i="27" s="1"/>
  <c r="U419" i="16"/>
  <c r="W343" i="16"/>
  <c r="H325" i="27"/>
  <c r="U446" i="16"/>
  <c r="I68" i="27"/>
  <c r="J501" i="27"/>
  <c r="M501" i="27" s="1"/>
  <c r="J186" i="27"/>
  <c r="M186" i="27" s="1"/>
  <c r="J305" i="27"/>
  <c r="M305" i="27" s="1"/>
  <c r="T169" i="27"/>
  <c r="U169" i="27" s="1"/>
  <c r="O113" i="27"/>
  <c r="W434" i="16"/>
  <c r="K410" i="27"/>
  <c r="O410" i="27" s="1"/>
  <c r="N290" i="27"/>
  <c r="U34" i="16"/>
  <c r="U157" i="16"/>
  <c r="W339" i="16"/>
  <c r="W99" i="16"/>
  <c r="I243" i="27"/>
  <c r="J223" i="27"/>
  <c r="M223" i="27" s="1"/>
  <c r="I151" i="27"/>
  <c r="K96" i="27"/>
  <c r="O96" i="27" s="1"/>
  <c r="N140" i="27"/>
  <c r="J468" i="27"/>
  <c r="M468" i="27" s="1"/>
  <c r="O129" i="27"/>
  <c r="J424" i="27"/>
  <c r="M424" i="27" s="1"/>
  <c r="I65" i="27"/>
  <c r="J179" i="27"/>
  <c r="M179" i="27" s="1"/>
  <c r="N128" i="27"/>
  <c r="I34" i="27"/>
  <c r="T24" i="27"/>
  <c r="W24" i="27" s="1"/>
  <c r="J348" i="27"/>
  <c r="M348" i="27" s="1"/>
  <c r="J116" i="27"/>
  <c r="M116" i="27" s="1"/>
  <c r="J381" i="27"/>
  <c r="M381" i="27" s="1"/>
  <c r="J352" i="27"/>
  <c r="M352" i="27" s="1"/>
  <c r="T438" i="27"/>
  <c r="U438" i="27" s="1"/>
  <c r="T373" i="27"/>
  <c r="U373" i="27" s="1"/>
  <c r="J388" i="27"/>
  <c r="M388" i="27" s="1"/>
  <c r="T214" i="27"/>
  <c r="U214" i="27" s="1"/>
  <c r="T411" i="27"/>
  <c r="W411" i="27" s="1"/>
  <c r="H112" i="27"/>
  <c r="T454" i="27"/>
  <c r="U454" i="27" s="1"/>
  <c r="T84" i="27"/>
  <c r="U84" i="27" s="1"/>
  <c r="J222" i="27"/>
  <c r="M222" i="27" s="1"/>
  <c r="J23" i="27"/>
  <c r="M23" i="27" s="1"/>
  <c r="U202" i="16"/>
  <c r="W305" i="16"/>
  <c r="U248" i="16"/>
  <c r="U222" i="16"/>
  <c r="U403" i="16"/>
  <c r="W6" i="16"/>
  <c r="U282" i="16"/>
  <c r="U145" i="16"/>
  <c r="H6" i="27"/>
  <c r="H225" i="27"/>
  <c r="H46" i="27"/>
  <c r="H4" i="27"/>
  <c r="N145" i="27"/>
  <c r="I135" i="27"/>
  <c r="J361" i="27"/>
  <c r="M361" i="27" s="1"/>
  <c r="I7" i="27"/>
  <c r="K440" i="27"/>
  <c r="M440" i="27" s="1"/>
  <c r="J59" i="27"/>
  <c r="M59" i="27" s="1"/>
  <c r="J355" i="27"/>
  <c r="M355" i="27" s="1"/>
  <c r="T424" i="27"/>
  <c r="W424" i="27" s="1"/>
  <c r="T252" i="27"/>
  <c r="W252" i="27" s="1"/>
  <c r="T445" i="27"/>
  <c r="W445" i="27" s="1"/>
  <c r="K61" i="27"/>
  <c r="O61" i="27" s="1"/>
  <c r="W519" i="16"/>
  <c r="W272" i="16"/>
  <c r="U86" i="16"/>
  <c r="J72" i="16"/>
  <c r="M72" i="16" s="1"/>
  <c r="I120" i="27"/>
  <c r="J159" i="27"/>
  <c r="M159" i="27" s="1"/>
  <c r="W233" i="16"/>
  <c r="H158" i="27"/>
  <c r="H291" i="27"/>
  <c r="J69" i="16"/>
  <c r="M69" i="16" s="1"/>
  <c r="I387" i="27"/>
  <c r="I345" i="27"/>
  <c r="T153" i="27"/>
  <c r="U153" i="27" s="1"/>
  <c r="T393" i="27"/>
  <c r="W393" i="27" s="1"/>
  <c r="T155" i="27"/>
  <c r="U155" i="27" s="1"/>
  <c r="T263" i="27"/>
  <c r="U263" i="27" s="1"/>
  <c r="T289" i="27"/>
  <c r="W289" i="27" s="1"/>
  <c r="T442" i="27"/>
  <c r="W442" i="27" s="1"/>
  <c r="T327" i="27"/>
  <c r="U327" i="27" s="1"/>
  <c r="U440" i="16"/>
  <c r="W254" i="16"/>
  <c r="H237" i="27"/>
  <c r="H25" i="27"/>
  <c r="H185" i="27"/>
  <c r="I313" i="27"/>
  <c r="N519" i="27"/>
  <c r="H27" i="27"/>
  <c r="H101" i="27"/>
  <c r="H302" i="27"/>
  <c r="H124" i="27"/>
  <c r="H77" i="27"/>
  <c r="H406" i="27"/>
  <c r="J70" i="16"/>
  <c r="M70" i="16" s="1"/>
  <c r="O274" i="27"/>
  <c r="N167" i="27"/>
  <c r="T175" i="27"/>
  <c r="U175" i="27" s="1"/>
  <c r="J269" i="27"/>
  <c r="M269" i="27" s="1"/>
  <c r="H41" i="27"/>
  <c r="J205" i="27"/>
  <c r="M205" i="27" s="1"/>
  <c r="T400" i="27"/>
  <c r="U400" i="27" s="1"/>
  <c r="T430" i="27"/>
  <c r="W430" i="27" s="1"/>
  <c r="T154" i="27"/>
  <c r="W154" i="27" s="1"/>
  <c r="T366" i="27"/>
  <c r="U366" i="27" s="1"/>
  <c r="T306" i="27"/>
  <c r="U306" i="27" s="1"/>
  <c r="T499" i="27"/>
  <c r="W499" i="27" s="1"/>
  <c r="T410" i="27"/>
  <c r="U410" i="27" s="1"/>
  <c r="T271" i="27"/>
  <c r="W271" i="27" s="1"/>
  <c r="T316" i="27"/>
  <c r="W316" i="27" s="1"/>
  <c r="T388" i="27"/>
  <c r="W388" i="27" s="1"/>
  <c r="T497" i="27"/>
  <c r="U497" i="27" s="1"/>
  <c r="T31" i="27"/>
  <c r="U31" i="27" s="1"/>
  <c r="T206" i="27"/>
  <c r="U206" i="27" s="1"/>
  <c r="T423" i="27"/>
  <c r="W423" i="27" s="1"/>
  <c r="T484" i="27"/>
  <c r="W484" i="27" s="1"/>
  <c r="N260" i="27"/>
  <c r="T498" i="27"/>
  <c r="U498" i="27" s="1"/>
  <c r="T150" i="27"/>
  <c r="U150" i="27" s="1"/>
  <c r="T291" i="27"/>
  <c r="U291" i="27" s="1"/>
  <c r="H215" i="27"/>
  <c r="U351" i="16"/>
  <c r="U46" i="16"/>
  <c r="H277" i="27"/>
  <c r="H281" i="27"/>
  <c r="H167" i="27"/>
  <c r="W428" i="16"/>
  <c r="I224" i="27"/>
  <c r="H396" i="27"/>
  <c r="T193" i="27"/>
  <c r="T354" i="27"/>
  <c r="U354" i="27" s="1"/>
  <c r="T231" i="27"/>
  <c r="W231" i="27" s="1"/>
  <c r="T213" i="27"/>
  <c r="W213" i="27" s="1"/>
  <c r="T188" i="27"/>
  <c r="U188" i="27" s="1"/>
  <c r="T471" i="27"/>
  <c r="U471" i="27" s="1"/>
  <c r="T506" i="27"/>
  <c r="U506" i="27" s="1"/>
  <c r="T157" i="27"/>
  <c r="W157" i="27" s="1"/>
  <c r="T343" i="27"/>
  <c r="W343" i="27" s="1"/>
  <c r="T266" i="27"/>
  <c r="W266" i="27" s="1"/>
  <c r="T392" i="27"/>
  <c r="U392" i="27" s="1"/>
  <c r="O303" i="27"/>
  <c r="T320" i="27"/>
  <c r="U320" i="27" s="1"/>
  <c r="N325" i="27"/>
  <c r="T219" i="27"/>
  <c r="U219" i="27" s="1"/>
  <c r="T425" i="27"/>
  <c r="W425" i="27" s="1"/>
  <c r="T508" i="27"/>
  <c r="W508" i="27" s="1"/>
  <c r="T233" i="27"/>
  <c r="U233" i="27" s="1"/>
  <c r="T298" i="27"/>
  <c r="N189" i="27"/>
  <c r="T239" i="27"/>
  <c r="U239" i="27" s="1"/>
  <c r="H150" i="27"/>
  <c r="I150" i="27"/>
  <c r="H513" i="27"/>
  <c r="I513" i="27"/>
  <c r="K435" i="27"/>
  <c r="N435" i="27" s="1"/>
  <c r="J435" i="27"/>
  <c r="J320" i="27"/>
  <c r="K320" i="27"/>
  <c r="O320" i="27" s="1"/>
  <c r="J373" i="27"/>
  <c r="M373" i="27" s="1"/>
  <c r="K387" i="27"/>
  <c r="N387" i="27" s="1"/>
  <c r="J369" i="27"/>
  <c r="M369" i="27" s="1"/>
  <c r="W455" i="16"/>
  <c r="W399" i="16"/>
  <c r="I171" i="27"/>
  <c r="H126" i="27"/>
  <c r="K250" i="27"/>
  <c r="N250" i="27" s="1"/>
  <c r="U241" i="16"/>
  <c r="I258" i="27"/>
  <c r="J258" i="27"/>
  <c r="M258" i="27" s="1"/>
  <c r="T204" i="27"/>
  <c r="U204" i="27" s="1"/>
  <c r="H161" i="27"/>
  <c r="I161" i="27"/>
  <c r="J422" i="27"/>
  <c r="K422" i="27"/>
  <c r="O422" i="27" s="1"/>
  <c r="H433" i="27"/>
  <c r="I433" i="27"/>
  <c r="H365" i="27"/>
  <c r="I365" i="27"/>
  <c r="I297" i="27"/>
  <c r="H297" i="27"/>
  <c r="K334" i="27"/>
  <c r="O334" i="27" s="1"/>
  <c r="J430" i="27"/>
  <c r="K430" i="27"/>
  <c r="N430" i="27" s="1"/>
  <c r="I287" i="27"/>
  <c r="H287" i="27"/>
  <c r="J426" i="27"/>
  <c r="K426" i="27"/>
  <c r="O426" i="27" s="1"/>
  <c r="K336" i="27"/>
  <c r="N336" i="27" s="1"/>
  <c r="J336" i="27"/>
  <c r="H473" i="27"/>
  <c r="I473" i="27"/>
  <c r="J477" i="27"/>
  <c r="K477" i="27"/>
  <c r="N477" i="27" s="1"/>
  <c r="K308" i="27"/>
  <c r="N308" i="27" s="1"/>
  <c r="J308" i="27"/>
  <c r="K292" i="27"/>
  <c r="N292" i="27" s="1"/>
  <c r="J292" i="27"/>
  <c r="K377" i="27"/>
  <c r="N377" i="27" s="1"/>
  <c r="J377" i="27"/>
  <c r="T351" i="27"/>
  <c r="U351" i="27" s="1"/>
  <c r="K259" i="27"/>
  <c r="N259" i="27" s="1"/>
  <c r="J259" i="27"/>
  <c r="J66" i="16"/>
  <c r="K155" i="27"/>
  <c r="O155" i="27" s="1"/>
  <c r="J155" i="27"/>
  <c r="H339" i="27"/>
  <c r="I339" i="27"/>
  <c r="J191" i="27"/>
  <c r="M191" i="27" s="1"/>
  <c r="K245" i="27"/>
  <c r="M245" i="27" s="1"/>
  <c r="J277" i="27"/>
  <c r="K277" i="27"/>
  <c r="N277" i="27" s="1"/>
  <c r="J185" i="27"/>
  <c r="K185" i="27"/>
  <c r="O185" i="27" s="1"/>
  <c r="J458" i="27"/>
  <c r="K458" i="27"/>
  <c r="O458" i="27" s="1"/>
  <c r="J232" i="27"/>
  <c r="K232" i="27"/>
  <c r="N232" i="27" s="1"/>
  <c r="K469" i="27"/>
  <c r="N469" i="27" s="1"/>
  <c r="J469" i="27"/>
  <c r="J163" i="27"/>
  <c r="K163" i="27"/>
  <c r="O163" i="27" s="1"/>
  <c r="K306" i="27"/>
  <c r="O306" i="27" s="1"/>
  <c r="J306" i="27"/>
  <c r="K378" i="27"/>
  <c r="O378" i="27" s="1"/>
  <c r="J378" i="27"/>
  <c r="K421" i="27"/>
  <c r="O421" i="27" s="1"/>
  <c r="J421" i="27"/>
  <c r="J407" i="27"/>
  <c r="K407" i="27"/>
  <c r="N407" i="27" s="1"/>
  <c r="K428" i="27"/>
  <c r="J428" i="27"/>
  <c r="J24" i="27"/>
  <c r="K24" i="27"/>
  <c r="O24" i="27" s="1"/>
  <c r="K482" i="27"/>
  <c r="J482" i="27"/>
  <c r="K158" i="27"/>
  <c r="N158" i="27" s="1"/>
  <c r="J158" i="27"/>
  <c r="T513" i="27"/>
  <c r="W513" i="27" s="1"/>
  <c r="N63" i="16"/>
  <c r="O63" i="16"/>
  <c r="I119" i="27"/>
  <c r="H119" i="27"/>
  <c r="I115" i="27"/>
  <c r="H115" i="27"/>
  <c r="I61" i="27"/>
  <c r="H61" i="27"/>
  <c r="I69" i="27"/>
  <c r="H69" i="27"/>
  <c r="H54" i="27"/>
  <c r="I54" i="27"/>
  <c r="K117" i="27"/>
  <c r="N117" i="27" s="1"/>
  <c r="J117" i="27"/>
  <c r="K162" i="27"/>
  <c r="O162" i="27" s="1"/>
  <c r="J162" i="27"/>
  <c r="N130" i="27"/>
  <c r="O130" i="27"/>
  <c r="I280" i="27"/>
  <c r="H280" i="27"/>
  <c r="T353" i="27"/>
  <c r="U353" i="27" s="1"/>
  <c r="K374" i="27"/>
  <c r="N374" i="27" s="1"/>
  <c r="J374" i="27"/>
  <c r="K153" i="27"/>
  <c r="N153" i="27" s="1"/>
  <c r="J153" i="27"/>
  <c r="I331" i="27"/>
  <c r="J85" i="27"/>
  <c r="M85" i="27" s="1"/>
  <c r="U334" i="16"/>
  <c r="U398" i="16"/>
  <c r="I199" i="27"/>
  <c r="J459" i="27"/>
  <c r="M459" i="27" s="1"/>
  <c r="K126" i="27"/>
  <c r="M126" i="27" s="1"/>
  <c r="H197" i="27"/>
  <c r="H233" i="27"/>
  <c r="I233" i="27"/>
  <c r="J386" i="27"/>
  <c r="M386" i="27" s="1"/>
  <c r="K236" i="27"/>
  <c r="O236" i="27" s="1"/>
  <c r="U379" i="16"/>
  <c r="W379" i="16"/>
  <c r="J303" i="27"/>
  <c r="M303" i="27" s="1"/>
  <c r="K28" i="27"/>
  <c r="O28" i="27" s="1"/>
  <c r="J28" i="27"/>
  <c r="K288" i="27"/>
  <c r="O288" i="27" s="1"/>
  <c r="J288" i="27"/>
  <c r="K281" i="27"/>
  <c r="N281" i="27" s="1"/>
  <c r="J281" i="27"/>
  <c r="T420" i="27"/>
  <c r="U420" i="27" s="1"/>
  <c r="J463" i="27"/>
  <c r="K463" i="27"/>
  <c r="N463" i="27" s="1"/>
  <c r="T265" i="27"/>
  <c r="U265" i="27" s="1"/>
  <c r="J379" i="27"/>
  <c r="K379" i="27"/>
  <c r="O379" i="27" s="1"/>
  <c r="T448" i="27"/>
  <c r="W448" i="27" s="1"/>
  <c r="T253" i="27"/>
  <c r="U253" i="27" s="1"/>
  <c r="T182" i="27"/>
  <c r="W182" i="27" s="1"/>
  <c r="N106" i="27"/>
  <c r="N331" i="27"/>
  <c r="T379" i="27"/>
  <c r="U379" i="27" s="1"/>
  <c r="T290" i="27"/>
  <c r="U290" i="27" s="1"/>
  <c r="N31" i="27"/>
  <c r="N36" i="27"/>
  <c r="T464" i="27"/>
  <c r="U464" i="27" s="1"/>
  <c r="T185" i="27"/>
  <c r="U185" i="27" s="1"/>
  <c r="T456" i="27"/>
  <c r="W456" i="27" s="1"/>
  <c r="T444" i="27"/>
  <c r="U444" i="27" s="1"/>
  <c r="T369" i="27"/>
  <c r="W369" i="27" s="1"/>
  <c r="T520" i="27"/>
  <c r="U520" i="27" s="1"/>
  <c r="T479" i="27"/>
  <c r="U479" i="27" s="1"/>
  <c r="T240" i="27"/>
  <c r="U240" i="27" s="1"/>
  <c r="T455" i="27"/>
  <c r="W455" i="27" s="1"/>
  <c r="T202" i="27"/>
  <c r="W202" i="27" s="1"/>
  <c r="T258" i="27"/>
  <c r="U258" i="27" s="1"/>
  <c r="N225" i="27"/>
  <c r="T330" i="27"/>
  <c r="U330" i="27" s="1"/>
  <c r="T238" i="27"/>
  <c r="U238" i="27" s="1"/>
  <c r="T324" i="27"/>
  <c r="H220" i="27"/>
  <c r="H207" i="27"/>
  <c r="K206" i="27"/>
  <c r="M206" i="27" s="1"/>
  <c r="T372" i="27"/>
  <c r="U372" i="27" s="1"/>
  <c r="T300" i="27"/>
  <c r="W300" i="27" s="1"/>
  <c r="O325" i="27"/>
  <c r="T183" i="27"/>
  <c r="U183" i="27" s="1"/>
  <c r="T337" i="27"/>
  <c r="T394" i="27"/>
  <c r="W394" i="27" s="1"/>
  <c r="N518" i="27"/>
  <c r="O186" i="27"/>
  <c r="T408" i="27"/>
  <c r="U408" i="27" s="1"/>
  <c r="O348" i="27"/>
  <c r="T178" i="27"/>
  <c r="U178" i="27" s="1"/>
  <c r="W120" i="16"/>
  <c r="H205" i="27"/>
  <c r="H292" i="27"/>
  <c r="I375" i="27"/>
  <c r="I517" i="27"/>
  <c r="T269" i="27"/>
  <c r="U269" i="27" s="1"/>
  <c r="T462" i="27"/>
  <c r="W462" i="27" s="1"/>
  <c r="T412" i="27"/>
  <c r="U412" i="27" s="1"/>
  <c r="T414" i="27"/>
  <c r="W414" i="27" s="1"/>
  <c r="T340" i="27"/>
  <c r="W340" i="27" s="1"/>
  <c r="O246" i="27"/>
  <c r="T218" i="27"/>
  <c r="W218" i="27" s="1"/>
  <c r="O195" i="27"/>
  <c r="T516" i="27"/>
  <c r="W516" i="27" s="1"/>
  <c r="T494" i="27"/>
  <c r="W494" i="27" s="1"/>
  <c r="O273" i="27"/>
  <c r="T409" i="27"/>
  <c r="T158" i="27"/>
  <c r="W158" i="27" s="1"/>
  <c r="T160" i="27"/>
  <c r="U160" i="27" s="1"/>
  <c r="T209" i="27"/>
  <c r="W209" i="27" s="1"/>
  <c r="H28" i="27"/>
  <c r="T230" i="27"/>
  <c r="U230" i="27" s="1"/>
  <c r="J382" i="27"/>
  <c r="K382" i="27"/>
  <c r="O382" i="27" s="1"/>
  <c r="J418" i="27"/>
  <c r="K418" i="27"/>
  <c r="O418" i="27" s="1"/>
  <c r="T319" i="27"/>
  <c r="W319" i="27" s="1"/>
  <c r="I64" i="27"/>
  <c r="H64" i="27"/>
  <c r="K27" i="27"/>
  <c r="O27" i="27" s="1"/>
  <c r="J27" i="27"/>
  <c r="H96" i="27"/>
  <c r="I96" i="27"/>
  <c r="N69" i="27"/>
  <c r="O69" i="27"/>
  <c r="W63" i="16"/>
  <c r="I252" i="27"/>
  <c r="H298" i="27"/>
  <c r="I283" i="27"/>
  <c r="T514" i="27"/>
  <c r="U514" i="27" s="1"/>
  <c r="I329" i="27"/>
  <c r="H329" i="27"/>
  <c r="U177" i="16"/>
  <c r="W177" i="16"/>
  <c r="I312" i="27"/>
  <c r="H312" i="27"/>
  <c r="I175" i="27"/>
  <c r="H175" i="27"/>
  <c r="H316" i="27"/>
  <c r="I316" i="27"/>
  <c r="H168" i="27"/>
  <c r="I168" i="27"/>
  <c r="J260" i="27"/>
  <c r="M260" i="27" s="1"/>
  <c r="T15" i="27"/>
  <c r="U15" i="27" s="1"/>
  <c r="T493" i="27"/>
  <c r="U493" i="27" s="1"/>
  <c r="O260" i="27"/>
  <c r="T417" i="27"/>
  <c r="U417" i="27" s="1"/>
  <c r="N180" i="27"/>
  <c r="O180" i="27"/>
  <c r="J315" i="27"/>
  <c r="K315" i="27"/>
  <c r="N315" i="27" s="1"/>
  <c r="K278" i="27"/>
  <c r="N278" i="27" s="1"/>
  <c r="J278" i="27"/>
  <c r="T161" i="27"/>
  <c r="U161" i="27" s="1"/>
  <c r="T237" i="27"/>
  <c r="T391" i="27"/>
  <c r="W391" i="27" s="1"/>
  <c r="H219" i="27"/>
  <c r="I219" i="27"/>
  <c r="H249" i="27"/>
  <c r="I249" i="27"/>
  <c r="K212" i="27"/>
  <c r="O212" i="27" s="1"/>
  <c r="J212" i="27"/>
  <c r="H60" i="27"/>
  <c r="I60" i="27"/>
  <c r="J43" i="27"/>
  <c r="K43" i="27"/>
  <c r="N43" i="27" s="1"/>
  <c r="H11" i="27"/>
  <c r="I11" i="27"/>
  <c r="O75" i="16"/>
  <c r="J75" i="16"/>
  <c r="O290" i="27"/>
  <c r="H515" i="27"/>
  <c r="I515" i="27"/>
  <c r="T318" i="27"/>
  <c r="W318" i="27" s="1"/>
  <c r="J41" i="27"/>
  <c r="K41" i="27"/>
  <c r="O41" i="27" s="1"/>
  <c r="J427" i="27"/>
  <c r="M427" i="27" s="1"/>
  <c r="J297" i="27"/>
  <c r="M297" i="27" s="1"/>
  <c r="H214" i="27"/>
  <c r="H10" i="27"/>
  <c r="U388" i="16"/>
  <c r="W388" i="16"/>
  <c r="U43" i="16"/>
  <c r="W43" i="16"/>
  <c r="U215" i="16"/>
  <c r="W215" i="16"/>
  <c r="H279" i="27"/>
  <c r="I279" i="27"/>
  <c r="I154" i="27"/>
  <c r="H154" i="27"/>
  <c r="I294" i="27"/>
  <c r="H294" i="27"/>
  <c r="K286" i="27"/>
  <c r="N286" i="27" s="1"/>
  <c r="U431" i="16"/>
  <c r="W431" i="16"/>
  <c r="O258" i="27"/>
  <c r="K464" i="27"/>
  <c r="O464" i="27" s="1"/>
  <c r="J464" i="27"/>
  <c r="K516" i="27"/>
  <c r="O516" i="27" s="1"/>
  <c r="J516" i="27"/>
  <c r="N381" i="27"/>
  <c r="O381" i="27"/>
  <c r="T515" i="27"/>
  <c r="U515" i="27" s="1"/>
  <c r="I288" i="27"/>
  <c r="H288" i="27"/>
  <c r="T277" i="27"/>
  <c r="W111" i="16"/>
  <c r="U111" i="16"/>
  <c r="T472" i="27"/>
  <c r="W472" i="27" s="1"/>
  <c r="K483" i="27"/>
  <c r="N483" i="27" s="1"/>
  <c r="J483" i="27"/>
  <c r="T395" i="27"/>
  <c r="U395" i="27" s="1"/>
  <c r="O57" i="27"/>
  <c r="T180" i="27"/>
  <c r="U180" i="27" s="1"/>
  <c r="T184" i="27"/>
  <c r="T174" i="27"/>
  <c r="U174" i="27" s="1"/>
  <c r="M108" i="27"/>
  <c r="T399" i="27"/>
  <c r="W399" i="27" s="1"/>
  <c r="T211" i="27"/>
  <c r="U211" i="27" s="1"/>
  <c r="T312" i="27"/>
  <c r="U312" i="27" s="1"/>
  <c r="T368" i="27"/>
  <c r="T361" i="27"/>
  <c r="W361" i="27" s="1"/>
  <c r="T503" i="27"/>
  <c r="U503" i="27" s="1"/>
  <c r="T461" i="27"/>
  <c r="W461" i="27" s="1"/>
  <c r="W269" i="16"/>
  <c r="H201" i="27"/>
  <c r="U256" i="16"/>
  <c r="T172" i="27"/>
  <c r="T478" i="27"/>
  <c r="T375" i="27"/>
  <c r="U375" i="27" s="1"/>
  <c r="N303" i="27"/>
  <c r="T247" i="27"/>
  <c r="W247" i="27" s="1"/>
  <c r="O502" i="27"/>
  <c r="T210" i="27"/>
  <c r="U210" i="27" s="1"/>
  <c r="J63" i="16"/>
  <c r="M63" i="16" s="1"/>
  <c r="O23" i="27"/>
  <c r="T235" i="27"/>
  <c r="U235" i="27" s="1"/>
  <c r="T16" i="27"/>
  <c r="U16" i="27" s="1"/>
  <c r="N114" i="27"/>
  <c r="H239" i="27"/>
  <c r="H311" i="27"/>
  <c r="U380" i="16"/>
  <c r="I265" i="27"/>
  <c r="O68" i="27"/>
  <c r="J510" i="27"/>
  <c r="M510" i="27" s="1"/>
  <c r="I425" i="27"/>
  <c r="H452" i="27"/>
  <c r="H509" i="27"/>
  <c r="O67" i="27"/>
  <c r="T243" i="27"/>
  <c r="T476" i="27"/>
  <c r="W476" i="27" s="1"/>
  <c r="J313" i="27"/>
  <c r="M313" i="27" s="1"/>
  <c r="J436" i="27"/>
  <c r="M436" i="27" s="1"/>
  <c r="J295" i="27"/>
  <c r="M295" i="27" s="1"/>
  <c r="J353" i="27"/>
  <c r="M353" i="27" s="1"/>
  <c r="T262" i="27"/>
  <c r="U262" i="27" s="1"/>
  <c r="N460" i="27"/>
  <c r="O439" i="27"/>
  <c r="T301" i="27"/>
  <c r="W301" i="27" s="1"/>
  <c r="H293" i="27"/>
  <c r="K453" i="27"/>
  <c r="O453" i="27" s="1"/>
  <c r="J250" i="16"/>
  <c r="O59" i="27"/>
  <c r="I227" i="27"/>
  <c r="U50" i="16"/>
  <c r="U127" i="16"/>
  <c r="I212" i="27"/>
  <c r="U445" i="16"/>
  <c r="U240" i="16"/>
  <c r="I194" i="27"/>
  <c r="I401" i="27"/>
  <c r="O123" i="27"/>
  <c r="W62" i="27"/>
  <c r="H320" i="27"/>
  <c r="I366" i="27"/>
  <c r="J31" i="27"/>
  <c r="M31" i="27" s="1"/>
  <c r="T224" i="27"/>
  <c r="T338" i="27"/>
  <c r="T274" i="27"/>
  <c r="W274" i="27" s="1"/>
  <c r="T30" i="27"/>
  <c r="W30" i="27" s="1"/>
  <c r="T156" i="27"/>
  <c r="U156" i="27" s="1"/>
  <c r="T517" i="27"/>
  <c r="W517" i="27" s="1"/>
  <c r="T181" i="27"/>
  <c r="W181" i="27" s="1"/>
  <c r="T307" i="27"/>
  <c r="W307" i="27" s="1"/>
  <c r="T403" i="27"/>
  <c r="U403" i="27" s="1"/>
  <c r="T197" i="27"/>
  <c r="U197" i="27" s="1"/>
  <c r="T199" i="27"/>
  <c r="U199" i="27" s="1"/>
  <c r="N385" i="27"/>
  <c r="T186" i="27"/>
  <c r="U186" i="27" s="1"/>
  <c r="T322" i="27"/>
  <c r="U322" i="27" s="1"/>
  <c r="T331" i="27"/>
  <c r="W331" i="27" s="1"/>
  <c r="T242" i="27"/>
  <c r="U242" i="27" s="1"/>
  <c r="O189" i="27"/>
  <c r="T179" i="27"/>
  <c r="W179" i="27" s="1"/>
  <c r="T283" i="27"/>
  <c r="T336" i="27"/>
  <c r="W336" i="27" s="1"/>
  <c r="T5" i="27"/>
  <c r="W5" i="27" s="1"/>
  <c r="T65" i="27"/>
  <c r="O64" i="27"/>
  <c r="H247" i="27"/>
  <c r="U11" i="16"/>
  <c r="W11" i="16"/>
  <c r="N246" i="27"/>
  <c r="W106" i="16"/>
  <c r="U106" i="16"/>
  <c r="W323" i="16"/>
  <c r="U323" i="16"/>
  <c r="H403" i="27"/>
  <c r="I403" i="27"/>
  <c r="H284" i="27"/>
  <c r="I284" i="27"/>
  <c r="H250" i="27"/>
  <c r="I250" i="27"/>
  <c r="H516" i="27"/>
  <c r="H310" i="27"/>
  <c r="H493" i="27"/>
  <c r="I493" i="27"/>
  <c r="T299" i="27"/>
  <c r="W299" i="27" s="1"/>
  <c r="K520" i="27"/>
  <c r="J520" i="27"/>
  <c r="I223" i="27"/>
  <c r="I269" i="27"/>
  <c r="J273" i="27"/>
  <c r="M273" i="27" s="1"/>
  <c r="I273" i="27"/>
  <c r="H273" i="27"/>
  <c r="J396" i="27"/>
  <c r="K396" i="27"/>
  <c r="N396" i="27" s="1"/>
  <c r="K156" i="27"/>
  <c r="N156" i="27" s="1"/>
  <c r="J156" i="27"/>
  <c r="K368" i="27"/>
  <c r="O368" i="27" s="1"/>
  <c r="J368" i="27"/>
  <c r="K405" i="27"/>
  <c r="N405" i="27" s="1"/>
  <c r="J405" i="27"/>
  <c r="O295" i="27"/>
  <c r="N295" i="27"/>
  <c r="T500" i="27"/>
  <c r="U500" i="27" s="1"/>
  <c r="T419" i="27"/>
  <c r="U419" i="27" s="1"/>
  <c r="T422" i="27"/>
  <c r="W422" i="27" s="1"/>
  <c r="T485" i="27"/>
  <c r="T246" i="27"/>
  <c r="U246" i="27" s="1"/>
  <c r="J314" i="27"/>
  <c r="K314" i="27"/>
  <c r="O314" i="27" s="1"/>
  <c r="T249" i="27"/>
  <c r="T378" i="27"/>
  <c r="U378" i="27" s="1"/>
  <c r="J184" i="27"/>
  <c r="K184" i="27"/>
  <c r="O184" i="27" s="1"/>
  <c r="H183" i="27"/>
  <c r="I183" i="27"/>
  <c r="H240" i="27"/>
  <c r="I240" i="27"/>
  <c r="J493" i="27"/>
  <c r="K493" i="27"/>
  <c r="N493" i="27" s="1"/>
  <c r="O436" i="27"/>
  <c r="N436" i="27"/>
  <c r="K161" i="27"/>
  <c r="N161" i="27" s="1"/>
  <c r="J161" i="27"/>
  <c r="K465" i="27"/>
  <c r="O465" i="27" s="1"/>
  <c r="J465" i="27"/>
  <c r="K461" i="27"/>
  <c r="N461" i="27" s="1"/>
  <c r="J461" i="27"/>
  <c r="H419" i="27"/>
  <c r="I419" i="27"/>
  <c r="J341" i="27"/>
  <c r="K341" i="27"/>
  <c r="O341" i="27" s="1"/>
  <c r="K174" i="27"/>
  <c r="O174" i="27" s="1"/>
  <c r="J174" i="27"/>
  <c r="J279" i="27"/>
  <c r="K279" i="27"/>
  <c r="O279" i="27" s="1"/>
  <c r="J357" i="27"/>
  <c r="K357" i="27"/>
  <c r="K244" i="27"/>
  <c r="O244" i="27" s="1"/>
  <c r="J244" i="27"/>
  <c r="K359" i="27"/>
  <c r="N359" i="27" s="1"/>
  <c r="J359" i="27"/>
  <c r="T383" i="27"/>
  <c r="I495" i="27"/>
  <c r="H495" i="27"/>
  <c r="K326" i="27"/>
  <c r="O326" i="27" s="1"/>
  <c r="J326" i="27"/>
  <c r="J441" i="27"/>
  <c r="K441" i="27"/>
  <c r="I445" i="27"/>
  <c r="H445" i="27"/>
  <c r="J455" i="27"/>
  <c r="K455" i="27"/>
  <c r="O455" i="27" s="1"/>
  <c r="J172" i="27"/>
  <c r="K172" i="27"/>
  <c r="O172" i="27" s="1"/>
  <c r="T339" i="27"/>
  <c r="W339" i="27" s="1"/>
  <c r="J181" i="27"/>
  <c r="K181" i="27"/>
  <c r="O181" i="27" s="1"/>
  <c r="J198" i="27"/>
  <c r="K198" i="27"/>
  <c r="N198" i="27" s="1"/>
  <c r="J328" i="27"/>
  <c r="K328" i="27"/>
  <c r="N328" i="27" s="1"/>
  <c r="K451" i="27"/>
  <c r="O451" i="27" s="1"/>
  <c r="J451" i="27"/>
  <c r="J190" i="27"/>
  <c r="K190" i="27"/>
  <c r="N190" i="27" s="1"/>
  <c r="J254" i="27"/>
  <c r="M254" i="27" s="1"/>
  <c r="T276" i="27"/>
  <c r="W276" i="27" s="1"/>
  <c r="T492" i="27"/>
  <c r="U492" i="27" s="1"/>
  <c r="K7" i="27"/>
  <c r="M7" i="27" s="1"/>
  <c r="K478" i="27"/>
  <c r="N478" i="27" s="1"/>
  <c r="J478" i="27"/>
  <c r="J372" i="27"/>
  <c r="K372" i="27"/>
  <c r="O372" i="27" s="1"/>
  <c r="J406" i="27"/>
  <c r="K406" i="27"/>
  <c r="J218" i="27"/>
  <c r="K218" i="27"/>
  <c r="O218" i="27" s="1"/>
  <c r="K144" i="27"/>
  <c r="N144" i="27" s="1"/>
  <c r="J144" i="27"/>
  <c r="T428" i="27"/>
  <c r="I511" i="27"/>
  <c r="H511" i="27"/>
  <c r="I176" i="27"/>
  <c r="H176" i="27"/>
  <c r="N383" i="27"/>
  <c r="T278" i="27"/>
  <c r="W278" i="27" s="1"/>
  <c r="I43" i="27"/>
  <c r="H43" i="27"/>
  <c r="H130" i="27"/>
  <c r="I130" i="27"/>
  <c r="H50" i="27"/>
  <c r="I50" i="27"/>
  <c r="K241" i="27"/>
  <c r="J241" i="27"/>
  <c r="T60" i="27"/>
  <c r="J134" i="16"/>
  <c r="H21" i="27"/>
  <c r="I21" i="27"/>
  <c r="J75" i="27"/>
  <c r="K75" i="27"/>
  <c r="N75" i="27" s="1"/>
  <c r="K139" i="27"/>
  <c r="J139" i="27"/>
  <c r="K142" i="27"/>
  <c r="O142" i="27" s="1"/>
  <c r="J142" i="27"/>
  <c r="H236" i="27"/>
  <c r="J290" i="27"/>
  <c r="M290" i="27" s="1"/>
  <c r="H487" i="27"/>
  <c r="I518" i="27"/>
  <c r="H518" i="27"/>
  <c r="H439" i="27"/>
  <c r="I439" i="27"/>
  <c r="J340" i="27"/>
  <c r="M340" i="27" s="1"/>
  <c r="T463" i="27"/>
  <c r="T359" i="27"/>
  <c r="W359" i="27" s="1"/>
  <c r="T377" i="27"/>
  <c r="U377" i="27" s="1"/>
  <c r="T489" i="27"/>
  <c r="I47" i="27"/>
  <c r="H432" i="27"/>
  <c r="I462" i="27"/>
  <c r="T519" i="27"/>
  <c r="W519" i="27" s="1"/>
  <c r="T162" i="27"/>
  <c r="U162" i="27" s="1"/>
  <c r="T236" i="27"/>
  <c r="T248" i="27"/>
  <c r="U248" i="27" s="1"/>
  <c r="T295" i="27"/>
  <c r="W295" i="27" s="1"/>
  <c r="T212" i="27"/>
  <c r="T390" i="27"/>
  <c r="T293" i="27"/>
  <c r="T279" i="27"/>
  <c r="T427" i="27"/>
  <c r="U427" i="27" s="1"/>
  <c r="T20" i="27"/>
  <c r="W20" i="27" s="1"/>
  <c r="T167" i="27"/>
  <c r="U167" i="27" s="1"/>
  <c r="T416" i="27"/>
  <c r="W416" i="27" s="1"/>
  <c r="J243" i="27"/>
  <c r="M243" i="27" s="1"/>
  <c r="T163" i="27"/>
  <c r="U163" i="27" s="1"/>
  <c r="T234" i="27"/>
  <c r="W234" i="27" s="1"/>
  <c r="T42" i="27"/>
  <c r="U42" i="27" s="1"/>
  <c r="T41" i="27"/>
  <c r="U41" i="27" s="1"/>
  <c r="T362" i="27"/>
  <c r="W362" i="27" s="1"/>
  <c r="T505" i="27"/>
  <c r="U505" i="27" s="1"/>
  <c r="T415" i="27"/>
  <c r="U415" i="27" s="1"/>
  <c r="T402" i="27"/>
  <c r="U402" i="27" s="1"/>
  <c r="T473" i="27"/>
  <c r="W473" i="27" s="1"/>
  <c r="T349" i="27"/>
  <c r="U349" i="27" s="1"/>
  <c r="T405" i="27"/>
  <c r="U405" i="27" s="1"/>
  <c r="T227" i="27"/>
  <c r="U227" i="27" s="1"/>
  <c r="T370" i="27"/>
  <c r="U370" i="27" s="1"/>
  <c r="T481" i="27"/>
  <c r="W481" i="27" s="1"/>
  <c r="T480" i="27"/>
  <c r="W480" i="27" s="1"/>
  <c r="T507" i="27"/>
  <c r="W507" i="27" s="1"/>
  <c r="T407" i="27"/>
  <c r="U407" i="27" s="1"/>
  <c r="T344" i="27"/>
  <c r="W344" i="27" s="1"/>
  <c r="T208" i="27"/>
  <c r="U208" i="27" s="1"/>
  <c r="T129" i="27"/>
  <c r="U129" i="27" s="1"/>
  <c r="H371" i="27"/>
  <c r="I371" i="27"/>
  <c r="W267" i="16"/>
  <c r="U267" i="16"/>
  <c r="W147" i="16"/>
  <c r="U147" i="16"/>
  <c r="K248" i="27"/>
  <c r="N248" i="27" s="1"/>
  <c r="J248" i="27"/>
  <c r="I465" i="27"/>
  <c r="H465" i="27"/>
  <c r="H380" i="27"/>
  <c r="I380" i="27"/>
  <c r="J475" i="27"/>
  <c r="K475" i="27"/>
  <c r="O475" i="27" s="1"/>
  <c r="J294" i="27"/>
  <c r="K294" i="27"/>
  <c r="N294" i="27" s="1"/>
  <c r="T222" i="27"/>
  <c r="T512" i="27"/>
  <c r="U512" i="27" s="1"/>
  <c r="T360" i="27"/>
  <c r="U360" i="27" s="1"/>
  <c r="T432" i="27"/>
  <c r="W432" i="27" s="1"/>
  <c r="T23" i="27"/>
  <c r="U23" i="27" s="1"/>
  <c r="H123" i="27"/>
  <c r="I352" i="27"/>
  <c r="H352" i="27"/>
  <c r="I94" i="27"/>
  <c r="H94" i="27"/>
  <c r="I136" i="27"/>
  <c r="H136" i="27"/>
  <c r="H58" i="27"/>
  <c r="I58" i="27"/>
  <c r="I42" i="27"/>
  <c r="H42" i="27"/>
  <c r="I36" i="27"/>
  <c r="H36" i="27"/>
  <c r="U124" i="16"/>
  <c r="W124" i="16"/>
  <c r="I458" i="27"/>
  <c r="H458" i="27"/>
  <c r="U411" i="16"/>
  <c r="W36" i="16"/>
  <c r="U238" i="16"/>
  <c r="N66" i="27"/>
  <c r="I301" i="27"/>
  <c r="H503" i="27"/>
  <c r="I503" i="27"/>
  <c r="J413" i="27"/>
  <c r="K413" i="27"/>
  <c r="N413" i="27" s="1"/>
  <c r="H140" i="27"/>
  <c r="J253" i="27"/>
  <c r="K253" i="27"/>
  <c r="T166" i="27"/>
  <c r="W166" i="27" s="1"/>
  <c r="T149" i="27"/>
  <c r="U149" i="27" s="1"/>
  <c r="T189" i="27"/>
  <c r="W189" i="27" s="1"/>
  <c r="T465" i="27"/>
  <c r="I319" i="27"/>
  <c r="H319" i="27"/>
  <c r="K221" i="27"/>
  <c r="J221" i="27"/>
  <c r="J487" i="27"/>
  <c r="K487" i="27"/>
  <c r="N487" i="27" s="1"/>
  <c r="K272" i="27"/>
  <c r="O272" i="27" s="1"/>
  <c r="J272" i="27"/>
  <c r="K307" i="27"/>
  <c r="N307" i="27" s="1"/>
  <c r="J307" i="27"/>
  <c r="K216" i="27"/>
  <c r="O216" i="27" s="1"/>
  <c r="J216" i="27"/>
  <c r="J209" i="27"/>
  <c r="K209" i="27"/>
  <c r="O209" i="27" s="1"/>
  <c r="O355" i="27"/>
  <c r="N355" i="27"/>
  <c r="K509" i="27"/>
  <c r="O509" i="27" s="1"/>
  <c r="J509" i="27"/>
  <c r="O488" i="27"/>
  <c r="N488" i="27"/>
  <c r="J20" i="27"/>
  <c r="K20" i="27"/>
  <c r="N20" i="27" s="1"/>
  <c r="K173" i="27"/>
  <c r="O173" i="27" s="1"/>
  <c r="J173" i="27"/>
  <c r="K423" i="27"/>
  <c r="J423" i="27"/>
  <c r="K479" i="27"/>
  <c r="O479" i="27" s="1"/>
  <c r="J479" i="27"/>
  <c r="J246" i="27"/>
  <c r="M246" i="27" s="1"/>
  <c r="T311" i="27"/>
  <c r="W311" i="27" s="1"/>
  <c r="T200" i="27"/>
  <c r="U200" i="27" s="1"/>
  <c r="T297" i="27"/>
  <c r="U297" i="27" s="1"/>
  <c r="T381" i="27"/>
  <c r="U381" i="27" s="1"/>
  <c r="T205" i="27"/>
  <c r="U205" i="27" s="1"/>
  <c r="T460" i="27"/>
  <c r="W460" i="27" s="1"/>
  <c r="T173" i="27"/>
  <c r="W173" i="27" s="1"/>
  <c r="T323" i="27"/>
  <c r="U323" i="27" s="1"/>
  <c r="T441" i="27"/>
  <c r="U441" i="27" s="1"/>
  <c r="T152" i="27"/>
  <c r="U152" i="27" s="1"/>
  <c r="T363" i="27"/>
  <c r="W363" i="27" s="1"/>
  <c r="T487" i="27"/>
  <c r="W487" i="27" s="1"/>
  <c r="T482" i="27"/>
  <c r="U482" i="27" s="1"/>
  <c r="T304" i="27"/>
  <c r="U304" i="27" s="1"/>
  <c r="T398" i="27"/>
  <c r="U398" i="27" s="1"/>
  <c r="T426" i="27"/>
  <c r="W426" i="27" s="1"/>
  <c r="T457" i="27"/>
  <c r="J502" i="27"/>
  <c r="M502" i="27" s="1"/>
  <c r="T341" i="27"/>
  <c r="W341" i="27" s="1"/>
  <c r="T459" i="27"/>
  <c r="T342" i="27"/>
  <c r="U342" i="27" s="1"/>
  <c r="T453" i="27"/>
  <c r="T387" i="27"/>
  <c r="W387" i="27" s="1"/>
  <c r="O501" i="27"/>
  <c r="T389" i="27"/>
  <c r="T328" i="27"/>
  <c r="W328" i="27" s="1"/>
  <c r="T187" i="27"/>
  <c r="U187" i="27" s="1"/>
  <c r="T374" i="27"/>
  <c r="W374" i="27" s="1"/>
  <c r="J503" i="16"/>
  <c r="H196" i="27"/>
  <c r="H253" i="27"/>
  <c r="I206" i="27"/>
  <c r="N23" i="27"/>
  <c r="T220" i="27"/>
  <c r="T518" i="27"/>
  <c r="U518" i="27" s="1"/>
  <c r="T217" i="27"/>
  <c r="U217" i="27" s="1"/>
  <c r="W338" i="16"/>
  <c r="U338" i="16"/>
  <c r="U51" i="16"/>
  <c r="W51" i="16"/>
  <c r="I370" i="27"/>
  <c r="H370" i="27"/>
  <c r="I486" i="27"/>
  <c r="H486" i="27"/>
  <c r="U29" i="16"/>
  <c r="W29" i="16"/>
  <c r="U357" i="16"/>
  <c r="W357" i="16"/>
  <c r="U475" i="16"/>
  <c r="W475" i="16"/>
  <c r="I327" i="27"/>
  <c r="H327" i="27"/>
  <c r="I165" i="27"/>
  <c r="H165" i="27"/>
  <c r="H489" i="27"/>
  <c r="I489" i="27"/>
  <c r="I335" i="27"/>
  <c r="H335" i="27"/>
  <c r="I160" i="27"/>
  <c r="H160" i="27"/>
  <c r="W394" i="16"/>
  <c r="U394" i="16"/>
  <c r="W383" i="16"/>
  <c r="U383" i="16"/>
  <c r="I364" i="27"/>
  <c r="H364" i="27"/>
  <c r="I257" i="27"/>
  <c r="H257" i="27"/>
  <c r="I506" i="27"/>
  <c r="H506" i="27"/>
  <c r="H351" i="27"/>
  <c r="I351" i="27"/>
  <c r="N54" i="27"/>
  <c r="O54" i="27"/>
  <c r="H30" i="27"/>
  <c r="I30" i="27"/>
  <c r="I211" i="27"/>
  <c r="H211" i="27"/>
  <c r="I169" i="27"/>
  <c r="H169" i="27"/>
  <c r="I193" i="27"/>
  <c r="H193" i="27"/>
  <c r="H449" i="27"/>
  <c r="I449" i="27"/>
  <c r="O134" i="27"/>
  <c r="N134" i="27"/>
  <c r="J507" i="27"/>
  <c r="M507" i="27" s="1"/>
  <c r="I409" i="27"/>
  <c r="H409" i="27"/>
  <c r="T510" i="27"/>
  <c r="J488" i="27"/>
  <c r="M488" i="27" s="1"/>
  <c r="H414" i="27"/>
  <c r="K337" i="27"/>
  <c r="M337" i="27" s="1"/>
  <c r="K484" i="27"/>
  <c r="O484" i="27" s="1"/>
  <c r="J519" i="27"/>
  <c r="M519" i="27" s="1"/>
  <c r="I428" i="27"/>
  <c r="H428" i="27"/>
  <c r="K192" i="27"/>
  <c r="M192" i="27" s="1"/>
  <c r="J257" i="27"/>
  <c r="M257" i="27" s="1"/>
  <c r="T244" i="27"/>
  <c r="U244" i="27" s="1"/>
  <c r="J129" i="16"/>
  <c r="U205" i="16"/>
  <c r="J225" i="27"/>
  <c r="M225" i="27" s="1"/>
  <c r="K293" i="27"/>
  <c r="M293" i="27" s="1"/>
  <c r="I476" i="27"/>
  <c r="H476" i="27"/>
  <c r="K403" i="27"/>
  <c r="O403" i="27" s="1"/>
  <c r="K474" i="27"/>
  <c r="N474" i="27" s="1"/>
  <c r="J474" i="27"/>
  <c r="T321" i="27"/>
  <c r="T294" i="27"/>
  <c r="W294" i="27" s="1"/>
  <c r="K347" i="27"/>
  <c r="J347" i="27"/>
  <c r="H32" i="27"/>
  <c r="T259" i="27"/>
  <c r="U259" i="27" s="1"/>
  <c r="T364" i="27"/>
  <c r="U364" i="27" s="1"/>
  <c r="T491" i="27"/>
  <c r="W491" i="27" s="1"/>
  <c r="T384" i="27"/>
  <c r="U384" i="27" s="1"/>
  <c r="T348" i="27"/>
  <c r="W348" i="27" s="1"/>
  <c r="T475" i="27"/>
  <c r="U475" i="27" s="1"/>
  <c r="T452" i="27"/>
  <c r="U452" i="27" s="1"/>
  <c r="K370" i="27"/>
  <c r="N370" i="27" s="1"/>
  <c r="J370" i="27"/>
  <c r="J485" i="27"/>
  <c r="K485" i="27"/>
  <c r="K391" i="27"/>
  <c r="J391" i="27"/>
  <c r="J15" i="27"/>
  <c r="K15" i="27"/>
  <c r="K323" i="27"/>
  <c r="O323" i="27" s="1"/>
  <c r="J323" i="27"/>
  <c r="K235" i="27"/>
  <c r="J235" i="27"/>
  <c r="J201" i="27"/>
  <c r="K201" i="27"/>
  <c r="N201" i="27" s="1"/>
  <c r="J196" i="27"/>
  <c r="K196" i="27"/>
  <c r="O196" i="27" s="1"/>
  <c r="J505" i="27"/>
  <c r="K505" i="27"/>
  <c r="O505" i="27" s="1"/>
  <c r="O70" i="16"/>
  <c r="N70" i="16"/>
  <c r="T371" i="27"/>
  <c r="K321" i="27"/>
  <c r="J321" i="27"/>
  <c r="K457" i="27"/>
  <c r="N457" i="27" s="1"/>
  <c r="J457" i="27"/>
  <c r="K322" i="27"/>
  <c r="J322" i="27"/>
  <c r="T226" i="27"/>
  <c r="W226" i="27" s="1"/>
  <c r="T357" i="27"/>
  <c r="W357" i="27" s="1"/>
  <c r="J515" i="27"/>
  <c r="K515" i="27"/>
  <c r="N515" i="27" s="1"/>
  <c r="K462" i="27"/>
  <c r="N462" i="27" s="1"/>
  <c r="J462" i="27"/>
  <c r="I76" i="27"/>
  <c r="H76" i="27"/>
  <c r="T148" i="27"/>
  <c r="U148" i="27" s="1"/>
  <c r="J10" i="27"/>
  <c r="K10" i="27"/>
  <c r="N10" i="27" s="1"/>
  <c r="T195" i="27"/>
  <c r="U195" i="27" s="1"/>
  <c r="T440" i="27"/>
  <c r="W440" i="27" s="1"/>
  <c r="O385" i="27"/>
  <c r="T367" i="27"/>
  <c r="U367" i="27" s="1"/>
  <c r="K445" i="27"/>
  <c r="M445" i="27" s="1"/>
  <c r="J383" i="27"/>
  <c r="M383" i="27" s="1"/>
  <c r="J195" i="27"/>
  <c r="M195" i="27" s="1"/>
  <c r="O225" i="27"/>
  <c r="T315" i="27"/>
  <c r="U315" i="27" s="1"/>
  <c r="T190" i="27"/>
  <c r="T305" i="27"/>
  <c r="T511" i="27"/>
  <c r="U511" i="27" s="1"/>
  <c r="T191" i="27"/>
  <c r="T352" i="27"/>
  <c r="N273" i="27"/>
  <c r="O31" i="27"/>
  <c r="T177" i="27"/>
  <c r="U177" i="27" s="1"/>
  <c r="K255" i="27"/>
  <c r="J255" i="27"/>
  <c r="O317" i="27"/>
  <c r="N317" i="27"/>
  <c r="J267" i="27"/>
  <c r="K267" i="27"/>
  <c r="O267" i="27" s="1"/>
  <c r="K299" i="27"/>
  <c r="J299" i="27"/>
  <c r="K508" i="27"/>
  <c r="O508" i="27" s="1"/>
  <c r="J508" i="27"/>
  <c r="O280" i="16"/>
  <c r="J280" i="16"/>
  <c r="I53" i="27"/>
  <c r="H53" i="27"/>
  <c r="I62" i="27"/>
  <c r="H62" i="27"/>
  <c r="K112" i="27"/>
  <c r="J112" i="27"/>
  <c r="K402" i="27"/>
  <c r="N402" i="27" s="1"/>
  <c r="J402" i="27"/>
  <c r="I496" i="27"/>
  <c r="H496" i="27"/>
  <c r="J317" i="27"/>
  <c r="M317" i="27" s="1"/>
  <c r="O447" i="27"/>
  <c r="I348" i="27"/>
  <c r="H348" i="27"/>
  <c r="J160" i="27"/>
  <c r="K160" i="27"/>
  <c r="O388" i="27"/>
  <c r="N388" i="27"/>
  <c r="K429" i="27"/>
  <c r="N429" i="27" s="1"/>
  <c r="J429" i="27"/>
  <c r="T225" i="27"/>
  <c r="U225" i="27" s="1"/>
  <c r="K220" i="27"/>
  <c r="J220" i="27"/>
  <c r="I356" i="27"/>
  <c r="H356" i="27"/>
  <c r="K287" i="27"/>
  <c r="J287" i="27"/>
  <c r="K217" i="27"/>
  <c r="O217" i="27" s="1"/>
  <c r="J217" i="27"/>
  <c r="K376" i="27"/>
  <c r="N376" i="27" s="1"/>
  <c r="J376" i="27"/>
  <c r="J214" i="27"/>
  <c r="K214" i="27"/>
  <c r="N214" i="27" s="1"/>
  <c r="J463" i="16"/>
  <c r="K319" i="27"/>
  <c r="M319" i="27" s="1"/>
  <c r="J210" i="27"/>
  <c r="K210" i="27"/>
  <c r="N210" i="27" s="1"/>
  <c r="K324" i="27"/>
  <c r="J324" i="27"/>
  <c r="J449" i="27"/>
  <c r="K449" i="27"/>
  <c r="N449" i="27" s="1"/>
  <c r="K492" i="27"/>
  <c r="J492" i="27"/>
  <c r="J60" i="27"/>
  <c r="K60" i="27"/>
  <c r="N60" i="27" s="1"/>
  <c r="J28" i="16"/>
  <c r="O171" i="16"/>
  <c r="J171" i="16"/>
  <c r="O383" i="16"/>
  <c r="J383" i="16"/>
  <c r="O138" i="16"/>
  <c r="J138" i="16"/>
  <c r="H131" i="27"/>
  <c r="I131" i="27"/>
  <c r="I148" i="27"/>
  <c r="H148" i="27"/>
  <c r="K80" i="27"/>
  <c r="J80" i="27"/>
  <c r="I84" i="27"/>
  <c r="H84" i="27"/>
  <c r="H440" i="27"/>
  <c r="N369" i="27"/>
  <c r="O444" i="27"/>
  <c r="T292" i="27"/>
  <c r="W292" i="27" s="1"/>
  <c r="J395" i="27"/>
  <c r="K395" i="27"/>
  <c r="O395" i="27" s="1"/>
  <c r="T165" i="27"/>
  <c r="U165" i="27" s="1"/>
  <c r="T159" i="27"/>
  <c r="W159" i="27" s="1"/>
  <c r="T406" i="27"/>
  <c r="U406" i="27" s="1"/>
  <c r="T314" i="27"/>
  <c r="U314" i="27" s="1"/>
  <c r="K389" i="27"/>
  <c r="N258" i="27"/>
  <c r="J283" i="27"/>
  <c r="K283" i="27"/>
  <c r="N283" i="27" s="1"/>
  <c r="K231" i="27"/>
  <c r="N231" i="27" s="1"/>
  <c r="J231" i="27"/>
  <c r="J168" i="27"/>
  <c r="K168" i="27"/>
  <c r="K84" i="27"/>
  <c r="O84" i="27" s="1"/>
  <c r="J84" i="27"/>
  <c r="K472" i="27"/>
  <c r="O472" i="27" s="1"/>
  <c r="J472" i="27"/>
  <c r="T280" i="27"/>
  <c r="N186" i="27"/>
  <c r="T281" i="27"/>
  <c r="U281" i="27" s="1"/>
  <c r="N195" i="27"/>
  <c r="O243" i="27"/>
  <c r="T309" i="27"/>
  <c r="W309" i="27" s="1"/>
  <c r="T433" i="27"/>
  <c r="W433" i="27" s="1"/>
  <c r="T431" i="27"/>
  <c r="U431" i="27" s="1"/>
  <c r="T437" i="27"/>
  <c r="U437" i="27" s="1"/>
  <c r="T313" i="27"/>
  <c r="W313" i="27" s="1"/>
  <c r="T326" i="27"/>
  <c r="W326" i="27" s="1"/>
  <c r="T282" i="27"/>
  <c r="W282" i="27" s="1"/>
  <c r="T332" i="27"/>
  <c r="W332" i="27" s="1"/>
  <c r="T385" i="27"/>
  <c r="U385" i="27" s="1"/>
  <c r="T164" i="27"/>
  <c r="W164" i="27" s="1"/>
  <c r="T255" i="27"/>
  <c r="W255" i="27" s="1"/>
  <c r="T335" i="27"/>
  <c r="W335" i="27" s="1"/>
  <c r="N269" i="27"/>
  <c r="T192" i="27"/>
  <c r="W192" i="27" s="1"/>
  <c r="N274" i="27"/>
  <c r="T176" i="27"/>
  <c r="U176" i="27" s="1"/>
  <c r="T275" i="27"/>
  <c r="U275" i="27" s="1"/>
  <c r="T215" i="27"/>
  <c r="U215" i="27" s="1"/>
  <c r="T447" i="27"/>
  <c r="U447" i="27" s="1"/>
  <c r="T325" i="27"/>
  <c r="U325" i="27" s="1"/>
  <c r="T260" i="27"/>
  <c r="U260" i="27" s="1"/>
  <c r="T404" i="27"/>
  <c r="U404" i="27" s="1"/>
  <c r="O340" i="27"/>
  <c r="T365" i="27"/>
  <c r="U365" i="27" s="1"/>
  <c r="T376" i="27"/>
  <c r="U376" i="27" s="1"/>
  <c r="T435" i="27"/>
  <c r="W435" i="27" s="1"/>
  <c r="N264" i="27"/>
  <c r="T216" i="27"/>
  <c r="W216" i="27" s="1"/>
  <c r="T317" i="27"/>
  <c r="W317" i="27" s="1"/>
  <c r="T28" i="27"/>
  <c r="T287" i="27"/>
  <c r="U287" i="27" s="1"/>
  <c r="T469" i="27"/>
  <c r="U469" i="27" s="1"/>
  <c r="T502" i="27"/>
  <c r="T310" i="27"/>
  <c r="U310" i="27" s="1"/>
  <c r="T488" i="27"/>
  <c r="W488" i="27" s="1"/>
  <c r="T232" i="27"/>
  <c r="W232" i="27" s="1"/>
  <c r="T201" i="27"/>
  <c r="T449" i="27"/>
  <c r="W449" i="27" s="1"/>
  <c r="T251" i="27"/>
  <c r="U251" i="27" s="1"/>
  <c r="T273" i="27"/>
  <c r="U273" i="27" s="1"/>
  <c r="U12" i="27"/>
  <c r="T446" i="27"/>
  <c r="T356" i="27"/>
  <c r="W356" i="27" s="1"/>
  <c r="T486" i="27"/>
  <c r="T264" i="27"/>
  <c r="T151" i="27"/>
  <c r="T434" i="27"/>
  <c r="T170" i="27"/>
  <c r="U170" i="27" s="1"/>
  <c r="T458" i="27"/>
  <c r="J300" i="16"/>
  <c r="N305" i="27"/>
  <c r="O305" i="27"/>
  <c r="N291" i="27"/>
  <c r="O291" i="27"/>
  <c r="J450" i="27"/>
  <c r="K450" i="27"/>
  <c r="O450" i="27" s="1"/>
  <c r="J415" i="27"/>
  <c r="K415" i="27"/>
  <c r="K298" i="27"/>
  <c r="N298" i="27" s="1"/>
  <c r="J298" i="27"/>
  <c r="J470" i="27"/>
  <c r="K470" i="27"/>
  <c r="N470" i="27" s="1"/>
  <c r="K351" i="27"/>
  <c r="J351" i="27"/>
  <c r="I467" i="27"/>
  <c r="H467" i="27"/>
  <c r="J420" i="27"/>
  <c r="K420" i="27"/>
  <c r="H457" i="27"/>
  <c r="I457" i="27"/>
  <c r="K170" i="27"/>
  <c r="J170" i="27"/>
  <c r="I190" i="27"/>
  <c r="H190" i="27"/>
  <c r="K434" i="27"/>
  <c r="J434" i="27"/>
  <c r="K302" i="27"/>
  <c r="J302" i="27"/>
  <c r="J261" i="27"/>
  <c r="K261" i="27"/>
  <c r="N261" i="27" s="1"/>
  <c r="J448" i="27"/>
  <c r="K448" i="27"/>
  <c r="O448" i="27" s="1"/>
  <c r="J150" i="27"/>
  <c r="K150" i="27"/>
  <c r="J366" i="27"/>
  <c r="K366" i="27"/>
  <c r="J266" i="27"/>
  <c r="K266" i="27"/>
  <c r="J224" i="27"/>
  <c r="K224" i="27"/>
  <c r="N224" i="27" s="1"/>
  <c r="K316" i="27"/>
  <c r="N316" i="27" s="1"/>
  <c r="J316" i="27"/>
  <c r="J177" i="27"/>
  <c r="M177" i="27" s="1"/>
  <c r="I431" i="27"/>
  <c r="K233" i="27"/>
  <c r="M233" i="27" s="1"/>
  <c r="I235" i="27"/>
  <c r="T241" i="27"/>
  <c r="W241" i="27" s="1"/>
  <c r="H435" i="27"/>
  <c r="I435" i="27"/>
  <c r="H411" i="27"/>
  <c r="I411" i="27"/>
  <c r="I286" i="27"/>
  <c r="H286" i="27"/>
  <c r="H182" i="27"/>
  <c r="I182" i="27"/>
  <c r="K412" i="27"/>
  <c r="M412" i="27" s="1"/>
  <c r="I519" i="27"/>
  <c r="H519" i="27"/>
  <c r="H399" i="27"/>
  <c r="I399" i="27"/>
  <c r="H309" i="27"/>
  <c r="I309" i="27"/>
  <c r="H441" i="27"/>
  <c r="I441" i="27"/>
  <c r="H246" i="27"/>
  <c r="I246" i="27"/>
  <c r="H162" i="27"/>
  <c r="I162" i="27"/>
  <c r="J439" i="27"/>
  <c r="M439" i="27" s="1"/>
  <c r="O460" i="27"/>
  <c r="J390" i="27"/>
  <c r="K390" i="27"/>
  <c r="J165" i="27"/>
  <c r="K165" i="27"/>
  <c r="K176" i="27"/>
  <c r="J176" i="27"/>
  <c r="K375" i="27"/>
  <c r="O375" i="27" s="1"/>
  <c r="J375" i="27"/>
  <c r="T268" i="27"/>
  <c r="U268" i="27" s="1"/>
  <c r="J503" i="27"/>
  <c r="K503" i="27"/>
  <c r="T308" i="27"/>
  <c r="W308" i="27" s="1"/>
  <c r="T474" i="27"/>
  <c r="W474" i="27" s="1"/>
  <c r="J275" i="27"/>
  <c r="K275" i="27"/>
  <c r="N226" i="27"/>
  <c r="O226" i="27"/>
  <c r="J411" i="27"/>
  <c r="K411" i="27"/>
  <c r="O411" i="27" s="1"/>
  <c r="J356" i="27"/>
  <c r="K356" i="27"/>
  <c r="O356" i="27" s="1"/>
  <c r="T401" i="27"/>
  <c r="U401" i="27" s="1"/>
  <c r="J309" i="27"/>
  <c r="K309" i="27"/>
  <c r="I388" i="27"/>
  <c r="H388" i="27"/>
  <c r="T397" i="27"/>
  <c r="K433" i="27"/>
  <c r="J433" i="27"/>
  <c r="K182" i="27"/>
  <c r="N182" i="27" s="1"/>
  <c r="J182" i="27"/>
  <c r="J237" i="27"/>
  <c r="K237" i="27"/>
  <c r="J318" i="27"/>
  <c r="K318" i="27"/>
  <c r="O318" i="27" s="1"/>
  <c r="J490" i="27"/>
  <c r="K490" i="27"/>
  <c r="N490" i="27" s="1"/>
  <c r="T501" i="27"/>
  <c r="U501" i="27" s="1"/>
  <c r="H505" i="27"/>
  <c r="I505" i="27"/>
  <c r="H367" i="27"/>
  <c r="I367" i="27"/>
  <c r="J289" i="27"/>
  <c r="K289" i="27"/>
  <c r="N289" i="27" s="1"/>
  <c r="T468" i="27"/>
  <c r="K242" i="27"/>
  <c r="J242" i="27"/>
  <c r="J152" i="27"/>
  <c r="K152" i="27"/>
  <c r="N152" i="27" s="1"/>
  <c r="J282" i="27"/>
  <c r="K282" i="27"/>
  <c r="J400" i="27"/>
  <c r="K400" i="27"/>
  <c r="K392" i="27"/>
  <c r="O392" i="27" s="1"/>
  <c r="J392" i="27"/>
  <c r="K265" i="27"/>
  <c r="J265" i="27"/>
  <c r="T329" i="27"/>
  <c r="U329" i="27" s="1"/>
  <c r="T490" i="27"/>
  <c r="W490" i="27" s="1"/>
  <c r="T436" i="27"/>
  <c r="W436" i="27" s="1"/>
  <c r="K311" i="27"/>
  <c r="J311" i="27"/>
  <c r="K416" i="27"/>
  <c r="J416" i="27"/>
  <c r="J203" i="27"/>
  <c r="K203" i="27"/>
  <c r="N203" i="27" s="1"/>
  <c r="J252" i="27"/>
  <c r="K252" i="27"/>
  <c r="T496" i="27"/>
  <c r="U496" i="27" s="1"/>
  <c r="K393" i="27"/>
  <c r="O393" i="27" s="1"/>
  <c r="J443" i="27"/>
  <c r="M443" i="27" s="1"/>
  <c r="O264" i="27"/>
  <c r="N179" i="27"/>
  <c r="O179" i="27"/>
  <c r="I270" i="27"/>
  <c r="W158" i="16"/>
  <c r="U426" i="16"/>
  <c r="I217" i="27"/>
  <c r="N98" i="27"/>
  <c r="N439" i="27"/>
  <c r="H300" i="27"/>
  <c r="K300" i="27"/>
  <c r="M300" i="27" s="1"/>
  <c r="W501" i="16"/>
  <c r="U501" i="16"/>
  <c r="W408" i="16"/>
  <c r="U408" i="16"/>
  <c r="H314" i="27"/>
  <c r="J264" i="27"/>
  <c r="M264" i="27" s="1"/>
  <c r="H349" i="27"/>
  <c r="I349" i="27"/>
  <c r="O36" i="27"/>
  <c r="J291" i="27"/>
  <c r="M291" i="27" s="1"/>
  <c r="J226" i="27"/>
  <c r="M226" i="27" s="1"/>
  <c r="K345" i="27"/>
  <c r="K466" i="27"/>
  <c r="M466" i="27" s="1"/>
  <c r="J155" i="16"/>
  <c r="I16" i="27"/>
  <c r="H16" i="27"/>
  <c r="W459" i="16"/>
  <c r="U459" i="16"/>
  <c r="J238" i="27"/>
  <c r="K238" i="27"/>
  <c r="J227" i="27"/>
  <c r="K227" i="27"/>
  <c r="N227" i="27" s="1"/>
  <c r="J481" i="27"/>
  <c r="K481" i="27"/>
  <c r="K193" i="27"/>
  <c r="J193" i="27"/>
  <c r="T355" i="27"/>
  <c r="U355" i="27" s="1"/>
  <c r="J276" i="27"/>
  <c r="K276" i="27"/>
  <c r="N276" i="27" s="1"/>
  <c r="I383" i="27"/>
  <c r="H383" i="27"/>
  <c r="J365" i="27"/>
  <c r="K365" i="27"/>
  <c r="K371" i="27"/>
  <c r="J371" i="27"/>
  <c r="K327" i="27"/>
  <c r="O327" i="27" s="1"/>
  <c r="J327" i="27"/>
  <c r="J384" i="27"/>
  <c r="K384" i="27"/>
  <c r="O384" i="27" s="1"/>
  <c r="J202" i="27"/>
  <c r="K202" i="27"/>
  <c r="N177" i="27"/>
  <c r="O148" i="27"/>
  <c r="N148" i="27"/>
  <c r="J247" i="27"/>
  <c r="K247" i="27"/>
  <c r="K452" i="27"/>
  <c r="J452" i="27"/>
  <c r="K207" i="27"/>
  <c r="N207" i="27" s="1"/>
  <c r="J207" i="27"/>
  <c r="J312" i="27"/>
  <c r="K312" i="27"/>
  <c r="O312" i="27" s="1"/>
  <c r="K344" i="27"/>
  <c r="J344" i="27"/>
  <c r="J73" i="16"/>
  <c r="U387" i="16"/>
  <c r="U454" i="16"/>
  <c r="O369" i="27"/>
  <c r="I305" i="27"/>
  <c r="N116" i="27"/>
  <c r="O177" i="27"/>
  <c r="N254" i="27"/>
  <c r="O254" i="27"/>
  <c r="I275" i="27"/>
  <c r="I353" i="27"/>
  <c r="W103" i="16"/>
  <c r="U103" i="16"/>
  <c r="T302" i="27"/>
  <c r="W302" i="27" s="1"/>
  <c r="J331" i="27"/>
  <c r="M331" i="27" s="1"/>
  <c r="K270" i="27"/>
  <c r="M270" i="27" s="1"/>
  <c r="K349" i="27"/>
  <c r="J385" i="27"/>
  <c r="M385" i="27" s="1"/>
  <c r="K219" i="27"/>
  <c r="J219" i="27"/>
  <c r="T504" i="27"/>
  <c r="J197" i="27"/>
  <c r="K197" i="27"/>
  <c r="O197" i="27" s="1"/>
  <c r="J338" i="27"/>
  <c r="K338" i="27"/>
  <c r="N338" i="27" s="1"/>
  <c r="J171" i="27"/>
  <c r="K171" i="27"/>
  <c r="O171" i="27" s="1"/>
  <c r="T168" i="27"/>
  <c r="W168" i="27" s="1"/>
  <c r="J201" i="16"/>
  <c r="O471" i="16"/>
  <c r="J471" i="16"/>
  <c r="O144" i="16"/>
  <c r="J144" i="16"/>
  <c r="O153" i="16"/>
  <c r="J153" i="16"/>
  <c r="O102" i="16"/>
  <c r="J102" i="16"/>
  <c r="O139" i="16"/>
  <c r="J139" i="16"/>
  <c r="J88" i="16"/>
  <c r="O259" i="16"/>
  <c r="J259" i="16"/>
  <c r="D91" i="27"/>
  <c r="D472" i="16"/>
  <c r="O285" i="16"/>
  <c r="J285" i="16"/>
  <c r="O298" i="16"/>
  <c r="J298" i="16"/>
  <c r="J343" i="16"/>
  <c r="O263" i="16"/>
  <c r="J263" i="16"/>
  <c r="O241" i="16"/>
  <c r="J241" i="16"/>
  <c r="O36" i="16"/>
  <c r="J36" i="16"/>
  <c r="N480" i="16"/>
  <c r="J480" i="16"/>
  <c r="O237" i="16"/>
  <c r="J237" i="16"/>
  <c r="O272" i="16"/>
  <c r="J272" i="16"/>
  <c r="O277" i="16"/>
  <c r="J277" i="16"/>
  <c r="N180" i="16"/>
  <c r="J180" i="16"/>
  <c r="J248" i="16"/>
  <c r="O308" i="16"/>
  <c r="J308" i="16"/>
  <c r="N477" i="16"/>
  <c r="J477" i="16"/>
  <c r="N228" i="16"/>
  <c r="J228" i="16"/>
  <c r="N446" i="16"/>
  <c r="J446" i="16"/>
  <c r="O206" i="16"/>
  <c r="J206" i="16"/>
  <c r="J14" i="16"/>
  <c r="O156" i="16"/>
  <c r="J156" i="16"/>
  <c r="O59" i="16"/>
  <c r="J59" i="16"/>
  <c r="T429" i="27"/>
  <c r="U429" i="27" s="1"/>
  <c r="I391" i="27"/>
  <c r="H391" i="27"/>
  <c r="N444" i="27"/>
  <c r="I340" i="27"/>
  <c r="H340" i="27"/>
  <c r="T443" i="27"/>
  <c r="W443" i="27" s="1"/>
  <c r="J506" i="27"/>
  <c r="K506" i="27"/>
  <c r="K362" i="27"/>
  <c r="O362" i="27" s="1"/>
  <c r="J362" i="27"/>
  <c r="J169" i="27"/>
  <c r="K169" i="27"/>
  <c r="N169" i="27" s="1"/>
  <c r="K304" i="27"/>
  <c r="J304" i="27"/>
  <c r="J414" i="27"/>
  <c r="K414" i="27"/>
  <c r="O414" i="27" s="1"/>
  <c r="H208" i="27"/>
  <c r="I260" i="27"/>
  <c r="H222" i="27"/>
  <c r="I222" i="27"/>
  <c r="U41" i="16"/>
  <c r="W41" i="16"/>
  <c r="U481" i="16"/>
  <c r="W481" i="16"/>
  <c r="N340" i="27"/>
  <c r="H481" i="27"/>
  <c r="I481" i="27"/>
  <c r="I402" i="27"/>
  <c r="H402" i="27"/>
  <c r="I144" i="27"/>
  <c r="H144" i="27"/>
  <c r="J154" i="27"/>
  <c r="K154" i="27"/>
  <c r="N154" i="27" s="1"/>
  <c r="K333" i="27"/>
  <c r="O333" i="27" s="1"/>
  <c r="J333" i="27"/>
  <c r="J489" i="27"/>
  <c r="K489" i="27"/>
  <c r="K446" i="27"/>
  <c r="N446" i="27" s="1"/>
  <c r="J446" i="27"/>
  <c r="D81" i="27"/>
  <c r="D15" i="16"/>
  <c r="F69" i="16"/>
  <c r="F76" i="16"/>
  <c r="F72" i="16"/>
  <c r="F71" i="16"/>
  <c r="F68" i="16"/>
  <c r="F66" i="16"/>
  <c r="F73" i="16"/>
  <c r="F67" i="16"/>
  <c r="F70" i="16"/>
  <c r="F75" i="16"/>
  <c r="F77" i="16"/>
  <c r="F74" i="16"/>
  <c r="O437" i="16"/>
  <c r="J437" i="16"/>
  <c r="O136" i="16"/>
  <c r="J136" i="16"/>
  <c r="F472" i="16"/>
  <c r="F91" i="27"/>
  <c r="O154" i="16"/>
  <c r="J154" i="16"/>
  <c r="N517" i="16"/>
  <c r="J517" i="16"/>
  <c r="O454" i="16"/>
  <c r="J454" i="16"/>
  <c r="N111" i="16"/>
  <c r="J111" i="16"/>
  <c r="O190" i="16"/>
  <c r="J190" i="16"/>
  <c r="O23" i="16"/>
  <c r="J23" i="16"/>
  <c r="N452" i="16"/>
  <c r="J452" i="16"/>
  <c r="O333" i="16"/>
  <c r="J333" i="16"/>
  <c r="O520" i="16"/>
  <c r="J520" i="16"/>
  <c r="O304" i="16"/>
  <c r="J304" i="16"/>
  <c r="N325" i="16"/>
  <c r="J325" i="16"/>
  <c r="O433" i="16"/>
  <c r="J433" i="16"/>
  <c r="N282" i="16"/>
  <c r="J282" i="16"/>
  <c r="O162" i="16"/>
  <c r="J162" i="16"/>
  <c r="O322" i="16"/>
  <c r="J322" i="16"/>
  <c r="J174" i="16"/>
  <c r="O229" i="16"/>
  <c r="J229" i="16"/>
  <c r="N188" i="16"/>
  <c r="J188" i="16"/>
  <c r="O314" i="16"/>
  <c r="J314" i="16"/>
  <c r="J80" i="16"/>
  <c r="O426" i="16"/>
  <c r="J426" i="16"/>
  <c r="O18" i="16"/>
  <c r="J18" i="16"/>
  <c r="F81" i="27"/>
  <c r="F15" i="16"/>
  <c r="K73" i="27"/>
  <c r="J73" i="27"/>
  <c r="K230" i="27"/>
  <c r="O230" i="27" s="1"/>
  <c r="J230" i="27"/>
  <c r="J471" i="27"/>
  <c r="K471" i="27"/>
  <c r="O471" i="27" s="1"/>
  <c r="T272" i="27"/>
  <c r="T345" i="27"/>
  <c r="U345" i="27" s="1"/>
  <c r="T256" i="27"/>
  <c r="T421" i="27"/>
  <c r="W421" i="27" s="1"/>
  <c r="T171" i="27"/>
  <c r="T509" i="27"/>
  <c r="T380" i="27"/>
  <c r="U380" i="27" s="1"/>
  <c r="T245" i="27"/>
  <c r="J262" i="27"/>
  <c r="K262" i="27"/>
  <c r="N262" i="27" s="1"/>
  <c r="J444" i="16"/>
  <c r="J414" i="16"/>
  <c r="J133" i="16"/>
  <c r="J267" i="16"/>
  <c r="T450" i="27"/>
  <c r="J48" i="16"/>
  <c r="D440" i="16"/>
  <c r="D134" i="27"/>
  <c r="O98" i="16"/>
  <c r="J98" i="16"/>
  <c r="O189" i="16"/>
  <c r="J189" i="16"/>
  <c r="O44" i="16"/>
  <c r="J44" i="16"/>
  <c r="N485" i="16"/>
  <c r="J485" i="16"/>
  <c r="J26" i="16"/>
  <c r="O398" i="16"/>
  <c r="J398" i="16"/>
  <c r="O182" i="16"/>
  <c r="J182" i="16"/>
  <c r="J382" i="16"/>
  <c r="O81" i="16"/>
  <c r="J81" i="16"/>
  <c r="O332" i="16"/>
  <c r="J332" i="16"/>
  <c r="N281" i="16"/>
  <c r="J281" i="16"/>
  <c r="O123" i="16"/>
  <c r="J123" i="16"/>
  <c r="O269" i="16"/>
  <c r="J269" i="16"/>
  <c r="J409" i="16"/>
  <c r="O403" i="16"/>
  <c r="J403" i="16"/>
  <c r="O261" i="16"/>
  <c r="J261" i="16"/>
  <c r="O441" i="16"/>
  <c r="J441" i="16"/>
  <c r="O4" i="16"/>
  <c r="J4" i="16"/>
  <c r="O214" i="16"/>
  <c r="J214" i="16"/>
  <c r="J85" i="16"/>
  <c r="J353" i="16"/>
  <c r="O358" i="16"/>
  <c r="J358" i="16"/>
  <c r="O78" i="16"/>
  <c r="J78" i="16"/>
  <c r="O42" i="16"/>
  <c r="J42" i="16"/>
  <c r="J311" i="16"/>
  <c r="O350" i="16"/>
  <c r="J350" i="16"/>
  <c r="O37" i="16"/>
  <c r="J37" i="16"/>
  <c r="O204" i="16"/>
  <c r="J204" i="16"/>
  <c r="J434" i="16"/>
  <c r="H128" i="27"/>
  <c r="I128" i="27"/>
  <c r="J74" i="16"/>
  <c r="M74" i="16" s="1"/>
  <c r="H423" i="27"/>
  <c r="I423" i="27"/>
  <c r="O383" i="27"/>
  <c r="I394" i="27"/>
  <c r="H394" i="27"/>
  <c r="T223" i="27"/>
  <c r="H412" i="27"/>
  <c r="I412" i="27"/>
  <c r="I447" i="27"/>
  <c r="H447" i="27"/>
  <c r="I418" i="27"/>
  <c r="H418" i="27"/>
  <c r="I382" i="27"/>
  <c r="H382" i="27"/>
  <c r="U515" i="16"/>
  <c r="W515" i="16"/>
  <c r="H446" i="27"/>
  <c r="I446" i="27"/>
  <c r="T196" i="27"/>
  <c r="N257" i="27"/>
  <c r="O257" i="27"/>
  <c r="J157" i="27"/>
  <c r="K157" i="27"/>
  <c r="T346" i="27"/>
  <c r="W346" i="27" s="1"/>
  <c r="T483" i="27"/>
  <c r="U483" i="27" s="1"/>
  <c r="J280" i="27"/>
  <c r="K280" i="27"/>
  <c r="O280" i="27" s="1"/>
  <c r="J397" i="27"/>
  <c r="K397" i="27"/>
  <c r="K175" i="27"/>
  <c r="N175" i="27" s="1"/>
  <c r="J175" i="27"/>
  <c r="O331" i="27"/>
  <c r="K497" i="27"/>
  <c r="N497" i="27" s="1"/>
  <c r="J497" i="27"/>
  <c r="T267" i="27"/>
  <c r="K346" i="27"/>
  <c r="O346" i="27" s="1"/>
  <c r="J346" i="27"/>
  <c r="J440" i="16"/>
  <c r="J284" i="16"/>
  <c r="M284" i="16" s="1"/>
  <c r="J106" i="16"/>
  <c r="J478" i="16"/>
  <c r="J375" i="16"/>
  <c r="O77" i="16"/>
  <c r="N77" i="16"/>
  <c r="O99" i="27"/>
  <c r="N99" i="27"/>
  <c r="K47" i="27"/>
  <c r="J47" i="27"/>
  <c r="D70" i="16"/>
  <c r="D73" i="16"/>
  <c r="D66" i="16"/>
  <c r="D69" i="16"/>
  <c r="D75" i="16"/>
  <c r="D74" i="16"/>
  <c r="D77" i="16"/>
  <c r="D71" i="16"/>
  <c r="D72" i="16"/>
  <c r="D68" i="16"/>
  <c r="D76" i="16"/>
  <c r="D67" i="16"/>
  <c r="J32" i="27"/>
  <c r="K32" i="27"/>
  <c r="O32" i="27" s="1"/>
  <c r="I55" i="27"/>
  <c r="H55" i="27"/>
  <c r="I127" i="27"/>
  <c r="H127" i="27"/>
  <c r="T261" i="27"/>
  <c r="W261" i="27" s="1"/>
  <c r="T126" i="27"/>
  <c r="O167" i="27"/>
  <c r="J389" i="16"/>
  <c r="N79" i="16"/>
  <c r="J79" i="16"/>
  <c r="O12" i="16"/>
  <c r="J12" i="16"/>
  <c r="O255" i="16"/>
  <c r="J255" i="16"/>
  <c r="O95" i="16"/>
  <c r="J95" i="16"/>
  <c r="O489" i="16"/>
  <c r="J489" i="16"/>
  <c r="N408" i="16"/>
  <c r="J408" i="16"/>
  <c r="O364" i="16"/>
  <c r="J364" i="16"/>
  <c r="J287" i="16"/>
  <c r="O410" i="16"/>
  <c r="J410" i="16"/>
  <c r="O405" i="16"/>
  <c r="J405" i="16"/>
  <c r="N275" i="16"/>
  <c r="J275" i="16"/>
  <c r="O223" i="16"/>
  <c r="J223" i="16"/>
  <c r="J211" i="16"/>
  <c r="O450" i="16"/>
  <c r="J450" i="16"/>
  <c r="N257" i="16"/>
  <c r="J257" i="16"/>
  <c r="O126" i="16"/>
  <c r="J126" i="16"/>
  <c r="O203" i="16"/>
  <c r="J203" i="16"/>
  <c r="O297" i="16"/>
  <c r="J297" i="16"/>
  <c r="J164" i="16"/>
  <c r="O108" i="16"/>
  <c r="J108" i="16"/>
  <c r="O273" i="16"/>
  <c r="J273" i="16"/>
  <c r="I49" i="27"/>
  <c r="H49" i="27"/>
  <c r="H248" i="27"/>
  <c r="H296" i="27"/>
  <c r="I421" i="27"/>
  <c r="W471" i="16"/>
  <c r="H378" i="27"/>
  <c r="K409" i="27"/>
  <c r="I405" i="27"/>
  <c r="H404" i="27"/>
  <c r="N352" i="27"/>
  <c r="H461" i="27"/>
  <c r="H500" i="27"/>
  <c r="H426" i="27"/>
  <c r="H232" i="27"/>
  <c r="H153" i="27"/>
  <c r="H234" i="27"/>
  <c r="H180" i="27"/>
  <c r="I459" i="27"/>
  <c r="I213" i="27"/>
  <c r="W464" i="16"/>
  <c r="I355" i="27"/>
  <c r="I494" i="27"/>
  <c r="I430" i="27"/>
  <c r="K239" i="27"/>
  <c r="J239" i="27"/>
  <c r="N131" i="27"/>
  <c r="I417" i="27"/>
  <c r="W152" i="16"/>
  <c r="J189" i="27"/>
  <c r="M189" i="27" s="1"/>
  <c r="U151" i="16"/>
  <c r="I472" i="27"/>
  <c r="H195" i="27"/>
  <c r="H163" i="27"/>
  <c r="J499" i="27"/>
  <c r="K499" i="27"/>
  <c r="K476" i="27"/>
  <c r="O476" i="27" s="1"/>
  <c r="J476" i="27"/>
  <c r="O353" i="27"/>
  <c r="N353" i="27"/>
  <c r="H437" i="27"/>
  <c r="I510" i="27"/>
  <c r="I398" i="27"/>
  <c r="I350" i="27"/>
  <c r="I502" i="27"/>
  <c r="K204" i="27"/>
  <c r="K513" i="27"/>
  <c r="H322" i="27"/>
  <c r="K517" i="27"/>
  <c r="J517" i="27"/>
  <c r="K301" i="27"/>
  <c r="J301" i="27"/>
  <c r="J486" i="27"/>
  <c r="K486" i="27"/>
  <c r="K367" i="27"/>
  <c r="J367" i="27"/>
  <c r="K408" i="27"/>
  <c r="J408" i="27"/>
  <c r="K263" i="27"/>
  <c r="O263" i="27" s="1"/>
  <c r="J263" i="27"/>
  <c r="J419" i="27"/>
  <c r="K419" i="27"/>
  <c r="K343" i="27"/>
  <c r="J343" i="27"/>
  <c r="K514" i="27"/>
  <c r="J514" i="27"/>
  <c r="J335" i="27"/>
  <c r="K335" i="27"/>
  <c r="J329" i="27"/>
  <c r="K329" i="27"/>
  <c r="J491" i="27"/>
  <c r="K491" i="27"/>
  <c r="J271" i="27"/>
  <c r="K271" i="27"/>
  <c r="J431" i="27"/>
  <c r="K431" i="27"/>
  <c r="K183" i="27"/>
  <c r="J183" i="27"/>
  <c r="J166" i="27"/>
  <c r="K166" i="27"/>
  <c r="K284" i="27"/>
  <c r="N284" i="27" s="1"/>
  <c r="J284" i="27"/>
  <c r="J215" i="27"/>
  <c r="K215" i="27"/>
  <c r="K229" i="27"/>
  <c r="J229" i="27"/>
  <c r="K188" i="27"/>
  <c r="J188" i="27"/>
  <c r="K456" i="27"/>
  <c r="J456" i="27"/>
  <c r="I369" i="27"/>
  <c r="H369" i="27"/>
  <c r="K350" i="27"/>
  <c r="O350" i="27" s="1"/>
  <c r="J350" i="27"/>
  <c r="K187" i="27"/>
  <c r="J187" i="27"/>
  <c r="J330" i="27"/>
  <c r="K330" i="27"/>
  <c r="K12" i="27"/>
  <c r="J12" i="27"/>
  <c r="K467" i="27"/>
  <c r="J467" i="27"/>
  <c r="J339" i="27"/>
  <c r="K339" i="27"/>
  <c r="K417" i="27"/>
  <c r="J417" i="27"/>
  <c r="J495" i="27"/>
  <c r="K495" i="27"/>
  <c r="J213" i="27"/>
  <c r="K213" i="27"/>
  <c r="K404" i="27"/>
  <c r="J404" i="27"/>
  <c r="J342" i="27"/>
  <c r="K342" i="27"/>
  <c r="K251" i="27"/>
  <c r="J251" i="27"/>
  <c r="J496" i="27"/>
  <c r="K496" i="27"/>
  <c r="I303" i="27"/>
  <c r="H303" i="27"/>
  <c r="J149" i="27"/>
  <c r="K149" i="27"/>
  <c r="J363" i="27"/>
  <c r="K363" i="27"/>
  <c r="K454" i="27"/>
  <c r="J454" i="27"/>
  <c r="J200" i="27"/>
  <c r="K200" i="27"/>
  <c r="I262" i="27"/>
  <c r="I226" i="27"/>
  <c r="I198" i="27"/>
  <c r="K401" i="27"/>
  <c r="J401" i="27"/>
  <c r="K480" i="27"/>
  <c r="J480" i="27"/>
  <c r="I436" i="27"/>
  <c r="H436" i="27"/>
  <c r="K437" i="27"/>
  <c r="J437" i="27"/>
  <c r="J438" i="27"/>
  <c r="K438" i="27"/>
  <c r="J354" i="27"/>
  <c r="K354" i="27"/>
  <c r="K504" i="27"/>
  <c r="J504" i="27"/>
  <c r="K500" i="27"/>
  <c r="J500" i="27"/>
  <c r="I359" i="27"/>
  <c r="H359" i="27"/>
  <c r="M92" i="27"/>
  <c r="U438" i="16"/>
  <c r="U169" i="16"/>
  <c r="W80" i="16"/>
  <c r="U409" i="16"/>
  <c r="U349" i="16"/>
  <c r="W377" i="16"/>
  <c r="I187" i="27"/>
  <c r="I259" i="27"/>
  <c r="H85" i="27"/>
  <c r="H337" i="27"/>
  <c r="N57" i="27"/>
  <c r="O44" i="27"/>
  <c r="O69" i="16"/>
  <c r="U204" i="16"/>
  <c r="W300" i="16"/>
  <c r="W439" i="16"/>
  <c r="I179" i="27"/>
  <c r="I230" i="27"/>
  <c r="U302" i="16"/>
  <c r="I469" i="27"/>
  <c r="M83" i="27"/>
  <c r="M89" i="27"/>
  <c r="H377" i="27"/>
  <c r="H347" i="27"/>
  <c r="O145" i="27"/>
  <c r="W262" i="16"/>
  <c r="U244" i="16"/>
  <c r="I218" i="27"/>
  <c r="I395" i="27"/>
  <c r="I507" i="27"/>
  <c r="U444" i="16"/>
  <c r="W19" i="27"/>
  <c r="I381" i="27"/>
  <c r="W129" i="16"/>
  <c r="I360" i="27"/>
  <c r="N120" i="27"/>
  <c r="I336" i="27"/>
  <c r="H336" i="27"/>
  <c r="K432" i="27"/>
  <c r="J432" i="27"/>
  <c r="J194" i="27"/>
  <c r="K194" i="27"/>
  <c r="J256" i="27"/>
  <c r="K256" i="27"/>
  <c r="T254" i="27"/>
  <c r="I471" i="27"/>
  <c r="H471" i="27"/>
  <c r="J228" i="27"/>
  <c r="K228" i="27"/>
  <c r="K234" i="27"/>
  <c r="J234" i="27"/>
  <c r="I492" i="27"/>
  <c r="H492" i="27"/>
  <c r="I334" i="27"/>
  <c r="H334" i="27"/>
  <c r="I221" i="27"/>
  <c r="H221" i="27"/>
  <c r="O518" i="27"/>
  <c r="I407" i="27"/>
  <c r="H407" i="27"/>
  <c r="I463" i="27"/>
  <c r="H463" i="27"/>
  <c r="J511" i="27"/>
  <c r="K511" i="27"/>
  <c r="J178" i="27"/>
  <c r="K178" i="27"/>
  <c r="I420" i="27"/>
  <c r="H420" i="27"/>
  <c r="I484" i="27"/>
  <c r="H484" i="27"/>
  <c r="I455" i="27"/>
  <c r="H455" i="27"/>
  <c r="I358" i="27"/>
  <c r="H358" i="27"/>
  <c r="I324" i="27"/>
  <c r="H324" i="27"/>
  <c r="N313" i="27"/>
  <c r="O313" i="27"/>
  <c r="I362" i="27"/>
  <c r="H362" i="27"/>
  <c r="K16" i="27"/>
  <c r="J16" i="27"/>
  <c r="K164" i="27"/>
  <c r="J164" i="27"/>
  <c r="I490" i="27"/>
  <c r="H490" i="27"/>
  <c r="I451" i="27"/>
  <c r="H451" i="27"/>
  <c r="K199" i="27"/>
  <c r="J199" i="27"/>
  <c r="J208" i="27"/>
  <c r="K208" i="27"/>
  <c r="K332" i="27"/>
  <c r="J332" i="27"/>
  <c r="J358" i="27"/>
  <c r="K358" i="27"/>
  <c r="I272" i="27"/>
  <c r="H272" i="27"/>
  <c r="I200" i="27"/>
  <c r="H200" i="27"/>
  <c r="I318" i="27"/>
  <c r="H318" i="27"/>
  <c r="I438" i="27"/>
  <c r="H438" i="27"/>
  <c r="K398" i="27"/>
  <c r="J398" i="27"/>
  <c r="I480" i="27"/>
  <c r="H480" i="27"/>
  <c r="I442" i="27"/>
  <c r="H442" i="27"/>
  <c r="K494" i="27"/>
  <c r="J494" i="27"/>
  <c r="K512" i="27"/>
  <c r="J512" i="27"/>
  <c r="K380" i="27"/>
  <c r="J380" i="27"/>
  <c r="I497" i="27"/>
  <c r="H497" i="27"/>
  <c r="I468" i="27"/>
  <c r="H468" i="27"/>
  <c r="I410" i="27"/>
  <c r="H410" i="27"/>
  <c r="I374" i="27"/>
  <c r="H374" i="27"/>
  <c r="I343" i="27"/>
  <c r="H343" i="27"/>
  <c r="I24" i="27"/>
  <c r="H24" i="27"/>
  <c r="O364" i="27"/>
  <c r="N364" i="27"/>
  <c r="I464" i="27"/>
  <c r="H464" i="27"/>
  <c r="I444" i="27"/>
  <c r="H444" i="27"/>
  <c r="I372" i="27"/>
  <c r="H372" i="27"/>
  <c r="I328" i="27"/>
  <c r="H328" i="27"/>
  <c r="I299" i="27"/>
  <c r="H299" i="27"/>
  <c r="I264" i="27"/>
  <c r="H264" i="27"/>
  <c r="I210" i="27"/>
  <c r="H210" i="27"/>
  <c r="I488" i="27"/>
  <c r="K240" i="27"/>
  <c r="J240" i="27"/>
  <c r="I499" i="27"/>
  <c r="H499" i="27"/>
  <c r="I460" i="27"/>
  <c r="H460" i="27"/>
  <c r="I393" i="27"/>
  <c r="H393" i="27"/>
  <c r="H346" i="27"/>
  <c r="I346" i="27"/>
  <c r="H341" i="27"/>
  <c r="H483" i="27"/>
  <c r="I512" i="27"/>
  <c r="H512" i="27"/>
  <c r="I474" i="27"/>
  <c r="H474" i="27"/>
  <c r="I454" i="27"/>
  <c r="H454" i="27"/>
  <c r="I386" i="27"/>
  <c r="H386" i="27"/>
  <c r="I361" i="27"/>
  <c r="H361" i="27"/>
  <c r="I342" i="27"/>
  <c r="H342" i="27"/>
  <c r="K310" i="27"/>
  <c r="J310" i="27"/>
  <c r="J360" i="27"/>
  <c r="K360" i="27"/>
  <c r="I508" i="27"/>
  <c r="H508" i="27"/>
  <c r="I470" i="27"/>
  <c r="H470" i="27"/>
  <c r="I448" i="27"/>
  <c r="H448" i="27"/>
  <c r="I379" i="27"/>
  <c r="H379" i="27"/>
  <c r="I172" i="27"/>
  <c r="H172" i="27"/>
  <c r="H498" i="27"/>
  <c r="I498" i="27"/>
  <c r="I485" i="27"/>
  <c r="H485" i="27"/>
  <c r="H434" i="27"/>
  <c r="I434" i="27"/>
  <c r="I363" i="27"/>
  <c r="H363" i="27"/>
  <c r="I338" i="27"/>
  <c r="H338" i="27"/>
  <c r="I317" i="27"/>
  <c r="H317" i="27"/>
  <c r="I228" i="27"/>
  <c r="H228" i="27"/>
  <c r="I186" i="27"/>
  <c r="H186" i="27"/>
  <c r="O269" i="27"/>
  <c r="I520" i="27"/>
  <c r="H520" i="27"/>
  <c r="I482" i="27"/>
  <c r="H482" i="27"/>
  <c r="I456" i="27"/>
  <c r="H456" i="27"/>
  <c r="I443" i="27"/>
  <c r="H443" i="27"/>
  <c r="I332" i="27"/>
  <c r="H332" i="27"/>
  <c r="I290" i="27"/>
  <c r="H290" i="27"/>
  <c r="I261" i="27"/>
  <c r="H261" i="27"/>
  <c r="I504" i="27"/>
  <c r="H504" i="27"/>
  <c r="I491" i="27"/>
  <c r="H491" i="27"/>
  <c r="I466" i="27"/>
  <c r="H466" i="27"/>
  <c r="I453" i="27"/>
  <c r="H453" i="27"/>
  <c r="I427" i="27"/>
  <c r="H427" i="27"/>
  <c r="I390" i="27"/>
  <c r="H390" i="27"/>
  <c r="I357" i="27"/>
  <c r="H357" i="27"/>
  <c r="I344" i="27"/>
  <c r="H344" i="27"/>
  <c r="I306" i="27"/>
  <c r="H306" i="27"/>
  <c r="I514" i="27"/>
  <c r="H514" i="27"/>
  <c r="I501" i="27"/>
  <c r="H501" i="27"/>
  <c r="I475" i="27"/>
  <c r="H475" i="27"/>
  <c r="H450" i="27"/>
  <c r="I450" i="27"/>
  <c r="I422" i="27"/>
  <c r="H422" i="27"/>
  <c r="I385" i="27"/>
  <c r="H385" i="27"/>
  <c r="I354" i="27"/>
  <c r="H354" i="27"/>
  <c r="I416" i="27"/>
  <c r="H416" i="27"/>
  <c r="I400" i="27"/>
  <c r="H400" i="27"/>
  <c r="H384" i="27"/>
  <c r="I384" i="27"/>
  <c r="I368" i="27"/>
  <c r="H368" i="27"/>
  <c r="H326" i="27"/>
  <c r="I326" i="27"/>
  <c r="I278" i="27"/>
  <c r="H278" i="27"/>
  <c r="I189" i="27"/>
  <c r="H189" i="27"/>
  <c r="I157" i="27"/>
  <c r="H157" i="27"/>
  <c r="I166" i="27"/>
  <c r="I429" i="27"/>
  <c r="H429" i="27"/>
  <c r="I413" i="27"/>
  <c r="H413" i="27"/>
  <c r="I397" i="27"/>
  <c r="H397" i="27"/>
  <c r="I304" i="27"/>
  <c r="H304" i="27"/>
  <c r="I289" i="27"/>
  <c r="H289" i="27"/>
  <c r="I274" i="27"/>
  <c r="H274" i="27"/>
  <c r="I20" i="27"/>
  <c r="H20" i="27"/>
  <c r="I424" i="27"/>
  <c r="H424" i="27"/>
  <c r="I408" i="27"/>
  <c r="H408" i="27"/>
  <c r="I392" i="27"/>
  <c r="H392" i="27"/>
  <c r="I376" i="27"/>
  <c r="H376" i="27"/>
  <c r="I315" i="27"/>
  <c r="H315" i="27"/>
  <c r="I285" i="27"/>
  <c r="H285" i="27"/>
  <c r="I267" i="27"/>
  <c r="H267" i="27"/>
  <c r="I203" i="27"/>
  <c r="H203" i="27"/>
  <c r="I389" i="27"/>
  <c r="H389" i="27"/>
  <c r="I373" i="27"/>
  <c r="H373" i="27"/>
  <c r="H282" i="27"/>
  <c r="I282" i="27"/>
  <c r="I164" i="27"/>
  <c r="H164" i="27"/>
  <c r="W88" i="16"/>
  <c r="W9" i="16"/>
  <c r="U511" i="16"/>
  <c r="U227" i="16"/>
  <c r="W219" i="16"/>
  <c r="W332" i="16"/>
  <c r="W466" i="16"/>
  <c r="W8" i="16"/>
  <c r="W285" i="16"/>
  <c r="W39" i="27"/>
  <c r="U153" i="16"/>
  <c r="W373" i="16"/>
  <c r="W108" i="27"/>
  <c r="W365" i="16"/>
  <c r="U393" i="16"/>
  <c r="U283" i="16"/>
  <c r="U206" i="16"/>
  <c r="U81" i="16"/>
  <c r="W347" i="16"/>
  <c r="W189" i="16"/>
  <c r="W162" i="16"/>
  <c r="W342" i="16"/>
  <c r="U255" i="16"/>
  <c r="U489" i="16"/>
  <c r="U39" i="16"/>
  <c r="U417" i="16"/>
  <c r="W258" i="16"/>
  <c r="W126" i="16"/>
  <c r="W20" i="16"/>
  <c r="U490" i="16"/>
  <c r="U28" i="16"/>
  <c r="U275" i="16"/>
  <c r="W392" i="16"/>
  <c r="W212" i="16"/>
  <c r="W344" i="16"/>
  <c r="W517" i="16"/>
  <c r="U333" i="16"/>
  <c r="W125" i="16"/>
  <c r="U190" i="16"/>
  <c r="W149" i="16"/>
  <c r="W107" i="16"/>
  <c r="W327" i="16"/>
  <c r="U340" i="16"/>
  <c r="W140" i="16"/>
  <c r="U518" i="16"/>
  <c r="U100" i="16"/>
  <c r="W483" i="16"/>
  <c r="W207" i="16"/>
  <c r="W432" i="16"/>
  <c r="W144" i="16"/>
  <c r="W503" i="16"/>
  <c r="U230" i="16"/>
  <c r="U321" i="16"/>
  <c r="W85" i="16"/>
  <c r="W370" i="16"/>
  <c r="U128" i="16"/>
  <c r="U184" i="16"/>
  <c r="W386" i="16"/>
  <c r="W146" i="16"/>
  <c r="U358" i="16"/>
  <c r="W292" i="16"/>
  <c r="W451" i="16"/>
  <c r="W109" i="16"/>
  <c r="U137" i="16"/>
  <c r="U23" i="16"/>
  <c r="U161" i="16"/>
  <c r="W260" i="16"/>
  <c r="U374" i="16"/>
  <c r="U480" i="16"/>
  <c r="U257" i="16"/>
  <c r="W13" i="16"/>
  <c r="W48" i="16"/>
  <c r="U235" i="16"/>
  <c r="U473" i="16"/>
  <c r="W228" i="16"/>
  <c r="W364" i="16"/>
  <c r="U4" i="16"/>
  <c r="U242" i="16"/>
  <c r="W360" i="16"/>
  <c r="U91" i="27"/>
  <c r="W27" i="16"/>
  <c r="U237" i="16"/>
  <c r="U96" i="16"/>
  <c r="U122" i="16"/>
  <c r="W415" i="16"/>
  <c r="U118" i="27"/>
  <c r="W295" i="16"/>
  <c r="U38" i="16"/>
  <c r="U183" i="16"/>
  <c r="W297" i="16"/>
  <c r="U182" i="16"/>
  <c r="U451" i="27"/>
  <c r="W250" i="16"/>
  <c r="W304" i="16"/>
  <c r="W309" i="16"/>
  <c r="U372" i="16"/>
  <c r="W337" i="16"/>
  <c r="W65" i="16"/>
  <c r="W404" i="16"/>
  <c r="U423" i="16"/>
  <c r="U134" i="27"/>
  <c r="U268" i="16"/>
  <c r="W447" i="16"/>
  <c r="W192" i="16"/>
  <c r="U493" i="16"/>
  <c r="U84" i="16"/>
  <c r="W221" i="27"/>
  <c r="U221" i="27"/>
  <c r="U319" i="16"/>
  <c r="W319" i="16"/>
  <c r="W246" i="16"/>
  <c r="U246" i="16"/>
  <c r="U26" i="16"/>
  <c r="W26" i="16"/>
  <c r="W375" i="16"/>
  <c r="U375" i="16"/>
  <c r="U330" i="16"/>
  <c r="W330" i="16"/>
  <c r="U467" i="16"/>
  <c r="U329" i="16"/>
  <c r="U513" i="16"/>
  <c r="U429" i="16"/>
  <c r="W429" i="16"/>
  <c r="W131" i="16"/>
  <c r="U131" i="16"/>
  <c r="W315" i="16"/>
  <c r="W286" i="16"/>
  <c r="U286" i="16"/>
  <c r="W188" i="16"/>
  <c r="U188" i="16"/>
  <c r="U57" i="16"/>
  <c r="W57" i="16"/>
  <c r="W150" i="16"/>
  <c r="U150" i="16"/>
  <c r="W223" i="16"/>
  <c r="U223" i="16"/>
  <c r="W318" i="16"/>
  <c r="U318" i="16"/>
  <c r="W173" i="16"/>
  <c r="U173" i="16"/>
  <c r="U156" i="16"/>
  <c r="W156" i="16"/>
  <c r="U59" i="16"/>
  <c r="W59" i="16"/>
  <c r="W200" i="16"/>
  <c r="U200" i="16"/>
  <c r="W138" i="16"/>
  <c r="U138" i="16"/>
  <c r="U90" i="16"/>
  <c r="W90" i="16"/>
  <c r="U353" i="16"/>
  <c r="W353" i="16"/>
  <c r="W470" i="16"/>
  <c r="U470" i="16"/>
  <c r="U476" i="16"/>
  <c r="W476" i="16"/>
  <c r="W400" i="16"/>
  <c r="U400" i="16"/>
  <c r="W259" i="16"/>
  <c r="U259" i="16"/>
  <c r="W170" i="16"/>
  <c r="U170" i="16"/>
  <c r="W44" i="16"/>
  <c r="W134" i="16"/>
  <c r="W18" i="16"/>
  <c r="W165" i="16"/>
  <c r="U312" i="16"/>
  <c r="W422" i="16"/>
  <c r="W273" i="16"/>
  <c r="W139" i="16"/>
  <c r="W424" i="16"/>
  <c r="W414" i="16"/>
  <c r="U263" i="16"/>
  <c r="U213" i="16"/>
  <c r="W79" i="16"/>
  <c r="W266" i="16"/>
  <c r="U441" i="16"/>
  <c r="W47" i="16"/>
  <c r="U507" i="16"/>
  <c r="W485" i="16"/>
  <c r="U83" i="27"/>
  <c r="W218" i="16"/>
  <c r="U479" i="16"/>
  <c r="W210" i="16"/>
  <c r="W425" i="16"/>
  <c r="W7" i="16"/>
  <c r="U56" i="16"/>
  <c r="W311" i="16"/>
  <c r="U114" i="16"/>
  <c r="U310" i="16"/>
  <c r="U435" i="16"/>
  <c r="W359" i="16"/>
  <c r="W163" i="16"/>
  <c r="W130" i="16"/>
  <c r="U253" i="16"/>
  <c r="W251" i="16"/>
  <c r="U103" i="27"/>
  <c r="U95" i="16"/>
  <c r="U136" i="16"/>
  <c r="U427" i="16"/>
  <c r="U37" i="16"/>
  <c r="W301" i="16"/>
  <c r="W308" i="16"/>
  <c r="U276" i="16"/>
  <c r="U53" i="16"/>
  <c r="W214" i="16"/>
  <c r="U350" i="16"/>
  <c r="U335" i="16"/>
  <c r="W171" i="16"/>
  <c r="U155" i="16"/>
  <c r="W520" i="16"/>
  <c r="W5" i="16"/>
  <c r="U101" i="16"/>
  <c r="W180" i="16"/>
  <c r="W12" i="16"/>
  <c r="U22" i="16"/>
  <c r="W104" i="16"/>
  <c r="W261" i="16"/>
  <c r="U298" i="16"/>
  <c r="U378" i="16"/>
  <c r="W436" i="16"/>
  <c r="W252" i="16"/>
  <c r="U167" i="16"/>
  <c r="U69" i="16"/>
  <c r="W234" i="16"/>
  <c r="W290" i="16"/>
  <c r="U430" i="16"/>
  <c r="W442" i="16"/>
  <c r="U474" i="16"/>
  <c r="I245" i="27"/>
  <c r="H245" i="27"/>
  <c r="I216" i="27"/>
  <c r="H216" i="27"/>
  <c r="I202" i="27"/>
  <c r="H202" i="27"/>
  <c r="I188" i="27"/>
  <c r="H188" i="27"/>
  <c r="I174" i="27"/>
  <c r="H174" i="27"/>
  <c r="I31" i="27"/>
  <c r="H31" i="27"/>
  <c r="I204" i="27"/>
  <c r="H204" i="27"/>
  <c r="O510" i="27"/>
  <c r="N510" i="27"/>
  <c r="W492" i="16"/>
  <c r="O143" i="27"/>
  <c r="I256" i="27"/>
  <c r="H256" i="27"/>
  <c r="H242" i="27"/>
  <c r="I242" i="27"/>
  <c r="I184" i="27"/>
  <c r="H184" i="27"/>
  <c r="I170" i="27"/>
  <c r="H170" i="27"/>
  <c r="I156" i="27"/>
  <c r="H156" i="27"/>
  <c r="I244" i="27"/>
  <c r="H244" i="27"/>
  <c r="I229" i="27"/>
  <c r="H229" i="27"/>
  <c r="I173" i="27"/>
  <c r="H173" i="27"/>
  <c r="I159" i="27"/>
  <c r="H159" i="27"/>
  <c r="O386" i="27"/>
  <c r="N386" i="27"/>
  <c r="O361" i="27"/>
  <c r="N361" i="27"/>
  <c r="O85" i="27"/>
  <c r="N85" i="27"/>
  <c r="I266" i="27"/>
  <c r="H266" i="27"/>
  <c r="I238" i="27"/>
  <c r="H238" i="27"/>
  <c r="I209" i="27"/>
  <c r="H209" i="27"/>
  <c r="I181" i="27"/>
  <c r="H181" i="27"/>
  <c r="I268" i="27"/>
  <c r="H268" i="27"/>
  <c r="I255" i="27"/>
  <c r="H255" i="27"/>
  <c r="I155" i="27"/>
  <c r="H155" i="27"/>
  <c r="M76" i="16"/>
  <c r="N83" i="27"/>
  <c r="O83" i="27"/>
  <c r="M81" i="27"/>
  <c r="W33" i="16"/>
  <c r="U33" i="16"/>
  <c r="I276" i="27"/>
  <c r="H276" i="27"/>
  <c r="I192" i="27"/>
  <c r="H192" i="27"/>
  <c r="H178" i="27"/>
  <c r="I178" i="27"/>
  <c r="I149" i="27"/>
  <c r="H149" i="27"/>
  <c r="I251" i="27"/>
  <c r="H251" i="27"/>
  <c r="I152" i="27"/>
  <c r="H152" i="27"/>
  <c r="I12" i="27"/>
  <c r="H12" i="27"/>
  <c r="N76" i="16"/>
  <c r="N373" i="27"/>
  <c r="O373" i="27"/>
  <c r="W280" i="16"/>
  <c r="W406" i="16"/>
  <c r="U472" i="16"/>
  <c r="U42" i="16"/>
  <c r="W89" i="16"/>
  <c r="W504" i="16"/>
  <c r="W437" i="16"/>
  <c r="U154" i="16"/>
  <c r="O297" i="27"/>
  <c r="N297" i="27"/>
  <c r="N191" i="27"/>
  <c r="O191" i="27"/>
  <c r="U303" i="16"/>
  <c r="W303" i="16"/>
  <c r="O205" i="27"/>
  <c r="N205" i="27"/>
  <c r="U82" i="16"/>
  <c r="W209" i="16"/>
  <c r="W390" i="16"/>
  <c r="U326" i="16"/>
  <c r="W78" i="16"/>
  <c r="U25" i="16"/>
  <c r="W91" i="16"/>
  <c r="N447" i="27"/>
  <c r="M97" i="27"/>
  <c r="U413" i="16"/>
  <c r="W86" i="27"/>
  <c r="U86" i="27"/>
  <c r="U21" i="16"/>
  <c r="W21" i="16"/>
  <c r="W226" i="16"/>
  <c r="U226" i="16"/>
  <c r="W93" i="27"/>
  <c r="U121" i="27"/>
  <c r="W121" i="27"/>
  <c r="U168" i="16"/>
  <c r="W168" i="16"/>
  <c r="U384" i="16"/>
  <c r="W384" i="16"/>
  <c r="U52" i="16"/>
  <c r="W52" i="16"/>
  <c r="U201" i="16"/>
  <c r="W201" i="16"/>
  <c r="U178" i="16"/>
  <c r="W178" i="16"/>
  <c r="U194" i="16"/>
  <c r="W194" i="16"/>
  <c r="W224" i="16"/>
  <c r="W443" i="16"/>
  <c r="W345" i="16"/>
  <c r="W105" i="16"/>
  <c r="W468" i="16"/>
  <c r="U468" i="16"/>
  <c r="U352" i="16"/>
  <c r="W352" i="16"/>
  <c r="W385" i="16"/>
  <c r="U385" i="16"/>
  <c r="W243" i="16"/>
  <c r="U243" i="16"/>
  <c r="W510" i="16"/>
  <c r="U510" i="16"/>
  <c r="U97" i="27"/>
  <c r="W97" i="27"/>
  <c r="U199" i="16"/>
  <c r="W199" i="16"/>
  <c r="W514" i="16"/>
  <c r="U514" i="16"/>
  <c r="U83" i="16"/>
  <c r="W83" i="16"/>
  <c r="U366" i="16"/>
  <c r="W366" i="16"/>
  <c r="W496" i="16"/>
  <c r="U496" i="16"/>
  <c r="W174" i="16"/>
  <c r="U174" i="16"/>
  <c r="U512" i="16"/>
  <c r="W512" i="16"/>
  <c r="O97" i="16"/>
  <c r="N97" i="16"/>
  <c r="O442" i="27"/>
  <c r="N442" i="27"/>
  <c r="O443" i="27"/>
  <c r="N443" i="27"/>
  <c r="O68" i="16"/>
  <c r="N68" i="16"/>
  <c r="N223" i="27"/>
  <c r="O223" i="27"/>
  <c r="N70" i="27"/>
  <c r="N285" i="27"/>
  <c r="O285" i="27"/>
  <c r="U247" i="16"/>
  <c r="W247" i="16"/>
  <c r="O507" i="27"/>
  <c r="N507" i="27"/>
  <c r="W405" i="16"/>
  <c r="U405" i="16"/>
  <c r="U317" i="16"/>
  <c r="W317" i="16"/>
  <c r="U331" i="16"/>
  <c r="W331" i="16"/>
  <c r="U463" i="16"/>
  <c r="W395" i="16"/>
  <c r="U461" i="16"/>
  <c r="W461" i="16"/>
  <c r="W60" i="16"/>
  <c r="U60" i="16"/>
  <c r="O72" i="16"/>
  <c r="O113" i="16"/>
  <c r="N113" i="16"/>
  <c r="O424" i="27"/>
  <c r="N424" i="27"/>
  <c r="U277" i="16"/>
  <c r="W277" i="16"/>
  <c r="U412" i="16"/>
  <c r="W412" i="16"/>
  <c r="W449" i="16"/>
  <c r="O71" i="16"/>
  <c r="N71" i="16"/>
  <c r="U40" i="27"/>
  <c r="W98" i="16"/>
  <c r="W488" i="16"/>
  <c r="W31" i="16"/>
  <c r="W328" i="16"/>
  <c r="W316" i="16"/>
  <c r="U324" i="16"/>
  <c r="W89" i="27"/>
  <c r="W361" i="16"/>
  <c r="U322" i="16"/>
  <c r="O258" i="16"/>
  <c r="N258" i="16"/>
  <c r="N67" i="16"/>
  <c r="O67" i="16"/>
  <c r="O159" i="27"/>
  <c r="N159" i="27"/>
  <c r="U92" i="27"/>
  <c r="O468" i="27"/>
  <c r="N468" i="27"/>
  <c r="O427" i="27"/>
  <c r="N427" i="27"/>
  <c r="U281" i="16"/>
  <c r="W281" i="16"/>
  <c r="W71" i="16"/>
  <c r="U71" i="16"/>
  <c r="U410" i="16"/>
  <c r="W410" i="16"/>
  <c r="W123" i="16"/>
  <c r="W93" i="16"/>
  <c r="W94" i="16"/>
  <c r="W289" i="16"/>
  <c r="U486" i="16"/>
  <c r="O459" i="27"/>
  <c r="N459" i="27"/>
  <c r="O25" i="27"/>
  <c r="N25" i="27"/>
  <c r="O296" i="27"/>
  <c r="N296" i="27"/>
  <c r="O394" i="27"/>
  <c r="N394" i="27"/>
  <c r="W143" i="16"/>
  <c r="U143" i="16"/>
  <c r="U389" i="16"/>
  <c r="U420" i="16"/>
  <c r="W420" i="16"/>
  <c r="U81" i="27"/>
  <c r="W368" i="16"/>
  <c r="W118" i="16"/>
  <c r="U314" i="16"/>
  <c r="W265" i="16"/>
  <c r="W141" i="16"/>
  <c r="N293" i="16"/>
  <c r="O293" i="16"/>
  <c r="O222" i="27"/>
  <c r="N222" i="27"/>
  <c r="U87" i="16"/>
  <c r="W87" i="16"/>
  <c r="W249" i="16"/>
  <c r="U92" i="16"/>
  <c r="W92" i="16"/>
  <c r="U287" i="16"/>
  <c r="W133" i="16"/>
  <c r="U133" i="16"/>
  <c r="U108" i="16"/>
  <c r="W362" i="16"/>
  <c r="U362" i="16"/>
  <c r="W102" i="16"/>
  <c r="U102" i="16"/>
  <c r="W307" i="16" l="1"/>
  <c r="W66" i="16"/>
  <c r="W336" i="16"/>
  <c r="U32" i="16"/>
  <c r="W494" i="16"/>
  <c r="U236" i="16"/>
  <c r="U166" i="16"/>
  <c r="U216" i="16"/>
  <c r="U508" i="16"/>
  <c r="U195" i="16"/>
  <c r="O104" i="27"/>
  <c r="N104" i="27"/>
  <c r="W502" i="16"/>
  <c r="U450" i="16"/>
  <c r="W40" i="16"/>
  <c r="U87" i="27"/>
  <c r="U196" i="16"/>
  <c r="U306" i="16"/>
  <c r="U491" i="16"/>
  <c r="U270" i="16"/>
  <c r="O107" i="27"/>
  <c r="U43" i="27"/>
  <c r="M5" i="27"/>
  <c r="W291" i="16"/>
  <c r="W509" i="16"/>
  <c r="U453" i="16"/>
  <c r="M88" i="27"/>
  <c r="U271" i="16"/>
  <c r="W58" i="16"/>
  <c r="W396" i="16"/>
  <c r="W113" i="16"/>
  <c r="W320" i="16"/>
  <c r="W245" i="16"/>
  <c r="W482" i="16"/>
  <c r="W402" i="16"/>
  <c r="M37" i="27"/>
  <c r="W500" i="16"/>
  <c r="O37" i="27"/>
  <c r="U197" i="16"/>
  <c r="W17" i="16"/>
  <c r="W55" i="16"/>
  <c r="W17" i="27"/>
  <c r="U9" i="27"/>
  <c r="W456" i="16"/>
  <c r="U159" i="16"/>
  <c r="W274" i="16"/>
  <c r="M39" i="27"/>
  <c r="W22" i="27"/>
  <c r="U97" i="16"/>
  <c r="W217" i="16"/>
  <c r="W113" i="27"/>
  <c r="U294" i="16"/>
  <c r="U220" i="16"/>
  <c r="O133" i="27"/>
  <c r="O56" i="27"/>
  <c r="U128" i="27"/>
  <c r="W46" i="27"/>
  <c r="W299" i="16"/>
  <c r="W77" i="16"/>
  <c r="U110" i="16"/>
  <c r="W38" i="27"/>
  <c r="W116" i="16"/>
  <c r="U401" i="16"/>
  <c r="U62" i="16"/>
  <c r="U37" i="27"/>
  <c r="U448" i="16"/>
  <c r="O17" i="27"/>
  <c r="U354" i="16"/>
  <c r="M14" i="27"/>
  <c r="W363" i="16"/>
  <c r="U421" i="16"/>
  <c r="W367" i="16"/>
  <c r="U88" i="27"/>
  <c r="U100" i="27"/>
  <c r="W119" i="16"/>
  <c r="W462" i="16"/>
  <c r="W104" i="27"/>
  <c r="U369" i="16"/>
  <c r="U293" i="16"/>
  <c r="W278" i="16"/>
  <c r="U142" i="27"/>
  <c r="W341" i="16"/>
  <c r="W135" i="16"/>
  <c r="U225" i="16"/>
  <c r="U82" i="27"/>
  <c r="U117" i="27"/>
  <c r="W68" i="16"/>
  <c r="U76" i="27"/>
  <c r="W110" i="27"/>
  <c r="U191" i="16"/>
  <c r="U185" i="16"/>
  <c r="W407" i="16"/>
  <c r="U132" i="27"/>
  <c r="W371" i="16"/>
  <c r="U325" i="16"/>
  <c r="W239" i="16"/>
  <c r="O103" i="27"/>
  <c r="M103" i="27"/>
  <c r="N19" i="27"/>
  <c r="W469" i="16"/>
  <c r="U116" i="27"/>
  <c r="U122" i="27"/>
  <c r="M125" i="27"/>
  <c r="O19" i="27"/>
  <c r="U112" i="16"/>
  <c r="U14" i="27"/>
  <c r="U458" i="16"/>
  <c r="W381" i="16"/>
  <c r="U457" i="16"/>
  <c r="W498" i="16"/>
  <c r="W132" i="16"/>
  <c r="W288" i="16"/>
  <c r="U24" i="16"/>
  <c r="U61" i="16"/>
  <c r="W176" i="16"/>
  <c r="U80" i="27"/>
  <c r="N5" i="27"/>
  <c r="U147" i="27"/>
  <c r="M141" i="27"/>
  <c r="W499" i="16"/>
  <c r="W208" i="16"/>
  <c r="M17" i="27"/>
  <c r="O127" i="27"/>
  <c r="W198" i="16"/>
  <c r="M82" i="27"/>
  <c r="W193" i="16"/>
  <c r="N82" i="27"/>
  <c r="W355" i="16"/>
  <c r="N127" i="27"/>
  <c r="O125" i="27"/>
  <c r="U460" i="16"/>
  <c r="W313" i="16"/>
  <c r="M38" i="27"/>
  <c r="W397" i="16"/>
  <c r="W232" i="16"/>
  <c r="U187" i="16"/>
  <c r="W160" i="16"/>
  <c r="W59" i="27"/>
  <c r="W63" i="27"/>
  <c r="U111" i="27"/>
  <c r="W221" i="16"/>
  <c r="W16" i="16"/>
  <c r="W506" i="16"/>
  <c r="U98" i="27"/>
  <c r="U376" i="16"/>
  <c r="U64" i="16"/>
  <c r="U346" i="16"/>
  <c r="U484" i="16"/>
  <c r="U76" i="16"/>
  <c r="U487" i="16"/>
  <c r="W45" i="16"/>
  <c r="W54" i="16"/>
  <c r="W35" i="27"/>
  <c r="U334" i="27"/>
  <c r="W125" i="27"/>
  <c r="O29" i="27"/>
  <c r="M93" i="27"/>
  <c r="W133" i="27"/>
  <c r="N115" i="27"/>
  <c r="M29" i="27"/>
  <c r="O115" i="27"/>
  <c r="W73" i="27"/>
  <c r="U477" i="27"/>
  <c r="N79" i="27"/>
  <c r="W127" i="27"/>
  <c r="U77" i="27"/>
  <c r="U79" i="27"/>
  <c r="W75" i="16"/>
  <c r="U497" i="16"/>
  <c r="U74" i="27"/>
  <c r="W175" i="16"/>
  <c r="U117" i="16"/>
  <c r="W105" i="27"/>
  <c r="W348" i="16"/>
  <c r="U99" i="27"/>
  <c r="U124" i="27"/>
  <c r="U135" i="27"/>
  <c r="W356" i="16"/>
  <c r="N111" i="27"/>
  <c r="U7" i="27"/>
  <c r="M111" i="27"/>
  <c r="U90" i="27"/>
  <c r="U72" i="16"/>
  <c r="W13" i="27"/>
  <c r="U69" i="27"/>
  <c r="U73" i="16"/>
  <c r="W4" i="27"/>
  <c r="W106" i="27"/>
  <c r="W53" i="27"/>
  <c r="W58" i="27"/>
  <c r="W67" i="16"/>
  <c r="O26" i="27"/>
  <c r="U141" i="27"/>
  <c r="U109" i="27"/>
  <c r="W137" i="27"/>
  <c r="W130" i="27"/>
  <c r="W49" i="27"/>
  <c r="W146" i="27"/>
  <c r="U52" i="27"/>
  <c r="W102" i="27"/>
  <c r="M79" i="27"/>
  <c r="W51" i="27"/>
  <c r="W107" i="27"/>
  <c r="W71" i="27"/>
  <c r="U8" i="27"/>
  <c r="U139" i="27"/>
  <c r="W11" i="27"/>
  <c r="U44" i="27"/>
  <c r="M45" i="27"/>
  <c r="U131" i="27"/>
  <c r="W27" i="27"/>
  <c r="U64" i="27"/>
  <c r="W67" i="27"/>
  <c r="N45" i="27"/>
  <c r="U57" i="27"/>
  <c r="W6" i="27"/>
  <c r="U55" i="27"/>
  <c r="W29" i="27"/>
  <c r="U56" i="27"/>
  <c r="W286" i="27"/>
  <c r="O109" i="27"/>
  <c r="M449" i="16"/>
  <c r="W143" i="27"/>
  <c r="W144" i="27"/>
  <c r="W74" i="16"/>
  <c r="O300" i="16"/>
  <c r="N300" i="16"/>
  <c r="W48" i="27"/>
  <c r="W19" i="16"/>
  <c r="U95" i="27"/>
  <c r="U120" i="27"/>
  <c r="M196" i="16"/>
  <c r="U112" i="27"/>
  <c r="M90" i="27"/>
  <c r="N90" i="27"/>
  <c r="W26" i="27"/>
  <c r="U101" i="27"/>
  <c r="O9" i="27"/>
  <c r="N9" i="27"/>
  <c r="U47" i="27"/>
  <c r="W94" i="27"/>
  <c r="M65" i="27"/>
  <c r="O62" i="27"/>
  <c r="M62" i="27"/>
  <c r="M77" i="27"/>
  <c r="U333" i="27"/>
  <c r="O71" i="27"/>
  <c r="M146" i="27"/>
  <c r="M109" i="27"/>
  <c r="U36" i="27"/>
  <c r="U70" i="27"/>
  <c r="U467" i="27"/>
  <c r="U75" i="27"/>
  <c r="M6" i="27"/>
  <c r="U18" i="27"/>
  <c r="W50" i="27"/>
  <c r="N65" i="27"/>
  <c r="N33" i="27"/>
  <c r="M33" i="27"/>
  <c r="O6" i="27"/>
  <c r="W136" i="27"/>
  <c r="M35" i="27"/>
  <c r="U45" i="27"/>
  <c r="M102" i="27"/>
  <c r="U70" i="16"/>
  <c r="O210" i="16"/>
  <c r="M352" i="16"/>
  <c r="W78" i="27"/>
  <c r="U34" i="27"/>
  <c r="W21" i="27"/>
  <c r="U114" i="27"/>
  <c r="W231" i="16"/>
  <c r="W145" i="27"/>
  <c r="W96" i="27"/>
  <c r="O46" i="27"/>
  <c r="M368" i="16"/>
  <c r="M46" i="27"/>
  <c r="M11" i="27"/>
  <c r="U138" i="27"/>
  <c r="M254" i="16"/>
  <c r="W119" i="27"/>
  <c r="O11" i="27"/>
  <c r="M110" i="16"/>
  <c r="M208" i="16"/>
  <c r="M158" i="16"/>
  <c r="M127" i="16"/>
  <c r="O310" i="16"/>
  <c r="M62" i="16"/>
  <c r="M375" i="16"/>
  <c r="N107" i="16"/>
  <c r="M155" i="16"/>
  <c r="M503" i="16"/>
  <c r="M107" i="16"/>
  <c r="M234" i="16"/>
  <c r="M474" i="16"/>
  <c r="M345" i="16"/>
  <c r="M43" i="16"/>
  <c r="M103" i="16"/>
  <c r="M310" i="16"/>
  <c r="O54" i="16"/>
  <c r="M510" i="16"/>
  <c r="M421" i="16"/>
  <c r="M250" i="16"/>
  <c r="M462" i="16"/>
  <c r="M25" i="16"/>
  <c r="M8" i="16"/>
  <c r="M500" i="16"/>
  <c r="M385" i="16"/>
  <c r="N25" i="16"/>
  <c r="M125" i="16"/>
  <c r="M129" i="16"/>
  <c r="M435" i="16"/>
  <c r="M101" i="16"/>
  <c r="M342" i="16"/>
  <c r="M191" i="16"/>
  <c r="M351" i="16"/>
  <c r="M94" i="16"/>
  <c r="O462" i="16"/>
  <c r="M427" i="16"/>
  <c r="N102" i="27"/>
  <c r="U72" i="27"/>
  <c r="M18" i="27"/>
  <c r="M136" i="27"/>
  <c r="O136" i="27"/>
  <c r="N89" i="16"/>
  <c r="M505" i="16"/>
  <c r="M463" i="16"/>
  <c r="M7" i="16"/>
  <c r="M388" i="16"/>
  <c r="M392" i="16"/>
  <c r="M119" i="16"/>
  <c r="M16" i="16"/>
  <c r="M439" i="16"/>
  <c r="M9" i="16"/>
  <c r="M89" i="16"/>
  <c r="M141" i="16"/>
  <c r="M492" i="16"/>
  <c r="M175" i="16"/>
  <c r="M115" i="16"/>
  <c r="U33" i="27"/>
  <c r="M20" i="16"/>
  <c r="M486" i="16"/>
  <c r="M213" i="16"/>
  <c r="M192" i="16"/>
  <c r="M114" i="16"/>
  <c r="O492" i="16"/>
  <c r="M78" i="27"/>
  <c r="M179" i="16"/>
  <c r="M390" i="16"/>
  <c r="M268" i="16"/>
  <c r="M483" i="16"/>
  <c r="M34" i="16"/>
  <c r="M184" i="16"/>
  <c r="M220" i="16"/>
  <c r="M246" i="16"/>
  <c r="N246" i="16"/>
  <c r="M456" i="16"/>
  <c r="U54" i="27"/>
  <c r="M458" i="16"/>
  <c r="M232" i="16"/>
  <c r="O18" i="27"/>
  <c r="M226" i="16"/>
  <c r="N379" i="16"/>
  <c r="W516" i="16"/>
  <c r="M15" i="16"/>
  <c r="M201" i="16"/>
  <c r="M326" i="16"/>
  <c r="M318" i="16"/>
  <c r="M134" i="16"/>
  <c r="M431" i="16"/>
  <c r="M195" i="16"/>
  <c r="M50" i="16"/>
  <c r="M210" i="16"/>
  <c r="M379" i="16"/>
  <c r="M131" i="16"/>
  <c r="M91" i="16"/>
  <c r="M459" i="16"/>
  <c r="M45" i="16"/>
  <c r="M165" i="16"/>
  <c r="M519" i="16"/>
  <c r="M371" i="16"/>
  <c r="M267" i="16"/>
  <c r="M330" i="16"/>
  <c r="M122" i="16"/>
  <c r="M404" i="16"/>
  <c r="M128" i="16"/>
  <c r="M198" i="16"/>
  <c r="N131" i="16"/>
  <c r="O43" i="16"/>
  <c r="M356" i="16"/>
  <c r="M199" i="16"/>
  <c r="M512" i="16"/>
  <c r="M484" i="16"/>
  <c r="N61" i="27"/>
  <c r="M373" i="16"/>
  <c r="M104" i="16"/>
  <c r="M27" i="16"/>
  <c r="M183" i="16"/>
  <c r="M365" i="16"/>
  <c r="O194" i="16"/>
  <c r="O117" i="27"/>
  <c r="O112" i="27"/>
  <c r="N112" i="27"/>
  <c r="O139" i="27"/>
  <c r="N139" i="27"/>
  <c r="M194" i="16"/>
  <c r="M251" i="16"/>
  <c r="N440" i="16"/>
  <c r="M440" i="16"/>
  <c r="O397" i="16"/>
  <c r="N78" i="27"/>
  <c r="M406" i="16"/>
  <c r="M420" i="16"/>
  <c r="M150" i="16"/>
  <c r="M490" i="16"/>
  <c r="M425" i="16"/>
  <c r="M316" i="16"/>
  <c r="M355" i="16"/>
  <c r="M315" i="16"/>
  <c r="M438" i="16"/>
  <c r="M381" i="16"/>
  <c r="O60" i="27"/>
  <c r="O43" i="27"/>
  <c r="M457" i="16"/>
  <c r="M307" i="16"/>
  <c r="M178" i="16"/>
  <c r="M399" i="16"/>
  <c r="M464" i="16"/>
  <c r="M84" i="16"/>
  <c r="M494" i="16"/>
  <c r="M236" i="16"/>
  <c r="M147" i="16"/>
  <c r="N484" i="16"/>
  <c r="M300" i="16"/>
  <c r="M112" i="16"/>
  <c r="M87" i="16"/>
  <c r="M177" i="16"/>
  <c r="M238" i="16"/>
  <c r="M313" i="16"/>
  <c r="M328" i="16"/>
  <c r="M13" i="16"/>
  <c r="M299" i="16"/>
  <c r="M207" i="16"/>
  <c r="M260" i="16"/>
  <c r="M168" i="16"/>
  <c r="M413" i="16"/>
  <c r="M142" i="16"/>
  <c r="M290" i="16"/>
  <c r="N142" i="16"/>
  <c r="N512" i="16"/>
  <c r="M295" i="16"/>
  <c r="M55" i="16"/>
  <c r="M407" i="16"/>
  <c r="M460" i="16"/>
  <c r="M133" i="16"/>
  <c r="O470" i="16"/>
  <c r="O478" i="16"/>
  <c r="M163" i="16"/>
  <c r="M279" i="16"/>
  <c r="M60" i="16"/>
  <c r="M418" i="16"/>
  <c r="M443" i="16"/>
  <c r="M360" i="16"/>
  <c r="M487" i="16"/>
  <c r="M347" i="16"/>
  <c r="M478" i="16"/>
  <c r="M256" i="16"/>
  <c r="M384" i="16"/>
  <c r="M323" i="16"/>
  <c r="M99" i="16"/>
  <c r="M396" i="16"/>
  <c r="M252" i="16"/>
  <c r="M116" i="16"/>
  <c r="M265" i="16"/>
  <c r="M247" i="16"/>
  <c r="M54" i="16"/>
  <c r="M86" i="16"/>
  <c r="O504" i="16"/>
  <c r="M57" i="16"/>
  <c r="M48" i="16"/>
  <c r="M414" i="16"/>
  <c r="M240" i="16"/>
  <c r="M173" i="16"/>
  <c r="N359" i="16"/>
  <c r="M169" i="16"/>
  <c r="M146" i="16"/>
  <c r="M294" i="16"/>
  <c r="M309" i="16"/>
  <c r="M374" i="16"/>
  <c r="M148" i="16"/>
  <c r="N178" i="16"/>
  <c r="M359" i="16"/>
  <c r="M442" i="16"/>
  <c r="O384" i="16"/>
  <c r="M82" i="16"/>
  <c r="M239" i="16"/>
  <c r="M341" i="16"/>
  <c r="M117" i="16"/>
  <c r="M166" i="16"/>
  <c r="N271" i="16"/>
  <c r="M397" i="16"/>
  <c r="O386" i="16"/>
  <c r="M380" i="16"/>
  <c r="M461" i="16"/>
  <c r="M221" i="16"/>
  <c r="M321" i="16"/>
  <c r="M451" i="16"/>
  <c r="M394" i="16"/>
  <c r="M212" i="16"/>
  <c r="M283" i="16"/>
  <c r="O249" i="16"/>
  <c r="N265" i="16"/>
  <c r="M58" i="16"/>
  <c r="O444" i="16"/>
  <c r="M513" i="16"/>
  <c r="M93" i="16"/>
  <c r="M216" i="16"/>
  <c r="M135" i="16"/>
  <c r="M274" i="16"/>
  <c r="M386" i="16"/>
  <c r="M402" i="16"/>
  <c r="M32" i="16"/>
  <c r="M370" i="16"/>
  <c r="M56" i="16"/>
  <c r="M444" i="16"/>
  <c r="M324" i="16"/>
  <c r="M301" i="16"/>
  <c r="M354" i="16"/>
  <c r="M391" i="16"/>
  <c r="M218" i="16"/>
  <c r="M436" i="16"/>
  <c r="M105" i="16"/>
  <c r="M157" i="16"/>
  <c r="O513" i="16"/>
  <c r="M52" i="16"/>
  <c r="M470" i="16"/>
  <c r="O132" i="16"/>
  <c r="M395" i="16"/>
  <c r="M132" i="16"/>
  <c r="M306" i="16"/>
  <c r="N504" i="16"/>
  <c r="M286" i="16"/>
  <c r="M387" i="16"/>
  <c r="O374" i="16"/>
  <c r="O130" i="16"/>
  <c r="N514" i="16"/>
  <c r="N402" i="16"/>
  <c r="M349" i="16"/>
  <c r="M335" i="16"/>
  <c r="M185" i="16"/>
  <c r="M362" i="16"/>
  <c r="M106" i="16"/>
  <c r="M143" i="16"/>
  <c r="M357" i="16"/>
  <c r="M423" i="16"/>
  <c r="M38" i="16"/>
  <c r="M130" i="16"/>
  <c r="M170" i="16"/>
  <c r="M369" i="16"/>
  <c r="M17" i="16"/>
  <c r="M466" i="16"/>
  <c r="O349" i="16"/>
  <c r="M187" i="16"/>
  <c r="M39" i="16"/>
  <c r="M448" i="16"/>
  <c r="M320" i="16"/>
  <c r="N251" i="16"/>
  <c r="M249" i="16"/>
  <c r="O185" i="16"/>
  <c r="M331" i="16"/>
  <c r="N427" i="16"/>
  <c r="O481" i="16"/>
  <c r="M11" i="16"/>
  <c r="M271" i="16"/>
  <c r="N232" i="16"/>
  <c r="M411" i="16"/>
  <c r="M24" i="16"/>
  <c r="U123" i="27"/>
  <c r="O427" i="16"/>
  <c r="M53" i="16"/>
  <c r="M151" i="16"/>
  <c r="M334" i="16"/>
  <c r="M253" i="16"/>
  <c r="M245" i="16"/>
  <c r="M205" i="16"/>
  <c r="U68" i="27"/>
  <c r="W115" i="27"/>
  <c r="M159" i="16"/>
  <c r="M266" i="16"/>
  <c r="O456" i="16"/>
  <c r="M161" i="16"/>
  <c r="M172" i="16"/>
  <c r="M481" i="16"/>
  <c r="M511" i="16"/>
  <c r="M90" i="16"/>
  <c r="M235" i="16"/>
  <c r="M6" i="16"/>
  <c r="M278" i="16"/>
  <c r="M476" i="16"/>
  <c r="M509" i="16"/>
  <c r="M339" i="16"/>
  <c r="M137" i="16"/>
  <c r="N501" i="16"/>
  <c r="N456" i="16"/>
  <c r="U32" i="27"/>
  <c r="M41" i="16"/>
  <c r="M501" i="16"/>
  <c r="M303" i="16"/>
  <c r="O137" i="16"/>
  <c r="M29" i="16"/>
  <c r="M145" i="16"/>
  <c r="M376" i="16"/>
  <c r="M83" i="16"/>
  <c r="M21" i="16"/>
  <c r="M416" i="16"/>
  <c r="M506" i="16"/>
  <c r="M508" i="16"/>
  <c r="M202" i="16"/>
  <c r="W140" i="27"/>
  <c r="M215" i="16"/>
  <c r="M96" i="16"/>
  <c r="M312" i="16"/>
  <c r="O120" i="16"/>
  <c r="U85" i="27"/>
  <c r="M47" i="16"/>
  <c r="O312" i="16"/>
  <c r="M344" i="16"/>
  <c r="M337" i="16"/>
  <c r="N376" i="16"/>
  <c r="M244" i="16"/>
  <c r="M167" i="16"/>
  <c r="M329" i="16"/>
  <c r="M270" i="16"/>
  <c r="M120" i="16"/>
  <c r="M181" i="16"/>
  <c r="M209" i="16"/>
  <c r="M5" i="16"/>
  <c r="O455" i="16"/>
  <c r="N222" i="16"/>
  <c r="M455" i="16"/>
  <c r="M465" i="16"/>
  <c r="M291" i="16"/>
  <c r="M336" i="16"/>
  <c r="M507" i="16"/>
  <c r="M222" i="16"/>
  <c r="M33" i="16"/>
  <c r="M432" i="16"/>
  <c r="M231" i="16"/>
  <c r="M393" i="16"/>
  <c r="M176" i="16"/>
  <c r="M65" i="16"/>
  <c r="M497" i="16"/>
  <c r="N202" i="16"/>
  <c r="O202" i="16"/>
  <c r="M109" i="16"/>
  <c r="M186" i="16"/>
  <c r="M429" i="16"/>
  <c r="M366" i="16"/>
  <c r="M493" i="16"/>
  <c r="N176" i="16"/>
  <c r="O176" i="16"/>
  <c r="N65" i="16"/>
  <c r="O65" i="16"/>
  <c r="N429" i="16"/>
  <c r="O429" i="16"/>
  <c r="N493" i="16"/>
  <c r="O493" i="16"/>
  <c r="M516" i="16"/>
  <c r="M430" i="16"/>
  <c r="M225" i="16"/>
  <c r="M401" i="16"/>
  <c r="W10" i="27"/>
  <c r="M10" i="16"/>
  <c r="M475" i="16"/>
  <c r="M243" i="16"/>
  <c r="M19" i="16"/>
  <c r="M49" i="16"/>
  <c r="O465" i="16"/>
  <c r="N465" i="16"/>
  <c r="M302" i="16"/>
  <c r="M327" i="16"/>
  <c r="M468" i="16"/>
  <c r="M242" i="16"/>
  <c r="M445" i="16"/>
  <c r="N302" i="16"/>
  <c r="O302" i="16"/>
  <c r="W284" i="27"/>
  <c r="U203" i="27"/>
  <c r="N245" i="27"/>
  <c r="W288" i="27"/>
  <c r="N173" i="27"/>
  <c r="N163" i="27"/>
  <c r="N75" i="16"/>
  <c r="N212" i="27"/>
  <c r="M286" i="27"/>
  <c r="N4" i="27"/>
  <c r="N382" i="27"/>
  <c r="O245" i="27"/>
  <c r="N24" i="27"/>
  <c r="O328" i="27"/>
  <c r="N465" i="27"/>
  <c r="O498" i="27"/>
  <c r="O292" i="27"/>
  <c r="N74" i="27"/>
  <c r="O232" i="27"/>
  <c r="N185" i="27"/>
  <c r="N96" i="27"/>
  <c r="O387" i="27"/>
  <c r="M96" i="27"/>
  <c r="N368" i="27"/>
  <c r="N372" i="27"/>
  <c r="O294" i="27"/>
  <c r="N314" i="27"/>
  <c r="O474" i="27"/>
  <c r="O407" i="27"/>
  <c r="M272" i="27"/>
  <c r="M261" i="27"/>
  <c r="N455" i="27"/>
  <c r="M292" i="27"/>
  <c r="O151" i="27"/>
  <c r="O446" i="27"/>
  <c r="U61" i="27"/>
  <c r="U413" i="27"/>
  <c r="O211" i="27"/>
  <c r="N268" i="27"/>
  <c r="M151" i="27"/>
  <c r="N334" i="27"/>
  <c r="O259" i="27"/>
  <c r="O477" i="27"/>
  <c r="M248" i="27"/>
  <c r="O144" i="27"/>
  <c r="M387" i="27"/>
  <c r="M74" i="27"/>
  <c r="N422" i="27"/>
  <c r="O336" i="27"/>
  <c r="O214" i="27"/>
  <c r="O206" i="27"/>
  <c r="M61" i="27"/>
  <c r="M288" i="27"/>
  <c r="N379" i="27"/>
  <c r="M268" i="27"/>
  <c r="N155" i="27"/>
  <c r="N306" i="27"/>
  <c r="M334" i="27"/>
  <c r="O483" i="27"/>
  <c r="O469" i="27"/>
  <c r="N410" i="27"/>
  <c r="N421" i="27"/>
  <c r="M410" i="27"/>
  <c r="M211" i="27"/>
  <c r="M155" i="27"/>
  <c r="N218" i="27"/>
  <c r="O248" i="27"/>
  <c r="M173" i="27"/>
  <c r="N327" i="27"/>
  <c r="O50" i="27"/>
  <c r="O463" i="27"/>
  <c r="M42" i="27"/>
  <c r="N217" i="27"/>
  <c r="N249" i="27"/>
  <c r="N50" i="27"/>
  <c r="O249" i="27"/>
  <c r="N42" i="27"/>
  <c r="M4" i="27"/>
  <c r="M421" i="27"/>
  <c r="N28" i="27"/>
  <c r="O515" i="27"/>
  <c r="N300" i="27"/>
  <c r="N280" i="27"/>
  <c r="N362" i="27"/>
  <c r="O490" i="27"/>
  <c r="O300" i="27"/>
  <c r="U382" i="27"/>
  <c r="U519" i="27"/>
  <c r="W25" i="27"/>
  <c r="U270" i="27"/>
  <c r="U439" i="27"/>
  <c r="N174" i="27"/>
  <c r="N475" i="27"/>
  <c r="M28" i="27"/>
  <c r="N440" i="27"/>
  <c r="M403" i="27"/>
  <c r="M88" i="16"/>
  <c r="O30" i="27"/>
  <c r="N30" i="27"/>
  <c r="N516" i="27"/>
  <c r="O153" i="27"/>
  <c r="M320" i="27"/>
  <c r="N320" i="27"/>
  <c r="N418" i="27"/>
  <c r="N403" i="27"/>
  <c r="M475" i="27"/>
  <c r="M217" i="27"/>
  <c r="O277" i="27"/>
  <c r="M281" i="27"/>
  <c r="M153" i="27"/>
  <c r="M158" i="27"/>
  <c r="M24" i="27"/>
  <c r="M407" i="27"/>
  <c r="M20" i="27"/>
  <c r="M455" i="27"/>
  <c r="M280" i="16"/>
  <c r="O158" i="27"/>
  <c r="N126" i="27"/>
  <c r="W497" i="27"/>
  <c r="O399" i="27"/>
  <c r="M498" i="27"/>
  <c r="U339" i="27"/>
  <c r="W228" i="27"/>
  <c r="W155" i="27"/>
  <c r="M422" i="16"/>
  <c r="O425" i="27"/>
  <c r="N453" i="27"/>
  <c r="O126" i="27"/>
  <c r="O156" i="27"/>
  <c r="M250" i="27"/>
  <c r="W66" i="27"/>
  <c r="M425" i="27"/>
  <c r="N445" i="27"/>
  <c r="N378" i="27"/>
  <c r="O289" i="27"/>
  <c r="O359" i="27"/>
  <c r="M202" i="27"/>
  <c r="M446" i="16"/>
  <c r="M515" i="27"/>
  <c r="O284" i="27"/>
  <c r="M276" i="27"/>
  <c r="O281" i="27"/>
  <c r="O169" i="27"/>
  <c r="N184" i="27"/>
  <c r="M156" i="16"/>
  <c r="M206" i="16"/>
  <c r="N509" i="27"/>
  <c r="M163" i="27"/>
  <c r="M232" i="27"/>
  <c r="M185" i="27"/>
  <c r="M422" i="27"/>
  <c r="M265" i="27"/>
  <c r="M400" i="27"/>
  <c r="M117" i="27"/>
  <c r="M516" i="27"/>
  <c r="M356" i="27"/>
  <c r="M415" i="27"/>
  <c r="M214" i="27"/>
  <c r="M27" i="27"/>
  <c r="M418" i="27"/>
  <c r="M463" i="27"/>
  <c r="M294" i="27"/>
  <c r="M493" i="27"/>
  <c r="M41" i="27"/>
  <c r="M377" i="27"/>
  <c r="M171" i="27"/>
  <c r="M278" i="27"/>
  <c r="M469" i="27"/>
  <c r="M399" i="27"/>
  <c r="M156" i="27"/>
  <c r="O20" i="27"/>
  <c r="N484" i="27"/>
  <c r="M406" i="27"/>
  <c r="N393" i="27"/>
  <c r="W238" i="27"/>
  <c r="W520" i="27"/>
  <c r="W354" i="27"/>
  <c r="N41" i="27"/>
  <c r="N464" i="27"/>
  <c r="M435" i="27"/>
  <c r="M138" i="27"/>
  <c r="M393" i="27"/>
  <c r="N27" i="27"/>
  <c r="O487" i="27"/>
  <c r="O210" i="27"/>
  <c r="O338" i="27"/>
  <c r="O316" i="27"/>
  <c r="O286" i="27"/>
  <c r="O478" i="27"/>
  <c r="N206" i="27"/>
  <c r="N162" i="27"/>
  <c r="O75" i="27"/>
  <c r="O405" i="27"/>
  <c r="M198" i="27"/>
  <c r="M464" i="27"/>
  <c r="M212" i="27"/>
  <c r="M379" i="27"/>
  <c r="M482" i="27"/>
  <c r="M428" i="27"/>
  <c r="M426" i="27"/>
  <c r="M430" i="27"/>
  <c r="O250" i="27"/>
  <c r="N209" i="27"/>
  <c r="N172" i="27"/>
  <c r="O161" i="27"/>
  <c r="M423" i="27"/>
  <c r="M209" i="27"/>
  <c r="M487" i="27"/>
  <c r="O430" i="27"/>
  <c r="M241" i="27"/>
  <c r="U445" i="27"/>
  <c r="M490" i="27"/>
  <c r="O138" i="27"/>
  <c r="M323" i="27"/>
  <c r="N426" i="27"/>
  <c r="O307" i="27"/>
  <c r="M481" i="27"/>
  <c r="W327" i="27"/>
  <c r="W185" i="27"/>
  <c r="N244" i="27"/>
  <c r="O461" i="27"/>
  <c r="M382" i="27"/>
  <c r="O435" i="27"/>
  <c r="U164" i="27"/>
  <c r="W512" i="27"/>
  <c r="U369" i="27"/>
  <c r="W239" i="27"/>
  <c r="U423" i="27"/>
  <c r="U499" i="27"/>
  <c r="U414" i="27"/>
  <c r="W518" i="27"/>
  <c r="U358" i="27"/>
  <c r="W364" i="27"/>
  <c r="U361" i="27"/>
  <c r="U309" i="27"/>
  <c r="W322" i="27"/>
  <c r="U318" i="27"/>
  <c r="U307" i="27"/>
  <c r="W41" i="27"/>
  <c r="N414" i="27"/>
  <c r="M238" i="27"/>
  <c r="M485" i="27"/>
  <c r="M253" i="27"/>
  <c r="M372" i="27"/>
  <c r="M441" i="27"/>
  <c r="O227" i="27"/>
  <c r="M391" i="27"/>
  <c r="M190" i="27"/>
  <c r="M357" i="27"/>
  <c r="W242" i="27"/>
  <c r="W186" i="27"/>
  <c r="W15" i="27"/>
  <c r="U266" i="27"/>
  <c r="U466" i="27"/>
  <c r="W233" i="27"/>
  <c r="U154" i="27"/>
  <c r="W373" i="27"/>
  <c r="W396" i="27"/>
  <c r="W183" i="27"/>
  <c r="U336" i="27"/>
  <c r="W291" i="27"/>
  <c r="U484" i="27"/>
  <c r="U296" i="27"/>
  <c r="W471" i="27"/>
  <c r="W410" i="27"/>
  <c r="W290" i="27"/>
  <c r="W178" i="27"/>
  <c r="U391" i="27"/>
  <c r="W169" i="27"/>
  <c r="U508" i="27"/>
  <c r="U341" i="27"/>
  <c r="U363" i="27"/>
  <c r="W163" i="27"/>
  <c r="W187" i="27"/>
  <c r="U218" i="27"/>
  <c r="U430" i="27"/>
  <c r="W297" i="27"/>
  <c r="U422" i="27"/>
  <c r="W398" i="27"/>
  <c r="W152" i="27"/>
  <c r="U480" i="27"/>
  <c r="W420" i="27"/>
  <c r="W208" i="27"/>
  <c r="W437" i="27"/>
  <c r="W248" i="27"/>
  <c r="W417" i="27"/>
  <c r="U173" i="27"/>
  <c r="U182" i="27"/>
  <c r="W150" i="27"/>
  <c r="W320" i="27"/>
  <c r="W188" i="27"/>
  <c r="W415" i="27"/>
  <c r="W177" i="27"/>
  <c r="W405" i="27"/>
  <c r="W475" i="27"/>
  <c r="U276" i="27"/>
  <c r="U303" i="27"/>
  <c r="U198" i="27"/>
  <c r="W454" i="27"/>
  <c r="W479" i="27"/>
  <c r="U347" i="27"/>
  <c r="W31" i="27"/>
  <c r="U472" i="27"/>
  <c r="W269" i="27"/>
  <c r="W16" i="27"/>
  <c r="W366" i="27"/>
  <c r="U340" i="27"/>
  <c r="W496" i="27"/>
  <c r="U274" i="27"/>
  <c r="U192" i="27"/>
  <c r="U5" i="27"/>
  <c r="W392" i="27"/>
  <c r="U181" i="27"/>
  <c r="U516" i="27"/>
  <c r="W204" i="27"/>
  <c r="U231" i="27"/>
  <c r="U158" i="27"/>
  <c r="U271" i="27"/>
  <c r="U386" i="27"/>
  <c r="W351" i="27"/>
  <c r="W375" i="27"/>
  <c r="W263" i="27"/>
  <c r="W180" i="27"/>
  <c r="W219" i="27"/>
  <c r="W258" i="27"/>
  <c r="U456" i="27"/>
  <c r="W493" i="27"/>
  <c r="U495" i="27"/>
  <c r="W506" i="27"/>
  <c r="W372" i="27"/>
  <c r="W285" i="27"/>
  <c r="U448" i="27"/>
  <c r="O376" i="27"/>
  <c r="W501" i="27"/>
  <c r="O423" i="27"/>
  <c r="O241" i="27"/>
  <c r="N357" i="27"/>
  <c r="M484" i="27"/>
  <c r="M413" i="27"/>
  <c r="N356" i="27"/>
  <c r="N267" i="27"/>
  <c r="W464" i="27"/>
  <c r="O396" i="27"/>
  <c r="M236" i="27"/>
  <c r="N241" i="27"/>
  <c r="M308" i="27"/>
  <c r="O315" i="27"/>
  <c r="N323" i="27"/>
  <c r="N326" i="27"/>
  <c r="M315" i="27"/>
  <c r="W227" i="27"/>
  <c r="N423" i="27"/>
  <c r="U30" i="27"/>
  <c r="O357" i="27"/>
  <c r="W275" i="27"/>
  <c r="W199" i="27"/>
  <c r="U436" i="27"/>
  <c r="U295" i="27"/>
  <c r="O190" i="27"/>
  <c r="O276" i="27"/>
  <c r="M267" i="27"/>
  <c r="M75" i="27"/>
  <c r="M227" i="27"/>
  <c r="N448" i="27"/>
  <c r="O370" i="27"/>
  <c r="O10" i="27"/>
  <c r="N508" i="27"/>
  <c r="O429" i="27"/>
  <c r="O462" i="27"/>
  <c r="M10" i="27"/>
  <c r="O377" i="27"/>
  <c r="M326" i="27"/>
  <c r="N482" i="27"/>
  <c r="N458" i="27"/>
  <c r="M43" i="27"/>
  <c r="U234" i="27"/>
  <c r="W412" i="27"/>
  <c r="U399" i="27"/>
  <c r="M508" i="27"/>
  <c r="O413" i="27"/>
  <c r="O402" i="27"/>
  <c r="N236" i="27"/>
  <c r="O152" i="27"/>
  <c r="U507" i="27"/>
  <c r="M351" i="27"/>
  <c r="M396" i="27"/>
  <c r="O374" i="27"/>
  <c r="W304" i="27"/>
  <c r="N375" i="27"/>
  <c r="W350" i="27"/>
  <c r="W419" i="27"/>
  <c r="O493" i="27"/>
  <c r="O440" i="27"/>
  <c r="M318" i="27"/>
  <c r="N279" i="27"/>
  <c r="N384" i="27"/>
  <c r="N479" i="27"/>
  <c r="M230" i="27"/>
  <c r="O198" i="27"/>
  <c r="W23" i="27"/>
  <c r="M341" i="27"/>
  <c r="O308" i="27"/>
  <c r="M374" i="27"/>
  <c r="U442" i="27"/>
  <c r="O473" i="27"/>
  <c r="U209" i="27"/>
  <c r="W250" i="27"/>
  <c r="O482" i="27"/>
  <c r="N272" i="27"/>
  <c r="N288" i="27"/>
  <c r="O428" i="27"/>
  <c r="W395" i="27"/>
  <c r="M277" i="27"/>
  <c r="U394" i="27"/>
  <c r="U517" i="27"/>
  <c r="M375" i="27"/>
  <c r="N473" i="27"/>
  <c r="W197" i="27"/>
  <c r="U440" i="27"/>
  <c r="U455" i="27"/>
  <c r="U328" i="27"/>
  <c r="W312" i="27"/>
  <c r="U460" i="27"/>
  <c r="W200" i="27"/>
  <c r="W330" i="27"/>
  <c r="U343" i="27"/>
  <c r="W175" i="27"/>
  <c r="U411" i="27"/>
  <c r="W161" i="27"/>
  <c r="U461" i="27"/>
  <c r="U20" i="27"/>
  <c r="O261" i="27"/>
  <c r="N230" i="27"/>
  <c r="W406" i="27"/>
  <c r="O449" i="27"/>
  <c r="O182" i="27"/>
  <c r="W379" i="27"/>
  <c r="N319" i="27"/>
  <c r="U319" i="27"/>
  <c r="W349" i="27"/>
  <c r="N472" i="27"/>
  <c r="N196" i="27"/>
  <c r="M453" i="27"/>
  <c r="N341" i="27"/>
  <c r="W438" i="27"/>
  <c r="U488" i="27"/>
  <c r="N428" i="27"/>
  <c r="U344" i="27"/>
  <c r="W235" i="27"/>
  <c r="W376" i="27"/>
  <c r="W505" i="27"/>
  <c r="U229" i="27"/>
  <c r="U513" i="27"/>
  <c r="U216" i="27"/>
  <c r="U388" i="27"/>
  <c r="U393" i="27"/>
  <c r="U252" i="27"/>
  <c r="U481" i="27"/>
  <c r="M216" i="27"/>
  <c r="M279" i="27"/>
  <c r="N318" i="27"/>
  <c r="N411" i="27"/>
  <c r="O445" i="27"/>
  <c r="N216" i="27"/>
  <c r="N395" i="27"/>
  <c r="M471" i="27"/>
  <c r="W260" i="27"/>
  <c r="W167" i="27"/>
  <c r="W12" i="27"/>
  <c r="W251" i="27"/>
  <c r="U359" i="27"/>
  <c r="U476" i="27"/>
  <c r="W244" i="27"/>
  <c r="W360" i="27"/>
  <c r="W323" i="27"/>
  <c r="U232" i="27"/>
  <c r="W402" i="27"/>
  <c r="U301" i="27"/>
  <c r="U326" i="27"/>
  <c r="W431" i="27"/>
  <c r="W230" i="27"/>
  <c r="U435" i="27"/>
  <c r="W314" i="27"/>
  <c r="W385" i="27"/>
  <c r="U317" i="27"/>
  <c r="W452" i="27"/>
  <c r="U261" i="27"/>
  <c r="W503" i="27"/>
  <c r="W42" i="27"/>
  <c r="W156" i="27"/>
  <c r="W225" i="27"/>
  <c r="U433" i="27"/>
  <c r="W404" i="27"/>
  <c r="W162" i="27"/>
  <c r="W210" i="27"/>
  <c r="W315" i="27"/>
  <c r="U332" i="27"/>
  <c r="W482" i="27"/>
  <c r="U289" i="27"/>
  <c r="W380" i="27"/>
  <c r="U449" i="27"/>
  <c r="U387" i="27"/>
  <c r="W246" i="27"/>
  <c r="W498" i="27"/>
  <c r="W215" i="27"/>
  <c r="U491" i="27"/>
  <c r="U202" i="27"/>
  <c r="W170" i="27"/>
  <c r="U213" i="27"/>
  <c r="U313" i="27"/>
  <c r="W195" i="27"/>
  <c r="W287" i="27"/>
  <c r="W257" i="27"/>
  <c r="U357" i="27"/>
  <c r="W259" i="27"/>
  <c r="W281" i="27"/>
  <c r="U348" i="27"/>
  <c r="W174" i="27"/>
  <c r="W345" i="27"/>
  <c r="W407" i="27"/>
  <c r="W441" i="27"/>
  <c r="W515" i="27"/>
  <c r="W207" i="27"/>
  <c r="W149" i="27"/>
  <c r="W205" i="27"/>
  <c r="U473" i="27"/>
  <c r="W378" i="27"/>
  <c r="U159" i="27"/>
  <c r="U443" i="27"/>
  <c r="W176" i="27"/>
  <c r="W268" i="27"/>
  <c r="W310" i="27"/>
  <c r="W342" i="27"/>
  <c r="W429" i="27"/>
  <c r="W217" i="27"/>
  <c r="U335" i="27"/>
  <c r="U311" i="27"/>
  <c r="U490" i="27"/>
  <c r="U299" i="27"/>
  <c r="U282" i="27"/>
  <c r="U331" i="27"/>
  <c r="U425" i="27"/>
  <c r="U494" i="27"/>
  <c r="W153" i="27"/>
  <c r="U470" i="27"/>
  <c r="U346" i="27"/>
  <c r="U247" i="27"/>
  <c r="U432" i="27"/>
  <c r="W253" i="27"/>
  <c r="W214" i="27"/>
  <c r="W240" i="27"/>
  <c r="W447" i="27"/>
  <c r="W265" i="27"/>
  <c r="W492" i="27"/>
  <c r="U487" i="27"/>
  <c r="U294" i="27"/>
  <c r="U426" i="27"/>
  <c r="U374" i="27"/>
  <c r="U362" i="27"/>
  <c r="W444" i="27"/>
  <c r="U316" i="27"/>
  <c r="W160" i="27"/>
  <c r="W427" i="27"/>
  <c r="W353" i="27"/>
  <c r="W273" i="27"/>
  <c r="U416" i="27"/>
  <c r="U179" i="27"/>
  <c r="W408" i="27"/>
  <c r="W84" i="27"/>
  <c r="U424" i="27"/>
  <c r="W370" i="27"/>
  <c r="W381" i="27"/>
  <c r="U24" i="27"/>
  <c r="W367" i="27"/>
  <c r="W384" i="27"/>
  <c r="W511" i="27"/>
  <c r="U462" i="27"/>
  <c r="U292" i="27"/>
  <c r="U255" i="27"/>
  <c r="U157" i="27"/>
  <c r="W306" i="27"/>
  <c r="U300" i="27"/>
  <c r="W418" i="27"/>
  <c r="W206" i="27"/>
  <c r="W377" i="27"/>
  <c r="W403" i="27"/>
  <c r="W194" i="27"/>
  <c r="W165" i="27"/>
  <c r="W211" i="27"/>
  <c r="W129" i="27"/>
  <c r="W262" i="27"/>
  <c r="U308" i="27"/>
  <c r="O470" i="27"/>
  <c r="M362" i="27"/>
  <c r="M506" i="27"/>
  <c r="M395" i="27"/>
  <c r="M210" i="27"/>
  <c r="U421" i="27"/>
  <c r="M262" i="27"/>
  <c r="O262" i="27"/>
  <c r="U356" i="27"/>
  <c r="N392" i="27"/>
  <c r="O201" i="27"/>
  <c r="W483" i="27"/>
  <c r="M259" i="16"/>
  <c r="M153" i="16"/>
  <c r="N505" i="27"/>
  <c r="M162" i="27"/>
  <c r="N84" i="27"/>
  <c r="M280" i="27"/>
  <c r="M451" i="27"/>
  <c r="M244" i="27"/>
  <c r="M461" i="27"/>
  <c r="M405" i="27"/>
  <c r="M446" i="27"/>
  <c r="M378" i="27"/>
  <c r="W400" i="27"/>
  <c r="W193" i="27"/>
  <c r="U193" i="27"/>
  <c r="O319" i="27"/>
  <c r="W298" i="27"/>
  <c r="U298" i="27"/>
  <c r="M477" i="27"/>
  <c r="M336" i="27"/>
  <c r="M66" i="16"/>
  <c r="N66" i="16"/>
  <c r="O66" i="16"/>
  <c r="M306" i="27"/>
  <c r="M458" i="27"/>
  <c r="M259" i="27"/>
  <c r="W337" i="27"/>
  <c r="U337" i="27"/>
  <c r="O231" i="27"/>
  <c r="M142" i="27"/>
  <c r="M84" i="27"/>
  <c r="M231" i="27"/>
  <c r="U409" i="27"/>
  <c r="W409" i="27"/>
  <c r="U324" i="27"/>
  <c r="W324" i="27"/>
  <c r="M433" i="27"/>
  <c r="O457" i="27"/>
  <c r="M457" i="27"/>
  <c r="M370" i="27"/>
  <c r="M509" i="27"/>
  <c r="M307" i="27"/>
  <c r="M75" i="16"/>
  <c r="U237" i="27"/>
  <c r="W237" i="27"/>
  <c r="W514" i="27"/>
  <c r="M483" i="27"/>
  <c r="W325" i="27"/>
  <c r="U184" i="27"/>
  <c r="W184" i="27"/>
  <c r="W277" i="27"/>
  <c r="U277" i="27"/>
  <c r="O278" i="27"/>
  <c r="M139" i="27"/>
  <c r="U368" i="27"/>
  <c r="W368" i="27"/>
  <c r="M365" i="27"/>
  <c r="W329" i="27"/>
  <c r="U478" i="27"/>
  <c r="W478" i="27"/>
  <c r="W172" i="27"/>
  <c r="U172" i="27"/>
  <c r="M328" i="27"/>
  <c r="M172" i="27"/>
  <c r="W355" i="27"/>
  <c r="U474" i="27"/>
  <c r="M503" i="27"/>
  <c r="M176" i="27"/>
  <c r="M224" i="27"/>
  <c r="M420" i="27"/>
  <c r="W243" i="27"/>
  <c r="U243" i="27"/>
  <c r="N450" i="27"/>
  <c r="U278" i="27"/>
  <c r="U283" i="27"/>
  <c r="W283" i="27"/>
  <c r="U338" i="27"/>
  <c r="W338" i="27"/>
  <c r="O298" i="27"/>
  <c r="W65" i="27"/>
  <c r="U65" i="27"/>
  <c r="U224" i="27"/>
  <c r="W224" i="27"/>
  <c r="U390" i="27"/>
  <c r="W390" i="27"/>
  <c r="U236" i="27"/>
  <c r="W236" i="27"/>
  <c r="W489" i="27"/>
  <c r="U489" i="27"/>
  <c r="U60" i="27"/>
  <c r="W60" i="27"/>
  <c r="U428" i="27"/>
  <c r="W428" i="27"/>
  <c r="O7" i="27"/>
  <c r="N7" i="27"/>
  <c r="N451" i="27"/>
  <c r="W485" i="27"/>
  <c r="U485" i="27"/>
  <c r="O520" i="27"/>
  <c r="N520" i="27"/>
  <c r="O203" i="27"/>
  <c r="W469" i="27"/>
  <c r="M171" i="16"/>
  <c r="U212" i="27"/>
  <c r="W212" i="27"/>
  <c r="M144" i="27"/>
  <c r="N406" i="27"/>
  <c r="O406" i="27"/>
  <c r="M478" i="27"/>
  <c r="N181" i="27"/>
  <c r="M161" i="27"/>
  <c r="M184" i="27"/>
  <c r="M314" i="27"/>
  <c r="W279" i="27"/>
  <c r="U279" i="27"/>
  <c r="N142" i="27"/>
  <c r="U383" i="27"/>
  <c r="W383" i="27"/>
  <c r="M368" i="27"/>
  <c r="W293" i="27"/>
  <c r="U293" i="27"/>
  <c r="U463" i="27"/>
  <c r="W463" i="27"/>
  <c r="M218" i="27"/>
  <c r="M181" i="27"/>
  <c r="O441" i="27"/>
  <c r="N441" i="27"/>
  <c r="M359" i="27"/>
  <c r="M174" i="27"/>
  <c r="M465" i="27"/>
  <c r="W249" i="27"/>
  <c r="U249" i="27"/>
  <c r="W500" i="27"/>
  <c r="M520" i="27"/>
  <c r="W365" i="27"/>
  <c r="M479" i="27"/>
  <c r="M221" i="27"/>
  <c r="U465" i="27"/>
  <c r="W465" i="27"/>
  <c r="U166" i="27"/>
  <c r="U222" i="27"/>
  <c r="W222" i="27"/>
  <c r="M472" i="27"/>
  <c r="M324" i="27"/>
  <c r="M255" i="27"/>
  <c r="M462" i="27"/>
  <c r="M196" i="27"/>
  <c r="M15" i="27"/>
  <c r="M347" i="27"/>
  <c r="M474" i="27"/>
  <c r="U220" i="27"/>
  <c r="W220" i="27"/>
  <c r="U453" i="27"/>
  <c r="W453" i="27"/>
  <c r="O221" i="27"/>
  <c r="N221" i="27"/>
  <c r="U189" i="27"/>
  <c r="U389" i="27"/>
  <c r="W389" i="27"/>
  <c r="W457" i="27"/>
  <c r="U457" i="27"/>
  <c r="O253" i="27"/>
  <c r="N253" i="27"/>
  <c r="M112" i="27"/>
  <c r="M299" i="27"/>
  <c r="W148" i="27"/>
  <c r="W459" i="27"/>
  <c r="U459" i="27"/>
  <c r="M197" i="27"/>
  <c r="N171" i="27"/>
  <c r="M344" i="27"/>
  <c r="M207" i="27"/>
  <c r="M452" i="27"/>
  <c r="M416" i="27"/>
  <c r="M266" i="27"/>
  <c r="M150" i="27"/>
  <c r="M448" i="27"/>
  <c r="U241" i="27"/>
  <c r="U352" i="27"/>
  <c r="W352" i="27"/>
  <c r="U190" i="27"/>
  <c r="W190" i="27"/>
  <c r="M505" i="27"/>
  <c r="M201" i="27"/>
  <c r="N391" i="27"/>
  <c r="O391" i="27"/>
  <c r="O347" i="27"/>
  <c r="N347" i="27"/>
  <c r="O337" i="27"/>
  <c r="N337" i="27"/>
  <c r="M47" i="27"/>
  <c r="M346" i="27"/>
  <c r="M497" i="27"/>
  <c r="M397" i="27"/>
  <c r="M144" i="16"/>
  <c r="M449" i="27"/>
  <c r="W191" i="27"/>
  <c r="U191" i="27"/>
  <c r="M322" i="27"/>
  <c r="M321" i="27"/>
  <c r="M235" i="27"/>
  <c r="O15" i="27"/>
  <c r="N15" i="27"/>
  <c r="O485" i="27"/>
  <c r="N485" i="27"/>
  <c r="O293" i="27"/>
  <c r="N293" i="27"/>
  <c r="N322" i="27"/>
  <c r="O322" i="27"/>
  <c r="N321" i="27"/>
  <c r="O321" i="27"/>
  <c r="N235" i="27"/>
  <c r="O235" i="27"/>
  <c r="U321" i="27"/>
  <c r="W321" i="27"/>
  <c r="N192" i="27"/>
  <c r="O192" i="27"/>
  <c r="M408" i="16"/>
  <c r="M95" i="16"/>
  <c r="M12" i="16"/>
  <c r="M389" i="16"/>
  <c r="N346" i="27"/>
  <c r="U305" i="27"/>
  <c r="W305" i="27"/>
  <c r="W371" i="27"/>
  <c r="U371" i="27"/>
  <c r="W510" i="27"/>
  <c r="U510" i="27"/>
  <c r="U226" i="27"/>
  <c r="M175" i="27"/>
  <c r="M157" i="27"/>
  <c r="M204" i="16"/>
  <c r="M350" i="16"/>
  <c r="M42" i="16"/>
  <c r="M358" i="16"/>
  <c r="M85" i="16"/>
  <c r="M4" i="16"/>
  <c r="M261" i="16"/>
  <c r="M409" i="16"/>
  <c r="M123" i="16"/>
  <c r="M332" i="16"/>
  <c r="M382" i="16"/>
  <c r="M398" i="16"/>
  <c r="M485" i="16"/>
  <c r="M189" i="16"/>
  <c r="O154" i="27"/>
  <c r="M298" i="16"/>
  <c r="M102" i="16"/>
  <c r="U302" i="27"/>
  <c r="U151" i="27"/>
  <c r="W151" i="27"/>
  <c r="W446" i="27"/>
  <c r="U446" i="27"/>
  <c r="W201" i="27"/>
  <c r="U201" i="27"/>
  <c r="U502" i="27"/>
  <c r="W502" i="27"/>
  <c r="W28" i="27"/>
  <c r="U28" i="27"/>
  <c r="M60" i="27"/>
  <c r="U168" i="27"/>
  <c r="M371" i="27"/>
  <c r="M203" i="27"/>
  <c r="M411" i="27"/>
  <c r="M275" i="27"/>
  <c r="O224" i="27"/>
  <c r="U264" i="27"/>
  <c r="W264" i="27"/>
  <c r="M389" i="27"/>
  <c r="N389" i="27"/>
  <c r="O389" i="27"/>
  <c r="M80" i="27"/>
  <c r="M383" i="16"/>
  <c r="M28" i="16"/>
  <c r="M492" i="27"/>
  <c r="M376" i="27"/>
  <c r="M287" i="27"/>
  <c r="M220" i="27"/>
  <c r="M429" i="27"/>
  <c r="M160" i="27"/>
  <c r="O160" i="27"/>
  <c r="N160" i="27"/>
  <c r="M402" i="27"/>
  <c r="N299" i="27"/>
  <c r="O299" i="27"/>
  <c r="M215" i="27"/>
  <c r="M166" i="27"/>
  <c r="M431" i="27"/>
  <c r="M491" i="27"/>
  <c r="M335" i="27"/>
  <c r="M441" i="16"/>
  <c r="M403" i="16"/>
  <c r="M269" i="16"/>
  <c r="M281" i="16"/>
  <c r="M81" i="16"/>
  <c r="M182" i="16"/>
  <c r="M26" i="16"/>
  <c r="M44" i="16"/>
  <c r="M98" i="16"/>
  <c r="M180" i="16"/>
  <c r="M272" i="16"/>
  <c r="M480" i="16"/>
  <c r="M241" i="16"/>
  <c r="M343" i="16"/>
  <c r="U458" i="27"/>
  <c r="W458" i="27"/>
  <c r="U486" i="27"/>
  <c r="W486" i="27"/>
  <c r="U280" i="27"/>
  <c r="W280" i="27"/>
  <c r="O168" i="27"/>
  <c r="N168" i="27"/>
  <c r="M283" i="27"/>
  <c r="O283" i="27"/>
  <c r="O80" i="27"/>
  <c r="N80" i="27"/>
  <c r="O28" i="16"/>
  <c r="N28" i="16"/>
  <c r="N492" i="27"/>
  <c r="O492" i="27"/>
  <c r="N287" i="27"/>
  <c r="O287" i="27"/>
  <c r="O220" i="27"/>
  <c r="N220" i="27"/>
  <c r="M73" i="16"/>
  <c r="M312" i="27"/>
  <c r="M247" i="27"/>
  <c r="M282" i="27"/>
  <c r="M165" i="27"/>
  <c r="W434" i="27"/>
  <c r="U434" i="27"/>
  <c r="M168" i="27"/>
  <c r="M138" i="16"/>
  <c r="O324" i="27"/>
  <c r="N324" i="27"/>
  <c r="N255" i="27"/>
  <c r="O255" i="27"/>
  <c r="M273" i="16"/>
  <c r="M164" i="16"/>
  <c r="M203" i="16"/>
  <c r="M257" i="16"/>
  <c r="M211" i="16"/>
  <c r="M275" i="16"/>
  <c r="M410" i="16"/>
  <c r="M364" i="16"/>
  <c r="M489" i="16"/>
  <c r="M255" i="16"/>
  <c r="M79" i="16"/>
  <c r="W223" i="27"/>
  <c r="U223" i="27"/>
  <c r="N434" i="16"/>
  <c r="O434" i="16"/>
  <c r="O311" i="16"/>
  <c r="N311" i="16"/>
  <c r="O353" i="16"/>
  <c r="N353" i="16"/>
  <c r="O26" i="16"/>
  <c r="N26" i="16"/>
  <c r="W450" i="27"/>
  <c r="U450" i="27"/>
  <c r="W245" i="27"/>
  <c r="U245" i="27"/>
  <c r="U171" i="27"/>
  <c r="W171" i="27"/>
  <c r="M426" i="16"/>
  <c r="M314" i="16"/>
  <c r="M229" i="16"/>
  <c r="M322" i="16"/>
  <c r="M282" i="16"/>
  <c r="M325" i="16"/>
  <c r="M520" i="16"/>
  <c r="M452" i="16"/>
  <c r="M190" i="16"/>
  <c r="M454" i="16"/>
  <c r="M154" i="16"/>
  <c r="M136" i="16"/>
  <c r="O175" i="27"/>
  <c r="N304" i="27"/>
  <c r="O304" i="27"/>
  <c r="O506" i="27"/>
  <c r="N506" i="27"/>
  <c r="N14" i="16"/>
  <c r="O14" i="16"/>
  <c r="M477" i="16"/>
  <c r="M248" i="16"/>
  <c r="M277" i="16"/>
  <c r="M237" i="16"/>
  <c r="M36" i="16"/>
  <c r="M263" i="16"/>
  <c r="M400" i="16"/>
  <c r="O219" i="27"/>
  <c r="N219" i="27"/>
  <c r="M327" i="27"/>
  <c r="N365" i="27"/>
  <c r="O365" i="27"/>
  <c r="O193" i="27"/>
  <c r="N193" i="27"/>
  <c r="N238" i="27"/>
  <c r="O238" i="27"/>
  <c r="N333" i="27"/>
  <c r="O311" i="27"/>
  <c r="N311" i="27"/>
  <c r="O157" i="27"/>
  <c r="M392" i="27"/>
  <c r="N282" i="27"/>
  <c r="O282" i="27"/>
  <c r="M242" i="27"/>
  <c r="M182" i="27"/>
  <c r="W401" i="27"/>
  <c r="N275" i="27"/>
  <c r="O275" i="27"/>
  <c r="O503" i="27"/>
  <c r="N503" i="27"/>
  <c r="N312" i="27"/>
  <c r="M316" i="27"/>
  <c r="O266" i="27"/>
  <c r="N266" i="27"/>
  <c r="N150" i="27"/>
  <c r="O150" i="27"/>
  <c r="M302" i="27"/>
  <c r="N351" i="27"/>
  <c r="O351" i="27"/>
  <c r="M298" i="27"/>
  <c r="N412" i="27"/>
  <c r="O164" i="16"/>
  <c r="N164" i="16"/>
  <c r="O211" i="16"/>
  <c r="N211" i="16"/>
  <c r="O47" i="27"/>
  <c r="N47" i="27"/>
  <c r="W196" i="27"/>
  <c r="U196" i="27"/>
  <c r="N489" i="27"/>
  <c r="O489" i="27"/>
  <c r="O248" i="16"/>
  <c r="N248" i="16"/>
  <c r="O349" i="27"/>
  <c r="N349" i="27"/>
  <c r="M349" i="27"/>
  <c r="N466" i="27"/>
  <c r="O466" i="27"/>
  <c r="O252" i="27"/>
  <c r="N252" i="27"/>
  <c r="O207" i="27"/>
  <c r="N242" i="27"/>
  <c r="O242" i="27"/>
  <c r="N309" i="27"/>
  <c r="O309" i="27"/>
  <c r="O390" i="27"/>
  <c r="N390" i="27"/>
  <c r="N302" i="27"/>
  <c r="O302" i="27"/>
  <c r="M108" i="16"/>
  <c r="M297" i="16"/>
  <c r="M126" i="16"/>
  <c r="M450" i="16"/>
  <c r="M223" i="16"/>
  <c r="M405" i="16"/>
  <c r="M287" i="16"/>
  <c r="M32" i="27"/>
  <c r="N32" i="27"/>
  <c r="N85" i="16"/>
  <c r="O85" i="16"/>
  <c r="N409" i="16"/>
  <c r="O409" i="16"/>
  <c r="N382" i="16"/>
  <c r="O382" i="16"/>
  <c r="O497" i="27"/>
  <c r="U272" i="27"/>
  <c r="W272" i="27"/>
  <c r="M73" i="27"/>
  <c r="M18" i="16"/>
  <c r="M80" i="16"/>
  <c r="M188" i="16"/>
  <c r="M174" i="16"/>
  <c r="M162" i="16"/>
  <c r="M433" i="16"/>
  <c r="M304" i="16"/>
  <c r="M333" i="16"/>
  <c r="M23" i="16"/>
  <c r="M111" i="16"/>
  <c r="M517" i="16"/>
  <c r="M437" i="16"/>
  <c r="M489" i="27"/>
  <c r="M154" i="27"/>
  <c r="M414" i="27"/>
  <c r="M228" i="16"/>
  <c r="M308" i="16"/>
  <c r="O88" i="16"/>
  <c r="N88" i="16"/>
  <c r="W504" i="27"/>
  <c r="U504" i="27"/>
  <c r="N270" i="27"/>
  <c r="O270" i="27"/>
  <c r="O344" i="27"/>
  <c r="N344" i="27"/>
  <c r="O452" i="27"/>
  <c r="N452" i="27"/>
  <c r="N481" i="27"/>
  <c r="O481" i="27"/>
  <c r="N345" i="27"/>
  <c r="O345" i="27"/>
  <c r="M252" i="27"/>
  <c r="O416" i="27"/>
  <c r="N416" i="27"/>
  <c r="N400" i="27"/>
  <c r="O400" i="27"/>
  <c r="W468" i="27"/>
  <c r="U468" i="27"/>
  <c r="M289" i="27"/>
  <c r="O237" i="27"/>
  <c r="N237" i="27"/>
  <c r="W397" i="27"/>
  <c r="U397" i="27"/>
  <c r="M309" i="27"/>
  <c r="O176" i="27"/>
  <c r="N176" i="27"/>
  <c r="M390" i="27"/>
  <c r="O233" i="27"/>
  <c r="N233" i="27"/>
  <c r="O412" i="27"/>
  <c r="N366" i="27"/>
  <c r="O366" i="27"/>
  <c r="M434" i="27"/>
  <c r="M170" i="27"/>
  <c r="O420" i="27"/>
  <c r="N420" i="27"/>
  <c r="M450" i="27"/>
  <c r="N287" i="16"/>
  <c r="O287" i="16"/>
  <c r="O389" i="16"/>
  <c r="N389" i="16"/>
  <c r="U126" i="27"/>
  <c r="W126" i="27"/>
  <c r="U267" i="27"/>
  <c r="W267" i="27"/>
  <c r="O397" i="27"/>
  <c r="N397" i="27"/>
  <c r="M434" i="16"/>
  <c r="M37" i="16"/>
  <c r="M311" i="16"/>
  <c r="M78" i="16"/>
  <c r="M353" i="16"/>
  <c r="M214" i="16"/>
  <c r="U509" i="27"/>
  <c r="W509" i="27"/>
  <c r="W256" i="27"/>
  <c r="U256" i="27"/>
  <c r="O73" i="27"/>
  <c r="N73" i="27"/>
  <c r="O80" i="16"/>
  <c r="N80" i="16"/>
  <c r="O174" i="16"/>
  <c r="N174" i="16"/>
  <c r="M333" i="27"/>
  <c r="M304" i="27"/>
  <c r="M169" i="27"/>
  <c r="M59" i="16"/>
  <c r="M14" i="16"/>
  <c r="O343" i="16"/>
  <c r="N343" i="16"/>
  <c r="M285" i="16"/>
  <c r="M139" i="16"/>
  <c r="M471" i="16"/>
  <c r="M338" i="27"/>
  <c r="M219" i="27"/>
  <c r="N73" i="16"/>
  <c r="O73" i="16"/>
  <c r="N247" i="27"/>
  <c r="O247" i="27"/>
  <c r="O202" i="27"/>
  <c r="N202" i="27"/>
  <c r="M384" i="27"/>
  <c r="N371" i="27"/>
  <c r="O371" i="27"/>
  <c r="M193" i="27"/>
  <c r="N471" i="27"/>
  <c r="M311" i="27"/>
  <c r="N157" i="27"/>
  <c r="N265" i="27"/>
  <c r="O265" i="27"/>
  <c r="M152" i="27"/>
  <c r="M237" i="27"/>
  <c r="N433" i="27"/>
  <c r="O433" i="27"/>
  <c r="M345" i="27"/>
  <c r="N165" i="27"/>
  <c r="O165" i="27"/>
  <c r="M366" i="27"/>
  <c r="N434" i="27"/>
  <c r="O434" i="27"/>
  <c r="N170" i="27"/>
  <c r="O170" i="27"/>
  <c r="N197" i="27"/>
  <c r="M470" i="27"/>
  <c r="N415" i="27"/>
  <c r="O415" i="27"/>
  <c r="O409" i="27"/>
  <c r="N409" i="27"/>
  <c r="M360" i="27"/>
  <c r="M476" i="27"/>
  <c r="M409" i="27"/>
  <c r="M404" i="27"/>
  <c r="N239" i="27"/>
  <c r="O239" i="27"/>
  <c r="M401" i="27"/>
  <c r="M454" i="27"/>
  <c r="N350" i="27"/>
  <c r="M12" i="27"/>
  <c r="M187" i="27"/>
  <c r="M408" i="27"/>
  <c r="M239" i="27"/>
  <c r="M251" i="27"/>
  <c r="M417" i="27"/>
  <c r="M467" i="27"/>
  <c r="M350" i="27"/>
  <c r="M456" i="27"/>
  <c r="M263" i="27"/>
  <c r="N499" i="27"/>
  <c r="O499" i="27"/>
  <c r="M271" i="27"/>
  <c r="M329" i="27"/>
  <c r="M499" i="27"/>
  <c r="N476" i="27"/>
  <c r="M517" i="27"/>
  <c r="O513" i="27"/>
  <c r="N513" i="27"/>
  <c r="M513" i="27"/>
  <c r="M301" i="27"/>
  <c r="O204" i="27"/>
  <c r="N204" i="27"/>
  <c r="M204" i="27"/>
  <c r="M419" i="27"/>
  <c r="O367" i="27"/>
  <c r="N367" i="27"/>
  <c r="O408" i="27"/>
  <c r="N408" i="27"/>
  <c r="N486" i="27"/>
  <c r="O486" i="27"/>
  <c r="N301" i="27"/>
  <c r="O301" i="27"/>
  <c r="N263" i="27"/>
  <c r="M486" i="27"/>
  <c r="M367" i="27"/>
  <c r="O517" i="27"/>
  <c r="N517" i="27"/>
  <c r="N200" i="27"/>
  <c r="O200" i="27"/>
  <c r="O363" i="27"/>
  <c r="N363" i="27"/>
  <c r="O342" i="27"/>
  <c r="N342" i="27"/>
  <c r="N213" i="27"/>
  <c r="O213" i="27"/>
  <c r="N330" i="27"/>
  <c r="O330" i="27"/>
  <c r="N188" i="27"/>
  <c r="O188" i="27"/>
  <c r="N343" i="27"/>
  <c r="O343" i="27"/>
  <c r="M200" i="27"/>
  <c r="M363" i="27"/>
  <c r="N251" i="27"/>
  <c r="O251" i="27"/>
  <c r="M342" i="27"/>
  <c r="M213" i="27"/>
  <c r="O417" i="27"/>
  <c r="N417" i="27"/>
  <c r="N467" i="27"/>
  <c r="O467" i="27"/>
  <c r="M330" i="27"/>
  <c r="N456" i="27"/>
  <c r="O456" i="27"/>
  <c r="M229" i="27"/>
  <c r="M284" i="27"/>
  <c r="M183" i="27"/>
  <c r="N271" i="27"/>
  <c r="O271" i="27"/>
  <c r="O329" i="27"/>
  <c r="N329" i="27"/>
  <c r="M514" i="27"/>
  <c r="O419" i="27"/>
  <c r="N419" i="27"/>
  <c r="O149" i="27"/>
  <c r="N149" i="27"/>
  <c r="N496" i="27"/>
  <c r="O496" i="27"/>
  <c r="M495" i="27"/>
  <c r="O495" i="27"/>
  <c r="N495" i="27"/>
  <c r="O339" i="27"/>
  <c r="N339" i="27"/>
  <c r="O229" i="27"/>
  <c r="N229" i="27"/>
  <c r="O183" i="27"/>
  <c r="N183" i="27"/>
  <c r="O514" i="27"/>
  <c r="N514" i="27"/>
  <c r="O454" i="27"/>
  <c r="N454" i="27"/>
  <c r="M149" i="27"/>
  <c r="M496" i="27"/>
  <c r="O404" i="27"/>
  <c r="N404" i="27"/>
  <c r="M339" i="27"/>
  <c r="N12" i="27"/>
  <c r="O12" i="27"/>
  <c r="O187" i="27"/>
  <c r="N187" i="27"/>
  <c r="M188" i="27"/>
  <c r="N215" i="27"/>
  <c r="O215" i="27"/>
  <c r="N166" i="27"/>
  <c r="O166" i="27"/>
  <c r="O431" i="27"/>
  <c r="N431" i="27"/>
  <c r="O491" i="27"/>
  <c r="N491" i="27"/>
  <c r="O335" i="27"/>
  <c r="N335" i="27"/>
  <c r="M343" i="27"/>
  <c r="M438" i="27"/>
  <c r="M500" i="27"/>
  <c r="M437" i="27"/>
  <c r="M380" i="27"/>
  <c r="M494" i="27"/>
  <c r="O504" i="27"/>
  <c r="N504" i="27"/>
  <c r="O480" i="27"/>
  <c r="N480" i="27"/>
  <c r="N354" i="27"/>
  <c r="O354" i="27"/>
  <c r="O500" i="27"/>
  <c r="N500" i="27"/>
  <c r="M354" i="27"/>
  <c r="N437" i="27"/>
  <c r="O437" i="27"/>
  <c r="N401" i="27"/>
  <c r="O401" i="27"/>
  <c r="M504" i="27"/>
  <c r="N438" i="27"/>
  <c r="O438" i="27"/>
  <c r="M480" i="27"/>
  <c r="M358" i="27"/>
  <c r="M208" i="27"/>
  <c r="M511" i="27"/>
  <c r="M234" i="27"/>
  <c r="M256" i="27"/>
  <c r="M332" i="27"/>
  <c r="M199" i="27"/>
  <c r="M16" i="27"/>
  <c r="M512" i="27"/>
  <c r="M398" i="27"/>
  <c r="O164" i="27"/>
  <c r="N164" i="27"/>
  <c r="M228" i="27"/>
  <c r="O256" i="27"/>
  <c r="N256" i="27"/>
  <c r="M432" i="27"/>
  <c r="N512" i="27"/>
  <c r="O512" i="27"/>
  <c r="O398" i="27"/>
  <c r="N398" i="27"/>
  <c r="N178" i="27"/>
  <c r="O178" i="27"/>
  <c r="O432" i="27"/>
  <c r="N432" i="27"/>
  <c r="O332" i="27"/>
  <c r="N332" i="27"/>
  <c r="O199" i="27"/>
  <c r="N199" i="27"/>
  <c r="N16" i="27"/>
  <c r="O16" i="27"/>
  <c r="M178" i="27"/>
  <c r="N234" i="27"/>
  <c r="O234" i="27"/>
  <c r="O194" i="27"/>
  <c r="N194" i="27"/>
  <c r="O380" i="27"/>
  <c r="N380" i="27"/>
  <c r="O494" i="27"/>
  <c r="N494" i="27"/>
  <c r="O358" i="27"/>
  <c r="N358" i="27"/>
  <c r="N208" i="27"/>
  <c r="O208" i="27"/>
  <c r="M164" i="27"/>
  <c r="O511" i="27"/>
  <c r="N511" i="27"/>
  <c r="O228" i="27"/>
  <c r="N228" i="27"/>
  <c r="U254" i="27"/>
  <c r="W254" i="27"/>
  <c r="M194" i="27"/>
  <c r="O310" i="27"/>
  <c r="N310" i="27"/>
  <c r="O240" i="27"/>
  <c r="N240" i="27"/>
  <c r="O360" i="27"/>
  <c r="N360" i="27"/>
  <c r="M310" i="27"/>
  <c r="M240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WMR</author>
  </authors>
  <commentList>
    <comment ref="X1" authorId="0" shapeId="0" xr:uid="{00000000-0006-0000-02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汽車
服裝
零售
休閒消費
</t>
        </r>
      </text>
    </comment>
    <comment ref="Y1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運輸
基礎設施
航空
國防
</t>
        </r>
      </text>
    </comment>
    <comment ref="Z1" authorId="0" shapeId="0" xr:uid="{00000000-0006-0000-0200-000003000000}">
      <text>
        <r>
          <rPr>
            <b/>
            <sz val="9"/>
            <color indexed="81"/>
            <rFont val="細明體"/>
            <family val="3"/>
            <charset val="136"/>
          </rPr>
          <t xml:space="preserve">軟體服務
硬體技術與設備
半導體
</t>
        </r>
      </text>
    </comment>
    <comment ref="AA1" authorId="0" shapeId="0" xr:uid="{00000000-0006-0000-0200-000004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電信服務
媒體娛樂
</t>
        </r>
      </text>
    </comment>
    <comment ref="AB1" authorId="0" shapeId="0" xr:uid="{00000000-0006-0000-0200-000005000000}">
      <text>
        <r>
          <rPr>
            <b/>
            <sz val="9"/>
            <color indexed="81"/>
            <rFont val="細明體"/>
            <family val="3"/>
            <charset val="136"/>
          </rPr>
          <t xml:space="preserve">能源設備
石油
天然氣開採
</t>
        </r>
      </text>
    </comment>
    <comment ref="AC1" authorId="0" shapeId="0" xr:uid="{00000000-0006-0000-0200-000006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銀行
金融服務
保險
</t>
        </r>
      </text>
    </comment>
    <comment ref="AD1" authorId="0" shapeId="0" xr:uid="{00000000-0006-0000-0200-000007000000}">
      <text>
        <r>
          <rPr>
            <b/>
            <sz val="9"/>
            <color indexed="81"/>
            <rFont val="細明體"/>
            <family val="3"/>
            <charset val="136"/>
          </rPr>
          <t>房地產開發.管理.信託</t>
        </r>
      </text>
    </comment>
    <comment ref="AE1" authorId="0" shapeId="0" xr:uid="{00000000-0006-0000-0200-000008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醫療健保服務
醫療產品
藥品
生物科技
</t>
        </r>
      </text>
    </comment>
    <comment ref="AF1" authorId="0" shapeId="0" xr:uid="{00000000-0006-0000-0200-000009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電力
天然氣
水利事業
</t>
        </r>
      </text>
    </comment>
    <comment ref="AG1" authorId="0" shapeId="0" xr:uid="{00000000-0006-0000-0200-00000A000000}">
      <text>
        <r>
          <rPr>
            <b/>
            <sz val="9"/>
            <color indexed="81"/>
            <rFont val="細明體"/>
            <family val="3"/>
            <charset val="136"/>
          </rPr>
          <t>日用品
食品
藥品零售</t>
        </r>
      </text>
    </comment>
    <comment ref="AH1" authorId="0" shapeId="0" xr:uid="{00000000-0006-0000-0200-00000B000000}">
      <text>
        <r>
          <rPr>
            <b/>
            <sz val="9"/>
            <color indexed="81"/>
            <rFont val="細明體"/>
            <family val="3"/>
            <charset val="136"/>
          </rPr>
          <t>化學製品
金屬採礦
紙產業
林產業</t>
        </r>
      </text>
    </comment>
    <comment ref="I4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WMR:</t>
        </r>
        <r>
          <rPr>
            <sz val="9"/>
            <color indexed="81"/>
            <rFont val="Tahoma"/>
            <family val="2"/>
          </rPr>
          <t xml:space="preserve">
=IF(IFERROR(MATCH($A$4,G:G,0),0)&lt;&gt;0,"</t>
        </r>
        <r>
          <rPr>
            <sz val="9"/>
            <color indexed="81"/>
            <rFont val="細明體"/>
            <family val="3"/>
            <charset val="136"/>
          </rPr>
          <t>改</t>
        </r>
        <r>
          <rPr>
            <sz val="9"/>
            <color indexed="81"/>
            <rFont val="Tahoma"/>
            <family val="2"/>
          </rPr>
          <t>1","</t>
        </r>
        <r>
          <rPr>
            <sz val="9"/>
            <color indexed="81"/>
            <rFont val="細明體"/>
            <family val="3"/>
            <charset val="136"/>
          </rPr>
          <t>改</t>
        </r>
        <r>
          <rPr>
            <sz val="9"/>
            <color indexed="81"/>
            <rFont val="Tahoma"/>
            <family val="2"/>
          </rPr>
          <t>2")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<sst xmlns="http://schemas.openxmlformats.org/spreadsheetml/2006/main" count="2531" uniqueCount="1603">
  <si>
    <t>input</t>
    <phoneticPr fontId="2" type="noConversion"/>
  </si>
  <si>
    <t>output</t>
    <phoneticPr fontId="2" type="noConversion"/>
  </si>
  <si>
    <t>HV</t>
    <phoneticPr fontId="2" type="noConversion"/>
  </si>
  <si>
    <t>IV</t>
    <phoneticPr fontId="2" type="noConversion"/>
  </si>
  <si>
    <t>Sector</t>
    <phoneticPr fontId="2" type="noConversion"/>
  </si>
  <si>
    <t>Syms</t>
    <phoneticPr fontId="2" type="noConversion"/>
  </si>
  <si>
    <t>DTE</t>
    <phoneticPr fontId="2" type="noConversion"/>
  </si>
  <si>
    <t>DTE CHA</t>
    <phoneticPr fontId="2" type="noConversion"/>
  </si>
  <si>
    <t>SP DTE Pri</t>
    <phoneticPr fontId="2" type="noConversion"/>
  </si>
  <si>
    <t>SC DTE Pri</t>
    <phoneticPr fontId="2" type="noConversion"/>
  </si>
  <si>
    <t>Source</t>
    <phoneticPr fontId="2" type="noConversion"/>
  </si>
  <si>
    <t>Industry</t>
    <phoneticPr fontId="2" type="noConversion"/>
  </si>
  <si>
    <t>DAYS</t>
    <phoneticPr fontId="2" type="noConversion"/>
  </si>
  <si>
    <t>XLRE</t>
    <phoneticPr fontId="2" type="noConversion"/>
  </si>
  <si>
    <t>XLC</t>
    <phoneticPr fontId="2" type="noConversion"/>
  </si>
  <si>
    <t>XLV</t>
  </si>
  <si>
    <t>XLP</t>
  </si>
  <si>
    <t>XLY</t>
  </si>
  <si>
    <t>AMD</t>
  </si>
  <si>
    <t>XLE</t>
  </si>
  <si>
    <t>XLI</t>
  </si>
  <si>
    <t>NOW</t>
  </si>
  <si>
    <t>ENPH</t>
  </si>
  <si>
    <t>ALGN</t>
  </si>
  <si>
    <t>ADBE</t>
  </si>
  <si>
    <t>RMD</t>
  </si>
  <si>
    <t>ILMN</t>
  </si>
  <si>
    <t>PRGO</t>
  </si>
  <si>
    <t>BIO</t>
  </si>
  <si>
    <t>TMO</t>
  </si>
  <si>
    <t>WBA</t>
  </si>
  <si>
    <t>FFIV</t>
  </si>
  <si>
    <t>LLY</t>
  </si>
  <si>
    <t>PKI</t>
  </si>
  <si>
    <t>ZTS</t>
  </si>
  <si>
    <t>BMY</t>
  </si>
  <si>
    <t>ABC</t>
  </si>
  <si>
    <t>EW</t>
  </si>
  <si>
    <t>MRK</t>
  </si>
  <si>
    <t>ANSS</t>
  </si>
  <si>
    <t>CDNS</t>
  </si>
  <si>
    <t>ANET</t>
  </si>
  <si>
    <t>MCK</t>
  </si>
  <si>
    <t>CRL</t>
  </si>
  <si>
    <t>TER</t>
  </si>
  <si>
    <t>CAH</t>
  </si>
  <si>
    <t>MTD</t>
  </si>
  <si>
    <t>IDXX</t>
  </si>
  <si>
    <t>PAYC</t>
  </si>
  <si>
    <t>SNPS</t>
  </si>
  <si>
    <t>WST</t>
  </si>
  <si>
    <t>DHR</t>
  </si>
  <si>
    <t>DXCM</t>
  </si>
  <si>
    <t>MSCI</t>
  </si>
  <si>
    <t>XLNX</t>
  </si>
  <si>
    <t>ISRG</t>
  </si>
  <si>
    <t>PYPL</t>
  </si>
  <si>
    <t>VTRS</t>
  </si>
  <si>
    <t>PFE</t>
  </si>
  <si>
    <t>PLD</t>
  </si>
  <si>
    <t>AMGN</t>
  </si>
  <si>
    <t>JKHY</t>
  </si>
  <si>
    <t>HOLX</t>
  </si>
  <si>
    <t>DXC</t>
  </si>
  <si>
    <t>BAX</t>
  </si>
  <si>
    <t>AMZN</t>
  </si>
  <si>
    <t>NTAP</t>
  </si>
  <si>
    <t>TYL</t>
  </si>
  <si>
    <t>ABBV</t>
  </si>
  <si>
    <t>REGN</t>
  </si>
  <si>
    <t>BIIB</t>
  </si>
  <si>
    <t>DLR</t>
  </si>
  <si>
    <t>TSLA</t>
  </si>
  <si>
    <t>CSCO</t>
  </si>
  <si>
    <t>AMAT</t>
  </si>
  <si>
    <t>NXPI</t>
  </si>
  <si>
    <t>AVB</t>
  </si>
  <si>
    <t>EQR</t>
  </si>
  <si>
    <t>DRE</t>
  </si>
  <si>
    <t>WAT</t>
  </si>
  <si>
    <t>ARE</t>
  </si>
  <si>
    <t>CRM</t>
  </si>
  <si>
    <t>MAA</t>
  </si>
  <si>
    <t>LDOS</t>
  </si>
  <si>
    <t>MSI</t>
  </si>
  <si>
    <t>KLAC</t>
  </si>
  <si>
    <t>EQIX</t>
  </si>
  <si>
    <t>CCI</t>
  </si>
  <si>
    <t>JNPR</t>
  </si>
  <si>
    <t>INCY</t>
  </si>
  <si>
    <t>NEM</t>
  </si>
  <si>
    <t>FTNT</t>
  </si>
  <si>
    <t>VRTX</t>
  </si>
  <si>
    <t>AON</t>
  </si>
  <si>
    <t>ABMD</t>
  </si>
  <si>
    <t>NEE</t>
  </si>
  <si>
    <t>CTLT</t>
  </si>
  <si>
    <t>VRSN</t>
  </si>
  <si>
    <t>BR</t>
  </si>
  <si>
    <t>MSFT</t>
  </si>
  <si>
    <t>IQV</t>
  </si>
  <si>
    <t>AMT</t>
  </si>
  <si>
    <t>ADP</t>
  </si>
  <si>
    <t>SYK</t>
  </si>
  <si>
    <t>STE</t>
  </si>
  <si>
    <t>EXPD</t>
  </si>
  <si>
    <t>AWK</t>
  </si>
  <si>
    <t>MCD</t>
  </si>
  <si>
    <t>KEYS</t>
  </si>
  <si>
    <t>KR</t>
  </si>
  <si>
    <t>MDT</t>
  </si>
  <si>
    <t>CERN</t>
  </si>
  <si>
    <t>DPZ</t>
  </si>
  <si>
    <t>ESS</t>
  </si>
  <si>
    <t>HSIC</t>
  </si>
  <si>
    <t>CL</t>
  </si>
  <si>
    <t>D</t>
  </si>
  <si>
    <t>CMG</t>
  </si>
  <si>
    <t>GOOG</t>
  </si>
  <si>
    <t>PTC</t>
  </si>
  <si>
    <t>BSX</t>
  </si>
  <si>
    <t>ATVI</t>
  </si>
  <si>
    <t>EBAY</t>
  </si>
  <si>
    <t>WLTW</t>
  </si>
  <si>
    <t>PAYX</t>
  </si>
  <si>
    <t>CPRT</t>
  </si>
  <si>
    <t>DVA</t>
  </si>
  <si>
    <t>GOOGL</t>
  </si>
  <si>
    <t>HST</t>
  </si>
  <si>
    <t>PNW</t>
  </si>
  <si>
    <t>AKAM</t>
  </si>
  <si>
    <t>MCHP</t>
  </si>
  <si>
    <t>UPS</t>
  </si>
  <si>
    <t>EIX</t>
  </si>
  <si>
    <t>LRCX</t>
  </si>
  <si>
    <t>UDR</t>
  </si>
  <si>
    <t>PEP</t>
  </si>
  <si>
    <t>EVRG</t>
  </si>
  <si>
    <t>AVGO</t>
  </si>
  <si>
    <t>ABT</t>
  </si>
  <si>
    <t>YUM</t>
  </si>
  <si>
    <t>QCOM</t>
  </si>
  <si>
    <t>IPGP</t>
  </si>
  <si>
    <t>TWTR</t>
  </si>
  <si>
    <t>ETR</t>
  </si>
  <si>
    <t>CDW</t>
  </si>
  <si>
    <t>PEAK</t>
  </si>
  <si>
    <t>CHTR</t>
  </si>
  <si>
    <t>LHX</t>
  </si>
  <si>
    <t>GILD</t>
  </si>
  <si>
    <t>CTAS</t>
  </si>
  <si>
    <t>TEL</t>
  </si>
  <si>
    <t>ROK</t>
  </si>
  <si>
    <t>KMI</t>
  </si>
  <si>
    <t>JNJ</t>
  </si>
  <si>
    <t>HSY</t>
  </si>
  <si>
    <t>HAS</t>
  </si>
  <si>
    <t>HCA</t>
  </si>
  <si>
    <t>MPWR</t>
  </si>
  <si>
    <t>BDX</t>
  </si>
  <si>
    <t>DLTR</t>
  </si>
  <si>
    <t>TXN</t>
  </si>
  <si>
    <t>PM</t>
  </si>
  <si>
    <t>MRO</t>
  </si>
  <si>
    <t>COP</t>
  </si>
  <si>
    <t>PEG</t>
  </si>
  <si>
    <t>HRL</t>
  </si>
  <si>
    <t>CTXS</t>
  </si>
  <si>
    <t>COST</t>
  </si>
  <si>
    <t>MU</t>
  </si>
  <si>
    <t>TFX</t>
  </si>
  <si>
    <t>ICE</t>
  </si>
  <si>
    <t>MMC</t>
  </si>
  <si>
    <t>KO</t>
  </si>
  <si>
    <t>K</t>
  </si>
  <si>
    <t>REG</t>
  </si>
  <si>
    <t>TT</t>
  </si>
  <si>
    <t>TRMB</t>
  </si>
  <si>
    <t>EXC</t>
  </si>
  <si>
    <t>TTWO</t>
  </si>
  <si>
    <t>QRVO</t>
  </si>
  <si>
    <t>ACN</t>
  </si>
  <si>
    <t>PG</t>
  </si>
  <si>
    <t>DG</t>
  </si>
  <si>
    <t>SBUX</t>
  </si>
  <si>
    <t>ADSK</t>
  </si>
  <si>
    <t>GIS</t>
  </si>
  <si>
    <t>AES</t>
  </si>
  <si>
    <t>V</t>
  </si>
  <si>
    <t>LH</t>
  </si>
  <si>
    <t>CNP</t>
  </si>
  <si>
    <t>MKC</t>
  </si>
  <si>
    <t>ES</t>
  </si>
  <si>
    <t>FB</t>
  </si>
  <si>
    <t>INTC</t>
  </si>
  <si>
    <t>ZBH</t>
  </si>
  <si>
    <t>TDY</t>
  </si>
  <si>
    <t>GLW</t>
  </si>
  <si>
    <t>ZBRA</t>
  </si>
  <si>
    <t>CVS</t>
  </si>
  <si>
    <t>INTU</t>
  </si>
  <si>
    <t>SBAC</t>
  </si>
  <si>
    <t>CMCSA</t>
  </si>
  <si>
    <t>ROP</t>
  </si>
  <si>
    <t>MXIM</t>
  </si>
  <si>
    <t>T</t>
  </si>
  <si>
    <t>CVX</t>
  </si>
  <si>
    <t>ADI</t>
  </si>
  <si>
    <t>XRAY</t>
  </si>
  <si>
    <t>WMT</t>
  </si>
  <si>
    <t>AEE</t>
  </si>
  <si>
    <t>MNST</t>
  </si>
  <si>
    <t>PSA</t>
  </si>
  <si>
    <t>SPGI</t>
  </si>
  <si>
    <t>LVS</t>
  </si>
  <si>
    <t>DGX</t>
  </si>
  <si>
    <t>VRSK</t>
  </si>
  <si>
    <t>SWKS</t>
  </si>
  <si>
    <t>CMS</t>
  </si>
  <si>
    <t>INFO</t>
  </si>
  <si>
    <t>CZR</t>
  </si>
  <si>
    <t>VZ</t>
  </si>
  <si>
    <t>NI</t>
  </si>
  <si>
    <t>MDLZ</t>
  </si>
  <si>
    <t>MO</t>
  </si>
  <si>
    <t>AME</t>
  </si>
  <si>
    <t>BF.B</t>
  </si>
  <si>
    <t>COG</t>
  </si>
  <si>
    <t>COO</t>
  </si>
  <si>
    <t>IFF</t>
  </si>
  <si>
    <t>BKNG</t>
  </si>
  <si>
    <t>FIS</t>
  </si>
  <si>
    <t>ROL</t>
  </si>
  <si>
    <t>APD</t>
  </si>
  <si>
    <t>EOG</t>
  </si>
  <si>
    <t>ALLE</t>
  </si>
  <si>
    <t>LNT</t>
  </si>
  <si>
    <t>XEL</t>
  </si>
  <si>
    <t>SO</t>
  </si>
  <si>
    <t>NVDA</t>
  </si>
  <si>
    <t>IVZ</t>
  </si>
  <si>
    <t>WELL</t>
  </si>
  <si>
    <t>ECL</t>
  </si>
  <si>
    <t>EXR</t>
  </si>
  <si>
    <t>FE</t>
  </si>
  <si>
    <t>CLX</t>
  </si>
  <si>
    <t>MCO</t>
  </si>
  <si>
    <t>CINF</t>
  </si>
  <si>
    <t>AEP</t>
  </si>
  <si>
    <t>SHW</t>
  </si>
  <si>
    <t>HD</t>
  </si>
  <si>
    <t>DUK</t>
  </si>
  <si>
    <t>PPL</t>
  </si>
  <si>
    <t>GRMN</t>
  </si>
  <si>
    <t>DIS</t>
  </si>
  <si>
    <t>NFLX</t>
  </si>
  <si>
    <t>IT</t>
  </si>
  <si>
    <t>ETN</t>
  </si>
  <si>
    <t>KMB</t>
  </si>
  <si>
    <t>MA</t>
  </si>
  <si>
    <t>GNRC</t>
  </si>
  <si>
    <t>BXP</t>
  </si>
  <si>
    <t>FMC</t>
  </si>
  <si>
    <t>WM</t>
  </si>
  <si>
    <t>NLOK</t>
  </si>
  <si>
    <t>SEE</t>
  </si>
  <si>
    <t>LMT</t>
  </si>
  <si>
    <t>WEC</t>
  </si>
  <si>
    <t>CHD</t>
  </si>
  <si>
    <t>GWW</t>
  </si>
  <si>
    <t>STZ</t>
  </si>
  <si>
    <t>ED</t>
  </si>
  <si>
    <t>MMM</t>
  </si>
  <si>
    <t>APH</t>
  </si>
  <si>
    <t>JCI</t>
  </si>
  <si>
    <t>SRE</t>
  </si>
  <si>
    <t>CHRW</t>
  </si>
  <si>
    <t>O</t>
  </si>
  <si>
    <t>HES</t>
  </si>
  <si>
    <t>EFX</t>
  </si>
  <si>
    <t>XOM</t>
  </si>
  <si>
    <t>PPG</t>
  </si>
  <si>
    <t>ITW</t>
  </si>
  <si>
    <t>EL</t>
  </si>
  <si>
    <t>OMC</t>
  </si>
  <si>
    <t>VNO</t>
  </si>
  <si>
    <t>FAST</t>
  </si>
  <si>
    <t>IPG</t>
  </si>
  <si>
    <t>VFC</t>
  </si>
  <si>
    <t>BA</t>
  </si>
  <si>
    <t>HLT</t>
  </si>
  <si>
    <t>MAR</t>
  </si>
  <si>
    <t>UNH</t>
  </si>
  <si>
    <t>LB</t>
  </si>
  <si>
    <t>FLT</t>
  </si>
  <si>
    <t>ATO</t>
  </si>
  <si>
    <t>MAS</t>
  </si>
  <si>
    <t>UHS</t>
  </si>
  <si>
    <t>VLO</t>
  </si>
  <si>
    <t>KMX</t>
  </si>
  <si>
    <t>AMCR</t>
  </si>
  <si>
    <t>VTR</t>
  </si>
  <si>
    <t>NOC</t>
  </si>
  <si>
    <t>TAP</t>
  </si>
  <si>
    <t>WMB</t>
  </si>
  <si>
    <t>AJG</t>
  </si>
  <si>
    <t>GPN</t>
  </si>
  <si>
    <t>ORLY</t>
  </si>
  <si>
    <t>LIN</t>
  </si>
  <si>
    <t>HWM</t>
  </si>
  <si>
    <t>OXY</t>
  </si>
  <si>
    <t>IBM</t>
  </si>
  <si>
    <t>RHI</t>
  </si>
  <si>
    <t>ETSY</t>
  </si>
  <si>
    <t>FDX</t>
  </si>
  <si>
    <t>EA</t>
  </si>
  <si>
    <t>OKE</t>
  </si>
  <si>
    <t>CTSH</t>
  </si>
  <si>
    <t>RSG</t>
  </si>
  <si>
    <t>TGT</t>
  </si>
  <si>
    <t>HII</t>
  </si>
  <si>
    <t>HPE</t>
  </si>
  <si>
    <t>NDAQ</t>
  </si>
  <si>
    <t>WRB</t>
  </si>
  <si>
    <t>MKTX</t>
  </si>
  <si>
    <t>J</t>
  </si>
  <si>
    <t>XYL</t>
  </si>
  <si>
    <t>WAB</t>
  </si>
  <si>
    <t>ULTA</t>
  </si>
  <si>
    <t>GD</t>
  </si>
  <si>
    <t>KHC</t>
  </si>
  <si>
    <t>SJM</t>
  </si>
  <si>
    <t>DOV</t>
  </si>
  <si>
    <t>PKG</t>
  </si>
  <si>
    <t>NWSA</t>
  </si>
  <si>
    <t>HPQ</t>
  </si>
  <si>
    <t>MPC</t>
  </si>
  <si>
    <t>RJF</t>
  </si>
  <si>
    <t>SCHW</t>
  </si>
  <si>
    <t>EMR</t>
  </si>
  <si>
    <t>FRT</t>
  </si>
  <si>
    <t>CAG</t>
  </si>
  <si>
    <t>WYNN</t>
  </si>
  <si>
    <t>ANTM</t>
  </si>
  <si>
    <t>TJX</t>
  </si>
  <si>
    <t>BLK</t>
  </si>
  <si>
    <t>OTIS</t>
  </si>
  <si>
    <t>AIZ</t>
  </si>
  <si>
    <t>HUM</t>
  </si>
  <si>
    <t>CPB</t>
  </si>
  <si>
    <t>FOXA</t>
  </si>
  <si>
    <t>IEX</t>
  </si>
  <si>
    <t>TRV</t>
  </si>
  <si>
    <t>FOX</t>
  </si>
  <si>
    <t>AVY</t>
  </si>
  <si>
    <t>DAL</t>
  </si>
  <si>
    <t>TMUS</t>
  </si>
  <si>
    <t>NCLH</t>
  </si>
  <si>
    <t>LW</t>
  </si>
  <si>
    <t>GPC</t>
  </si>
  <si>
    <t>BLL</t>
  </si>
  <si>
    <t>ODFL</t>
  </si>
  <si>
    <t>NWS</t>
  </si>
  <si>
    <t>TSN</t>
  </si>
  <si>
    <t>DTE</t>
  </si>
  <si>
    <t>AAP</t>
  </si>
  <si>
    <t>TDG</t>
  </si>
  <si>
    <t>CBOE</t>
  </si>
  <si>
    <t>IR</t>
  </si>
  <si>
    <t>NKE</t>
  </si>
  <si>
    <t>NRG</t>
  </si>
  <si>
    <t>TSCO</t>
  </si>
  <si>
    <t>SYY</t>
  </si>
  <si>
    <t>RTX</t>
  </si>
  <si>
    <t>NTRS</t>
  </si>
  <si>
    <t>HON</t>
  </si>
  <si>
    <t>KSU</t>
  </si>
  <si>
    <t>AFL</t>
  </si>
  <si>
    <t>DFS</t>
  </si>
  <si>
    <t>APA</t>
  </si>
  <si>
    <t>CE</t>
  </si>
  <si>
    <t>EXPE</t>
  </si>
  <si>
    <t>IP</t>
  </si>
  <si>
    <t>CARR</t>
  </si>
  <si>
    <t>GE</t>
  </si>
  <si>
    <t>PH</t>
  </si>
  <si>
    <t>PENN</t>
  </si>
  <si>
    <t>SPG</t>
  </si>
  <si>
    <t>AAPL</t>
  </si>
  <si>
    <t>KIM</t>
  </si>
  <si>
    <t>JBHT</t>
  </si>
  <si>
    <t>PGR</t>
  </si>
  <si>
    <t>FTV</t>
  </si>
  <si>
    <t>UNP</t>
  </si>
  <si>
    <t>PSX</t>
  </si>
  <si>
    <t>AZO</t>
  </si>
  <si>
    <t>CNC</t>
  </si>
  <si>
    <t>GPS</t>
  </si>
  <si>
    <t>L</t>
  </si>
  <si>
    <t>DISH</t>
  </si>
  <si>
    <t>AOS</t>
  </si>
  <si>
    <t>PCAR</t>
  </si>
  <si>
    <t>LOW</t>
  </si>
  <si>
    <t>CI</t>
  </si>
  <si>
    <t>LKQ</t>
  </si>
  <si>
    <t>BEN</t>
  </si>
  <si>
    <t>LEG</t>
  </si>
  <si>
    <t>TFC</t>
  </si>
  <si>
    <t>POOL</t>
  </si>
  <si>
    <t>MS</t>
  </si>
  <si>
    <t>PNC</t>
  </si>
  <si>
    <t>PFG</t>
  </si>
  <si>
    <t>RE</t>
  </si>
  <si>
    <t>USB</t>
  </si>
  <si>
    <t>DISCK</t>
  </si>
  <si>
    <t>ALK</t>
  </si>
  <si>
    <t>STT</t>
  </si>
  <si>
    <t>CB</t>
  </si>
  <si>
    <t>PRU</t>
  </si>
  <si>
    <t>AIG</t>
  </si>
  <si>
    <t>AXP</t>
  </si>
  <si>
    <t>CBRE</t>
  </si>
  <si>
    <t>COF</t>
  </si>
  <si>
    <t>BKR</t>
  </si>
  <si>
    <t>CSX</t>
  </si>
  <si>
    <t>NUE</t>
  </si>
  <si>
    <t>TXT</t>
  </si>
  <si>
    <t>GL</t>
  </si>
  <si>
    <t>NWL</t>
  </si>
  <si>
    <t>ALL</t>
  </si>
  <si>
    <t>MET</t>
  </si>
  <si>
    <t>CME</t>
  </si>
  <si>
    <t>DOW</t>
  </si>
  <si>
    <t>HBI</t>
  </si>
  <si>
    <t>SWK</t>
  </si>
  <si>
    <t>PWR</t>
  </si>
  <si>
    <t>DRI</t>
  </si>
  <si>
    <t>ADM</t>
  </si>
  <si>
    <t>AMP</t>
  </si>
  <si>
    <t>LYV</t>
  </si>
  <si>
    <t>IRM</t>
  </si>
  <si>
    <t>NSC</t>
  </si>
  <si>
    <t>WRK</t>
  </si>
  <si>
    <t>DISCA</t>
  </si>
  <si>
    <t>LUMN</t>
  </si>
  <si>
    <t>FCX</t>
  </si>
  <si>
    <t>EMN</t>
  </si>
  <si>
    <t>FRC</t>
  </si>
  <si>
    <t>TROW</t>
  </si>
  <si>
    <t>HAL</t>
  </si>
  <si>
    <t>FISV</t>
  </si>
  <si>
    <t>MOS</t>
  </si>
  <si>
    <t>FANG</t>
  </si>
  <si>
    <t>RL</t>
  </si>
  <si>
    <t>LYB</t>
  </si>
  <si>
    <t>BK</t>
  </si>
  <si>
    <t>BAC</t>
  </si>
  <si>
    <t>FBHS</t>
  </si>
  <si>
    <t>UAA</t>
  </si>
  <si>
    <t>JPM</t>
  </si>
  <si>
    <t>SNA</t>
  </si>
  <si>
    <t>LUV</t>
  </si>
  <si>
    <t>WU</t>
  </si>
  <si>
    <t>C</t>
  </si>
  <si>
    <t>TPR</t>
  </si>
  <si>
    <t>DD</t>
  </si>
  <si>
    <t>NOV</t>
  </si>
  <si>
    <t>AAL</t>
  </si>
  <si>
    <t>BWA</t>
  </si>
  <si>
    <t>UAL</t>
  </si>
  <si>
    <t>HIG</t>
  </si>
  <si>
    <t>WDC</t>
  </si>
  <si>
    <t>VIAC</t>
  </si>
  <si>
    <t>APTV</t>
  </si>
  <si>
    <t>CMI</t>
  </si>
  <si>
    <t>ROST</t>
  </si>
  <si>
    <t>DVN</t>
  </si>
  <si>
    <t>WFC</t>
  </si>
  <si>
    <t>FITB</t>
  </si>
  <si>
    <t>STX</t>
  </si>
  <si>
    <t>LNC</t>
  </si>
  <si>
    <t>PVH</t>
  </si>
  <si>
    <t>MGM</t>
  </si>
  <si>
    <t>CCL</t>
  </si>
  <si>
    <t>UA</t>
  </si>
  <si>
    <t>CTVA</t>
  </si>
  <si>
    <t>UNM</t>
  </si>
  <si>
    <t>BBY</t>
  </si>
  <si>
    <t>SYF</t>
  </si>
  <si>
    <t>KEY</t>
  </si>
  <si>
    <t>GM</t>
  </si>
  <si>
    <t>SLB</t>
  </si>
  <si>
    <t>GS</t>
  </si>
  <si>
    <t>DE</t>
  </si>
  <si>
    <t>RCL</t>
  </si>
  <si>
    <t>F</t>
  </si>
  <si>
    <t>MTB</t>
  </si>
  <si>
    <t>PBCT</t>
  </si>
  <si>
    <t>CFG</t>
  </si>
  <si>
    <t>MLM</t>
  </si>
  <si>
    <t>ORCL</t>
  </si>
  <si>
    <t>ZION</t>
  </si>
  <si>
    <t>PXD</t>
  </si>
  <si>
    <t>PNR</t>
  </si>
  <si>
    <t>RF</t>
  </si>
  <si>
    <t>WY</t>
  </si>
  <si>
    <t>LEN</t>
  </si>
  <si>
    <t>PHM</t>
  </si>
  <si>
    <t>VMC</t>
  </si>
  <si>
    <t>CMA</t>
  </si>
  <si>
    <t>DHI</t>
  </si>
  <si>
    <t>WHR</t>
  </si>
  <si>
    <t>CF</t>
  </si>
  <si>
    <t>HBAN</t>
  </si>
  <si>
    <t>ALB</t>
  </si>
  <si>
    <t>URI</t>
  </si>
  <si>
    <t>MHK</t>
  </si>
  <si>
    <t>CAT</t>
  </si>
  <si>
    <t>NVR</t>
  </si>
  <si>
    <t>SIVB</t>
  </si>
  <si>
    <t>NLSN</t>
  </si>
  <si>
    <t>-</t>
  </si>
  <si>
    <t>XLF</t>
  </si>
  <si>
    <t>XLB</t>
  </si>
  <si>
    <t>XLK</t>
  </si>
  <si>
    <t>XLU</t>
  </si>
  <si>
    <t>Consumer Defensive</t>
  </si>
  <si>
    <t>Energy</t>
  </si>
  <si>
    <t>Financial</t>
  </si>
  <si>
    <t>Healthcare</t>
  </si>
  <si>
    <t>Industrials</t>
  </si>
  <si>
    <t>Real Estate</t>
  </si>
  <si>
    <t>Technology</t>
  </si>
  <si>
    <t>Utilities</t>
  </si>
  <si>
    <t>Basic Materials</t>
  </si>
  <si>
    <t>JIT</t>
  </si>
  <si>
    <t>Consumer Cyclical</t>
    <phoneticPr fontId="2" type="noConversion"/>
  </si>
  <si>
    <t>Strategy</t>
    <phoneticPr fontId="2" type="noConversion"/>
  </si>
  <si>
    <t>Analysis</t>
    <phoneticPr fontId="2" type="noConversion"/>
  </si>
  <si>
    <t>Filter</t>
    <phoneticPr fontId="2" type="noConversion"/>
  </si>
  <si>
    <t>Remarks</t>
    <phoneticPr fontId="2" type="noConversion"/>
  </si>
  <si>
    <t>ARK</t>
  </si>
  <si>
    <t>Jason</t>
  </si>
  <si>
    <t>PLTR</t>
  </si>
  <si>
    <t>NIO</t>
  </si>
  <si>
    <t>SRNE</t>
  </si>
  <si>
    <t>HIMS</t>
  </si>
  <si>
    <t>AEO</t>
  </si>
  <si>
    <t>ERIC</t>
  </si>
  <si>
    <t>NOK</t>
  </si>
  <si>
    <t>RVLV</t>
  </si>
  <si>
    <t>FSLY</t>
  </si>
  <si>
    <t>BABA</t>
  </si>
  <si>
    <t>SENS</t>
  </si>
  <si>
    <t>5G</t>
  </si>
  <si>
    <t>IV Index Put</t>
    <phoneticPr fontId="2" type="noConversion"/>
  </si>
  <si>
    <t xml:space="preserve">  </t>
    <phoneticPr fontId="2" type="noConversion"/>
  </si>
  <si>
    <t>Communication Services</t>
    <phoneticPr fontId="2" type="noConversion"/>
  </si>
  <si>
    <r>
      <rPr>
        <b/>
        <sz val="10"/>
        <color rgb="FF00B050"/>
        <rFont val="新細明體"/>
        <family val="1"/>
        <charset val="136"/>
      </rPr>
      <t>非消費必需品</t>
    </r>
    <phoneticPr fontId="2" type="noConversion"/>
  </si>
  <si>
    <r>
      <rPr>
        <b/>
        <sz val="10"/>
        <color rgb="FF00B050"/>
        <rFont val="新細明體"/>
        <family val="1"/>
        <charset val="136"/>
      </rPr>
      <t>工業</t>
    </r>
    <phoneticPr fontId="2" type="noConversion"/>
  </si>
  <si>
    <r>
      <rPr>
        <b/>
        <sz val="10"/>
        <color rgb="FF00B050"/>
        <rFont val="新細明體"/>
        <family val="1"/>
        <charset val="136"/>
      </rPr>
      <t>科技</t>
    </r>
    <phoneticPr fontId="2" type="noConversion"/>
  </si>
  <si>
    <r>
      <rPr>
        <b/>
        <sz val="10"/>
        <color rgb="FF00B050"/>
        <rFont val="新細明體"/>
        <family val="1"/>
        <charset val="136"/>
      </rPr>
      <t>通訊服務</t>
    </r>
    <phoneticPr fontId="2" type="noConversion"/>
  </si>
  <si>
    <r>
      <rPr>
        <b/>
        <sz val="10"/>
        <color rgb="FF0070C0"/>
        <rFont val="新細明體"/>
        <family val="1"/>
        <charset val="136"/>
      </rPr>
      <t>能源</t>
    </r>
    <phoneticPr fontId="2" type="noConversion"/>
  </si>
  <si>
    <r>
      <rPr>
        <b/>
        <sz val="10"/>
        <color rgb="FF0070C0"/>
        <rFont val="新細明體"/>
        <family val="1"/>
        <charset val="136"/>
      </rPr>
      <t>金融</t>
    </r>
    <phoneticPr fontId="2" type="noConversion"/>
  </si>
  <si>
    <r>
      <rPr>
        <b/>
        <sz val="10"/>
        <color rgb="FF0070C0"/>
        <rFont val="新細明體"/>
        <family val="1"/>
        <charset val="136"/>
      </rPr>
      <t>房地產</t>
    </r>
    <phoneticPr fontId="2" type="noConversion"/>
  </si>
  <si>
    <r>
      <rPr>
        <b/>
        <sz val="10"/>
        <color rgb="FFFF0000"/>
        <rFont val="新細明體"/>
        <family val="1"/>
        <charset val="136"/>
      </rPr>
      <t>衛生保健</t>
    </r>
    <phoneticPr fontId="2" type="noConversion"/>
  </si>
  <si>
    <r>
      <rPr>
        <b/>
        <sz val="10"/>
        <color rgb="FFFF0000"/>
        <rFont val="新細明體"/>
        <family val="1"/>
        <charset val="136"/>
      </rPr>
      <t>公共事業</t>
    </r>
    <phoneticPr fontId="2" type="noConversion"/>
  </si>
  <si>
    <r>
      <rPr>
        <b/>
        <sz val="10"/>
        <color rgb="FFFF0000"/>
        <rFont val="新細明體"/>
        <family val="1"/>
        <charset val="136"/>
      </rPr>
      <t>消費必需品</t>
    </r>
    <phoneticPr fontId="2" type="noConversion"/>
  </si>
  <si>
    <r>
      <rPr>
        <b/>
        <sz val="10"/>
        <color theme="1"/>
        <rFont val="新細明體"/>
        <family val="1"/>
        <charset val="136"/>
      </rPr>
      <t>原物料</t>
    </r>
    <phoneticPr fontId="2" type="noConversion"/>
  </si>
  <si>
    <r>
      <rPr>
        <sz val="10"/>
        <color theme="1"/>
        <rFont val="新細明體"/>
        <family val="1"/>
        <charset val="136"/>
      </rPr>
      <t>商業物聯網</t>
    </r>
  </si>
  <si>
    <r>
      <rPr>
        <sz val="10"/>
        <color theme="1"/>
        <rFont val="新細明體"/>
        <family val="1"/>
        <charset val="136"/>
      </rPr>
      <t>新能源</t>
    </r>
  </si>
  <si>
    <r>
      <rPr>
        <sz val="10"/>
        <color theme="1"/>
        <rFont val="新細明體"/>
        <family val="1"/>
        <charset val="136"/>
      </rPr>
      <t>疫苗</t>
    </r>
  </si>
  <si>
    <r>
      <rPr>
        <sz val="10"/>
        <color theme="1"/>
        <rFont val="新細明體"/>
        <family val="1"/>
        <charset val="136"/>
      </rPr>
      <t>其它</t>
    </r>
  </si>
  <si>
    <r>
      <rPr>
        <sz val="10"/>
        <color theme="1"/>
        <rFont val="新細明體"/>
        <family val="1"/>
        <charset val="136"/>
      </rPr>
      <t>千禧</t>
    </r>
  </si>
  <si>
    <r>
      <rPr>
        <sz val="10"/>
        <color theme="1"/>
        <rFont val="新細明體"/>
        <family val="1"/>
        <charset val="136"/>
      </rPr>
      <t>精密醫學</t>
    </r>
  </si>
  <si>
    <t>Mkt Pri</t>
    <phoneticPr fontId="2" type="noConversion"/>
  </si>
  <si>
    <t>Galloway</t>
    <phoneticPr fontId="2" type="noConversion"/>
  </si>
  <si>
    <t>ABNB</t>
    <phoneticPr fontId="2" type="noConversion"/>
  </si>
  <si>
    <t>PTON</t>
    <phoneticPr fontId="2" type="noConversion"/>
  </si>
  <si>
    <t>LMND</t>
    <phoneticPr fontId="2" type="noConversion"/>
  </si>
  <si>
    <t>Personal
Dynamic Menu</t>
    <phoneticPr fontId="2" type="noConversion"/>
  </si>
  <si>
    <t>S&amp;P500 Index</t>
    <phoneticPr fontId="2" type="noConversion"/>
  </si>
  <si>
    <t>Dynamic Menu</t>
    <phoneticPr fontId="2" type="noConversion"/>
  </si>
  <si>
    <t>S&amp;P500 + Personal Database</t>
    <phoneticPr fontId="2" type="noConversion"/>
  </si>
  <si>
    <t>PENN</t>
    <phoneticPr fontId="2" type="noConversion"/>
  </si>
  <si>
    <t>JMIA</t>
    <phoneticPr fontId="2" type="noConversion"/>
  </si>
  <si>
    <t>Weighted</t>
    <phoneticPr fontId="29" type="noConversion"/>
  </si>
  <si>
    <t>high</t>
    <phoneticPr fontId="29" type="noConversion"/>
  </si>
  <si>
    <t>low</t>
    <phoneticPr fontId="29" type="noConversion"/>
  </si>
  <si>
    <t>mid</t>
    <phoneticPr fontId="29" type="noConversion"/>
  </si>
  <si>
    <t>殖利率</t>
    <phoneticPr fontId="29" type="noConversion"/>
  </si>
  <si>
    <t>成長性</t>
    <phoneticPr fontId="29" type="noConversion"/>
  </si>
  <si>
    <t>勢頭股</t>
    <phoneticPr fontId="29" type="noConversion"/>
  </si>
  <si>
    <t>價值股</t>
    <phoneticPr fontId="29" type="noConversion"/>
  </si>
  <si>
    <t>Sym</t>
    <phoneticPr fontId="29" type="noConversion"/>
  </si>
  <si>
    <t>SCAGR</t>
    <phoneticPr fontId="29" type="noConversion"/>
  </si>
  <si>
    <t>DCAGR</t>
    <phoneticPr fontId="29" type="noConversion"/>
  </si>
  <si>
    <t>ER</t>
    <phoneticPr fontId="29" type="noConversion"/>
  </si>
  <si>
    <t>CAGR</t>
    <phoneticPr fontId="29" type="noConversion"/>
  </si>
  <si>
    <t>YLD&gt;3%</t>
    <phoneticPr fontId="29" type="noConversion"/>
  </si>
  <si>
    <t>YLD&lt;3%</t>
    <phoneticPr fontId="29" type="noConversion"/>
  </si>
  <si>
    <t>接近月價</t>
    <phoneticPr fontId="29" type="noConversion"/>
  </si>
  <si>
    <t>Pri</t>
    <phoneticPr fontId="29" type="noConversion"/>
  </si>
  <si>
    <t>Div</t>
    <phoneticPr fontId="29" type="noConversion"/>
  </si>
  <si>
    <t>Cou Div</t>
    <phoneticPr fontId="29" type="noConversion"/>
  </si>
  <si>
    <t>Time</t>
    <phoneticPr fontId="29" type="noConversion"/>
  </si>
  <si>
    <t>Div Date</t>
    <phoneticPr fontId="29" type="noConversion"/>
  </si>
  <si>
    <t>APL</t>
    <phoneticPr fontId="29" type="noConversion"/>
  </si>
  <si>
    <t>premiun</t>
    <phoneticPr fontId="2" type="noConversion"/>
  </si>
  <si>
    <t>picture</t>
    <phoneticPr fontId="2" type="noConversion"/>
  </si>
  <si>
    <t>4+2</t>
    <phoneticPr fontId="2" type="noConversion"/>
  </si>
  <si>
    <t>Diamond</t>
    <phoneticPr fontId="2" type="noConversion"/>
  </si>
  <si>
    <t>Price</t>
    <phoneticPr fontId="2" type="noConversion"/>
  </si>
  <si>
    <t>Price_BV</t>
    <phoneticPr fontId="29" type="noConversion"/>
  </si>
  <si>
    <t>Div_BV</t>
    <phoneticPr fontId="29" type="noConversion"/>
  </si>
  <si>
    <t>Date_BV</t>
    <phoneticPr fontId="29" type="noConversion"/>
  </si>
  <si>
    <t>Date_EV</t>
    <phoneticPr fontId="29" type="noConversion"/>
  </si>
  <si>
    <t>Price_EV</t>
    <phoneticPr fontId="29" type="noConversion"/>
  </si>
  <si>
    <t>Div_EV</t>
    <phoneticPr fontId="29" type="noConversion"/>
  </si>
  <si>
    <t>取樣年份</t>
    <phoneticPr fontId="29" type="noConversion"/>
  </si>
  <si>
    <t>CAGR</t>
    <phoneticPr fontId="2" type="noConversion"/>
  </si>
  <si>
    <t>YLD&gt;3%</t>
    <phoneticPr fontId="2" type="noConversion"/>
  </si>
  <si>
    <t>YLD&lt;3%</t>
    <phoneticPr fontId="2" type="noConversion"/>
  </si>
  <si>
    <t>CAGR</t>
    <phoneticPr fontId="2" type="noConversion"/>
  </si>
  <si>
    <t>Growth</t>
    <phoneticPr fontId="2" type="noConversion"/>
  </si>
  <si>
    <t>Venture</t>
    <phoneticPr fontId="2" type="noConversion"/>
  </si>
  <si>
    <t>Value</t>
    <phoneticPr fontId="2" type="noConversion"/>
  </si>
  <si>
    <t>急迫性</t>
    <phoneticPr fontId="2" type="noConversion"/>
  </si>
  <si>
    <t>可能性</t>
    <phoneticPr fontId="2" type="noConversion"/>
  </si>
  <si>
    <t>效果姓</t>
    <phoneticPr fontId="2" type="noConversion"/>
  </si>
  <si>
    <t>QCC</t>
    <phoneticPr fontId="2" type="noConversion"/>
  </si>
  <si>
    <t>主幹</t>
    <phoneticPr fontId="2" type="noConversion"/>
  </si>
  <si>
    <t>兆賀</t>
  </si>
  <si>
    <t>JMIA</t>
  </si>
  <si>
    <t>Year</t>
    <phoneticPr fontId="2" type="noConversion"/>
  </si>
  <si>
    <t>LMND</t>
  </si>
  <si>
    <t>Confirm</t>
    <phoneticPr fontId="2" type="noConversion"/>
  </si>
  <si>
    <t>價投</t>
    <phoneticPr fontId="2" type="noConversion"/>
  </si>
  <si>
    <t>SUM</t>
    <phoneticPr fontId="2" type="noConversion"/>
  </si>
  <si>
    <t>TSM</t>
  </si>
  <si>
    <t>JD</t>
  </si>
  <si>
    <t>MRNA</t>
  </si>
  <si>
    <t>BYND</t>
  </si>
  <si>
    <t>ROKU</t>
  </si>
  <si>
    <t>SHOP</t>
  </si>
  <si>
    <t>DDOG</t>
  </si>
  <si>
    <t>NET</t>
  </si>
  <si>
    <t>IBIO</t>
  </si>
  <si>
    <t>UPWK</t>
  </si>
  <si>
    <t>TECH</t>
  </si>
  <si>
    <t>RH</t>
  </si>
  <si>
    <t>GME</t>
  </si>
  <si>
    <t>AMC</t>
  </si>
  <si>
    <t>YOLO</t>
  </si>
  <si>
    <t>API</t>
  </si>
  <si>
    <t>PDD</t>
  </si>
  <si>
    <t>AZN</t>
  </si>
  <si>
    <t>AM</t>
  </si>
  <si>
    <t>ZM</t>
  </si>
  <si>
    <t>JIT</t>
    <phoneticPr fontId="2" type="noConversion"/>
  </si>
  <si>
    <t>DUK</t>
    <phoneticPr fontId="2" type="noConversion"/>
  </si>
  <si>
    <t>NRG</t>
    <phoneticPr fontId="2" type="noConversion"/>
  </si>
  <si>
    <t>NTNX</t>
  </si>
  <si>
    <t>NTNX</t>
    <phoneticPr fontId="2" type="noConversion"/>
  </si>
  <si>
    <t>PYPL</t>
    <phoneticPr fontId="2" type="noConversion"/>
  </si>
  <si>
    <t>SQ</t>
  </si>
  <si>
    <t>SQ</t>
    <phoneticPr fontId="2" type="noConversion"/>
  </si>
  <si>
    <t>SSYS</t>
  </si>
  <si>
    <t>SSYS</t>
    <phoneticPr fontId="2" type="noConversion"/>
  </si>
  <si>
    <t>ULTA</t>
    <phoneticPr fontId="2" type="noConversion"/>
  </si>
  <si>
    <t>DATA</t>
  </si>
  <si>
    <t>DATA</t>
    <phoneticPr fontId="2" type="noConversion"/>
  </si>
  <si>
    <t>EXAS</t>
  </si>
  <si>
    <t>EXAS</t>
    <phoneticPr fontId="2" type="noConversion"/>
  </si>
  <si>
    <t>TDOC</t>
  </si>
  <si>
    <t>TDOC</t>
    <phoneticPr fontId="2" type="noConversion"/>
  </si>
  <si>
    <t>TSM</t>
    <phoneticPr fontId="2" type="noConversion"/>
  </si>
  <si>
    <t>VIVO</t>
  </si>
  <si>
    <t>VIVO</t>
    <phoneticPr fontId="2" type="noConversion"/>
  </si>
  <si>
    <t>CLDR</t>
  </si>
  <si>
    <t>CLDR</t>
    <phoneticPr fontId="2" type="noConversion"/>
  </si>
  <si>
    <t>CMCSA</t>
    <phoneticPr fontId="2" type="noConversion"/>
  </si>
  <si>
    <t>FSLR</t>
  </si>
  <si>
    <t>FSLR</t>
    <phoneticPr fontId="2" type="noConversion"/>
  </si>
  <si>
    <t>QRVO</t>
    <phoneticPr fontId="2" type="noConversion"/>
  </si>
  <si>
    <t>ARWR</t>
    <phoneticPr fontId="2" type="noConversion"/>
  </si>
  <si>
    <t>FB</t>
    <phoneticPr fontId="2" type="noConversion"/>
  </si>
  <si>
    <t>GDS</t>
  </si>
  <si>
    <t>GDS</t>
    <phoneticPr fontId="2" type="noConversion"/>
  </si>
  <si>
    <t>LOXO</t>
  </si>
  <si>
    <t>LOXO</t>
    <phoneticPr fontId="2" type="noConversion"/>
  </si>
  <si>
    <t>NEWR</t>
  </si>
  <si>
    <t>NEWR</t>
    <phoneticPr fontId="2" type="noConversion"/>
  </si>
  <si>
    <t>QQQ</t>
  </si>
  <si>
    <t>QQQ</t>
    <phoneticPr fontId="2" type="noConversion"/>
  </si>
  <si>
    <t>VNDA</t>
  </si>
  <si>
    <t>VNDA</t>
    <phoneticPr fontId="2" type="noConversion"/>
  </si>
  <si>
    <t>VSTM</t>
  </si>
  <si>
    <t>VSTM</t>
    <phoneticPr fontId="2" type="noConversion"/>
  </si>
  <si>
    <t>AMD</t>
    <phoneticPr fontId="2" type="noConversion"/>
  </si>
  <si>
    <t>ESRX</t>
  </si>
  <si>
    <t>ESRX</t>
    <phoneticPr fontId="2" type="noConversion"/>
  </si>
  <si>
    <t>KLIC</t>
  </si>
  <si>
    <t>KLIC</t>
    <phoneticPr fontId="2" type="noConversion"/>
  </si>
  <si>
    <t>LULU</t>
  </si>
  <si>
    <t>LULU</t>
    <phoneticPr fontId="2" type="noConversion"/>
  </si>
  <si>
    <t>STM</t>
  </si>
  <si>
    <t>STM</t>
    <phoneticPr fontId="2" type="noConversion"/>
  </si>
  <si>
    <t>TNDM</t>
  </si>
  <si>
    <t>TNDM</t>
    <phoneticPr fontId="2" type="noConversion"/>
  </si>
  <si>
    <t>TWLO</t>
  </si>
  <si>
    <t>TWLO</t>
    <phoneticPr fontId="2" type="noConversion"/>
  </si>
  <si>
    <t>APTV</t>
    <phoneticPr fontId="2" type="noConversion"/>
  </si>
  <si>
    <t>COT</t>
  </si>
  <si>
    <t>COT</t>
    <phoneticPr fontId="2" type="noConversion"/>
  </si>
  <si>
    <t>CVNA</t>
  </si>
  <si>
    <t>CVNA</t>
    <phoneticPr fontId="2" type="noConversion"/>
  </si>
  <si>
    <t>IRTC</t>
  </si>
  <si>
    <t>IRTC</t>
    <phoneticPr fontId="2" type="noConversion"/>
  </si>
  <si>
    <t>RUN</t>
  </si>
  <si>
    <t>RUN</t>
    <phoneticPr fontId="2" type="noConversion"/>
  </si>
  <si>
    <t>SPLK</t>
  </si>
  <si>
    <t>SPLK</t>
    <phoneticPr fontId="2" type="noConversion"/>
  </si>
  <si>
    <t>SRPT</t>
  </si>
  <si>
    <t>SRPT</t>
    <phoneticPr fontId="2" type="noConversion"/>
  </si>
  <si>
    <t>ETSY</t>
    <phoneticPr fontId="2" type="noConversion"/>
  </si>
  <si>
    <t>ICPT</t>
  </si>
  <si>
    <t>ICPT</t>
    <phoneticPr fontId="2" type="noConversion"/>
  </si>
  <si>
    <t>NTAP</t>
    <phoneticPr fontId="2" type="noConversion"/>
  </si>
  <si>
    <t>SFIX</t>
  </si>
  <si>
    <t>SFIX</t>
    <phoneticPr fontId="2" type="noConversion"/>
  </si>
  <si>
    <t>ATHM</t>
    <phoneticPr fontId="2" type="noConversion"/>
  </si>
  <si>
    <t>CERN</t>
    <phoneticPr fontId="2" type="noConversion"/>
  </si>
  <si>
    <t>BBBY</t>
    <phoneticPr fontId="2" type="noConversion"/>
  </si>
  <si>
    <t>ARNC</t>
    <phoneticPr fontId="2" type="noConversion"/>
  </si>
  <si>
    <t>BXMX</t>
    <phoneticPr fontId="2" type="noConversion"/>
  </si>
  <si>
    <t>PUTW</t>
    <phoneticPr fontId="2" type="noConversion"/>
  </si>
  <si>
    <t>QYLD</t>
  </si>
  <si>
    <t>QYLD</t>
    <phoneticPr fontId="2" type="noConversion"/>
  </si>
  <si>
    <t>PBP</t>
    <phoneticPr fontId="2" type="noConversion"/>
  </si>
  <si>
    <t>SC-JIT</t>
    <phoneticPr fontId="2" type="noConversion"/>
  </si>
  <si>
    <t>SP-JIT</t>
    <phoneticPr fontId="2" type="noConversion"/>
  </si>
  <si>
    <t>CRNC</t>
  </si>
  <si>
    <t>CRNC</t>
    <phoneticPr fontId="2" type="noConversion"/>
  </si>
  <si>
    <t>電動車-JIT</t>
    <phoneticPr fontId="2" type="noConversion"/>
  </si>
  <si>
    <t>DBA</t>
  </si>
  <si>
    <t>DBA</t>
    <phoneticPr fontId="2" type="noConversion"/>
  </si>
  <si>
    <t>CCS</t>
  </si>
  <si>
    <t>CCS</t>
    <phoneticPr fontId="2" type="noConversion"/>
  </si>
  <si>
    <t>COF</t>
    <phoneticPr fontId="2" type="noConversion"/>
  </si>
  <si>
    <t>CPRI</t>
  </si>
  <si>
    <t>CPRI</t>
    <phoneticPr fontId="2" type="noConversion"/>
  </si>
  <si>
    <t>CROX</t>
  </si>
  <si>
    <t>CROX</t>
    <phoneticPr fontId="2" type="noConversion"/>
  </si>
  <si>
    <t>CTAS</t>
    <phoneticPr fontId="2" type="noConversion"/>
  </si>
  <si>
    <t>DHR</t>
    <phoneticPr fontId="2" type="noConversion"/>
  </si>
  <si>
    <t>EMR</t>
    <phoneticPr fontId="2" type="noConversion"/>
  </si>
  <si>
    <t>ENPH</t>
    <phoneticPr fontId="2" type="noConversion"/>
  </si>
  <si>
    <t>FIVN</t>
  </si>
  <si>
    <t>FIVN</t>
    <phoneticPr fontId="2" type="noConversion"/>
  </si>
  <si>
    <t>FTNT</t>
    <phoneticPr fontId="2" type="noConversion"/>
  </si>
  <si>
    <t>GRMN</t>
    <phoneticPr fontId="2" type="noConversion"/>
  </si>
  <si>
    <t>HALO</t>
  </si>
  <si>
    <t>HALO</t>
    <phoneticPr fontId="2" type="noConversion"/>
  </si>
  <si>
    <t>HSY</t>
    <phoneticPr fontId="2" type="noConversion"/>
  </si>
  <si>
    <t>KEYS</t>
    <phoneticPr fontId="2" type="noConversion"/>
  </si>
  <si>
    <t>KKR</t>
  </si>
  <si>
    <t>KKR</t>
    <phoneticPr fontId="2" type="noConversion"/>
  </si>
  <si>
    <t>KLAC</t>
    <phoneticPr fontId="2" type="noConversion"/>
  </si>
  <si>
    <t>LOGI</t>
  </si>
  <si>
    <t>LOGI</t>
    <phoneticPr fontId="2" type="noConversion"/>
  </si>
  <si>
    <t>MSFT</t>
    <phoneticPr fontId="2" type="noConversion"/>
  </si>
  <si>
    <t>5G</t>
    <phoneticPr fontId="2" type="noConversion"/>
  </si>
  <si>
    <r>
      <t>EV&amp;</t>
    </r>
    <r>
      <rPr>
        <sz val="10"/>
        <color theme="1"/>
        <rFont val="細明體"/>
        <family val="3"/>
        <charset val="136"/>
      </rPr>
      <t>人工智慧</t>
    </r>
    <phoneticPr fontId="2" type="noConversion"/>
  </si>
  <si>
    <t>QLYS</t>
  </si>
  <si>
    <t>QLYS</t>
    <phoneticPr fontId="2" type="noConversion"/>
  </si>
  <si>
    <t>ZNGA</t>
  </si>
  <si>
    <t>ZNGA</t>
    <phoneticPr fontId="2" type="noConversion"/>
  </si>
  <si>
    <t>SWCH</t>
  </si>
  <si>
    <t>SWCH</t>
    <phoneticPr fontId="2" type="noConversion"/>
  </si>
  <si>
    <t>MTLS</t>
  </si>
  <si>
    <t>MTLS</t>
    <phoneticPr fontId="2" type="noConversion"/>
  </si>
  <si>
    <t>DDD</t>
  </si>
  <si>
    <t>DDD</t>
    <phoneticPr fontId="2" type="noConversion"/>
  </si>
  <si>
    <t>PRLB</t>
  </si>
  <si>
    <t>PRLB</t>
    <phoneticPr fontId="2" type="noConversion"/>
  </si>
  <si>
    <t>XONE</t>
    <phoneticPr fontId="2" type="noConversion"/>
  </si>
  <si>
    <t>UPWK</t>
    <phoneticPr fontId="2" type="noConversion"/>
  </si>
  <si>
    <t>FSLY</t>
    <phoneticPr fontId="2" type="noConversion"/>
  </si>
  <si>
    <t>PHR</t>
  </si>
  <si>
    <t>PHR</t>
    <phoneticPr fontId="2" type="noConversion"/>
  </si>
  <si>
    <t>IPGP</t>
    <phoneticPr fontId="2" type="noConversion"/>
  </si>
  <si>
    <t>VCRA</t>
  </si>
  <si>
    <t>VCRA</t>
    <phoneticPr fontId="2" type="noConversion"/>
  </si>
  <si>
    <t>ILMN</t>
    <phoneticPr fontId="2" type="noConversion"/>
  </si>
  <si>
    <t>FLIR</t>
  </si>
  <si>
    <t>FLIR</t>
    <phoneticPr fontId="2" type="noConversion"/>
  </si>
  <si>
    <t>LOVE</t>
  </si>
  <si>
    <t>LOVE</t>
    <phoneticPr fontId="2" type="noConversion"/>
  </si>
  <si>
    <t>RVLV</t>
    <phoneticPr fontId="2" type="noConversion"/>
  </si>
  <si>
    <t>UBER</t>
  </si>
  <si>
    <t>UBER</t>
    <phoneticPr fontId="2" type="noConversion"/>
  </si>
  <si>
    <t>TCS</t>
  </si>
  <si>
    <t>TCS</t>
    <phoneticPr fontId="2" type="noConversion"/>
  </si>
  <si>
    <t>ITRI</t>
  </si>
  <si>
    <t>ITRI</t>
    <phoneticPr fontId="2" type="noConversion"/>
  </si>
  <si>
    <t>WKHS</t>
  </si>
  <si>
    <t>WKHS</t>
    <phoneticPr fontId="2" type="noConversion"/>
  </si>
  <si>
    <t>ENTG</t>
  </si>
  <si>
    <t>ENTG</t>
    <phoneticPr fontId="2" type="noConversion"/>
  </si>
  <si>
    <t>TSLA</t>
    <phoneticPr fontId="2" type="noConversion"/>
  </si>
  <si>
    <t>ENSG</t>
  </si>
  <si>
    <t>ENSG</t>
    <phoneticPr fontId="2" type="noConversion"/>
  </si>
  <si>
    <t>PACB</t>
  </si>
  <si>
    <t>PACB</t>
    <phoneticPr fontId="2" type="noConversion"/>
  </si>
  <si>
    <t>FLGT</t>
  </si>
  <si>
    <t>FLGT</t>
    <phoneticPr fontId="2" type="noConversion"/>
  </si>
  <si>
    <t>HEXO</t>
  </si>
  <si>
    <t>HEXO</t>
    <phoneticPr fontId="2" type="noConversion"/>
  </si>
  <si>
    <t>CRON</t>
  </si>
  <si>
    <t>CRON</t>
    <phoneticPr fontId="2" type="noConversion"/>
  </si>
  <si>
    <t>GBTC</t>
    <phoneticPr fontId="2" type="noConversion"/>
  </si>
  <si>
    <t>MCHP</t>
    <phoneticPr fontId="2" type="noConversion"/>
  </si>
  <si>
    <t>ABT</t>
    <phoneticPr fontId="2" type="noConversion"/>
  </si>
  <si>
    <t>AMAT</t>
    <phoneticPr fontId="2" type="noConversion"/>
  </si>
  <si>
    <t>APPS</t>
    <phoneticPr fontId="2" type="noConversion"/>
  </si>
  <si>
    <t>BOOT</t>
    <phoneticPr fontId="2" type="noConversion"/>
  </si>
  <si>
    <t>BX</t>
  </si>
  <si>
    <t>BX</t>
    <phoneticPr fontId="2" type="noConversion"/>
  </si>
  <si>
    <t>CALX</t>
  </si>
  <si>
    <t>CALX</t>
    <phoneticPr fontId="2" type="noConversion"/>
  </si>
  <si>
    <t>Livia</t>
    <phoneticPr fontId="2" type="noConversion"/>
  </si>
  <si>
    <t>Galloway</t>
  </si>
  <si>
    <t>ACES</t>
    <phoneticPr fontId="2" type="noConversion"/>
  </si>
  <si>
    <t>ARKF</t>
    <phoneticPr fontId="2" type="noConversion"/>
  </si>
  <si>
    <t>ARKK</t>
    <phoneticPr fontId="2" type="noConversion"/>
  </si>
  <si>
    <t>ARKQ</t>
    <phoneticPr fontId="2" type="noConversion"/>
  </si>
  <si>
    <t>ARKW</t>
    <phoneticPr fontId="2" type="noConversion"/>
  </si>
  <si>
    <t>ARKG</t>
    <phoneticPr fontId="2" type="noConversion"/>
  </si>
  <si>
    <t>ARKX</t>
    <phoneticPr fontId="2" type="noConversion"/>
  </si>
  <si>
    <t>BLCN</t>
    <phoneticPr fontId="2" type="noConversion"/>
  </si>
  <si>
    <t>BLOK</t>
    <phoneticPr fontId="2" type="noConversion"/>
  </si>
  <si>
    <t>BOTZ</t>
    <phoneticPr fontId="2" type="noConversion"/>
  </si>
  <si>
    <t>CLOU</t>
    <phoneticPr fontId="2" type="noConversion"/>
  </si>
  <si>
    <t>CODI</t>
    <phoneticPr fontId="2" type="noConversion"/>
  </si>
  <si>
    <t>ELS</t>
    <phoneticPr fontId="2" type="noConversion"/>
  </si>
  <si>
    <t>ESPO</t>
    <phoneticPr fontId="2" type="noConversion"/>
  </si>
  <si>
    <t>FTEC</t>
    <phoneticPr fontId="2" type="noConversion"/>
  </si>
  <si>
    <t>GLD</t>
    <phoneticPr fontId="2" type="noConversion"/>
  </si>
  <si>
    <t>IHI</t>
    <phoneticPr fontId="2" type="noConversion"/>
  </si>
  <si>
    <t>MILN</t>
    <phoneticPr fontId="2" type="noConversion"/>
  </si>
  <si>
    <t>MJ</t>
    <phoneticPr fontId="2" type="noConversion"/>
  </si>
  <si>
    <t>NOBL</t>
    <phoneticPr fontId="2" type="noConversion"/>
  </si>
  <si>
    <t>ROBO</t>
    <phoneticPr fontId="2" type="noConversion"/>
  </si>
  <si>
    <t>PRNT</t>
    <phoneticPr fontId="2" type="noConversion"/>
  </si>
  <si>
    <t>RYT</t>
    <phoneticPr fontId="2" type="noConversion"/>
  </si>
  <si>
    <t>UNG</t>
    <phoneticPr fontId="2" type="noConversion"/>
  </si>
  <si>
    <t>XSW</t>
    <phoneticPr fontId="2" type="noConversion"/>
  </si>
  <si>
    <t>TLT</t>
    <phoneticPr fontId="2" type="noConversion"/>
  </si>
  <si>
    <r>
      <t>ETF-</t>
    </r>
    <r>
      <rPr>
        <sz val="10"/>
        <color theme="1"/>
        <rFont val="細明體"/>
        <family val="3"/>
        <charset val="136"/>
      </rPr>
      <t>成長股</t>
    </r>
    <phoneticPr fontId="2" type="noConversion"/>
  </si>
  <si>
    <t>表格</t>
    <phoneticPr fontId="2" type="noConversion"/>
  </si>
  <si>
    <t>貼上</t>
    <phoneticPr fontId="2" type="noConversion"/>
  </si>
  <si>
    <t>Ctrl+E</t>
    <phoneticPr fontId="2" type="noConversion"/>
  </si>
  <si>
    <t>text</t>
    <phoneticPr fontId="2" type="noConversion"/>
  </si>
  <si>
    <t>N/A</t>
  </si>
  <si>
    <t>交差分析篩選器</t>
    <phoneticPr fontId="2" type="noConversion"/>
  </si>
  <si>
    <t>Hi/m</t>
    <phoneticPr fontId="2" type="noConversion"/>
  </si>
  <si>
    <t>Low/m</t>
    <phoneticPr fontId="2" type="noConversion"/>
  </si>
  <si>
    <t>IV</t>
    <phoneticPr fontId="2" type="noConversion"/>
  </si>
  <si>
    <t>Current</t>
    <phoneticPr fontId="2" type="noConversion"/>
  </si>
  <si>
    <t>Market</t>
    <phoneticPr fontId="2" type="noConversion"/>
  </si>
  <si>
    <t>Schedule</t>
    <phoneticPr fontId="2" type="noConversion"/>
  </si>
  <si>
    <t>Sampling</t>
    <phoneticPr fontId="2" type="noConversion"/>
  </si>
  <si>
    <t>Dividend</t>
    <phoneticPr fontId="2" type="noConversion"/>
  </si>
  <si>
    <t>Stock</t>
    <phoneticPr fontId="2" type="noConversion"/>
  </si>
  <si>
    <t>Earnings</t>
    <phoneticPr fontId="2" type="noConversion"/>
  </si>
  <si>
    <t>Ratio</t>
    <phoneticPr fontId="2" type="noConversion"/>
  </si>
  <si>
    <t>Current</t>
    <phoneticPr fontId="2" type="noConversion"/>
  </si>
  <si>
    <t>朋友股</t>
  </si>
  <si>
    <t>朋友股/太空</t>
  </si>
  <si>
    <t>EV&amp;人工智慧</t>
  </si>
  <si>
    <t>Premium</t>
    <phoneticPr fontId="2" type="noConversion"/>
  </si>
  <si>
    <t>Size</t>
    <phoneticPr fontId="2" type="noConversion"/>
  </si>
  <si>
    <t>Rel</t>
    <phoneticPr fontId="2" type="noConversion"/>
  </si>
  <si>
    <t>Enter</t>
    <phoneticPr fontId="2" type="noConversion"/>
  </si>
  <si>
    <t>SONO</t>
    <phoneticPr fontId="2" type="noConversion"/>
  </si>
  <si>
    <t>Jason</t>
    <phoneticPr fontId="2" type="noConversion"/>
  </si>
  <si>
    <t>N/A</t>
    <phoneticPr fontId="2" type="noConversion"/>
  </si>
  <si>
    <t>PTON</t>
  </si>
  <si>
    <t>SONO</t>
  </si>
  <si>
    <t>BOOT</t>
  </si>
  <si>
    <r>
      <rPr>
        <b/>
        <sz val="10"/>
        <color theme="6" tint="0.39997558519241921"/>
        <rFont val="Arial Unicode MS"/>
        <family val="2"/>
        <charset val="136"/>
      </rPr>
      <t>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</t>
    </r>
    <phoneticPr fontId="2" type="noConversion"/>
  </si>
  <si>
    <r>
      <rPr>
        <sz val="10"/>
        <color theme="1"/>
        <rFont val="細明體"/>
        <family val="3"/>
        <charset val="136"/>
      </rPr>
      <t>工業務聯網</t>
    </r>
    <phoneticPr fontId="2" type="noConversion"/>
  </si>
  <si>
    <r>
      <rPr>
        <sz val="10"/>
        <color theme="1"/>
        <rFont val="細明體"/>
        <family val="3"/>
        <charset val="136"/>
      </rPr>
      <t>新能源</t>
    </r>
    <phoneticPr fontId="2" type="noConversion"/>
  </si>
  <si>
    <r>
      <rPr>
        <sz val="10"/>
        <color theme="1"/>
        <rFont val="細明體"/>
        <family val="3"/>
        <charset val="136"/>
      </rPr>
      <t>商業務聯網</t>
    </r>
    <phoneticPr fontId="2" type="noConversion"/>
  </si>
  <si>
    <r>
      <rPr>
        <sz val="10"/>
        <color theme="1"/>
        <rFont val="細明體"/>
        <family val="3"/>
        <charset val="136"/>
      </rPr>
      <t>千禧代</t>
    </r>
    <phoneticPr fontId="2" type="noConversion"/>
  </si>
  <si>
    <r>
      <rPr>
        <sz val="10"/>
        <color theme="1"/>
        <rFont val="細明體"/>
        <family val="3"/>
        <charset val="136"/>
      </rPr>
      <t>精密科技</t>
    </r>
    <phoneticPr fontId="2" type="noConversion"/>
  </si>
  <si>
    <r>
      <rPr>
        <sz val="10"/>
        <color theme="1"/>
        <rFont val="細明體"/>
        <family val="3"/>
        <charset val="136"/>
      </rPr>
      <t>太空</t>
    </r>
    <phoneticPr fontId="2" type="noConversion"/>
  </si>
  <si>
    <r>
      <rPr>
        <sz val="10"/>
        <color theme="1"/>
        <rFont val="細明體"/>
        <family val="3"/>
        <charset val="136"/>
      </rPr>
      <t>新副經濟</t>
    </r>
    <phoneticPr fontId="2" type="noConversion"/>
  </si>
  <si>
    <t>ADBE</t>
    <phoneticPr fontId="2" type="noConversion"/>
  </si>
  <si>
    <t>NVDA</t>
    <phoneticPr fontId="2" type="noConversion"/>
  </si>
  <si>
    <t>SEDG</t>
  </si>
  <si>
    <t>NEO</t>
  </si>
  <si>
    <t>APAM</t>
  </si>
  <si>
    <t>APAM</t>
    <phoneticPr fontId="2" type="noConversion"/>
  </si>
  <si>
    <t>雙漲股</t>
    <phoneticPr fontId="2" type="noConversion"/>
  </si>
  <si>
    <t>機會股</t>
    <phoneticPr fontId="2" type="noConversion"/>
  </si>
  <si>
    <t>投資組合</t>
    <phoneticPr fontId="2" type="noConversion"/>
  </si>
  <si>
    <t>收入組合</t>
    <phoneticPr fontId="2" type="noConversion"/>
  </si>
  <si>
    <t>退休組合</t>
    <phoneticPr fontId="2" type="noConversion"/>
  </si>
  <si>
    <t>走勢股</t>
    <phoneticPr fontId="2" type="noConversion"/>
  </si>
  <si>
    <t>價值股</t>
    <phoneticPr fontId="2" type="noConversion"/>
  </si>
  <si>
    <t>機會&gt;走勢</t>
    <phoneticPr fontId="2" type="noConversion"/>
  </si>
  <si>
    <t>初期雙漲</t>
    <phoneticPr fontId="2" type="noConversion"/>
  </si>
  <si>
    <t>股息利息股</t>
    <phoneticPr fontId="2" type="noConversion"/>
  </si>
  <si>
    <t>股息股</t>
    <phoneticPr fontId="2" type="noConversion"/>
  </si>
  <si>
    <t>CEF</t>
    <phoneticPr fontId="2" type="noConversion"/>
  </si>
  <si>
    <t>優先股</t>
    <phoneticPr fontId="2" type="noConversion"/>
  </si>
  <si>
    <t>純股息</t>
    <phoneticPr fontId="2" type="noConversion"/>
  </si>
  <si>
    <t>多半股息</t>
    <phoneticPr fontId="2" type="noConversion"/>
  </si>
  <si>
    <t>穩價+穩息</t>
    <phoneticPr fontId="2" type="noConversion"/>
  </si>
  <si>
    <t>多價+多息</t>
    <phoneticPr fontId="2" type="noConversion"/>
  </si>
  <si>
    <t>上班組合</t>
    <phoneticPr fontId="2" type="noConversion"/>
  </si>
  <si>
    <t>走勢股=雙漲股</t>
    <phoneticPr fontId="2" type="noConversion"/>
  </si>
  <si>
    <t>成長&gt;機會&gt;風投</t>
    <phoneticPr fontId="2" type="noConversion"/>
  </si>
  <si>
    <t>朋友股</t>
    <phoneticPr fontId="2" type="noConversion"/>
  </si>
  <si>
    <t>技術分類</t>
    <phoneticPr fontId="2" type="noConversion"/>
  </si>
  <si>
    <t>板塊分類</t>
    <phoneticPr fontId="2" type="noConversion"/>
  </si>
  <si>
    <t>強弱勢</t>
    <phoneticPr fontId="2" type="noConversion"/>
  </si>
  <si>
    <t>價值=走勢股</t>
    <phoneticPr fontId="2" type="noConversion"/>
  </si>
  <si>
    <t>成長股</t>
    <phoneticPr fontId="2" type="noConversion"/>
  </si>
  <si>
    <t>機會股=風投股=勢投股</t>
    <phoneticPr fontId="2" type="noConversion"/>
  </si>
  <si>
    <t>價值/走勢&gt;機會/成長</t>
    <phoneticPr fontId="2" type="noConversion"/>
  </si>
  <si>
    <t>RH</t>
    <phoneticPr fontId="2" type="noConversion"/>
  </si>
  <si>
    <t>PCS/CCS</t>
    <phoneticPr fontId="2" type="noConversion"/>
  </si>
  <si>
    <t>AMZN</t>
    <phoneticPr fontId="2" type="noConversion"/>
  </si>
  <si>
    <t>AZO</t>
    <phoneticPr fontId="2" type="noConversion"/>
  </si>
  <si>
    <t>BBY</t>
    <phoneticPr fontId="2" type="noConversion"/>
  </si>
  <si>
    <t>BWA</t>
    <phoneticPr fontId="2" type="noConversion"/>
  </si>
  <si>
    <t>CCL</t>
    <phoneticPr fontId="2" type="noConversion"/>
  </si>
  <si>
    <t>CMG</t>
    <phoneticPr fontId="2" type="noConversion"/>
  </si>
  <si>
    <t>DG</t>
    <phoneticPr fontId="2" type="noConversion"/>
  </si>
  <si>
    <t>DHI</t>
    <phoneticPr fontId="2" type="noConversion"/>
  </si>
  <si>
    <t>DLTR</t>
    <phoneticPr fontId="2" type="noConversion"/>
  </si>
  <si>
    <t>DRI</t>
    <phoneticPr fontId="2" type="noConversion"/>
  </si>
  <si>
    <t>EXPE</t>
    <phoneticPr fontId="2" type="noConversion"/>
  </si>
  <si>
    <t>F</t>
    <phoneticPr fontId="2" type="noConversion"/>
  </si>
  <si>
    <t>GM</t>
    <phoneticPr fontId="2" type="noConversion"/>
  </si>
  <si>
    <t>GPC</t>
    <phoneticPr fontId="2" type="noConversion"/>
  </si>
  <si>
    <t>GPS</t>
    <phoneticPr fontId="2" type="noConversion"/>
  </si>
  <si>
    <t>HAS</t>
    <phoneticPr fontId="2" type="noConversion"/>
  </si>
  <si>
    <t>HD</t>
    <phoneticPr fontId="2" type="noConversion"/>
  </si>
  <si>
    <t>KMX</t>
    <phoneticPr fontId="2" type="noConversion"/>
  </si>
  <si>
    <t>LB</t>
    <phoneticPr fontId="2" type="noConversion"/>
  </si>
  <si>
    <t>LEG</t>
    <phoneticPr fontId="2" type="noConversion"/>
  </si>
  <si>
    <t>LEN</t>
    <phoneticPr fontId="2" type="noConversion"/>
  </si>
  <si>
    <t>LOW</t>
    <phoneticPr fontId="2" type="noConversion"/>
  </si>
  <si>
    <t>MAR</t>
    <phoneticPr fontId="2" type="noConversion"/>
  </si>
  <si>
    <t>MCD</t>
    <phoneticPr fontId="2" type="noConversion"/>
  </si>
  <si>
    <t>MHK</t>
    <phoneticPr fontId="2" type="noConversion"/>
  </si>
  <si>
    <t>NKE</t>
    <phoneticPr fontId="2" type="noConversion"/>
  </si>
  <si>
    <t>ORLY</t>
    <phoneticPr fontId="2" type="noConversion"/>
  </si>
  <si>
    <t>PHM</t>
    <phoneticPr fontId="2" type="noConversion"/>
  </si>
  <si>
    <t>PVH</t>
    <phoneticPr fontId="2" type="noConversion"/>
  </si>
  <si>
    <t>RL</t>
    <phoneticPr fontId="2" type="noConversion"/>
  </si>
  <si>
    <t>ROST</t>
    <phoneticPr fontId="2" type="noConversion"/>
  </si>
  <si>
    <t>SBUX</t>
    <phoneticPr fontId="2" type="noConversion"/>
  </si>
  <si>
    <t>TGT</t>
    <phoneticPr fontId="2" type="noConversion"/>
  </si>
  <si>
    <t>TJX</t>
    <phoneticPr fontId="2" type="noConversion"/>
  </si>
  <si>
    <t>TSCO</t>
    <phoneticPr fontId="2" type="noConversion"/>
  </si>
  <si>
    <t>VFC</t>
    <phoneticPr fontId="2" type="noConversion"/>
  </si>
  <si>
    <t>WHR</t>
    <phoneticPr fontId="2" type="noConversion"/>
  </si>
  <si>
    <t>WYNN</t>
    <phoneticPr fontId="2" type="noConversion"/>
  </si>
  <si>
    <t>YUM</t>
    <phoneticPr fontId="2" type="noConversion"/>
  </si>
  <si>
    <t>UA</t>
    <phoneticPr fontId="2" type="noConversion"/>
  </si>
  <si>
    <t>RCL</t>
    <phoneticPr fontId="2" type="noConversion"/>
  </si>
  <si>
    <t>HBI</t>
    <phoneticPr fontId="2" type="noConversion"/>
  </si>
  <si>
    <t>AAP</t>
    <phoneticPr fontId="2" type="noConversion"/>
  </si>
  <si>
    <t>ULTA</t>
    <phoneticPr fontId="2" type="noConversion"/>
  </si>
  <si>
    <t>LKQ</t>
    <phoneticPr fontId="2" type="noConversion"/>
  </si>
  <si>
    <t>UAA</t>
    <phoneticPr fontId="2" type="noConversion"/>
  </si>
  <si>
    <t>HLT</t>
    <phoneticPr fontId="2" type="noConversion"/>
  </si>
  <si>
    <t>MGM</t>
    <phoneticPr fontId="2" type="noConversion"/>
  </si>
  <si>
    <t>TPR</t>
    <phoneticPr fontId="2" type="noConversion"/>
  </si>
  <si>
    <t>NCLH</t>
    <phoneticPr fontId="2" type="noConversion"/>
  </si>
  <si>
    <t>BKNG</t>
    <phoneticPr fontId="2" type="noConversion"/>
  </si>
  <si>
    <t>EBAY</t>
    <phoneticPr fontId="2" type="noConversion"/>
  </si>
  <si>
    <t>NWL</t>
    <phoneticPr fontId="2" type="noConversion"/>
  </si>
  <si>
    <t>NVR</t>
    <phoneticPr fontId="2" type="noConversion"/>
  </si>
  <si>
    <t>LVS</t>
    <phoneticPr fontId="2" type="noConversion"/>
  </si>
  <si>
    <t>DPZ</t>
    <phoneticPr fontId="2" type="noConversion"/>
  </si>
  <si>
    <t>ETSY</t>
    <phoneticPr fontId="2" type="noConversion"/>
  </si>
  <si>
    <t>POOL</t>
    <phoneticPr fontId="2" type="noConversion"/>
  </si>
  <si>
    <t>CZR</t>
    <phoneticPr fontId="2" type="noConversion"/>
  </si>
  <si>
    <t>ALLE</t>
    <phoneticPr fontId="2" type="noConversion"/>
  </si>
  <si>
    <t>AME</t>
    <phoneticPr fontId="2" type="noConversion"/>
  </si>
  <si>
    <t>BA</t>
    <phoneticPr fontId="2" type="noConversion"/>
  </si>
  <si>
    <t>CAT</t>
    <phoneticPr fontId="2" type="noConversion"/>
  </si>
  <si>
    <t>CHRW</t>
    <phoneticPr fontId="2" type="noConversion"/>
  </si>
  <si>
    <t>CMI</t>
    <phoneticPr fontId="2" type="noConversion"/>
  </si>
  <si>
    <t>DAL</t>
    <phoneticPr fontId="2" type="noConversion"/>
  </si>
  <si>
    <t>DE</t>
    <phoneticPr fontId="2" type="noConversion"/>
  </si>
  <si>
    <t>DOV</t>
    <phoneticPr fontId="2" type="noConversion"/>
  </si>
  <si>
    <t>EFX</t>
    <phoneticPr fontId="2" type="noConversion"/>
  </si>
  <si>
    <t>ETN</t>
    <phoneticPr fontId="2" type="noConversion"/>
  </si>
  <si>
    <t>EXPD</t>
    <phoneticPr fontId="2" type="noConversion"/>
  </si>
  <si>
    <t>FAST</t>
    <phoneticPr fontId="2" type="noConversion"/>
  </si>
  <si>
    <t>FDX</t>
    <phoneticPr fontId="2" type="noConversion"/>
  </si>
  <si>
    <t>GD</t>
    <phoneticPr fontId="2" type="noConversion"/>
  </si>
  <si>
    <t>GE</t>
    <phoneticPr fontId="2" type="noConversion"/>
  </si>
  <si>
    <t>GWW</t>
    <phoneticPr fontId="2" type="noConversion"/>
  </si>
  <si>
    <t>ITW</t>
    <phoneticPr fontId="2" type="noConversion"/>
  </si>
  <si>
    <t>KSU</t>
    <phoneticPr fontId="2" type="noConversion"/>
  </si>
  <si>
    <t>LMT</t>
    <phoneticPr fontId="2" type="noConversion"/>
  </si>
  <si>
    <t>LUV</t>
    <phoneticPr fontId="2" type="noConversion"/>
  </si>
  <si>
    <t>MAS</t>
    <phoneticPr fontId="2" type="noConversion"/>
  </si>
  <si>
    <t>MMM</t>
    <phoneticPr fontId="2" type="noConversion"/>
  </si>
  <si>
    <t>NLSN</t>
    <phoneticPr fontId="2" type="noConversion"/>
  </si>
  <si>
    <t>NOC</t>
    <phoneticPr fontId="2" type="noConversion"/>
  </si>
  <si>
    <t>NSC</t>
    <phoneticPr fontId="2" type="noConversion"/>
  </si>
  <si>
    <t>PCAR</t>
    <phoneticPr fontId="2" type="noConversion"/>
  </si>
  <si>
    <t>PH</t>
    <phoneticPr fontId="2" type="noConversion"/>
  </si>
  <si>
    <t>PNR</t>
    <phoneticPr fontId="2" type="noConversion"/>
  </si>
  <si>
    <t>PWR</t>
    <phoneticPr fontId="2" type="noConversion"/>
  </si>
  <si>
    <t>RHI</t>
    <phoneticPr fontId="2" type="noConversion"/>
  </si>
  <si>
    <t>ROK</t>
    <phoneticPr fontId="2" type="noConversion"/>
  </si>
  <si>
    <t>ROP</t>
    <phoneticPr fontId="2" type="noConversion"/>
  </si>
  <si>
    <t>RSG</t>
    <phoneticPr fontId="2" type="noConversion"/>
  </si>
  <si>
    <t>SNA</t>
    <phoneticPr fontId="2" type="noConversion"/>
  </si>
  <si>
    <t>SWK</t>
    <phoneticPr fontId="2" type="noConversion"/>
  </si>
  <si>
    <t>TXT</t>
    <phoneticPr fontId="2" type="noConversion"/>
  </si>
  <si>
    <t>UNP</t>
    <phoneticPr fontId="2" type="noConversion"/>
  </si>
  <si>
    <t>UPS</t>
    <phoneticPr fontId="2" type="noConversion"/>
  </si>
  <si>
    <t>WM</t>
    <phoneticPr fontId="2" type="noConversion"/>
  </si>
  <si>
    <t>XYL</t>
    <phoneticPr fontId="2" type="noConversion"/>
  </si>
  <si>
    <t>URI</t>
    <phoneticPr fontId="2" type="noConversion"/>
  </si>
  <si>
    <t>AAL</t>
    <phoneticPr fontId="2" type="noConversion"/>
  </si>
  <si>
    <t>JBHT</t>
    <phoneticPr fontId="2" type="noConversion"/>
  </si>
  <si>
    <t>VRSK</t>
    <phoneticPr fontId="2" type="noConversion"/>
  </si>
  <si>
    <t>CSX</t>
    <phoneticPr fontId="2" type="noConversion"/>
  </si>
  <si>
    <t>ALK</t>
    <phoneticPr fontId="2" type="noConversion"/>
  </si>
  <si>
    <t>TDG</t>
    <phoneticPr fontId="2" type="noConversion"/>
  </si>
  <si>
    <t>FBHS</t>
    <phoneticPr fontId="2" type="noConversion"/>
  </si>
  <si>
    <t>FTV</t>
    <phoneticPr fontId="2" type="noConversion"/>
  </si>
  <si>
    <t>JCI</t>
    <phoneticPr fontId="2" type="noConversion"/>
  </si>
  <si>
    <t>AOS</t>
    <phoneticPr fontId="2" type="noConversion"/>
  </si>
  <si>
    <t>HII</t>
    <phoneticPr fontId="2" type="noConversion"/>
  </si>
  <si>
    <t>CPRT</t>
    <phoneticPr fontId="2" type="noConversion"/>
  </si>
  <si>
    <t>UAL</t>
    <phoneticPr fontId="2" type="noConversion"/>
  </si>
  <si>
    <t>ROL</t>
    <phoneticPr fontId="2" type="noConversion"/>
  </si>
  <si>
    <t>WAB</t>
    <phoneticPr fontId="2" type="noConversion"/>
  </si>
  <si>
    <t>LHX</t>
    <phoneticPr fontId="2" type="noConversion"/>
  </si>
  <si>
    <t>INFO</t>
    <phoneticPr fontId="2" type="noConversion"/>
  </si>
  <si>
    <t>IEX</t>
    <phoneticPr fontId="2" type="noConversion"/>
  </si>
  <si>
    <t>ODFL</t>
    <phoneticPr fontId="2" type="noConversion"/>
  </si>
  <si>
    <t>J</t>
    <phoneticPr fontId="2" type="noConversion"/>
  </si>
  <si>
    <t>TT</t>
    <phoneticPr fontId="2" type="noConversion"/>
  </si>
  <si>
    <t>IR</t>
    <phoneticPr fontId="2" type="noConversion"/>
  </si>
  <si>
    <t>HWM</t>
    <phoneticPr fontId="2" type="noConversion"/>
  </si>
  <si>
    <t>CARR</t>
    <phoneticPr fontId="2" type="noConversion"/>
  </si>
  <si>
    <t>OTIS</t>
    <phoneticPr fontId="2" type="noConversion"/>
  </si>
  <si>
    <t>RTX</t>
    <phoneticPr fontId="2" type="noConversion"/>
  </si>
  <si>
    <t>TDY</t>
    <phoneticPr fontId="2" type="noConversion"/>
  </si>
  <si>
    <t>LDOS</t>
    <phoneticPr fontId="2" type="noConversion"/>
  </si>
  <si>
    <t>GNRC</t>
    <phoneticPr fontId="2" type="noConversion"/>
  </si>
  <si>
    <t>HON</t>
    <phoneticPr fontId="2" type="noConversion"/>
  </si>
  <si>
    <t>AAPL</t>
    <phoneticPr fontId="2" type="noConversion"/>
  </si>
  <si>
    <t>ACN</t>
    <phoneticPr fontId="2" type="noConversion"/>
  </si>
  <si>
    <t>ADBE</t>
    <phoneticPr fontId="2" type="noConversion"/>
  </si>
  <si>
    <t>ADI</t>
    <phoneticPr fontId="2" type="noConversion"/>
  </si>
  <si>
    <t>ADP</t>
    <phoneticPr fontId="2" type="noConversion"/>
  </si>
  <si>
    <t>ADSK</t>
    <phoneticPr fontId="2" type="noConversion"/>
  </si>
  <si>
    <t>AKAM</t>
    <phoneticPr fontId="2" type="noConversion"/>
  </si>
  <si>
    <t>AMAT</t>
    <phoneticPr fontId="2" type="noConversion"/>
  </si>
  <si>
    <t>APH</t>
    <phoneticPr fontId="2" type="noConversion"/>
  </si>
  <si>
    <t>CRM</t>
    <phoneticPr fontId="2" type="noConversion"/>
  </si>
  <si>
    <t>CSCO</t>
    <phoneticPr fontId="2" type="noConversion"/>
  </si>
  <si>
    <t>CTSH</t>
    <phoneticPr fontId="2" type="noConversion"/>
  </si>
  <si>
    <t>CTXS</t>
    <phoneticPr fontId="2" type="noConversion"/>
  </si>
  <si>
    <t>FFIV</t>
    <phoneticPr fontId="2" type="noConversion"/>
  </si>
  <si>
    <t>FIS</t>
    <phoneticPr fontId="2" type="noConversion"/>
  </si>
  <si>
    <t>FISV</t>
    <phoneticPr fontId="2" type="noConversion"/>
  </si>
  <si>
    <t>GLW</t>
    <phoneticPr fontId="2" type="noConversion"/>
  </si>
  <si>
    <t>HPQ</t>
    <phoneticPr fontId="2" type="noConversion"/>
  </si>
  <si>
    <t>IBM</t>
    <phoneticPr fontId="2" type="noConversion"/>
  </si>
  <si>
    <t>INTC</t>
    <phoneticPr fontId="2" type="noConversion"/>
  </si>
  <si>
    <t>INTU</t>
    <phoneticPr fontId="2" type="noConversion"/>
  </si>
  <si>
    <t>JNPR</t>
    <phoneticPr fontId="2" type="noConversion"/>
  </si>
  <si>
    <t>LRCX</t>
    <phoneticPr fontId="2" type="noConversion"/>
  </si>
  <si>
    <t>MA</t>
    <phoneticPr fontId="2" type="noConversion"/>
  </si>
  <si>
    <t>MCHP</t>
    <phoneticPr fontId="2" type="noConversion"/>
  </si>
  <si>
    <t>MSFT</t>
    <phoneticPr fontId="2" type="noConversion"/>
  </si>
  <si>
    <t>MSI</t>
    <phoneticPr fontId="2" type="noConversion"/>
  </si>
  <si>
    <t>MU</t>
    <phoneticPr fontId="2" type="noConversion"/>
  </si>
  <si>
    <t>NTAP</t>
    <phoneticPr fontId="2" type="noConversion"/>
  </si>
  <si>
    <t>ORCL</t>
    <phoneticPr fontId="2" type="noConversion"/>
  </si>
  <si>
    <t>PAYX</t>
    <phoneticPr fontId="2" type="noConversion"/>
  </si>
  <si>
    <t>QCOM</t>
    <phoneticPr fontId="2" type="noConversion"/>
  </si>
  <si>
    <t>STX</t>
    <phoneticPr fontId="2" type="noConversion"/>
  </si>
  <si>
    <t>TEL</t>
    <phoneticPr fontId="2" type="noConversion"/>
  </si>
  <si>
    <t>TXN</t>
    <phoneticPr fontId="2" type="noConversion"/>
  </si>
  <si>
    <t>V</t>
    <phoneticPr fontId="2" type="noConversion"/>
  </si>
  <si>
    <t>VRSN</t>
    <phoneticPr fontId="2" type="noConversion"/>
  </si>
  <si>
    <t>WDC</t>
    <phoneticPr fontId="2" type="noConversion"/>
  </si>
  <si>
    <t>WU</t>
    <phoneticPr fontId="2" type="noConversion"/>
  </si>
  <si>
    <t>XLNX</t>
    <phoneticPr fontId="2" type="noConversion"/>
  </si>
  <si>
    <t>AVGO</t>
    <phoneticPr fontId="2" type="noConversion"/>
  </si>
  <si>
    <t>SWKS</t>
    <phoneticPr fontId="2" type="noConversion"/>
  </si>
  <si>
    <t>QRVO</t>
    <phoneticPr fontId="2" type="noConversion"/>
  </si>
  <si>
    <t>PYPL</t>
    <phoneticPr fontId="2" type="noConversion"/>
  </si>
  <si>
    <t>HPE</t>
    <phoneticPr fontId="2" type="noConversion"/>
  </si>
  <si>
    <t>GPN</t>
    <phoneticPr fontId="2" type="noConversion"/>
  </si>
  <si>
    <t>SNPS</t>
    <phoneticPr fontId="2" type="noConversion"/>
  </si>
  <si>
    <t>DXC</t>
    <phoneticPr fontId="2" type="noConversion"/>
  </si>
  <si>
    <t>IT</t>
    <phoneticPr fontId="2" type="noConversion"/>
  </si>
  <si>
    <t>ANSS</t>
    <phoneticPr fontId="2" type="noConversion"/>
  </si>
  <si>
    <t>CDNS</t>
    <phoneticPr fontId="2" type="noConversion"/>
  </si>
  <si>
    <t>IPGP</t>
    <phoneticPr fontId="2" type="noConversion"/>
  </si>
  <si>
    <t>BR</t>
    <phoneticPr fontId="2" type="noConversion"/>
  </si>
  <si>
    <t>FLT</t>
    <phoneticPr fontId="2" type="noConversion"/>
  </si>
  <si>
    <t>ANET</t>
    <phoneticPr fontId="2" type="noConversion"/>
  </si>
  <si>
    <t>FTNT</t>
    <phoneticPr fontId="2" type="noConversion"/>
  </si>
  <si>
    <t>JKHY</t>
    <phoneticPr fontId="2" type="noConversion"/>
  </si>
  <si>
    <t>MXIM</t>
    <phoneticPr fontId="2" type="noConversion"/>
  </si>
  <si>
    <t>CDW</t>
    <phoneticPr fontId="2" type="noConversion"/>
  </si>
  <si>
    <t>NLOK</t>
    <phoneticPr fontId="2" type="noConversion"/>
  </si>
  <si>
    <t>NOW</t>
    <phoneticPr fontId="2" type="noConversion"/>
  </si>
  <si>
    <t>ZBRA</t>
    <phoneticPr fontId="2" type="noConversion"/>
  </si>
  <si>
    <t>PAYC</t>
    <phoneticPr fontId="2" type="noConversion"/>
  </si>
  <si>
    <t>TYL</t>
    <phoneticPr fontId="2" type="noConversion"/>
  </si>
  <si>
    <t>TER</t>
    <phoneticPr fontId="2" type="noConversion"/>
  </si>
  <si>
    <t>ENPH</t>
    <phoneticPr fontId="2" type="noConversion"/>
  </si>
  <si>
    <t>TRMB</t>
    <phoneticPr fontId="2" type="noConversion"/>
  </si>
  <si>
    <t>MPWR</t>
    <phoneticPr fontId="2" type="noConversion"/>
  </si>
  <si>
    <t>NXPI</t>
    <phoneticPr fontId="2" type="noConversion"/>
  </si>
  <si>
    <t>PTC</t>
    <phoneticPr fontId="2" type="noConversion"/>
  </si>
  <si>
    <t>ATVI</t>
    <phoneticPr fontId="2" type="noConversion"/>
  </si>
  <si>
    <t>CHTR</t>
    <phoneticPr fontId="2" type="noConversion"/>
  </si>
  <si>
    <t>CMCSA</t>
    <phoneticPr fontId="2" type="noConversion"/>
  </si>
  <si>
    <t>DISCA</t>
    <phoneticPr fontId="2" type="noConversion"/>
  </si>
  <si>
    <t>DISCK</t>
    <phoneticPr fontId="2" type="noConversion"/>
  </si>
  <si>
    <t>DISH</t>
    <phoneticPr fontId="2" type="noConversion"/>
  </si>
  <si>
    <t>DIS</t>
    <phoneticPr fontId="2" type="noConversion"/>
  </si>
  <si>
    <t>EA</t>
    <phoneticPr fontId="2" type="noConversion"/>
  </si>
  <si>
    <t>FB</t>
    <phoneticPr fontId="2" type="noConversion"/>
  </si>
  <si>
    <t>FOXA</t>
    <phoneticPr fontId="2" type="noConversion"/>
  </si>
  <si>
    <t>FOX</t>
    <phoneticPr fontId="2" type="noConversion"/>
  </si>
  <si>
    <t>GOOGL</t>
    <phoneticPr fontId="2" type="noConversion"/>
  </si>
  <si>
    <t>GOOG</t>
    <phoneticPr fontId="2" type="noConversion"/>
  </si>
  <si>
    <t>IPG</t>
    <phoneticPr fontId="2" type="noConversion"/>
  </si>
  <si>
    <t>NFLX</t>
    <phoneticPr fontId="2" type="noConversion"/>
  </si>
  <si>
    <t>NWSA</t>
    <phoneticPr fontId="2" type="noConversion"/>
  </si>
  <si>
    <t>NWS</t>
    <phoneticPr fontId="2" type="noConversion"/>
  </si>
  <si>
    <t>OMC</t>
    <phoneticPr fontId="2" type="noConversion"/>
  </si>
  <si>
    <t>T</t>
    <phoneticPr fontId="2" type="noConversion"/>
  </si>
  <si>
    <t>TTWO</t>
    <phoneticPr fontId="2" type="noConversion"/>
  </si>
  <si>
    <t>TWTR</t>
    <phoneticPr fontId="2" type="noConversion"/>
  </si>
  <si>
    <t>VZ</t>
    <phoneticPr fontId="2" type="noConversion"/>
  </si>
  <si>
    <t>TMUS</t>
    <phoneticPr fontId="2" type="noConversion"/>
  </si>
  <si>
    <t>VIAC</t>
    <phoneticPr fontId="2" type="noConversion"/>
  </si>
  <si>
    <t>LYV</t>
    <phoneticPr fontId="2" type="noConversion"/>
  </si>
  <si>
    <t>LUMN</t>
    <phoneticPr fontId="2" type="noConversion"/>
  </si>
  <si>
    <t>COG</t>
    <phoneticPr fontId="2" type="noConversion"/>
  </si>
  <si>
    <t>COP</t>
    <phoneticPr fontId="2" type="noConversion"/>
  </si>
  <si>
    <t>CVX</t>
    <phoneticPr fontId="2" type="noConversion"/>
  </si>
  <si>
    <t>DVN</t>
    <phoneticPr fontId="2" type="noConversion"/>
  </si>
  <si>
    <t>EOG</t>
    <phoneticPr fontId="2" type="noConversion"/>
  </si>
  <si>
    <t>HAL</t>
    <phoneticPr fontId="2" type="noConversion"/>
  </si>
  <si>
    <t>HES</t>
    <phoneticPr fontId="2" type="noConversion"/>
  </si>
  <si>
    <t>KMI</t>
    <phoneticPr fontId="2" type="noConversion"/>
  </si>
  <si>
    <t>MPC</t>
    <phoneticPr fontId="2" type="noConversion"/>
  </si>
  <si>
    <t>MRO</t>
    <phoneticPr fontId="2" type="noConversion"/>
  </si>
  <si>
    <t>NOV</t>
    <phoneticPr fontId="2" type="noConversion"/>
  </si>
  <si>
    <t>OKE</t>
    <phoneticPr fontId="2" type="noConversion"/>
  </si>
  <si>
    <t>OXY</t>
    <phoneticPr fontId="2" type="noConversion"/>
  </si>
  <si>
    <t>PSX</t>
    <phoneticPr fontId="2" type="noConversion"/>
  </si>
  <si>
    <t>PXD</t>
    <phoneticPr fontId="2" type="noConversion"/>
  </si>
  <si>
    <t>SLB</t>
    <phoneticPr fontId="2" type="noConversion"/>
  </si>
  <si>
    <t>VLO</t>
    <phoneticPr fontId="2" type="noConversion"/>
  </si>
  <si>
    <t>WMB</t>
    <phoneticPr fontId="2" type="noConversion"/>
  </si>
  <si>
    <t>XOM</t>
    <phoneticPr fontId="2" type="noConversion"/>
  </si>
  <si>
    <t>FANG</t>
    <phoneticPr fontId="2" type="noConversion"/>
  </si>
  <si>
    <t>BKR</t>
    <phoneticPr fontId="2" type="noConversion"/>
  </si>
  <si>
    <t>APA</t>
    <phoneticPr fontId="2" type="noConversion"/>
  </si>
  <si>
    <t>AFL</t>
    <phoneticPr fontId="2" type="noConversion"/>
  </si>
  <si>
    <t>AIG</t>
    <phoneticPr fontId="2" type="noConversion"/>
  </si>
  <si>
    <t>AIZ</t>
    <phoneticPr fontId="2" type="noConversion"/>
  </si>
  <si>
    <t>ALL</t>
    <phoneticPr fontId="2" type="noConversion"/>
  </si>
  <si>
    <t>AMP</t>
    <phoneticPr fontId="2" type="noConversion"/>
  </si>
  <si>
    <t>AON</t>
    <phoneticPr fontId="2" type="noConversion"/>
  </si>
  <si>
    <t>AXP</t>
    <phoneticPr fontId="2" type="noConversion"/>
  </si>
  <si>
    <t>BAC</t>
    <phoneticPr fontId="2" type="noConversion"/>
  </si>
  <si>
    <t>BEN</t>
    <phoneticPr fontId="2" type="noConversion"/>
  </si>
  <si>
    <t>BK</t>
    <phoneticPr fontId="2" type="noConversion"/>
  </si>
  <si>
    <t>BLK</t>
    <phoneticPr fontId="2" type="noConversion"/>
  </si>
  <si>
    <t>BRK.b</t>
    <phoneticPr fontId="2" type="noConversion"/>
  </si>
  <si>
    <t>CB</t>
    <phoneticPr fontId="2" type="noConversion"/>
  </si>
  <si>
    <t>CINF</t>
    <phoneticPr fontId="2" type="noConversion"/>
  </si>
  <si>
    <t>CMA</t>
    <phoneticPr fontId="2" type="noConversion"/>
  </si>
  <si>
    <t>CME</t>
    <phoneticPr fontId="2" type="noConversion"/>
  </si>
  <si>
    <t>C</t>
    <phoneticPr fontId="2" type="noConversion"/>
  </si>
  <si>
    <t>DFS</t>
    <phoneticPr fontId="2" type="noConversion"/>
  </si>
  <si>
    <t>FITB</t>
    <phoneticPr fontId="2" type="noConversion"/>
  </si>
  <si>
    <t>GS</t>
    <phoneticPr fontId="2" type="noConversion"/>
  </si>
  <si>
    <t>HBAN</t>
    <phoneticPr fontId="2" type="noConversion"/>
  </si>
  <si>
    <t>HIG</t>
    <phoneticPr fontId="2" type="noConversion"/>
  </si>
  <si>
    <t>ICE</t>
    <phoneticPr fontId="2" type="noConversion"/>
  </si>
  <si>
    <t>IVZ</t>
    <phoneticPr fontId="2" type="noConversion"/>
  </si>
  <si>
    <t>JPM</t>
    <phoneticPr fontId="2" type="noConversion"/>
  </si>
  <si>
    <t>KEY</t>
    <phoneticPr fontId="2" type="noConversion"/>
  </si>
  <si>
    <t>L</t>
    <phoneticPr fontId="2" type="noConversion"/>
  </si>
  <si>
    <t>LNC</t>
    <phoneticPr fontId="2" type="noConversion"/>
  </si>
  <si>
    <t>MCO</t>
    <phoneticPr fontId="2" type="noConversion"/>
  </si>
  <si>
    <t>MET</t>
    <phoneticPr fontId="2" type="noConversion"/>
  </si>
  <si>
    <t>MMC</t>
    <phoneticPr fontId="2" type="noConversion"/>
  </si>
  <si>
    <t>MS</t>
    <phoneticPr fontId="2" type="noConversion"/>
  </si>
  <si>
    <t>MTB</t>
    <phoneticPr fontId="2" type="noConversion"/>
  </si>
  <si>
    <t>NDAQ</t>
    <phoneticPr fontId="2" type="noConversion"/>
  </si>
  <si>
    <t>NTRS</t>
    <phoneticPr fontId="2" type="noConversion"/>
  </si>
  <si>
    <t>PBCT</t>
    <phoneticPr fontId="2" type="noConversion"/>
  </si>
  <si>
    <t>PGR</t>
    <phoneticPr fontId="2" type="noConversion"/>
  </si>
  <si>
    <t>PNC</t>
    <phoneticPr fontId="2" type="noConversion"/>
  </si>
  <si>
    <t>PRU</t>
    <phoneticPr fontId="2" type="noConversion"/>
  </si>
  <si>
    <t>RF</t>
    <phoneticPr fontId="2" type="noConversion"/>
  </si>
  <si>
    <t>SCHW</t>
    <phoneticPr fontId="2" type="noConversion"/>
  </si>
  <si>
    <t>STT</t>
    <phoneticPr fontId="2" type="noConversion"/>
  </si>
  <si>
    <t>TROW</t>
    <phoneticPr fontId="2" type="noConversion"/>
  </si>
  <si>
    <t>TRV</t>
    <phoneticPr fontId="2" type="noConversion"/>
  </si>
  <si>
    <t>UNM</t>
    <phoneticPr fontId="2" type="noConversion"/>
  </si>
  <si>
    <t>USB</t>
    <phoneticPr fontId="2" type="noConversion"/>
  </si>
  <si>
    <t>WFC</t>
    <phoneticPr fontId="2" type="noConversion"/>
  </si>
  <si>
    <t>ZION</t>
    <phoneticPr fontId="2" type="noConversion"/>
  </si>
  <si>
    <t>SYF</t>
    <phoneticPr fontId="2" type="noConversion"/>
  </si>
  <si>
    <t>WLTW</t>
    <phoneticPr fontId="2" type="noConversion"/>
  </si>
  <si>
    <t>CFG</t>
    <phoneticPr fontId="2" type="noConversion"/>
  </si>
  <si>
    <t>SPGI</t>
    <phoneticPr fontId="2" type="noConversion"/>
  </si>
  <si>
    <t>AJG</t>
    <phoneticPr fontId="2" type="noConversion"/>
  </si>
  <si>
    <t>RJF</t>
    <phoneticPr fontId="2" type="noConversion"/>
  </si>
  <si>
    <t>RE</t>
    <phoneticPr fontId="2" type="noConversion"/>
  </si>
  <si>
    <t>PFG</t>
    <phoneticPr fontId="2" type="noConversion"/>
  </si>
  <si>
    <t>SIVB</t>
    <phoneticPr fontId="2" type="noConversion"/>
  </si>
  <si>
    <t>MSCI</t>
    <phoneticPr fontId="2" type="noConversion"/>
  </si>
  <si>
    <t>FRC</t>
    <phoneticPr fontId="2" type="noConversion"/>
  </si>
  <si>
    <t>MKTX</t>
    <phoneticPr fontId="2" type="noConversion"/>
  </si>
  <si>
    <t>GL</t>
    <phoneticPr fontId="2" type="noConversion"/>
  </si>
  <si>
    <t>WRB</t>
    <phoneticPr fontId="2" type="noConversion"/>
  </si>
  <si>
    <t>TFC</t>
    <phoneticPr fontId="2" type="noConversion"/>
  </si>
  <si>
    <t>CBOE</t>
    <phoneticPr fontId="2" type="noConversion"/>
  </si>
  <si>
    <t>AMT</t>
    <phoneticPr fontId="2" type="noConversion"/>
  </si>
  <si>
    <t>AVB</t>
    <phoneticPr fontId="2" type="noConversion"/>
  </si>
  <si>
    <t>BXP</t>
    <phoneticPr fontId="2" type="noConversion"/>
  </si>
  <si>
    <t>CCI</t>
    <phoneticPr fontId="2" type="noConversion"/>
  </si>
  <si>
    <t>EQIX</t>
    <phoneticPr fontId="2" type="noConversion"/>
  </si>
  <si>
    <t>EQR</t>
    <phoneticPr fontId="2" type="noConversion"/>
  </si>
  <si>
    <t>ESS</t>
    <phoneticPr fontId="2" type="noConversion"/>
  </si>
  <si>
    <t>IRM</t>
    <phoneticPr fontId="2" type="noConversion"/>
  </si>
  <si>
    <t>KIM</t>
    <phoneticPr fontId="2" type="noConversion"/>
  </si>
  <si>
    <t>O</t>
    <phoneticPr fontId="2" type="noConversion"/>
  </si>
  <si>
    <t>PLD</t>
    <phoneticPr fontId="2" type="noConversion"/>
  </si>
  <si>
    <t>PSA</t>
    <phoneticPr fontId="2" type="noConversion"/>
  </si>
  <si>
    <t>SPG</t>
    <phoneticPr fontId="2" type="noConversion"/>
  </si>
  <si>
    <t>VNO</t>
    <phoneticPr fontId="2" type="noConversion"/>
  </si>
  <si>
    <t>VTR</t>
    <phoneticPr fontId="2" type="noConversion"/>
  </si>
  <si>
    <t>WY</t>
    <phoneticPr fontId="2" type="noConversion"/>
  </si>
  <si>
    <t>EXR</t>
    <phoneticPr fontId="2" type="noConversion"/>
  </si>
  <si>
    <t>FRT</t>
    <phoneticPr fontId="2" type="noConversion"/>
  </si>
  <si>
    <t>UDR</t>
    <phoneticPr fontId="2" type="noConversion"/>
  </si>
  <si>
    <t>DLR</t>
    <phoneticPr fontId="2" type="noConversion"/>
  </si>
  <si>
    <t>MAA</t>
    <phoneticPr fontId="2" type="noConversion"/>
  </si>
  <si>
    <t>ARE</t>
    <phoneticPr fontId="2" type="noConversion"/>
  </si>
  <si>
    <t>DRE</t>
    <phoneticPr fontId="2" type="noConversion"/>
  </si>
  <si>
    <t>SBAC</t>
    <phoneticPr fontId="2" type="noConversion"/>
  </si>
  <si>
    <t>WELL</t>
    <phoneticPr fontId="2" type="noConversion"/>
  </si>
  <si>
    <t>CBRE</t>
    <phoneticPr fontId="2" type="noConversion"/>
  </si>
  <si>
    <t>REG</t>
    <phoneticPr fontId="2" type="noConversion"/>
  </si>
  <si>
    <t>PEAK</t>
    <phoneticPr fontId="2" type="noConversion"/>
  </si>
  <si>
    <t>HST</t>
    <phoneticPr fontId="2" type="noConversion"/>
  </si>
  <si>
    <t>ABBV</t>
    <phoneticPr fontId="2" type="noConversion"/>
  </si>
  <si>
    <t>ABC</t>
    <phoneticPr fontId="2" type="noConversion"/>
  </si>
  <si>
    <t>ABT</t>
    <phoneticPr fontId="2" type="noConversion"/>
  </si>
  <si>
    <t>AMGN</t>
    <phoneticPr fontId="2" type="noConversion"/>
  </si>
  <si>
    <t>A</t>
    <phoneticPr fontId="2" type="noConversion"/>
  </si>
  <si>
    <t>BAX</t>
    <phoneticPr fontId="2" type="noConversion"/>
  </si>
  <si>
    <t>BDX</t>
    <phoneticPr fontId="2" type="noConversion"/>
  </si>
  <si>
    <t>BIIB</t>
    <phoneticPr fontId="2" type="noConversion"/>
  </si>
  <si>
    <t>BMY</t>
    <phoneticPr fontId="2" type="noConversion"/>
  </si>
  <si>
    <t>BSX</t>
    <phoneticPr fontId="2" type="noConversion"/>
  </si>
  <si>
    <t>CAH</t>
    <phoneticPr fontId="2" type="noConversion"/>
  </si>
  <si>
    <t>CI</t>
    <phoneticPr fontId="2" type="noConversion"/>
  </si>
  <si>
    <t>DGX</t>
    <phoneticPr fontId="2" type="noConversion"/>
  </si>
  <si>
    <t>DVA</t>
    <phoneticPr fontId="2" type="noConversion"/>
  </si>
  <si>
    <t>EW</t>
    <phoneticPr fontId="2" type="noConversion"/>
  </si>
  <si>
    <t>GILD</t>
    <phoneticPr fontId="2" type="noConversion"/>
  </si>
  <si>
    <t>HUM</t>
    <phoneticPr fontId="2" type="noConversion"/>
  </si>
  <si>
    <t>ISRG</t>
    <phoneticPr fontId="2" type="noConversion"/>
  </si>
  <si>
    <t>JNJ</t>
    <phoneticPr fontId="2" type="noConversion"/>
  </si>
  <si>
    <t>LH</t>
    <phoneticPr fontId="2" type="noConversion"/>
  </si>
  <si>
    <t>LLY</t>
    <phoneticPr fontId="2" type="noConversion"/>
  </si>
  <si>
    <t>MCK</t>
    <phoneticPr fontId="2" type="noConversion"/>
  </si>
  <si>
    <t>MDT</t>
    <phoneticPr fontId="2" type="noConversion"/>
  </si>
  <si>
    <t>MRK</t>
    <phoneticPr fontId="2" type="noConversion"/>
  </si>
  <si>
    <t>PFE</t>
    <phoneticPr fontId="2" type="noConversion"/>
  </si>
  <si>
    <t>PKI</t>
    <phoneticPr fontId="2" type="noConversion"/>
  </si>
  <si>
    <t>PRGO</t>
    <phoneticPr fontId="2" type="noConversion"/>
  </si>
  <si>
    <t>REGN</t>
    <phoneticPr fontId="2" type="noConversion"/>
  </si>
  <si>
    <t>SYK</t>
    <phoneticPr fontId="2" type="noConversion"/>
  </si>
  <si>
    <t>TMO</t>
    <phoneticPr fontId="2" type="noConversion"/>
  </si>
  <si>
    <t>UNH</t>
    <phoneticPr fontId="2" type="noConversion"/>
  </si>
  <si>
    <t>VRTX</t>
    <phoneticPr fontId="2" type="noConversion"/>
  </si>
  <si>
    <t>WAT</t>
    <phoneticPr fontId="2" type="noConversion"/>
  </si>
  <si>
    <t>XRAY</t>
    <phoneticPr fontId="2" type="noConversion"/>
  </si>
  <si>
    <t>ZTS</t>
    <phoneticPr fontId="2" type="noConversion"/>
  </si>
  <si>
    <t>UHS</t>
    <phoneticPr fontId="2" type="noConversion"/>
  </si>
  <si>
    <t>ANTM</t>
    <phoneticPr fontId="2" type="noConversion"/>
  </si>
  <si>
    <t>HCA</t>
    <phoneticPr fontId="2" type="noConversion"/>
  </si>
  <si>
    <t>HSIC</t>
    <phoneticPr fontId="2" type="noConversion"/>
  </si>
  <si>
    <t>ZBH</t>
    <phoneticPr fontId="2" type="noConversion"/>
  </si>
  <si>
    <t>ILMN</t>
    <phoneticPr fontId="2" type="noConversion"/>
  </si>
  <si>
    <t>CNC</t>
    <phoneticPr fontId="2" type="noConversion"/>
  </si>
  <si>
    <t>HOLX</t>
    <phoneticPr fontId="2" type="noConversion"/>
  </si>
  <si>
    <t>DHR</t>
    <phoneticPr fontId="2" type="noConversion"/>
  </si>
  <si>
    <t>MTD</t>
    <phoneticPr fontId="2" type="noConversion"/>
  </si>
  <si>
    <t>COO</t>
    <phoneticPr fontId="2" type="noConversion"/>
  </si>
  <si>
    <t>IDXX</t>
    <phoneticPr fontId="2" type="noConversion"/>
  </si>
  <si>
    <t>INCY</t>
    <phoneticPr fontId="2" type="noConversion"/>
  </si>
  <si>
    <t>ALGN</t>
    <phoneticPr fontId="2" type="noConversion"/>
  </si>
  <si>
    <t>RMD</t>
    <phoneticPr fontId="2" type="noConversion"/>
  </si>
  <si>
    <t>IQV</t>
    <phoneticPr fontId="2" type="noConversion"/>
  </si>
  <si>
    <t>CVS</t>
    <phoneticPr fontId="2" type="noConversion"/>
  </si>
  <si>
    <t>ABMD</t>
    <phoneticPr fontId="2" type="noConversion"/>
  </si>
  <si>
    <t>TFX</t>
    <phoneticPr fontId="2" type="noConversion"/>
  </si>
  <si>
    <t>STE</t>
    <phoneticPr fontId="2" type="noConversion"/>
  </si>
  <si>
    <t>DXCM</t>
    <phoneticPr fontId="2" type="noConversion"/>
  </si>
  <si>
    <t>WST</t>
    <phoneticPr fontId="2" type="noConversion"/>
  </si>
  <si>
    <t>BIO</t>
    <phoneticPr fontId="2" type="noConversion"/>
  </si>
  <si>
    <t>CTLT</t>
    <phoneticPr fontId="2" type="noConversion"/>
  </si>
  <si>
    <t>VTRS</t>
    <phoneticPr fontId="2" type="noConversion"/>
  </si>
  <si>
    <t>CRL</t>
    <phoneticPr fontId="2" type="noConversion"/>
  </si>
  <si>
    <t>OGN</t>
    <phoneticPr fontId="2" type="noConversion"/>
  </si>
  <si>
    <t>MRNA</t>
    <phoneticPr fontId="2" type="noConversion"/>
  </si>
  <si>
    <t>AEE</t>
    <phoneticPr fontId="2" type="noConversion"/>
  </si>
  <si>
    <t>AES</t>
    <phoneticPr fontId="2" type="noConversion"/>
  </si>
  <si>
    <t>CMS</t>
    <phoneticPr fontId="2" type="noConversion"/>
  </si>
  <si>
    <t>CNP</t>
    <phoneticPr fontId="2" type="noConversion"/>
  </si>
  <si>
    <t>D</t>
    <phoneticPr fontId="2" type="noConversion"/>
  </si>
  <si>
    <t>DTE</t>
    <phoneticPr fontId="2" type="noConversion"/>
  </si>
  <si>
    <t>DUK</t>
    <phoneticPr fontId="2" type="noConversion"/>
  </si>
  <si>
    <t>ED</t>
    <phoneticPr fontId="2" type="noConversion"/>
  </si>
  <si>
    <t>EIX</t>
    <phoneticPr fontId="2" type="noConversion"/>
  </si>
  <si>
    <t>ETR</t>
    <phoneticPr fontId="2" type="noConversion"/>
  </si>
  <si>
    <t>FE</t>
    <phoneticPr fontId="2" type="noConversion"/>
  </si>
  <si>
    <t>NEE</t>
    <phoneticPr fontId="2" type="noConversion"/>
  </si>
  <si>
    <t>NI</t>
    <phoneticPr fontId="2" type="noConversion"/>
  </si>
  <si>
    <t>NRG</t>
    <phoneticPr fontId="2" type="noConversion"/>
  </si>
  <si>
    <t>PEG</t>
    <phoneticPr fontId="2" type="noConversion"/>
  </si>
  <si>
    <t>PNW</t>
    <phoneticPr fontId="2" type="noConversion"/>
  </si>
  <si>
    <t>PPL</t>
    <phoneticPr fontId="2" type="noConversion"/>
  </si>
  <si>
    <t>SO</t>
    <phoneticPr fontId="2" type="noConversion"/>
  </si>
  <si>
    <t>SRE</t>
    <phoneticPr fontId="2" type="noConversion"/>
  </si>
  <si>
    <t>WEC</t>
    <phoneticPr fontId="2" type="noConversion"/>
  </si>
  <si>
    <t>ES</t>
    <phoneticPr fontId="2" type="noConversion"/>
  </si>
  <si>
    <t>AWK</t>
    <phoneticPr fontId="2" type="noConversion"/>
  </si>
  <si>
    <t>XEL</t>
    <phoneticPr fontId="2" type="noConversion"/>
  </si>
  <si>
    <t>EVRG</t>
    <phoneticPr fontId="2" type="noConversion"/>
  </si>
  <si>
    <t>LNT</t>
    <phoneticPr fontId="2" type="noConversion"/>
  </si>
  <si>
    <t>ATO</t>
    <phoneticPr fontId="2" type="noConversion"/>
  </si>
  <si>
    <t>EXC</t>
    <phoneticPr fontId="2" type="noConversion"/>
  </si>
  <si>
    <t>AEP</t>
    <phoneticPr fontId="2" type="noConversion"/>
  </si>
  <si>
    <t>ADM</t>
    <phoneticPr fontId="2" type="noConversion"/>
  </si>
  <si>
    <t>BF.b</t>
    <phoneticPr fontId="2" type="noConversion"/>
  </si>
  <si>
    <t>CAG</t>
    <phoneticPr fontId="2" type="noConversion"/>
  </si>
  <si>
    <t>CL</t>
    <phoneticPr fontId="2" type="noConversion"/>
  </si>
  <si>
    <t>CLX</t>
    <phoneticPr fontId="2" type="noConversion"/>
  </si>
  <si>
    <t>COST</t>
    <phoneticPr fontId="2" type="noConversion"/>
  </si>
  <si>
    <t>CPB</t>
    <phoneticPr fontId="2" type="noConversion"/>
  </si>
  <si>
    <t>EL</t>
    <phoneticPr fontId="2" type="noConversion"/>
  </si>
  <si>
    <t>GIS</t>
    <phoneticPr fontId="2" type="noConversion"/>
  </si>
  <si>
    <t>HRL</t>
    <phoneticPr fontId="2" type="noConversion"/>
  </si>
  <si>
    <t>HSY</t>
    <phoneticPr fontId="2" type="noConversion"/>
  </si>
  <si>
    <t>KMB</t>
    <phoneticPr fontId="2" type="noConversion"/>
  </si>
  <si>
    <t>K</t>
    <phoneticPr fontId="2" type="noConversion"/>
  </si>
  <si>
    <t>KO</t>
    <phoneticPr fontId="2" type="noConversion"/>
  </si>
  <si>
    <t>KR</t>
    <phoneticPr fontId="2" type="noConversion"/>
  </si>
  <si>
    <t>MDLZ</t>
    <phoneticPr fontId="2" type="noConversion"/>
  </si>
  <si>
    <t>MKC</t>
    <phoneticPr fontId="2" type="noConversion"/>
  </si>
  <si>
    <t>MNST</t>
    <phoneticPr fontId="2" type="noConversion"/>
  </si>
  <si>
    <t>MO</t>
    <phoneticPr fontId="2" type="noConversion"/>
  </si>
  <si>
    <t>PG</t>
    <phoneticPr fontId="2" type="noConversion"/>
  </si>
  <si>
    <t>PM</t>
    <phoneticPr fontId="2" type="noConversion"/>
  </si>
  <si>
    <t>SJM</t>
    <phoneticPr fontId="2" type="noConversion"/>
  </si>
  <si>
    <t>STZ</t>
    <phoneticPr fontId="2" type="noConversion"/>
  </si>
  <si>
    <t>SYY</t>
    <phoneticPr fontId="2" type="noConversion"/>
  </si>
  <si>
    <t>TAP</t>
    <phoneticPr fontId="2" type="noConversion"/>
  </si>
  <si>
    <t>TSN</t>
    <phoneticPr fontId="2" type="noConversion"/>
  </si>
  <si>
    <t>WMT</t>
    <phoneticPr fontId="2" type="noConversion"/>
  </si>
  <si>
    <t>WBA</t>
    <phoneticPr fontId="2" type="noConversion"/>
  </si>
  <si>
    <t>KHC</t>
    <phoneticPr fontId="2" type="noConversion"/>
  </si>
  <si>
    <t>CHD</t>
    <phoneticPr fontId="2" type="noConversion"/>
  </si>
  <si>
    <t>PEP</t>
    <phoneticPr fontId="2" type="noConversion"/>
  </si>
  <si>
    <t>LW</t>
    <phoneticPr fontId="2" type="noConversion"/>
  </si>
  <si>
    <t>APD</t>
    <phoneticPr fontId="2" type="noConversion"/>
  </si>
  <si>
    <t>AVY</t>
    <phoneticPr fontId="2" type="noConversion"/>
  </si>
  <si>
    <t>BLL</t>
    <phoneticPr fontId="2" type="noConversion"/>
  </si>
  <si>
    <t>CF</t>
    <phoneticPr fontId="2" type="noConversion"/>
  </si>
  <si>
    <t>ECL</t>
    <phoneticPr fontId="2" type="noConversion"/>
  </si>
  <si>
    <t>EMN</t>
    <phoneticPr fontId="2" type="noConversion"/>
  </si>
  <si>
    <t>FCX</t>
    <phoneticPr fontId="2" type="noConversion"/>
  </si>
  <si>
    <t>FMC</t>
    <phoneticPr fontId="2" type="noConversion"/>
  </si>
  <si>
    <t>IFF</t>
    <phoneticPr fontId="2" type="noConversion"/>
  </si>
  <si>
    <t>IP</t>
    <phoneticPr fontId="2" type="noConversion"/>
  </si>
  <si>
    <t>LYB</t>
    <phoneticPr fontId="2" type="noConversion"/>
  </si>
  <si>
    <t>MOS</t>
    <phoneticPr fontId="2" type="noConversion"/>
  </si>
  <si>
    <t>NEM</t>
    <phoneticPr fontId="2" type="noConversion"/>
  </si>
  <si>
    <t>NUE</t>
    <phoneticPr fontId="2" type="noConversion"/>
  </si>
  <si>
    <t>PPG</t>
    <phoneticPr fontId="2" type="noConversion"/>
  </si>
  <si>
    <t>SEE</t>
    <phoneticPr fontId="2" type="noConversion"/>
  </si>
  <si>
    <t>SHW</t>
    <phoneticPr fontId="2" type="noConversion"/>
  </si>
  <si>
    <t>VMC</t>
    <phoneticPr fontId="2" type="noConversion"/>
  </si>
  <si>
    <t>MLM</t>
    <phoneticPr fontId="2" type="noConversion"/>
  </si>
  <si>
    <t>WRK</t>
    <phoneticPr fontId="2" type="noConversion"/>
  </si>
  <si>
    <t>ALB</t>
    <phoneticPr fontId="2" type="noConversion"/>
  </si>
  <si>
    <t>PKG</t>
    <phoneticPr fontId="2" type="noConversion"/>
  </si>
  <si>
    <t>LIN</t>
    <phoneticPr fontId="2" type="noConversion"/>
  </si>
  <si>
    <t>CE</t>
    <phoneticPr fontId="2" type="noConversion"/>
  </si>
  <si>
    <t>DOW</t>
    <phoneticPr fontId="2" type="noConversion"/>
  </si>
  <si>
    <t>CTVA</t>
    <phoneticPr fontId="2" type="noConversion"/>
  </si>
  <si>
    <t>DD</t>
    <phoneticPr fontId="2" type="noConversion"/>
  </si>
  <si>
    <t>AMCR</t>
    <phoneticPr fontId="2" type="noConversion"/>
  </si>
  <si>
    <t xml:space="preserve"> </t>
    <phoneticPr fontId="2" type="noConversion"/>
  </si>
  <si>
    <t>Year(&gt;2)</t>
    <phoneticPr fontId="2" type="noConversion"/>
  </si>
  <si>
    <t>診斷與研究</t>
  </si>
  <si>
    <t>航空公司</t>
  </si>
  <si>
    <t>專業零售</t>
  </si>
  <si>
    <t>消費類電子</t>
  </si>
  <si>
    <t>藥品製造商— 常規</t>
  </si>
  <si>
    <t>醫療分銷</t>
  </si>
  <si>
    <t>醫療設備</t>
  </si>
  <si>
    <t>信息技術處</t>
  </si>
  <si>
    <t>軟件基礎設施</t>
  </si>
  <si>
    <t>半導體</t>
  </si>
  <si>
    <t>農產品</t>
  </si>
  <si>
    <t>人員配置和就業服務</t>
  </si>
  <si>
    <t>軟件-應用</t>
  </si>
  <si>
    <t>公用事業—受監督的電力</t>
  </si>
  <si>
    <t>公用事業-多樣化</t>
  </si>
  <si>
    <t>保險-人壽保險</t>
  </si>
  <si>
    <t>保險-多樣化</t>
  </si>
  <si>
    <t>保險-專業</t>
  </si>
  <si>
    <t>保險經紀</t>
  </si>
  <si>
    <t>特種化學品</t>
  </si>
  <si>
    <t>保險-財產及意外事故</t>
  </si>
  <si>
    <t>保安及保護服務</t>
  </si>
  <si>
    <t>半導體設備與材料</t>
  </si>
  <si>
    <t>包裝和容器</t>
  </si>
  <si>
    <t>特種工業機械</t>
  </si>
  <si>
    <t>資產管理</t>
  </si>
  <si>
    <t>REIT-專業</t>
  </si>
  <si>
    <t>互聯網零售</t>
  </si>
  <si>
    <t>計算機硬件</t>
  </si>
  <si>
    <t>醫療保健計劃</t>
  </si>
  <si>
    <t>油氣E&amp;P</t>
  </si>
  <si>
    <t>化學品</t>
  </si>
  <si>
    <t>電子元件</t>
  </si>
  <si>
    <t>汽車零件</t>
  </si>
  <si>
    <t>REIT-辦公室</t>
  </si>
  <si>
    <t>公用事業-管制氣體</t>
  </si>
  <si>
    <t>電子游戲與多媒體</t>
  </si>
  <si>
    <t>商業設備和用品</t>
  </si>
  <si>
    <t>公用事業-受管制的水</t>
  </si>
  <si>
    <t>信貸服務</t>
  </si>
  <si>
    <t>航天軍工</t>
  </si>
  <si>
    <t>銀行-多樣化</t>
  </si>
  <si>
    <t>醫療器械及用品</t>
  </si>
  <si>
    <t>飲料-酒廠和釀酒廠</t>
  </si>
  <si>
    <t>旅行服務</t>
  </si>
  <si>
    <t>石油和天然氣設備和服務</t>
  </si>
  <si>
    <t>包裝食品</t>
  </si>
  <si>
    <t>建築產品和設備</t>
  </si>
  <si>
    <t>農重工程機械</t>
  </si>
  <si>
    <t>房地產服務</t>
  </si>
  <si>
    <t>衛生信息服務</t>
  </si>
  <si>
    <t>農業投入</t>
  </si>
  <si>
    <t>銀行-區域</t>
  </si>
  <si>
    <t>家庭及個人產品</t>
  </si>
  <si>
    <t>綜合貨運物流</t>
  </si>
  <si>
    <t>娛樂</t>
  </si>
  <si>
    <t>金融數據與證券交易所</t>
  </si>
  <si>
    <t>飯館</t>
  </si>
  <si>
    <t>折扣店</t>
  </si>
  <si>
    <t>專業商業服務</t>
  </si>
  <si>
    <t>通信設備</t>
  </si>
  <si>
    <t>鐵路</t>
  </si>
  <si>
    <t>藥品製造商-專業和通用</t>
  </si>
  <si>
    <t>油氣一體化</t>
  </si>
  <si>
    <t>度假村和賭場</t>
  </si>
  <si>
    <t>住宅建設</t>
  </si>
  <si>
    <t>REIT-工業</t>
  </si>
  <si>
    <t>醫療設施</t>
  </si>
  <si>
    <t>咨詢服務</t>
  </si>
  <si>
    <t>太陽能</t>
  </si>
  <si>
    <t>汽車製造商</t>
  </si>
  <si>
    <t>產業佈局</t>
  </si>
  <si>
    <t>互聯網內容與信息</t>
  </si>
  <si>
    <t>銅</t>
  </si>
  <si>
    <t>廣播</t>
  </si>
  <si>
    <t>科技儀器</t>
  </si>
  <si>
    <t>服裝零售</t>
  </si>
  <si>
    <t>資本市場</t>
  </si>
  <si>
    <t>休閑</t>
  </si>
  <si>
    <t>服裝製造</t>
  </si>
  <si>
    <t>家居裝修零售</t>
  </si>
  <si>
    <t>住宿</t>
  </si>
  <si>
    <t>REIT-酒店及汽車旅館</t>
  </si>
  <si>
    <t>糖果店</t>
  </si>
  <si>
    <t>生物技術</t>
  </si>
  <si>
    <t>廣告公司</t>
  </si>
  <si>
    <t>工程建設</t>
  </si>
  <si>
    <t>油氣中流</t>
  </si>
  <si>
    <t>汽車和卡車經銷商</t>
  </si>
  <si>
    <t>飲料-不含酒精</t>
  </si>
  <si>
    <t>雜貨店</t>
  </si>
  <si>
    <t>電信業務</t>
  </si>
  <si>
    <t>建築材料</t>
  </si>
  <si>
    <t>煙草</t>
  </si>
  <si>
    <t>油氣煉製與營銷</t>
  </si>
  <si>
    <t>黃金</t>
  </si>
  <si>
    <t>鞋類及配件</t>
  </si>
  <si>
    <t>公用事業-獨立發電商</t>
  </si>
  <si>
    <t>鋼鐵</t>
  </si>
  <si>
    <t>貨車運輸</t>
  </si>
  <si>
    <t>OGN</t>
  </si>
  <si>
    <t>REIT-保健設施</t>
  </si>
  <si>
    <t>保險-再保險</t>
  </si>
  <si>
    <t>個人服務</t>
  </si>
  <si>
    <t>廢物管理</t>
  </si>
  <si>
    <t>工具及附件</t>
  </si>
  <si>
    <t>食品分銷商</t>
  </si>
  <si>
    <t>飲料-啤酒</t>
  </si>
  <si>
    <t>奢侈品</t>
  </si>
  <si>
    <t>租賃服務</t>
  </si>
  <si>
    <t>醫葯零售商</t>
  </si>
  <si>
    <t>BRK.B</t>
    <phoneticPr fontId="2" type="noConversion"/>
  </si>
  <si>
    <t>zx</t>
    <phoneticPr fontId="2" type="noConversion"/>
  </si>
  <si>
    <t>PINS</t>
    <phoneticPr fontId="2" type="noConversion"/>
  </si>
  <si>
    <t>DOCU</t>
    <phoneticPr fontId="2" type="noConversion"/>
  </si>
  <si>
    <t>AKTS</t>
    <phoneticPr fontId="2" type="noConversion"/>
  </si>
  <si>
    <t>ERIC</t>
    <phoneticPr fontId="2" type="noConversion"/>
  </si>
  <si>
    <t>BABA</t>
    <phoneticPr fontId="2" type="noConversion"/>
  </si>
  <si>
    <t>ASML</t>
  </si>
  <si>
    <t>ASML</t>
    <phoneticPr fontId="2" type="noConversion"/>
  </si>
  <si>
    <t>NOVN</t>
  </si>
  <si>
    <t>NOVN</t>
    <phoneticPr fontId="2" type="noConversion"/>
  </si>
  <si>
    <t>CHEK</t>
  </si>
  <si>
    <t>NSPR</t>
  </si>
  <si>
    <t>NSPR</t>
    <phoneticPr fontId="2" type="noConversion"/>
  </si>
  <si>
    <t>SABR</t>
  </si>
  <si>
    <t>SABR</t>
    <phoneticPr fontId="2" type="noConversion"/>
  </si>
  <si>
    <t>QCIBX</t>
  </si>
  <si>
    <t>展</t>
    <phoneticPr fontId="2" type="noConversion"/>
  </si>
  <si>
    <t>ARK</t>
    <phoneticPr fontId="2" type="noConversion"/>
  </si>
  <si>
    <t>乘風破浪</t>
    <phoneticPr fontId="2" type="noConversion"/>
  </si>
  <si>
    <t>打錯代碼</t>
    <phoneticPr fontId="2" type="noConversion"/>
  </si>
  <si>
    <t>SP</t>
    <phoneticPr fontId="2" type="noConversion"/>
  </si>
  <si>
    <t xml:space="preserve"> DTE Pri</t>
    <phoneticPr fontId="2" type="noConversion"/>
  </si>
  <si>
    <t>SC</t>
    <phoneticPr fontId="2" type="noConversion"/>
  </si>
  <si>
    <t>關注</t>
    <phoneticPr fontId="2" type="noConversion"/>
  </si>
  <si>
    <t>U</t>
    <phoneticPr fontId="2" type="noConversion"/>
  </si>
  <si>
    <t>Reina</t>
    <phoneticPr fontId="2" type="noConversion"/>
  </si>
  <si>
    <t>SRNE</t>
    <phoneticPr fontId="2" type="noConversion"/>
  </si>
  <si>
    <t>下單日</t>
    <phoneticPr fontId="2" type="noConversion"/>
  </si>
  <si>
    <t>代碼</t>
    <phoneticPr fontId="2" type="noConversion"/>
  </si>
  <si>
    <t>NIO</t>
    <phoneticPr fontId="2" type="noConversion"/>
  </si>
  <si>
    <t>合約價</t>
    <phoneticPr fontId="2" type="noConversion"/>
  </si>
  <si>
    <t>Q3</t>
    <phoneticPr fontId="2" type="noConversion"/>
  </si>
  <si>
    <t>AGM</t>
    <phoneticPr fontId="2" type="noConversion"/>
  </si>
  <si>
    <t>Q1</t>
    <phoneticPr fontId="2" type="noConversion"/>
  </si>
  <si>
    <t>Q4</t>
    <phoneticPr fontId="2" type="noConversion"/>
  </si>
  <si>
    <t>Q2</t>
    <phoneticPr fontId="2" type="noConversion"/>
  </si>
  <si>
    <t>AMG</t>
    <phoneticPr fontId="2" type="noConversion"/>
  </si>
  <si>
    <t>FT</t>
    <phoneticPr fontId="2" type="noConversion"/>
  </si>
  <si>
    <t>TD</t>
    <phoneticPr fontId="2" type="noConversion"/>
  </si>
  <si>
    <t>券商</t>
    <phoneticPr fontId="2" type="noConversion"/>
  </si>
  <si>
    <t>SENS</t>
    <phoneticPr fontId="2" type="noConversion"/>
  </si>
  <si>
    <t>PLTR</t>
    <phoneticPr fontId="2" type="noConversion"/>
  </si>
  <si>
    <t>HIMS</t>
    <phoneticPr fontId="2" type="noConversion"/>
  </si>
  <si>
    <t>CHEK</t>
    <phoneticPr fontId="2" type="noConversion"/>
  </si>
  <si>
    <t>syms</t>
    <phoneticPr fontId="2" type="noConversion"/>
  </si>
  <si>
    <t>timer</t>
    <phoneticPr fontId="2" type="noConversion"/>
  </si>
  <si>
    <t>item</t>
    <phoneticPr fontId="2" type="noConversion"/>
  </si>
  <si>
    <t>day</t>
    <phoneticPr fontId="2" type="noConversion"/>
  </si>
  <si>
    <t>維持比率</t>
    <phoneticPr fontId="2" type="noConversion"/>
  </si>
  <si>
    <t>押金</t>
    <phoneticPr fontId="2" type="noConversion"/>
  </si>
  <si>
    <t>IV Index Put</t>
  </si>
  <si>
    <t>Price</t>
  </si>
  <si>
    <t>HV_Low/m</t>
    <phoneticPr fontId="2" type="noConversion"/>
  </si>
  <si>
    <t>IV_Low/m</t>
    <phoneticPr fontId="2" type="noConversion"/>
  </si>
  <si>
    <t>sym</t>
    <phoneticPr fontId="2" type="noConversion"/>
  </si>
  <si>
    <t>HV_High/m</t>
    <phoneticPr fontId="2" type="noConversion"/>
  </si>
  <si>
    <t>IV_High/m</t>
    <phoneticPr fontId="2" type="noConversion"/>
  </si>
  <si>
    <t>權利金 / 股</t>
    <phoneticPr fontId="2" type="noConversion"/>
  </si>
  <si>
    <t>權利金 / 周 / 股</t>
    <phoneticPr fontId="2" type="noConversion"/>
  </si>
  <si>
    <t>權利金 / 周 / 押1000 $</t>
    <phoneticPr fontId="2" type="noConversion"/>
  </si>
  <si>
    <t>FCEL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</si>
</sst>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_);[Red]\(0\)"/>
    <numFmt numFmtId="177" formatCode="0.00_);[Red]\(0.00\)"/>
    <numFmt numFmtId="178" formatCode="m&quot;月&quot;d&quot;日&quot;"/>
    <numFmt numFmtId="179" formatCode="0.000"/>
    <numFmt numFmtId="180" formatCode="0.000_);[Red]\(0.000\)"/>
    <numFmt numFmtId="181" formatCode="0.0%"/>
    <numFmt numFmtId="182" formatCode="0.0_);[Red]\(0.0\)"/>
    <numFmt numFmtId="183" formatCode="0.0"/>
    <numFmt numFmtId="184" formatCode="yyyy\-mm\-dd;@"/>
    <numFmt numFmtId="185" formatCode="&quot;         &lt; &quot;General"/>
    <numFmt numFmtId="186" formatCode="&quot;YTS/月 &gt; &quot;0.0%"/>
    <numFmt numFmtId="187" formatCode="mm/dd\ hh:mm&quot; 更新&quot;"/>
  </numFmts>
  <fonts count="47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sz val="10"/>
      <name val="Arial"/>
      <family val="2"/>
    </font>
    <font>
      <sz val="10"/>
      <color rgb="FF00B0F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00B050"/>
      <name val="新細明體"/>
      <family val="1"/>
      <charset val="136"/>
    </font>
    <font>
      <b/>
      <sz val="10"/>
      <color rgb="FF0070C0"/>
      <name val="Arial"/>
      <family val="2"/>
    </font>
    <font>
      <b/>
      <sz val="10"/>
      <color rgb="FF0070C0"/>
      <name val="新細明體"/>
      <family val="1"/>
      <charset val="136"/>
    </font>
    <font>
      <b/>
      <sz val="10"/>
      <color rgb="FFFF0000"/>
      <name val="Arial"/>
      <family val="2"/>
    </font>
    <font>
      <b/>
      <sz val="10"/>
      <color rgb="FFFF0000"/>
      <name val="新細明體"/>
      <family val="1"/>
      <charset val="136"/>
    </font>
    <font>
      <b/>
      <sz val="10"/>
      <color rgb="FF4C5261"/>
      <name val="Arial"/>
      <family val="2"/>
    </font>
    <font>
      <b/>
      <sz val="10"/>
      <color rgb="FF404040"/>
      <name val="Arial"/>
      <family val="2"/>
    </font>
    <font>
      <sz val="10"/>
      <color theme="1"/>
      <name val="新細明體"/>
      <family val="1"/>
      <charset val="136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color rgb="FF0070C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name val="微軟正黑體"/>
      <family val="2"/>
      <charset val="136"/>
    </font>
    <font>
      <sz val="9"/>
      <name val="細明體"/>
      <family val="3"/>
      <charset val="136"/>
    </font>
    <font>
      <sz val="10"/>
      <color rgb="FF0070C0"/>
      <name val="微軟正黑體"/>
      <family val="2"/>
      <charset val="136"/>
    </font>
    <font>
      <sz val="8"/>
      <name val="微軟正黑體"/>
      <family val="2"/>
      <charset val="136"/>
    </font>
    <font>
      <b/>
      <sz val="10"/>
      <color theme="6" tint="0.39997558519241921"/>
      <name val="Arial"/>
      <family val="2"/>
    </font>
    <font>
      <sz val="10"/>
      <color theme="1"/>
      <name val="細明體"/>
      <family val="3"/>
      <charset val="136"/>
    </font>
    <font>
      <b/>
      <sz val="10"/>
      <color theme="6" tint="0.39997558519241921"/>
      <name val="Arial Unicode MS"/>
      <family val="2"/>
      <charset val="136"/>
    </font>
    <font>
      <b/>
      <sz val="9"/>
      <color indexed="81"/>
      <name val="細明體"/>
      <family val="3"/>
      <charset val="136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微軟正黑體"/>
      <family val="2"/>
      <charset val="136"/>
    </font>
    <font>
      <sz val="11"/>
      <color theme="1"/>
      <name val="Arial"/>
      <family val="2"/>
      <charset val="136"/>
    </font>
    <font>
      <sz val="10"/>
      <color theme="1"/>
      <name val="細明體"/>
      <family val="2"/>
      <charset val="136"/>
    </font>
    <font>
      <sz val="11"/>
      <color theme="1"/>
      <name val="細明體"/>
      <family val="2"/>
      <charset val="136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2"/>
      <scheme val="minor"/>
    </font>
    <font>
      <sz val="11"/>
      <color theme="1"/>
      <name val="新細明體"/>
      <family val="2"/>
      <charset val="136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2" tint="-9.9948118533890809E-2"/>
      </bottom>
      <diagonal/>
    </border>
    <border>
      <left/>
      <right/>
      <top style="medium">
        <color indexed="64"/>
      </top>
      <bottom style="thin">
        <color theme="2" tint="-9.9948118533890809E-2"/>
      </bottom>
      <diagonal/>
    </border>
    <border>
      <left/>
      <right style="medium">
        <color indexed="64"/>
      </right>
      <top style="medium">
        <color indexed="64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medium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 style="medium">
        <color indexed="64"/>
      </bottom>
      <diagonal/>
    </border>
    <border>
      <left/>
      <right/>
      <top style="thin">
        <color theme="2" tint="-9.9948118533890809E-2"/>
      </top>
      <bottom style="medium">
        <color indexed="64"/>
      </bottom>
      <diagonal/>
    </border>
    <border>
      <left/>
      <right style="medium">
        <color indexed="64"/>
      </right>
      <top style="thin">
        <color theme="2" tint="-9.9948118533890809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9.9948118533890809E-2"/>
      </bottom>
      <diagonal/>
    </border>
    <border>
      <left style="medium">
        <color indexed="64"/>
      </left>
      <right style="medium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/>
      <diagonal/>
    </border>
    <border>
      <left/>
      <right style="medium">
        <color indexed="64"/>
      </right>
      <top style="thin">
        <color theme="2" tint="-9.9948118533890809E-2"/>
      </top>
      <bottom/>
      <diagonal/>
    </border>
    <border>
      <left style="medium">
        <color indexed="64"/>
      </left>
      <right/>
      <top/>
      <bottom style="thin">
        <color theme="2" tint="-9.9948118533890809E-2"/>
      </bottom>
      <diagonal/>
    </border>
    <border>
      <left/>
      <right style="medium">
        <color indexed="64"/>
      </right>
      <top/>
      <bottom style="thin">
        <color theme="2" tint="-9.9948118533890809E-2"/>
      </bottom>
      <diagonal/>
    </border>
    <border>
      <left/>
      <right/>
      <top/>
      <bottom style="thin">
        <color theme="2" tint="-9.9948118533890809E-2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/>
    <xf numFmtId="0" fontId="4" fillId="0" borderId="0"/>
  </cellStyleXfs>
  <cellXfs count="387">
    <xf numFmtId="0" fontId="0" fillId="0" borderId="0" xfId="0"/>
    <xf numFmtId="14" fontId="23" fillId="4" borderId="6" xfId="0" applyNumberFormat="1" applyFont="1" applyFill="1" applyBorder="1" applyAlignment="1" applyProtection="1">
      <alignment horizontal="center" vertical="center"/>
      <protection locked="0"/>
    </xf>
    <xf numFmtId="14" fontId="24" fillId="2" borderId="11" xfId="0" applyNumberFormat="1" applyFont="1" applyFill="1" applyBorder="1" applyAlignment="1" applyProtection="1">
      <alignment horizontal="center" vertical="center"/>
      <protection locked="0"/>
    </xf>
    <xf numFmtId="0" fontId="27" fillId="4" borderId="12" xfId="0" applyFont="1" applyFill="1" applyBorder="1" applyAlignment="1" applyProtection="1">
      <alignment horizontal="center" vertical="center"/>
      <protection locked="0"/>
    </xf>
    <xf numFmtId="0" fontId="22" fillId="4" borderId="13" xfId="2" applyFont="1" applyFill="1" applyBorder="1" applyAlignment="1" applyProtection="1">
      <alignment horizontal="center" vertical="center"/>
      <protection locked="0"/>
    </xf>
    <xf numFmtId="0" fontId="23" fillId="4" borderId="14" xfId="0" applyFont="1" applyFill="1" applyBorder="1" applyAlignment="1" applyProtection="1">
      <alignment horizontal="center" vertical="center"/>
      <protection locked="0"/>
    </xf>
    <xf numFmtId="0" fontId="23" fillId="4" borderId="12" xfId="0" applyFont="1" applyFill="1" applyBorder="1" applyAlignment="1" applyProtection="1">
      <alignment horizontal="center" vertical="center"/>
      <protection locked="0"/>
    </xf>
    <xf numFmtId="0" fontId="23" fillId="4" borderId="13" xfId="0" applyFont="1" applyFill="1" applyBorder="1" applyAlignment="1" applyProtection="1">
      <alignment horizontal="center" vertical="center"/>
      <protection locked="0"/>
    </xf>
    <xf numFmtId="14" fontId="24" fillId="2" borderId="17" xfId="0" applyNumberFormat="1" applyFont="1" applyFill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21" fillId="0" borderId="0" xfId="0" applyFont="1" applyBorder="1" applyProtection="1"/>
    <xf numFmtId="0" fontId="26" fillId="0" borderId="0" xfId="0" applyFont="1" applyBorder="1" applyProtection="1"/>
    <xf numFmtId="178" fontId="21" fillId="0" borderId="0" xfId="0" applyNumberFormat="1" applyFont="1" applyBorder="1" applyProtection="1"/>
    <xf numFmtId="0" fontId="21" fillId="0" borderId="7" xfId="0" applyFont="1" applyBorder="1" applyAlignment="1" applyProtection="1">
      <alignment horizontal="center" vertical="center"/>
    </xf>
    <xf numFmtId="0" fontId="21" fillId="3" borderId="7" xfId="0" applyFont="1" applyFill="1" applyBorder="1" applyAlignment="1" applyProtection="1">
      <alignment horizontal="center" vertical="center"/>
    </xf>
    <xf numFmtId="0" fontId="21" fillId="3" borderId="8" xfId="0" applyFont="1" applyFill="1" applyBorder="1" applyAlignment="1" applyProtection="1">
      <alignment horizontal="center" vertical="center"/>
    </xf>
    <xf numFmtId="0" fontId="21" fillId="3" borderId="9" xfId="0" applyFont="1" applyFill="1" applyBorder="1" applyAlignment="1" applyProtection="1">
      <alignment horizontal="center" vertical="center"/>
    </xf>
    <xf numFmtId="176" fontId="21" fillId="3" borderId="8" xfId="0" applyNumberFormat="1" applyFont="1" applyFill="1" applyBorder="1" applyAlignment="1" applyProtection="1">
      <alignment horizontal="center" vertical="center"/>
    </xf>
    <xf numFmtId="10" fontId="21" fillId="3" borderId="8" xfId="1" applyNumberFormat="1" applyFont="1" applyFill="1" applyBorder="1" applyAlignment="1" applyProtection="1">
      <alignment horizontal="center" vertical="center"/>
    </xf>
    <xf numFmtId="0" fontId="24" fillId="3" borderId="8" xfId="0" applyFont="1" applyFill="1" applyBorder="1" applyAlignment="1" applyProtection="1">
      <alignment horizontal="center" vertical="center"/>
    </xf>
    <xf numFmtId="177" fontId="21" fillId="3" borderId="9" xfId="1" applyNumberFormat="1" applyFont="1" applyFill="1" applyBorder="1" applyAlignment="1" applyProtection="1">
      <alignment horizontal="center" vertical="center"/>
    </xf>
    <xf numFmtId="177" fontId="25" fillId="3" borderId="7" xfId="1" applyNumberFormat="1" applyFont="1" applyFill="1" applyBorder="1" applyAlignment="1" applyProtection="1">
      <alignment horizontal="center" vertical="center"/>
    </xf>
    <xf numFmtId="0" fontId="23" fillId="3" borderId="8" xfId="0" applyFont="1" applyFill="1" applyBorder="1" applyAlignment="1" applyProtection="1">
      <alignment horizontal="center" vertical="center"/>
    </xf>
    <xf numFmtId="177" fontId="25" fillId="3" borderId="9" xfId="1" applyNumberFormat="1" applyFont="1" applyFill="1" applyBorder="1" applyAlignment="1" applyProtection="1">
      <alignment horizontal="center" vertical="center"/>
    </xf>
    <xf numFmtId="0" fontId="21" fillId="0" borderId="8" xfId="0" applyFont="1" applyBorder="1" applyProtection="1"/>
    <xf numFmtId="0" fontId="21" fillId="0" borderId="8" xfId="0" applyFont="1" applyBorder="1" applyAlignment="1" applyProtection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21" fillId="0" borderId="0" xfId="0" applyFont="1" applyProtection="1"/>
    <xf numFmtId="0" fontId="21" fillId="2" borderId="1" xfId="0" applyFont="1" applyFill="1" applyBorder="1" applyAlignment="1" applyProtection="1">
      <alignment horizontal="center" vertical="center"/>
    </xf>
    <xf numFmtId="0" fontId="12" fillId="3" borderId="2" xfId="0" applyFont="1" applyFill="1" applyBorder="1" applyAlignment="1" applyProtection="1">
      <alignment horizontal="center" vertical="center"/>
    </xf>
    <xf numFmtId="0" fontId="14" fillId="3" borderId="2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9" fillId="3" borderId="3" xfId="0" applyFont="1" applyFill="1" applyBorder="1" applyAlignment="1" applyProtection="1">
      <alignment horizontal="center" vertical="center"/>
    </xf>
    <xf numFmtId="0" fontId="12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9" fontId="28" fillId="0" borderId="0" xfId="1" applyFont="1" applyAlignment="1"/>
    <xf numFmtId="9" fontId="28" fillId="0" borderId="0" xfId="0" applyNumberFormat="1" applyFont="1"/>
    <xf numFmtId="2" fontId="28" fillId="0" borderId="0" xfId="0" applyNumberFormat="1" applyFont="1"/>
    <xf numFmtId="179" fontId="28" fillId="0" borderId="0" xfId="0" applyNumberFormat="1" applyFont="1"/>
    <xf numFmtId="1" fontId="28" fillId="0" borderId="0" xfId="0" applyNumberFormat="1" applyFont="1"/>
    <xf numFmtId="14" fontId="28" fillId="0" borderId="0" xfId="0" applyNumberFormat="1" applyFont="1"/>
    <xf numFmtId="14" fontId="30" fillId="0" borderId="0" xfId="0" applyNumberFormat="1" applyFont="1"/>
    <xf numFmtId="179" fontId="30" fillId="0" borderId="0" xfId="0" applyNumberFormat="1" applyFont="1"/>
    <xf numFmtId="177" fontId="30" fillId="0" borderId="0" xfId="0" applyNumberFormat="1" applyFont="1"/>
    <xf numFmtId="180" fontId="28" fillId="0" borderId="0" xfId="0" applyNumberFormat="1" applyFont="1"/>
    <xf numFmtId="14" fontId="28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9" fontId="31" fillId="0" borderId="0" xfId="1" applyFont="1" applyBorder="1" applyAlignment="1"/>
    <xf numFmtId="9" fontId="24" fillId="3" borderId="0" xfId="1" applyFont="1" applyFill="1" applyBorder="1" applyAlignment="1" applyProtection="1">
      <alignment horizontal="center" vertical="center"/>
    </xf>
    <xf numFmtId="0" fontId="28" fillId="0" borderId="4" xfId="0" applyFont="1" applyBorder="1"/>
    <xf numFmtId="0" fontId="28" fillId="0" borderId="0" xfId="0" applyFont="1" applyBorder="1"/>
    <xf numFmtId="0" fontId="11" fillId="0" borderId="0" xfId="0" applyFont="1" applyFill="1" applyBorder="1" applyAlignment="1" applyProtection="1">
      <alignment vertic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21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</xf>
    <xf numFmtId="0" fontId="11" fillId="0" borderId="5" xfId="0" applyFont="1" applyFill="1" applyBorder="1" applyAlignment="1" applyProtection="1">
      <alignment vertical="center"/>
    </xf>
    <xf numFmtId="0" fontId="4" fillId="0" borderId="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5" xfId="0" applyFont="1" applyFill="1" applyBorder="1" applyAlignment="1" applyProtection="1">
      <alignment vertical="center"/>
      <protection locked="0"/>
    </xf>
    <xf numFmtId="177" fontId="23" fillId="4" borderId="12" xfId="0" applyNumberFormat="1" applyFont="1" applyFill="1" applyBorder="1" applyAlignment="1" applyProtection="1">
      <alignment horizontal="center" vertical="center"/>
      <protection locked="0"/>
    </xf>
    <xf numFmtId="177" fontId="24" fillId="3" borderId="0" xfId="1" applyNumberFormat="1" applyFont="1" applyFill="1" applyBorder="1" applyAlignment="1" applyProtection="1">
      <alignment horizontal="center" vertical="center"/>
    </xf>
    <xf numFmtId="0" fontId="28" fillId="0" borderId="1" xfId="0" applyFont="1" applyBorder="1"/>
    <xf numFmtId="0" fontId="28" fillId="0" borderId="2" xfId="0" applyFont="1" applyBorder="1"/>
    <xf numFmtId="0" fontId="28" fillId="0" borderId="7" xfId="0" applyFont="1" applyBorder="1"/>
    <xf numFmtId="0" fontId="28" fillId="0" borderId="8" xfId="0" applyFont="1" applyBorder="1"/>
    <xf numFmtId="181" fontId="24" fillId="3" borderId="0" xfId="1" applyNumberFormat="1" applyFont="1" applyFill="1" applyBorder="1" applyAlignment="1" applyProtection="1">
      <alignment horizontal="center" vertical="center"/>
    </xf>
    <xf numFmtId="9" fontId="24" fillId="3" borderId="8" xfId="1" applyFont="1" applyFill="1" applyBorder="1" applyAlignment="1" applyProtection="1">
      <alignment horizontal="center" vertical="center"/>
    </xf>
    <xf numFmtId="181" fontId="24" fillId="3" borderId="8" xfId="1" applyNumberFormat="1" applyFont="1" applyFill="1" applyBorder="1" applyAlignment="1" applyProtection="1">
      <alignment horizontal="center" vertical="center"/>
    </xf>
    <xf numFmtId="0" fontId="21" fillId="0" borderId="2" xfId="0" applyFont="1" applyBorder="1" applyProtection="1"/>
    <xf numFmtId="0" fontId="28" fillId="0" borderId="10" xfId="0" applyFont="1" applyBorder="1"/>
    <xf numFmtId="0" fontId="28" fillId="0" borderId="11" xfId="0" applyFont="1" applyBorder="1"/>
    <xf numFmtId="0" fontId="28" fillId="0" borderId="17" xfId="0" applyFont="1" applyBorder="1"/>
    <xf numFmtId="0" fontId="21" fillId="3" borderId="4" xfId="0" applyFont="1" applyFill="1" applyBorder="1" applyAlignment="1" applyProtection="1">
      <alignment horizontal="center" vertical="center"/>
    </xf>
    <xf numFmtId="0" fontId="21" fillId="3" borderId="0" xfId="0" applyFont="1" applyFill="1" applyBorder="1" applyAlignment="1" applyProtection="1">
      <alignment horizontal="center" vertical="center"/>
    </xf>
    <xf numFmtId="0" fontId="21" fillId="3" borderId="5" xfId="0" applyFont="1" applyFill="1" applyBorder="1" applyAlignment="1" applyProtection="1">
      <alignment horizontal="center" vertical="center"/>
    </xf>
    <xf numFmtId="176" fontId="21" fillId="3" borderId="0" xfId="0" applyNumberFormat="1" applyFont="1" applyFill="1" applyBorder="1" applyAlignment="1" applyProtection="1">
      <alignment horizontal="center" vertical="center"/>
    </xf>
    <xf numFmtId="10" fontId="21" fillId="3" borderId="0" xfId="1" applyNumberFormat="1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177" fontId="21" fillId="3" borderId="5" xfId="1" applyNumberFormat="1" applyFont="1" applyFill="1" applyBorder="1" applyAlignment="1" applyProtection="1">
      <alignment horizontal="center" vertical="center"/>
    </xf>
    <xf numFmtId="177" fontId="25" fillId="3" borderId="4" xfId="1" applyNumberFormat="1" applyFont="1" applyFill="1" applyBorder="1" applyAlignment="1" applyProtection="1">
      <alignment horizontal="center" vertical="center"/>
    </xf>
    <xf numFmtId="0" fontId="23" fillId="3" borderId="0" xfId="0" applyFont="1" applyFill="1" applyBorder="1" applyAlignment="1" applyProtection="1">
      <alignment horizontal="center" vertical="center"/>
    </xf>
    <xf numFmtId="177" fontId="25" fillId="3" borderId="5" xfId="1" applyNumberFormat="1" applyFont="1" applyFill="1" applyBorder="1" applyAlignment="1" applyProtection="1">
      <alignment horizontal="center" vertical="center"/>
    </xf>
    <xf numFmtId="0" fontId="21" fillId="3" borderId="1" xfId="0" applyFont="1" applyFill="1" applyBorder="1" applyAlignment="1" applyProtection="1">
      <alignment horizontal="center" vertical="center"/>
    </xf>
    <xf numFmtId="0" fontId="21" fillId="3" borderId="2" xfId="0" applyFont="1" applyFill="1" applyBorder="1" applyAlignment="1" applyProtection="1">
      <alignment horizontal="center" vertical="center"/>
    </xf>
    <xf numFmtId="0" fontId="21" fillId="3" borderId="3" xfId="0" applyFont="1" applyFill="1" applyBorder="1" applyAlignment="1" applyProtection="1">
      <alignment horizontal="center" vertical="center"/>
    </xf>
    <xf numFmtId="176" fontId="21" fillId="3" borderId="2" xfId="0" applyNumberFormat="1" applyFont="1" applyFill="1" applyBorder="1" applyAlignment="1" applyProtection="1">
      <alignment horizontal="center" vertical="center"/>
    </xf>
    <xf numFmtId="10" fontId="21" fillId="3" borderId="2" xfId="1" applyNumberFormat="1" applyFont="1" applyFill="1" applyBorder="1" applyAlignment="1" applyProtection="1">
      <alignment horizontal="center" vertical="center"/>
    </xf>
    <xf numFmtId="0" fontId="24" fillId="3" borderId="2" xfId="0" applyFont="1" applyFill="1" applyBorder="1" applyAlignment="1" applyProtection="1">
      <alignment horizontal="center" vertical="center"/>
    </xf>
    <xf numFmtId="177" fontId="21" fillId="3" borderId="3" xfId="1" applyNumberFormat="1" applyFont="1" applyFill="1" applyBorder="1" applyAlignment="1" applyProtection="1">
      <alignment horizontal="center" vertical="center"/>
    </xf>
    <xf numFmtId="177" fontId="25" fillId="3" borderId="1" xfId="1" applyNumberFormat="1" applyFont="1" applyFill="1" applyBorder="1" applyAlignment="1" applyProtection="1">
      <alignment horizontal="center" vertical="center"/>
    </xf>
    <xf numFmtId="0" fontId="23" fillId="3" borderId="2" xfId="0" applyFont="1" applyFill="1" applyBorder="1" applyAlignment="1" applyProtection="1">
      <alignment horizontal="center" vertical="center"/>
    </xf>
    <xf numFmtId="177" fontId="25" fillId="3" borderId="3" xfId="1" applyNumberFormat="1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11" fillId="2" borderId="15" xfId="0" applyFont="1" applyFill="1" applyBorder="1" applyAlignment="1" applyProtection="1">
      <alignment horizontal="center" vertical="center"/>
      <protection locked="0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11" fillId="2" borderId="18" xfId="0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vertical="center"/>
      <protection locked="0"/>
    </xf>
    <xf numFmtId="0" fontId="11" fillId="0" borderId="5" xfId="0" applyFont="1" applyBorder="1" applyAlignment="1" applyProtection="1">
      <alignment vertical="center"/>
      <protection locked="0"/>
    </xf>
    <xf numFmtId="0" fontId="12" fillId="3" borderId="1" xfId="0" applyFont="1" applyFill="1" applyBorder="1" applyAlignment="1" applyProtection="1">
      <alignment horizontal="center" vertical="center"/>
    </xf>
    <xf numFmtId="0" fontId="12" fillId="3" borderId="4" xfId="0" applyFont="1" applyFill="1" applyBorder="1" applyAlignment="1" applyProtection="1">
      <alignment horizontal="center" vertical="center"/>
    </xf>
    <xf numFmtId="0" fontId="11" fillId="0" borderId="4" xfId="0" applyFont="1" applyFill="1" applyBorder="1" applyAlignment="1" applyProtection="1">
      <alignment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4" fillId="3" borderId="4" xfId="3" applyFont="1" applyFill="1" applyBorder="1" applyAlignment="1" applyProtection="1">
      <alignment vertical="center"/>
      <protection locked="0"/>
    </xf>
    <xf numFmtId="0" fontId="4" fillId="3" borderId="0" xfId="3" applyFont="1" applyFill="1" applyBorder="1" applyAlignment="1" applyProtection="1">
      <alignment vertical="center"/>
      <protection locked="0"/>
    </xf>
    <xf numFmtId="0" fontId="4" fillId="3" borderId="5" xfId="3" applyFont="1" applyFill="1" applyBorder="1" applyAlignment="1" applyProtection="1">
      <alignment vertical="center"/>
      <protection locked="0"/>
    </xf>
    <xf numFmtId="9" fontId="4" fillId="3" borderId="0" xfId="1" applyFont="1" applyFill="1" applyBorder="1" applyAlignment="1" applyProtection="1">
      <alignment vertical="center"/>
      <protection locked="0"/>
    </xf>
    <xf numFmtId="0" fontId="4" fillId="3" borderId="0" xfId="0" applyFont="1" applyFill="1" applyBorder="1" applyAlignment="1" applyProtection="1">
      <alignment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4" fillId="3" borderId="4" xfId="0" applyFont="1" applyFill="1" applyBorder="1" applyAlignment="1" applyProtection="1">
      <alignment vertical="center"/>
      <protection locked="0"/>
    </xf>
    <xf numFmtId="0" fontId="4" fillId="3" borderId="7" xfId="0" applyFont="1" applyFill="1" applyBorder="1" applyAlignment="1" applyProtection="1">
      <alignment vertical="center"/>
      <protection locked="0"/>
    </xf>
    <xf numFmtId="0" fontId="4" fillId="3" borderId="8" xfId="0" applyFont="1" applyFill="1" applyBorder="1" applyAlignment="1" applyProtection="1">
      <alignment vertical="center"/>
      <protection locked="0"/>
    </xf>
    <xf numFmtId="0" fontId="4" fillId="3" borderId="9" xfId="0" applyFont="1" applyFill="1" applyBorder="1" applyAlignment="1" applyProtection="1">
      <alignment vertical="center"/>
      <protection locked="0"/>
    </xf>
    <xf numFmtId="181" fontId="23" fillId="4" borderId="14" xfId="1" applyNumberFormat="1" applyFont="1" applyFill="1" applyBorder="1" applyAlignment="1" applyProtection="1">
      <alignment horizontal="center" vertical="center"/>
      <protection locked="0"/>
    </xf>
    <xf numFmtId="181" fontId="21" fillId="3" borderId="0" xfId="1" applyNumberFormat="1" applyFont="1" applyFill="1" applyBorder="1" applyAlignment="1" applyProtection="1">
      <alignment horizontal="center" vertical="center"/>
    </xf>
    <xf numFmtId="181" fontId="21" fillId="0" borderId="0" xfId="1" applyNumberFormat="1" applyFont="1" applyBorder="1" applyAlignment="1" applyProtection="1">
      <alignment horizontal="center" vertical="center"/>
    </xf>
    <xf numFmtId="181" fontId="23" fillId="4" borderId="14" xfId="0" applyNumberFormat="1" applyFont="1" applyFill="1" applyBorder="1" applyAlignment="1" applyProtection="1">
      <alignment horizontal="center" vertical="center"/>
      <protection locked="0"/>
    </xf>
    <xf numFmtId="181" fontId="21" fillId="0" borderId="0" xfId="0" applyNumberFormat="1" applyFont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vertical="center"/>
    </xf>
    <xf numFmtId="0" fontId="21" fillId="0" borderId="11" xfId="0" applyFont="1" applyFill="1" applyBorder="1" applyAlignment="1" applyProtection="1">
      <alignment horizontal="center" vertical="center"/>
    </xf>
    <xf numFmtId="181" fontId="21" fillId="0" borderId="0" xfId="1" applyNumberFormat="1" applyFont="1" applyAlignment="1" applyProtection="1">
      <alignment horizontal="center" vertical="center"/>
    </xf>
    <xf numFmtId="9" fontId="21" fillId="0" borderId="0" xfId="1" applyFont="1" applyAlignment="1" applyProtection="1">
      <alignment horizontal="center" vertical="center"/>
    </xf>
    <xf numFmtId="0" fontId="21" fillId="5" borderId="11" xfId="0" applyFont="1" applyFill="1" applyBorder="1" applyAlignment="1" applyProtection="1">
      <alignment horizontal="center" vertical="center"/>
    </xf>
    <xf numFmtId="49" fontId="21" fillId="5" borderId="11" xfId="0" applyNumberFormat="1" applyFont="1" applyFill="1" applyBorder="1" applyAlignment="1" applyProtection="1">
      <alignment horizontal="center" vertical="center"/>
    </xf>
    <xf numFmtId="0" fontId="21" fillId="5" borderId="17" xfId="0" applyFont="1" applyFill="1" applyBorder="1" applyAlignment="1" applyProtection="1">
      <alignment horizontal="center" vertical="center"/>
    </xf>
    <xf numFmtId="14" fontId="21" fillId="0" borderId="11" xfId="0" applyNumberFormat="1" applyFont="1" applyBorder="1" applyAlignment="1" applyProtection="1">
      <alignment horizontal="center" vertical="center"/>
    </xf>
    <xf numFmtId="0" fontId="24" fillId="2" borderId="10" xfId="0" applyFont="1" applyFill="1" applyBorder="1" applyAlignment="1" applyProtection="1">
      <alignment horizontal="center" vertical="center"/>
      <protection locked="0"/>
    </xf>
    <xf numFmtId="0" fontId="24" fillId="2" borderId="11" xfId="0" applyFont="1" applyFill="1" applyBorder="1" applyAlignment="1" applyProtection="1">
      <alignment horizontal="center" vertical="center"/>
      <protection locked="0"/>
    </xf>
    <xf numFmtId="0" fontId="24" fillId="2" borderId="17" xfId="0" applyFont="1" applyFill="1" applyBorder="1" applyAlignment="1" applyProtection="1">
      <alignment horizontal="center" vertical="center"/>
      <protection locked="0"/>
    </xf>
    <xf numFmtId="0" fontId="21" fillId="5" borderId="11" xfId="0" applyFont="1" applyFill="1" applyBorder="1" applyAlignment="1" applyProtection="1">
      <alignment horizontal="left" vertical="center"/>
    </xf>
    <xf numFmtId="9" fontId="21" fillId="0" borderId="0" xfId="1" applyFont="1" applyBorder="1" applyAlignment="1" applyProtection="1"/>
    <xf numFmtId="0" fontId="21" fillId="0" borderId="2" xfId="0" applyFont="1" applyBorder="1" applyAlignment="1" applyProtection="1">
      <alignment horizontal="center" vertical="center"/>
    </xf>
    <xf numFmtId="0" fontId="21" fillId="0" borderId="7" xfId="0" applyFont="1" applyBorder="1" applyAlignment="1" applyProtection="1">
      <alignment horizontal="center" vertical="center"/>
    </xf>
    <xf numFmtId="0" fontId="21" fillId="0" borderId="8" xfId="0" applyFont="1" applyBorder="1" applyAlignment="1" applyProtection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8" fillId="5" borderId="11" xfId="0" applyFont="1" applyFill="1" applyBorder="1" applyAlignment="1" applyProtection="1">
      <alignment horizontal="center" vertical="center"/>
    </xf>
    <xf numFmtId="0" fontId="21" fillId="3" borderId="22" xfId="0" applyFont="1" applyFill="1" applyBorder="1" applyAlignment="1" applyProtection="1">
      <alignment horizontal="center" vertical="center"/>
    </xf>
    <xf numFmtId="0" fontId="21" fillId="3" borderId="23" xfId="0" applyFont="1" applyFill="1" applyBorder="1" applyAlignment="1" applyProtection="1">
      <alignment horizontal="center" vertical="center"/>
    </xf>
    <xf numFmtId="0" fontId="21" fillId="3" borderId="24" xfId="0" applyFont="1" applyFill="1" applyBorder="1" applyAlignment="1" applyProtection="1">
      <alignment horizontal="center" vertical="center"/>
    </xf>
    <xf numFmtId="0" fontId="21" fillId="3" borderId="25" xfId="0" applyFont="1" applyFill="1" applyBorder="1" applyAlignment="1" applyProtection="1">
      <alignment horizontal="center" vertical="center"/>
    </xf>
    <xf numFmtId="0" fontId="21" fillId="3" borderId="26" xfId="0" applyFont="1" applyFill="1" applyBorder="1" applyAlignment="1" applyProtection="1">
      <alignment horizontal="center" vertical="center"/>
    </xf>
    <xf numFmtId="0" fontId="21" fillId="3" borderId="27" xfId="0" applyFont="1" applyFill="1" applyBorder="1" applyAlignment="1" applyProtection="1">
      <alignment horizontal="center" vertical="center"/>
    </xf>
    <xf numFmtId="181" fontId="21" fillId="3" borderId="23" xfId="1" applyNumberFormat="1" applyFont="1" applyFill="1" applyBorder="1" applyAlignment="1" applyProtection="1">
      <alignment horizontal="center" vertical="center"/>
    </xf>
    <xf numFmtId="0" fontId="24" fillId="3" borderId="23" xfId="0" applyFont="1" applyFill="1" applyBorder="1" applyAlignment="1" applyProtection="1">
      <alignment horizontal="center" vertical="center"/>
    </xf>
    <xf numFmtId="9" fontId="24" fillId="3" borderId="23" xfId="1" applyFont="1" applyFill="1" applyBorder="1" applyAlignment="1" applyProtection="1">
      <alignment horizontal="center" vertical="center"/>
    </xf>
    <xf numFmtId="181" fontId="24" fillId="3" borderId="23" xfId="1" applyNumberFormat="1" applyFont="1" applyFill="1" applyBorder="1" applyAlignment="1" applyProtection="1">
      <alignment horizontal="center" vertical="center"/>
    </xf>
    <xf numFmtId="14" fontId="24" fillId="2" borderId="31" xfId="0" applyNumberFormat="1" applyFont="1" applyFill="1" applyBorder="1" applyAlignment="1" applyProtection="1">
      <alignment horizontal="center" vertical="center"/>
      <protection locked="0"/>
    </xf>
    <xf numFmtId="176" fontId="21" fillId="3" borderId="23" xfId="0" applyNumberFormat="1" applyFont="1" applyFill="1" applyBorder="1" applyAlignment="1" applyProtection="1">
      <alignment horizontal="center" vertical="center"/>
    </xf>
    <xf numFmtId="10" fontId="21" fillId="3" borderId="23" xfId="1" applyNumberFormat="1" applyFont="1" applyFill="1" applyBorder="1" applyAlignment="1" applyProtection="1">
      <alignment horizontal="center" vertical="center"/>
    </xf>
    <xf numFmtId="177" fontId="21" fillId="3" borderId="24" xfId="1" applyNumberFormat="1" applyFont="1" applyFill="1" applyBorder="1" applyAlignment="1" applyProtection="1">
      <alignment horizontal="center" vertical="center"/>
    </xf>
    <xf numFmtId="177" fontId="25" fillId="3" borderId="22" xfId="1" applyNumberFormat="1" applyFont="1" applyFill="1" applyBorder="1" applyAlignment="1" applyProtection="1">
      <alignment horizontal="center" vertical="center"/>
    </xf>
    <xf numFmtId="0" fontId="23" fillId="3" borderId="23" xfId="0" applyFont="1" applyFill="1" applyBorder="1" applyAlignment="1" applyProtection="1">
      <alignment horizontal="center" vertical="center"/>
    </xf>
    <xf numFmtId="177" fontId="25" fillId="3" borderId="24" xfId="1" applyNumberFormat="1" applyFont="1" applyFill="1" applyBorder="1" applyAlignment="1" applyProtection="1">
      <alignment horizontal="center" vertical="center"/>
    </xf>
    <xf numFmtId="0" fontId="21" fillId="5" borderId="32" xfId="0" applyFont="1" applyFill="1" applyBorder="1" applyAlignment="1" applyProtection="1">
      <alignment horizontal="center" vertical="center"/>
    </xf>
    <xf numFmtId="181" fontId="21" fillId="3" borderId="26" xfId="1" applyNumberFormat="1" applyFont="1" applyFill="1" applyBorder="1" applyAlignment="1" applyProtection="1">
      <alignment horizontal="center" vertical="center"/>
    </xf>
    <xf numFmtId="0" fontId="24" fillId="3" borderId="26" xfId="0" applyFont="1" applyFill="1" applyBorder="1" applyAlignment="1" applyProtection="1">
      <alignment horizontal="center" vertical="center"/>
    </xf>
    <xf numFmtId="9" fontId="24" fillId="3" borderId="26" xfId="1" applyFont="1" applyFill="1" applyBorder="1" applyAlignment="1" applyProtection="1">
      <alignment horizontal="center" vertical="center"/>
    </xf>
    <xf numFmtId="181" fontId="24" fillId="3" borderId="26" xfId="1" applyNumberFormat="1" applyFont="1" applyFill="1" applyBorder="1" applyAlignment="1" applyProtection="1">
      <alignment horizontal="center" vertical="center"/>
    </xf>
    <xf numFmtId="14" fontId="24" fillId="2" borderId="32" xfId="0" applyNumberFormat="1" applyFont="1" applyFill="1" applyBorder="1" applyAlignment="1" applyProtection="1">
      <alignment horizontal="center" vertical="center"/>
      <protection locked="0"/>
    </xf>
    <xf numFmtId="176" fontId="21" fillId="3" borderId="26" xfId="0" applyNumberFormat="1" applyFont="1" applyFill="1" applyBorder="1" applyAlignment="1" applyProtection="1">
      <alignment horizontal="center" vertical="center"/>
    </xf>
    <xf numFmtId="10" fontId="21" fillId="3" borderId="26" xfId="1" applyNumberFormat="1" applyFont="1" applyFill="1" applyBorder="1" applyAlignment="1" applyProtection="1">
      <alignment horizontal="center" vertical="center"/>
    </xf>
    <xf numFmtId="177" fontId="21" fillId="3" borderId="27" xfId="1" applyNumberFormat="1" applyFont="1" applyFill="1" applyBorder="1" applyAlignment="1" applyProtection="1">
      <alignment horizontal="center" vertical="center"/>
    </xf>
    <xf numFmtId="177" fontId="25" fillId="3" borderId="25" xfId="1" applyNumberFormat="1" applyFont="1" applyFill="1" applyBorder="1" applyAlignment="1" applyProtection="1">
      <alignment horizontal="center" vertical="center"/>
    </xf>
    <xf numFmtId="0" fontId="23" fillId="3" borderId="26" xfId="0" applyFont="1" applyFill="1" applyBorder="1" applyAlignment="1" applyProtection="1">
      <alignment horizontal="center" vertical="center"/>
    </xf>
    <xf numFmtId="177" fontId="25" fillId="3" borderId="27" xfId="1" applyNumberFormat="1" applyFont="1" applyFill="1" applyBorder="1" applyAlignment="1" applyProtection="1">
      <alignment horizontal="center" vertical="center"/>
    </xf>
    <xf numFmtId="0" fontId="24" fillId="3" borderId="29" xfId="0" applyFont="1" applyFill="1" applyBorder="1" applyAlignment="1" applyProtection="1">
      <alignment horizontal="center" vertical="center"/>
    </xf>
    <xf numFmtId="9" fontId="24" fillId="3" borderId="29" xfId="1" applyFont="1" applyFill="1" applyBorder="1" applyAlignment="1" applyProtection="1">
      <alignment horizontal="center" vertical="center"/>
    </xf>
    <xf numFmtId="181" fontId="24" fillId="3" borderId="29" xfId="1" applyNumberFormat="1" applyFont="1" applyFill="1" applyBorder="1" applyAlignment="1" applyProtection="1">
      <alignment horizontal="center" vertical="center"/>
    </xf>
    <xf numFmtId="176" fontId="21" fillId="3" borderId="29" xfId="0" applyNumberFormat="1" applyFont="1" applyFill="1" applyBorder="1" applyAlignment="1" applyProtection="1">
      <alignment horizontal="center" vertical="center"/>
    </xf>
    <xf numFmtId="10" fontId="21" fillId="3" borderId="29" xfId="1" applyNumberFormat="1" applyFont="1" applyFill="1" applyBorder="1" applyAlignment="1" applyProtection="1">
      <alignment horizontal="center" vertical="center"/>
    </xf>
    <xf numFmtId="177" fontId="21" fillId="3" borderId="30" xfId="1" applyNumberFormat="1" applyFont="1" applyFill="1" applyBorder="1" applyAlignment="1" applyProtection="1">
      <alignment horizontal="center" vertical="center"/>
    </xf>
    <xf numFmtId="177" fontId="25" fillId="3" borderId="28" xfId="1" applyNumberFormat="1" applyFont="1" applyFill="1" applyBorder="1" applyAlignment="1" applyProtection="1">
      <alignment horizontal="center" vertical="center"/>
    </xf>
    <xf numFmtId="0" fontId="23" fillId="3" borderId="29" xfId="0" applyFont="1" applyFill="1" applyBorder="1" applyAlignment="1" applyProtection="1">
      <alignment horizontal="center" vertical="center"/>
    </xf>
    <xf numFmtId="177" fontId="25" fillId="3" borderId="30" xfId="1" applyNumberFormat="1" applyFont="1" applyFill="1" applyBorder="1" applyAlignment="1" applyProtection="1">
      <alignment horizontal="center" vertical="center"/>
    </xf>
    <xf numFmtId="9" fontId="21" fillId="0" borderId="0" xfId="1" applyFont="1" applyBorder="1" applyAlignment="1" applyProtection="1">
      <alignment horizontal="center" vertical="center"/>
    </xf>
    <xf numFmtId="181" fontId="21" fillId="3" borderId="29" xfId="1" applyNumberFormat="1" applyFont="1" applyFill="1" applyBorder="1" applyAlignment="1" applyProtection="1">
      <alignment horizontal="center" vertical="center"/>
    </xf>
    <xf numFmtId="0" fontId="24" fillId="6" borderId="31" xfId="0" applyFont="1" applyFill="1" applyBorder="1" applyAlignment="1" applyProtection="1">
      <alignment horizontal="center" vertical="center"/>
      <protection locked="0"/>
    </xf>
    <xf numFmtId="0" fontId="24" fillId="6" borderId="32" xfId="0" applyFont="1" applyFill="1" applyBorder="1" applyAlignment="1" applyProtection="1">
      <alignment horizontal="center" vertical="center"/>
      <protection locked="0"/>
    </xf>
    <xf numFmtId="182" fontId="21" fillId="0" borderId="0" xfId="0" applyNumberFormat="1" applyFont="1" applyAlignment="1" applyProtection="1">
      <alignment horizontal="center" vertical="center"/>
    </xf>
    <xf numFmtId="182" fontId="23" fillId="4" borderId="12" xfId="0" applyNumberFormat="1" applyFont="1" applyFill="1" applyBorder="1" applyAlignment="1" applyProtection="1">
      <alignment horizontal="center" vertical="center"/>
      <protection locked="0"/>
    </xf>
    <xf numFmtId="182" fontId="24" fillId="3" borderId="0" xfId="1" applyNumberFormat="1" applyFont="1" applyFill="1" applyBorder="1" applyAlignment="1" applyProtection="1">
      <alignment horizontal="center" vertical="center"/>
    </xf>
    <xf numFmtId="182" fontId="24" fillId="3" borderId="8" xfId="1" applyNumberFormat="1" applyFont="1" applyFill="1" applyBorder="1" applyAlignment="1" applyProtection="1">
      <alignment horizontal="center" vertical="center"/>
    </xf>
    <xf numFmtId="182" fontId="21" fillId="0" borderId="0" xfId="0" applyNumberFormat="1" applyFont="1" applyBorder="1" applyAlignment="1" applyProtection="1">
      <alignment horizontal="center" vertical="center"/>
    </xf>
    <xf numFmtId="0" fontId="21" fillId="0" borderId="1" xfId="0" applyFont="1" applyBorder="1" applyAlignment="1" applyProtection="1">
      <alignment vertical="center"/>
    </xf>
    <xf numFmtId="177" fontId="21" fillId="0" borderId="5" xfId="0" applyNumberFormat="1" applyFont="1" applyBorder="1" applyAlignment="1" applyProtection="1">
      <alignment horizontal="center" vertical="center"/>
    </xf>
    <xf numFmtId="0" fontId="23" fillId="4" borderId="6" xfId="0" applyFont="1" applyFill="1" applyBorder="1" applyAlignment="1" applyProtection="1">
      <alignment horizontal="center" vertical="center"/>
      <protection locked="0"/>
    </xf>
    <xf numFmtId="9" fontId="24" fillId="3" borderId="22" xfId="1" applyFont="1" applyFill="1" applyBorder="1" applyAlignment="1" applyProtection="1">
      <alignment horizontal="center" vertical="center"/>
    </xf>
    <xf numFmtId="177" fontId="24" fillId="3" borderId="24" xfId="1" applyNumberFormat="1" applyFont="1" applyFill="1" applyBorder="1" applyAlignment="1" applyProtection="1">
      <alignment horizontal="center" vertical="center"/>
    </xf>
    <xf numFmtId="9" fontId="24" fillId="3" borderId="25" xfId="1" applyFont="1" applyFill="1" applyBorder="1" applyAlignment="1" applyProtection="1">
      <alignment horizontal="center" vertical="center"/>
    </xf>
    <xf numFmtId="177" fontId="24" fillId="3" borderId="27" xfId="1" applyNumberFormat="1" applyFont="1" applyFill="1" applyBorder="1" applyAlignment="1" applyProtection="1">
      <alignment horizontal="center" vertical="center"/>
    </xf>
    <xf numFmtId="9" fontId="24" fillId="3" borderId="28" xfId="1" applyFont="1" applyFill="1" applyBorder="1" applyAlignment="1" applyProtection="1">
      <alignment horizontal="center" vertical="center"/>
    </xf>
    <xf numFmtId="177" fontId="24" fillId="3" borderId="30" xfId="1" applyNumberFormat="1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  <protection locked="0"/>
    </xf>
    <xf numFmtId="0" fontId="5" fillId="3" borderId="24" xfId="0" applyFont="1" applyFill="1" applyBorder="1" applyAlignment="1" applyProtection="1">
      <alignment vertical="center"/>
      <protection locked="0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10" fontId="4" fillId="3" borderId="23" xfId="1" applyNumberFormat="1" applyFont="1" applyFill="1" applyBorder="1" applyAlignment="1" applyProtection="1">
      <alignment horizontal="center" vertical="center"/>
      <protection locked="0"/>
    </xf>
    <xf numFmtId="0" fontId="4" fillId="3" borderId="23" xfId="0" applyFont="1" applyFill="1" applyBorder="1" applyAlignment="1" applyProtection="1">
      <alignment horizontal="center" vertical="center"/>
      <protection locked="0"/>
    </xf>
    <xf numFmtId="10" fontId="4" fillId="3" borderId="24" xfId="1" applyNumberFormat="1" applyFont="1" applyFill="1" applyBorder="1" applyAlignment="1" applyProtection="1">
      <alignment horizontal="center" vertical="center"/>
      <protection locked="0"/>
    </xf>
    <xf numFmtId="14" fontId="5" fillId="3" borderId="22" xfId="0" applyNumberFormat="1" applyFont="1" applyFill="1" applyBorder="1" applyAlignment="1">
      <alignment vertical="center"/>
    </xf>
    <xf numFmtId="179" fontId="5" fillId="3" borderId="23" xfId="0" applyNumberFormat="1" applyFont="1" applyFill="1" applyBorder="1" applyAlignment="1">
      <alignment vertical="center"/>
    </xf>
    <xf numFmtId="177" fontId="5" fillId="3" borderId="23" xfId="0" applyNumberFormat="1" applyFont="1" applyFill="1" applyBorder="1" applyAlignment="1">
      <alignment vertical="center"/>
    </xf>
    <xf numFmtId="14" fontId="5" fillId="3" borderId="23" xfId="0" applyNumberFormat="1" applyFont="1" applyFill="1" applyBorder="1" applyAlignment="1">
      <alignment vertical="center"/>
    </xf>
    <xf numFmtId="177" fontId="5" fillId="3" borderId="24" xfId="0" applyNumberFormat="1" applyFont="1" applyFill="1" applyBorder="1" applyAlignment="1">
      <alignment vertical="center"/>
    </xf>
    <xf numFmtId="0" fontId="5" fillId="3" borderId="25" xfId="0" applyFont="1" applyFill="1" applyBorder="1" applyAlignment="1" applyProtection="1">
      <alignment horizontal="center" vertical="center"/>
      <protection locked="0"/>
    </xf>
    <xf numFmtId="0" fontId="5" fillId="3" borderId="27" xfId="0" applyFont="1" applyFill="1" applyBorder="1" applyAlignment="1" applyProtection="1">
      <alignment vertical="center"/>
      <protection locked="0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vertical="center"/>
    </xf>
    <xf numFmtId="0" fontId="4" fillId="3" borderId="27" xfId="0" applyFont="1" applyFill="1" applyBorder="1" applyAlignment="1">
      <alignment horizontal="center" vertical="center"/>
    </xf>
    <xf numFmtId="10" fontId="4" fillId="3" borderId="26" xfId="1" applyNumberFormat="1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10" fontId="4" fillId="3" borderId="27" xfId="1" applyNumberFormat="1" applyFont="1" applyFill="1" applyBorder="1" applyAlignment="1" applyProtection="1">
      <alignment horizontal="center" vertical="center"/>
      <protection locked="0"/>
    </xf>
    <xf numFmtId="14" fontId="5" fillId="3" borderId="25" xfId="0" applyNumberFormat="1" applyFont="1" applyFill="1" applyBorder="1" applyAlignment="1">
      <alignment vertical="center"/>
    </xf>
    <xf numFmtId="179" fontId="5" fillId="3" borderId="26" xfId="0" applyNumberFormat="1" applyFont="1" applyFill="1" applyBorder="1" applyAlignment="1">
      <alignment vertical="center"/>
    </xf>
    <xf numFmtId="177" fontId="5" fillId="3" borderId="26" xfId="0" applyNumberFormat="1" applyFont="1" applyFill="1" applyBorder="1" applyAlignment="1">
      <alignment vertical="center"/>
    </xf>
    <xf numFmtId="14" fontId="5" fillId="3" borderId="26" xfId="0" applyNumberFormat="1" applyFont="1" applyFill="1" applyBorder="1" applyAlignment="1">
      <alignment vertical="center"/>
    </xf>
    <xf numFmtId="177" fontId="5" fillId="3" borderId="27" xfId="0" applyNumberFormat="1" applyFont="1" applyFill="1" applyBorder="1" applyAlignment="1">
      <alignment vertical="center"/>
    </xf>
    <xf numFmtId="4" fontId="4" fillId="3" borderId="26" xfId="0" applyNumberFormat="1" applyFont="1" applyFill="1" applyBorder="1" applyAlignment="1" applyProtection="1">
      <alignment horizontal="center" vertical="center"/>
      <protection locked="0"/>
    </xf>
    <xf numFmtId="10" fontId="5" fillId="3" borderId="25" xfId="1" applyNumberFormat="1" applyFont="1" applyFill="1" applyBorder="1" applyAlignment="1" applyProtection="1">
      <alignment horizontal="center" vertical="center"/>
      <protection locked="0"/>
    </xf>
    <xf numFmtId="10" fontId="5" fillId="3" borderId="27" xfId="1" applyNumberFormat="1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vertical="center"/>
      <protection locked="0"/>
    </xf>
    <xf numFmtId="0" fontId="11" fillId="0" borderId="27" xfId="0" applyFont="1" applyBorder="1" applyAlignment="1" applyProtection="1">
      <alignment vertical="center"/>
      <protection locked="0"/>
    </xf>
    <xf numFmtId="0" fontId="11" fillId="3" borderId="27" xfId="0" applyFont="1" applyFill="1" applyBorder="1" applyAlignment="1">
      <alignment horizontal="center" vertical="center"/>
    </xf>
    <xf numFmtId="0" fontId="11" fillId="0" borderId="33" xfId="0" applyFont="1" applyBorder="1" applyAlignment="1" applyProtection="1">
      <alignment vertical="center"/>
      <protection locked="0"/>
    </xf>
    <xf numFmtId="0" fontId="11" fillId="0" borderId="34" xfId="0" applyFont="1" applyBorder="1" applyAlignment="1" applyProtection="1">
      <alignment vertical="center"/>
      <protection locked="0"/>
    </xf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10" fontId="4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 applyProtection="1">
      <alignment horizontal="center" vertical="center"/>
      <protection locked="0"/>
    </xf>
    <xf numFmtId="14" fontId="5" fillId="3" borderId="28" xfId="0" applyNumberFormat="1" applyFont="1" applyFill="1" applyBorder="1" applyAlignment="1">
      <alignment vertical="center"/>
    </xf>
    <xf numFmtId="179" fontId="5" fillId="3" borderId="29" xfId="0" applyNumberFormat="1" applyFont="1" applyFill="1" applyBorder="1" applyAlignment="1">
      <alignment vertical="center"/>
    </xf>
    <xf numFmtId="177" fontId="5" fillId="3" borderId="29" xfId="0" applyNumberFormat="1" applyFont="1" applyFill="1" applyBorder="1" applyAlignment="1">
      <alignment vertical="center"/>
    </xf>
    <xf numFmtId="14" fontId="5" fillId="3" borderId="29" xfId="0" applyNumberFormat="1" applyFont="1" applyFill="1" applyBorder="1" applyAlignment="1">
      <alignment vertical="center"/>
    </xf>
    <xf numFmtId="177" fontId="5" fillId="3" borderId="30" xfId="0" applyNumberFormat="1" applyFont="1" applyFill="1" applyBorder="1" applyAlignment="1">
      <alignment vertical="center"/>
    </xf>
    <xf numFmtId="0" fontId="39" fillId="0" borderId="3" xfId="0" applyFont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vertical="center"/>
    </xf>
    <xf numFmtId="0" fontId="11" fillId="0" borderId="35" xfId="0" applyFont="1" applyBorder="1" applyAlignment="1" applyProtection="1">
      <alignment vertical="center"/>
      <protection locked="0"/>
    </xf>
    <xf numFmtId="0" fontId="11" fillId="0" borderId="36" xfId="0" applyFont="1" applyBorder="1" applyAlignment="1" applyProtection="1">
      <alignment vertical="center"/>
      <protection locked="0"/>
    </xf>
    <xf numFmtId="0" fontId="4" fillId="3" borderId="35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10" fontId="4" fillId="3" borderId="37" xfId="1" applyNumberFormat="1" applyFont="1" applyFill="1" applyBorder="1" applyAlignment="1" applyProtection="1">
      <alignment horizontal="center" vertical="center"/>
      <protection locked="0"/>
    </xf>
    <xf numFmtId="0" fontId="4" fillId="3" borderId="37" xfId="0" applyFont="1" applyFill="1" applyBorder="1" applyAlignment="1" applyProtection="1">
      <alignment horizontal="center" vertical="center"/>
      <protection locked="0"/>
    </xf>
    <xf numFmtId="10" fontId="4" fillId="3" borderId="36" xfId="1" applyNumberFormat="1" applyFont="1" applyFill="1" applyBorder="1" applyAlignment="1" applyProtection="1">
      <alignment horizontal="center" vertical="center"/>
      <protection locked="0"/>
    </xf>
    <xf numFmtId="14" fontId="5" fillId="3" borderId="35" xfId="0" applyNumberFormat="1" applyFont="1" applyFill="1" applyBorder="1" applyAlignment="1">
      <alignment vertical="center"/>
    </xf>
    <xf numFmtId="179" fontId="5" fillId="3" borderId="37" xfId="0" applyNumberFormat="1" applyFont="1" applyFill="1" applyBorder="1" applyAlignment="1">
      <alignment vertical="center"/>
    </xf>
    <xf numFmtId="177" fontId="5" fillId="3" borderId="37" xfId="0" applyNumberFormat="1" applyFont="1" applyFill="1" applyBorder="1" applyAlignment="1">
      <alignment vertical="center"/>
    </xf>
    <xf numFmtId="14" fontId="5" fillId="3" borderId="37" xfId="0" applyNumberFormat="1" applyFont="1" applyFill="1" applyBorder="1" applyAlignment="1">
      <alignment vertical="center"/>
    </xf>
    <xf numFmtId="177" fontId="5" fillId="3" borderId="36" xfId="0" applyNumberFormat="1" applyFont="1" applyFill="1" applyBorder="1" applyAlignment="1">
      <alignment vertical="center"/>
    </xf>
    <xf numFmtId="0" fontId="4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9" fillId="3" borderId="3" xfId="0" applyFont="1" applyFill="1" applyBorder="1" applyAlignment="1" applyProtection="1">
      <alignment horizontal="center" vertical="center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11" fillId="2" borderId="39" xfId="0" applyFont="1" applyFill="1" applyBorder="1" applyAlignment="1" applyProtection="1">
      <alignment horizontal="center" vertical="center"/>
      <protection locked="0"/>
    </xf>
    <xf numFmtId="0" fontId="11" fillId="2" borderId="40" xfId="0" applyFont="1" applyFill="1" applyBorder="1" applyAlignment="1" applyProtection="1">
      <alignment horizontal="center" vertical="center"/>
      <protection locked="0"/>
    </xf>
    <xf numFmtId="0" fontId="4" fillId="3" borderId="1" xfId="3" applyFont="1" applyFill="1" applyBorder="1" applyAlignment="1" applyProtection="1">
      <alignment vertical="center"/>
      <protection locked="0"/>
    </xf>
    <xf numFmtId="0" fontId="4" fillId="3" borderId="2" xfId="3" applyFont="1" applyFill="1" applyBorder="1" applyAlignment="1" applyProtection="1">
      <alignment vertical="center"/>
      <protection locked="0"/>
    </xf>
    <xf numFmtId="0" fontId="4" fillId="3" borderId="3" xfId="3" applyFont="1" applyFill="1" applyBorder="1" applyAlignment="1" applyProtection="1">
      <alignment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10" fontId="5" fillId="3" borderId="28" xfId="1" applyNumberFormat="1" applyFont="1" applyFill="1" applyBorder="1" applyAlignment="1" applyProtection="1">
      <alignment horizontal="center" vertical="center"/>
      <protection locked="0"/>
    </xf>
    <xf numFmtId="10" fontId="5" fillId="3" borderId="30" xfId="1" applyNumberFormat="1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/>
    </xf>
    <xf numFmtId="14" fontId="4" fillId="3" borderId="28" xfId="0" applyNumberFormat="1" applyFont="1" applyFill="1" applyBorder="1" applyAlignment="1">
      <alignment vertical="center"/>
    </xf>
    <xf numFmtId="179" fontId="4" fillId="3" borderId="29" xfId="0" applyNumberFormat="1" applyFont="1" applyFill="1" applyBorder="1" applyAlignment="1">
      <alignment vertical="center"/>
    </xf>
    <xf numFmtId="177" fontId="4" fillId="3" borderId="29" xfId="0" applyNumberFormat="1" applyFont="1" applyFill="1" applyBorder="1" applyAlignment="1">
      <alignment vertical="center"/>
    </xf>
    <xf numFmtId="14" fontId="4" fillId="3" borderId="29" xfId="0" applyNumberFormat="1" applyFont="1" applyFill="1" applyBorder="1" applyAlignment="1">
      <alignment vertical="center"/>
    </xf>
    <xf numFmtId="177" fontId="4" fillId="3" borderId="30" xfId="0" applyNumberFormat="1" applyFont="1" applyFill="1" applyBorder="1" applyAlignment="1">
      <alignment vertical="center"/>
    </xf>
    <xf numFmtId="0" fontId="11" fillId="0" borderId="7" xfId="0" applyFont="1" applyFill="1" applyBorder="1" applyAlignment="1" applyProtection="1">
      <alignment vertical="center"/>
      <protection locked="0"/>
    </xf>
    <xf numFmtId="0" fontId="11" fillId="0" borderId="8" xfId="0" applyFont="1" applyFill="1" applyBorder="1" applyAlignment="1" applyProtection="1">
      <alignment vertical="center"/>
      <protection locked="0"/>
    </xf>
    <xf numFmtId="0" fontId="11" fillId="0" borderId="9" xfId="0" applyFont="1" applyFill="1" applyBorder="1" applyAlignment="1" applyProtection="1">
      <alignment vertical="center"/>
      <protection locked="0"/>
    </xf>
    <xf numFmtId="0" fontId="11" fillId="0" borderId="8" xfId="0" applyFont="1" applyFill="1" applyBorder="1" applyAlignment="1" applyProtection="1">
      <alignment vertical="center"/>
    </xf>
    <xf numFmtId="0" fontId="21" fillId="0" borderId="1" xfId="0" applyFont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center"/>
      <protection locked="0"/>
    </xf>
    <xf numFmtId="0" fontId="21" fillId="0" borderId="7" xfId="0" applyFont="1" applyBorder="1" applyAlignment="1" applyProtection="1">
      <alignment vertical="center"/>
    </xf>
    <xf numFmtId="0" fontId="21" fillId="0" borderId="8" xfId="0" applyFont="1" applyBorder="1" applyAlignment="1" applyProtection="1">
      <alignment vertical="center"/>
    </xf>
    <xf numFmtId="0" fontId="21" fillId="0" borderId="9" xfId="0" applyFont="1" applyBorder="1" applyAlignment="1" applyProtection="1">
      <alignment vertical="center"/>
    </xf>
    <xf numFmtId="0" fontId="41" fillId="0" borderId="1" xfId="0" applyFont="1" applyBorder="1" applyAlignment="1" applyProtection="1">
      <alignment horizontal="center" vertical="center"/>
    </xf>
    <xf numFmtId="9" fontId="24" fillId="3" borderId="0" xfId="1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1" applyFont="1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9" fontId="0" fillId="7" borderId="0" xfId="1" applyFont="1" applyFill="1" applyBorder="1" applyAlignment="1">
      <alignment vertical="center"/>
    </xf>
    <xf numFmtId="9" fontId="0" fillId="7" borderId="0" xfId="0" applyNumberFormat="1" applyFill="1" applyBorder="1" applyAlignment="1">
      <alignment vertical="center"/>
    </xf>
    <xf numFmtId="14" fontId="0" fillId="0" borderId="0" xfId="0" applyNumberFormat="1"/>
    <xf numFmtId="184" fontId="0" fillId="0" borderId="0" xfId="0" applyNumberFormat="1" applyFill="1" applyBorder="1"/>
    <xf numFmtId="184" fontId="0" fillId="0" borderId="0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84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9" fontId="0" fillId="0" borderId="0" xfId="0" applyNumberFormat="1" applyFill="1" applyBorder="1" applyAlignment="1" applyProtection="1">
      <alignment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6" borderId="42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vertical="center"/>
    </xf>
    <xf numFmtId="0" fontId="45" fillId="6" borderId="41" xfId="0" applyFont="1" applyFill="1" applyBorder="1" applyAlignment="1" applyProtection="1">
      <alignment horizontal="center" vertical="center"/>
    </xf>
    <xf numFmtId="0" fontId="0" fillId="0" borderId="5" xfId="0" applyFill="1" applyBorder="1" applyAlignment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9" fontId="42" fillId="0" borderId="0" xfId="1" applyNumberFormat="1" applyFont="1" applyFill="1" applyBorder="1" applyAlignment="1" applyProtection="1">
      <alignment vertical="center"/>
    </xf>
    <xf numFmtId="183" fontId="42" fillId="0" borderId="5" xfId="1" applyNumberFormat="1" applyFont="1" applyFill="1" applyBorder="1" applyAlignment="1" applyProtection="1">
      <alignment horizontal="right" vertical="center"/>
    </xf>
    <xf numFmtId="0" fontId="44" fillId="0" borderId="4" xfId="0" applyFont="1" applyFill="1" applyBorder="1" applyAlignment="1" applyProtection="1">
      <alignment vertical="center"/>
    </xf>
    <xf numFmtId="0" fontId="44" fillId="0" borderId="0" xfId="0" applyFont="1" applyFill="1" applyBorder="1" applyAlignment="1" applyProtection="1">
      <alignment vertical="center"/>
    </xf>
    <xf numFmtId="0" fontId="44" fillId="0" borderId="5" xfId="0" applyFont="1" applyFill="1" applyBorder="1" applyAlignment="1" applyProtection="1">
      <alignment vertical="center"/>
    </xf>
    <xf numFmtId="0" fontId="44" fillId="7" borderId="0" xfId="0" applyFont="1" applyFill="1" applyBorder="1" applyAlignment="1" applyProtection="1">
      <alignment vertical="center"/>
    </xf>
    <xf numFmtId="184" fontId="0" fillId="6" borderId="42" xfId="0" applyNumberFormat="1" applyFill="1" applyBorder="1" applyAlignment="1" applyProtection="1">
      <alignment horizontal="center" vertical="center"/>
      <protection locked="0"/>
    </xf>
    <xf numFmtId="0" fontId="0" fillId="6" borderId="42" xfId="0" applyFill="1" applyBorder="1" applyAlignment="1" applyProtection="1">
      <alignment horizontal="center" vertical="center"/>
      <protection locked="0"/>
    </xf>
    <xf numFmtId="179" fontId="0" fillId="6" borderId="42" xfId="0" applyNumberFormat="1" applyFill="1" applyBorder="1" applyAlignment="1" applyProtection="1">
      <alignment horizontal="center" vertical="center"/>
      <protection locked="0"/>
    </xf>
    <xf numFmtId="185" fontId="0" fillId="6" borderId="43" xfId="0" applyNumberFormat="1" applyFill="1" applyBorder="1" applyAlignment="1" applyProtection="1">
      <alignment horizontal="center" vertical="center"/>
      <protection locked="0"/>
    </xf>
    <xf numFmtId="185" fontId="0" fillId="6" borderId="42" xfId="0" applyNumberFormat="1" applyFill="1" applyBorder="1" applyAlignment="1">
      <alignment horizontal="center" vertical="center"/>
    </xf>
    <xf numFmtId="2" fontId="42" fillId="0" borderId="0" xfId="1" applyNumberFormat="1" applyFont="1" applyFill="1" applyBorder="1" applyAlignment="1" applyProtection="1">
      <alignment vertical="center"/>
    </xf>
    <xf numFmtId="2" fontId="0" fillId="6" borderId="42" xfId="0" applyNumberFormat="1" applyFill="1" applyBorder="1" applyAlignment="1" applyProtection="1">
      <alignment horizontal="center" vertical="center"/>
      <protection locked="0"/>
    </xf>
    <xf numFmtId="10" fontId="42" fillId="0" borderId="0" xfId="1" applyNumberFormat="1" applyFont="1" applyFill="1" applyBorder="1" applyAlignment="1">
      <alignment vertical="center"/>
    </xf>
    <xf numFmtId="0" fontId="42" fillId="0" borderId="0" xfId="0" applyFont="1" applyFill="1" applyBorder="1" applyAlignment="1">
      <alignment vertical="center"/>
    </xf>
    <xf numFmtId="186" fontId="46" fillId="6" borderId="42" xfId="1" applyNumberFormat="1" applyFont="1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1" fontId="0" fillId="0" borderId="5" xfId="0" applyNumberFormat="1" applyFill="1" applyBorder="1" applyAlignment="1">
      <alignment vertical="center"/>
    </xf>
    <xf numFmtId="187" fontId="0" fillId="7" borderId="0" xfId="0" quotePrefix="1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Fill="1" applyBorder="1" applyAlignment="1" applyProtection="1">
      <alignment vertical="center"/>
      <protection locked="0"/>
    </xf>
    <xf numFmtId="183" fontId="42" fillId="0" borderId="0" xfId="1" applyNumberFormat="1" applyFont="1" applyFill="1" applyBorder="1" applyAlignment="1" applyProtection="1">
      <alignment horizontal="left" vertical="center"/>
    </xf>
    <xf numFmtId="183" fontId="42" fillId="0" borderId="0" xfId="1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1" fillId="0" borderId="1" xfId="0" applyFont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horizontal="center" vertical="center"/>
    </xf>
    <xf numFmtId="0" fontId="21" fillId="0" borderId="3" xfId="0" applyFont="1" applyBorder="1" applyAlignment="1" applyProtection="1">
      <alignment horizontal="center" vertical="center"/>
    </xf>
    <xf numFmtId="0" fontId="21" fillId="0" borderId="7" xfId="0" applyFont="1" applyBorder="1" applyAlignment="1" applyProtection="1">
      <alignment horizontal="center" vertical="center"/>
    </xf>
    <xf numFmtId="0" fontId="21" fillId="0" borderId="8" xfId="0" applyFont="1" applyBorder="1" applyAlignment="1" applyProtection="1">
      <alignment horizontal="center" vertical="center"/>
    </xf>
    <xf numFmtId="0" fontId="21" fillId="0" borderId="9" xfId="0" applyFont="1" applyBorder="1" applyAlignment="1" applyProtection="1">
      <alignment horizontal="center" vertical="center"/>
    </xf>
    <xf numFmtId="14" fontId="21" fillId="0" borderId="10" xfId="0" applyNumberFormat="1" applyFont="1" applyBorder="1" applyAlignment="1" applyProtection="1">
      <alignment horizontal="center" vertical="center"/>
    </xf>
    <xf numFmtId="14" fontId="21" fillId="0" borderId="17" xfId="0" applyNumberFormat="1" applyFont="1" applyBorder="1" applyAlignment="1" applyProtection="1">
      <alignment horizontal="center" vertical="center"/>
    </xf>
    <xf numFmtId="182" fontId="21" fillId="0" borderId="3" xfId="0" applyNumberFormat="1" applyFont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2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11" fillId="2" borderId="7" xfId="0" applyFont="1" applyFill="1" applyBorder="1" applyAlignment="1" applyProtection="1">
      <alignment horizontal="center" vertical="center" wrapText="1"/>
    </xf>
    <xf numFmtId="0" fontId="11" fillId="2" borderId="8" xfId="0" applyFont="1" applyFill="1" applyBorder="1" applyAlignment="1" applyProtection="1">
      <alignment horizontal="center" vertical="center" wrapText="1"/>
    </xf>
    <xf numFmtId="0" fontId="11" fillId="2" borderId="9" xfId="0" applyFont="1" applyFill="1" applyBorder="1" applyAlignment="1" applyProtection="1">
      <alignment horizontal="center" vertical="center" wrapText="1"/>
    </xf>
    <xf numFmtId="0" fontId="11" fillId="3" borderId="1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1" fillId="3" borderId="7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center" vertical="center"/>
    </xf>
    <xf numFmtId="0" fontId="32" fillId="5" borderId="10" xfId="0" applyFont="1" applyFill="1" applyBorder="1" applyAlignment="1" applyProtection="1">
      <alignment horizontal="center" vertical="top" wrapText="1"/>
    </xf>
    <xf numFmtId="0" fontId="32" fillId="5" borderId="11" xfId="0" applyFont="1" applyFill="1" applyBorder="1" applyAlignment="1" applyProtection="1">
      <alignment horizontal="center" vertical="top" wrapText="1"/>
    </xf>
    <xf numFmtId="0" fontId="11" fillId="3" borderId="13" xfId="0" applyFont="1" applyFill="1" applyBorder="1" applyAlignment="1" applyProtection="1">
      <alignment horizontal="center" vertical="center" wrapText="1"/>
    </xf>
    <xf numFmtId="0" fontId="11" fillId="3" borderId="14" xfId="0" applyFont="1" applyFill="1" applyBorder="1" applyAlignment="1" applyProtection="1">
      <alignment horizontal="center" vertical="center" wrapText="1"/>
    </xf>
    <xf numFmtId="0" fontId="11" fillId="3" borderId="12" xfId="0" applyFont="1" applyFill="1" applyBorder="1" applyAlignment="1" applyProtection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11" fillId="3" borderId="13" xfId="0" applyFont="1" applyFill="1" applyBorder="1" applyAlignment="1" applyProtection="1">
      <alignment horizontal="center" vertical="center"/>
    </xf>
    <xf numFmtId="0" fontId="11" fillId="3" borderId="14" xfId="0" applyFont="1" applyFill="1" applyBorder="1" applyAlignment="1" applyProtection="1">
      <alignment horizontal="center" vertical="center"/>
    </xf>
    <xf numFmtId="0" fontId="11" fillId="3" borderId="12" xfId="0" applyFont="1" applyFill="1" applyBorder="1" applyAlignment="1" applyProtection="1">
      <alignment horizontal="center" vertical="center"/>
    </xf>
    <xf numFmtId="187" fontId="0" fillId="7" borderId="0" xfId="0" quotePrefix="1" applyNumberFormat="1" applyFill="1" applyBorder="1" applyAlignment="1" applyProtection="1">
      <alignment horizontal="left" vertical="center"/>
    </xf>
    <xf numFmtId="22" fontId="0" fillId="7" borderId="4" xfId="0" applyNumberFormat="1" applyFill="1" applyBorder="1" applyAlignment="1">
      <alignment horizontal="left" vertical="center"/>
    </xf>
    <xf numFmtId="22" fontId="0" fillId="7" borderId="0" xfId="0" applyNumberFormat="1" applyFill="1" applyBorder="1" applyAlignment="1">
      <alignment horizontal="left" vertical="center"/>
    </xf>
  </cellXfs>
  <cellStyles count="4">
    <cellStyle name="一般" xfId="0" builtinId="0"/>
    <cellStyle name="一般 2" xfId="3" xr:uid="{00000000-0005-0000-0000-000001000000}"/>
    <cellStyle name="百分比" xfId="1" builtinId="5"/>
    <cellStyle name="超連結" xfId="2" builtinId="8"/>
  </cellStyles>
  <dxfs count="54"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'CAGR Code'!$P$3</c:f>
              <c:strCache>
                <c:ptCount val="1"/>
                <c:pt idx="0">
                  <c:v>Pri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strLit>
              <c:ptCount val="20"/>
              <c:pt idx="0">
                <c:v>2016_Q3</c:v>
              </c:pt>
              <c:pt idx="1">
                <c:v>2016_Q4</c:v>
              </c:pt>
              <c:pt idx="2">
                <c:v>2017_Q1</c:v>
              </c:pt>
              <c:pt idx="3">
                <c:v>2017_Q2</c:v>
              </c:pt>
              <c:pt idx="4">
                <c:v>2017_Q3</c:v>
              </c:pt>
              <c:pt idx="5">
                <c:v>2017_Q4</c:v>
              </c:pt>
              <c:pt idx="6">
                <c:v>2018_Q1</c:v>
              </c:pt>
              <c:pt idx="7">
                <c:v>2018_Q2</c:v>
              </c:pt>
              <c:pt idx="8">
                <c:v>2018_Q3</c:v>
              </c:pt>
              <c:pt idx="9">
                <c:v>2018_Q4</c:v>
              </c:pt>
              <c:pt idx="10">
                <c:v>2019_Q1</c:v>
              </c:pt>
              <c:pt idx="11">
                <c:v>2019_Q2</c:v>
              </c:pt>
              <c:pt idx="12">
                <c:v>2019_Q3</c:v>
              </c:pt>
              <c:pt idx="13">
                <c:v>2019_Q4</c:v>
              </c:pt>
              <c:pt idx="14">
                <c:v>2020_Q1</c:v>
              </c:pt>
              <c:pt idx="15">
                <c:v>2020_Q2</c:v>
              </c:pt>
              <c:pt idx="16">
                <c:v>2020_Q3</c:v>
              </c:pt>
              <c:pt idx="17">
                <c:v>2020_Q4</c:v>
              </c:pt>
              <c:pt idx="18">
                <c:v>2021_Q1</c:v>
              </c:pt>
              <c:pt idx="19">
                <c:v>2021_Q2</c:v>
              </c:pt>
            </c:strLit>
          </c:cat>
          <c:val>
            <c:numRef>
              <c:f>'CAGR Code'!$P$4:$P$23</c:f>
              <c:numCache>
                <c:formatCode>0.000</c:formatCode>
                <c:ptCount val="20"/>
                <c:pt idx="0">
                  <c:v>130.21000699999999</c:v>
                </c:pt>
                <c:pt idx="1">
                  <c:v>136.759995</c:v>
                </c:pt>
                <c:pt idx="2">
                  <c:v>118.69000200000001</c:v>
                </c:pt>
                <c:pt idx="3">
                  <c:v>111.112503</c:v>
                </c:pt>
                <c:pt idx="4">
                  <c:v>77.532500999999996</c:v>
                </c:pt>
                <c:pt idx="5">
                  <c:v>80.007499999999993</c:v>
                </c:pt>
                <c:pt idx="6">
                  <c:v>64.857498000000007</c:v>
                </c:pt>
                <c:pt idx="7">
                  <c:v>50.247501</c:v>
                </c:pt>
                <c:pt idx="8">
                  <c:v>49.294998</c:v>
                </c:pt>
                <c:pt idx="9">
                  <c:v>42.602500999999997</c:v>
                </c:pt>
                <c:pt idx="10">
                  <c:v>52.122501</c:v>
                </c:pt>
                <c:pt idx="11">
                  <c:v>51.8825</c:v>
                </c:pt>
                <c:pt idx="12">
                  <c:v>47.147499000000003</c:v>
                </c:pt>
                <c:pt idx="13">
                  <c:v>39.102500999999997</c:v>
                </c:pt>
                <c:pt idx="14">
                  <c:v>43.667499999999997</c:v>
                </c:pt>
                <c:pt idx="15">
                  <c:v>38.830002</c:v>
                </c:pt>
                <c:pt idx="16">
                  <c:v>38.487499</c:v>
                </c:pt>
                <c:pt idx="17">
                  <c:v>33.104999999999997</c:v>
                </c:pt>
                <c:pt idx="18">
                  <c:v>27.4575</c:v>
                </c:pt>
                <c:pt idx="19">
                  <c:v>26.467500999999999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3-45EB-8A80-63BC76971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044400"/>
        <c:axId val="1672050384"/>
      </c:areaChart>
      <c:lineChart>
        <c:grouping val="standard"/>
        <c:varyColors val="0"/>
        <c:ser>
          <c:idx val="1"/>
          <c:order val="1"/>
          <c:tx>
            <c:strRef>
              <c:f>'CAGR Code'!$Q$3</c:f>
              <c:strCache>
                <c:ptCount val="1"/>
                <c:pt idx="0">
                  <c:v>Div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'CAGR Code'!$N$4:$N$23</c:f>
              <c:strCache>
                <c:ptCount val="20"/>
                <c:pt idx="0">
                  <c:v>2021_Q2</c:v>
                </c:pt>
                <c:pt idx="1">
                  <c:v>2021_Q1</c:v>
                </c:pt>
                <c:pt idx="2">
                  <c:v>2020_Q4</c:v>
                </c:pt>
                <c:pt idx="3">
                  <c:v>2020_Q3</c:v>
                </c:pt>
                <c:pt idx="4">
                  <c:v>2020_Q2</c:v>
                </c:pt>
                <c:pt idx="5">
                  <c:v>2020_Q1</c:v>
                </c:pt>
                <c:pt idx="6">
                  <c:v>2019_Q4</c:v>
                </c:pt>
                <c:pt idx="7">
                  <c:v>2019_Q3</c:v>
                </c:pt>
                <c:pt idx="8">
                  <c:v>2019_Q2</c:v>
                </c:pt>
                <c:pt idx="9">
                  <c:v>2019_Q1</c:v>
                </c:pt>
                <c:pt idx="10">
                  <c:v>2018_Q4</c:v>
                </c:pt>
                <c:pt idx="11">
                  <c:v>2018_Q3</c:v>
                </c:pt>
                <c:pt idx="12">
                  <c:v>2018_Q2</c:v>
                </c:pt>
                <c:pt idx="13">
                  <c:v>2018_Q1</c:v>
                </c:pt>
                <c:pt idx="14">
                  <c:v>2017_Q4</c:v>
                </c:pt>
                <c:pt idx="15">
                  <c:v>2017_Q3</c:v>
                </c:pt>
                <c:pt idx="16">
                  <c:v>2017_Q2</c:v>
                </c:pt>
                <c:pt idx="17">
                  <c:v>2017_Q1</c:v>
                </c:pt>
                <c:pt idx="18">
                  <c:v>2016_Q4</c:v>
                </c:pt>
                <c:pt idx="19">
                  <c:v>2016_Q3</c:v>
                </c:pt>
              </c:strCache>
            </c:strRef>
          </c:cat>
          <c:val>
            <c:numRef>
              <c:f>'CAGR Code'!$Q$4:$Q$23</c:f>
              <c:numCache>
                <c:formatCode>0.00_);[Red]\(0.00\)</c:formatCode>
                <c:ptCount val="20"/>
                <c:pt idx="0">
                  <c:v>0.22</c:v>
                </c:pt>
                <c:pt idx="1">
                  <c:v>0.20499999999999999</c:v>
                </c:pt>
                <c:pt idx="2">
                  <c:v>0.20499999999999999</c:v>
                </c:pt>
                <c:pt idx="3">
                  <c:v>0.20499999999999999</c:v>
                </c:pt>
                <c:pt idx="4">
                  <c:v>0.20499999999999999</c:v>
                </c:pt>
                <c:pt idx="5">
                  <c:v>0.1925</c:v>
                </c:pt>
                <c:pt idx="6">
                  <c:v>0.1925</c:v>
                </c:pt>
                <c:pt idx="7">
                  <c:v>0.1925</c:v>
                </c:pt>
                <c:pt idx="8">
                  <c:v>0.1925</c:v>
                </c:pt>
                <c:pt idx="9">
                  <c:v>0.1825</c:v>
                </c:pt>
                <c:pt idx="10">
                  <c:v>0.1825</c:v>
                </c:pt>
                <c:pt idx="11">
                  <c:v>0.1825</c:v>
                </c:pt>
                <c:pt idx="12">
                  <c:v>0.1825</c:v>
                </c:pt>
                <c:pt idx="13">
                  <c:v>0.1575</c:v>
                </c:pt>
                <c:pt idx="14">
                  <c:v>0.1575</c:v>
                </c:pt>
                <c:pt idx="15">
                  <c:v>0.1575</c:v>
                </c:pt>
                <c:pt idx="16">
                  <c:v>0.1575</c:v>
                </c:pt>
                <c:pt idx="17">
                  <c:v>0.14249999999999999</c:v>
                </c:pt>
                <c:pt idx="18">
                  <c:v>0.14249999999999999</c:v>
                </c:pt>
                <c:pt idx="19">
                  <c:v>0.14249999999999999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13-45EB-8A80-63BC76971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2048208"/>
        <c:axId val="1672047664"/>
      </c:lineChart>
      <c:valAx>
        <c:axId val="16720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4400"/>
        <c:crosses val="max"/>
        <c:crossBetween val="midCat"/>
      </c:valAx>
      <c:catAx>
        <c:axId val="167204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5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2047664"/>
        <c:scaling>
          <c:orientation val="minMax"/>
        </c:scaling>
        <c:delete val="0"/>
        <c:axPos val="l"/>
        <c:numFmt formatCode="0.00_);[Red]\(0.00\)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8208"/>
        <c:crosses val="max"/>
        <c:crossBetween val="between"/>
      </c:valAx>
      <c:catAx>
        <c:axId val="1672048208"/>
        <c:scaling>
          <c:orientation val="maxMin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76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762000</xdr:colOff>
          <xdr:row>1</xdr:row>
          <xdr:rowOff>180975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762000</xdr:colOff>
          <xdr:row>1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1562100</xdr:colOff>
          <xdr:row>1</xdr:row>
          <xdr:rowOff>200025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S&amp;P500 Index</a:t>
              </a:r>
            </a:p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608132</xdr:colOff>
      <xdr:row>4</xdr:row>
      <xdr:rowOff>168518</xdr:rowOff>
    </xdr:from>
    <xdr:to>
      <xdr:col>12</xdr:col>
      <xdr:colOff>0</xdr:colOff>
      <xdr:row>30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7</xdr:row>
      <xdr:rowOff>117230</xdr:rowOff>
    </xdr:from>
    <xdr:to>
      <xdr:col>11</xdr:col>
      <xdr:colOff>332109</xdr:colOff>
      <xdr:row>20</xdr:row>
      <xdr:rowOff>10746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96865"/>
          <a:ext cx="8450340" cy="2084266"/>
        </a:xfrm>
        <a:prstGeom prst="rect">
          <a:avLst/>
        </a:prstGeom>
      </xdr:spPr>
    </xdr:pic>
    <xdr:clientData/>
  </xdr:twoCellAnchor>
  <xdr:twoCellAnchor editAs="oneCell">
    <xdr:from>
      <xdr:col>0</xdr:col>
      <xdr:colOff>395654</xdr:colOff>
      <xdr:row>5</xdr:row>
      <xdr:rowOff>7326</xdr:rowOff>
    </xdr:from>
    <xdr:to>
      <xdr:col>10</xdr:col>
      <xdr:colOff>613009</xdr:colOff>
      <xdr:row>26</xdr:row>
      <xdr:rowOff>151150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5654" y="849922"/>
          <a:ext cx="7668836" cy="36973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390525</xdr:colOff>
          <xdr:row>0</xdr:row>
          <xdr:rowOff>209550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風險指數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361950</xdr:colOff>
          <xdr:row>0</xdr:row>
          <xdr:rowOff>209550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nviz.com/groups.ash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inviz.com/groups.ashx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 filterMode="1"/>
  <dimension ref="A1:AC520"/>
  <sheetViews>
    <sheetView zoomScale="130" zoomScaleNormal="130" workbookViewId="0">
      <selection activeCell="G55" sqref="G55"/>
    </sheetView>
  </sheetViews>
  <sheetFormatPr defaultColWidth="13.140625" defaultRowHeight="14.25"/>
  <cols>
    <col min="1" max="1" width="7.42578125" style="28" bestFit="1" customWidth="1"/>
    <col min="2" max="2" width="10.5703125" style="112" customWidth="1"/>
    <col min="3" max="3" width="11.5703125" style="11" bestFit="1" customWidth="1"/>
    <col min="4" max="4" width="8.140625" style="9" customWidth="1"/>
    <col min="5" max="5" width="23.5703125" style="10" customWidth="1"/>
    <col min="6" max="6" width="6.28515625" style="11" customWidth="1"/>
    <col min="7" max="7" width="10" style="131" customWidth="1"/>
    <col min="8" max="8" width="10.7109375" style="10" bestFit="1" customWidth="1"/>
    <col min="9" max="9" width="10.42578125" style="129" bestFit="1" customWidth="1"/>
    <col min="10" max="10" width="13.85546875" style="9" customWidth="1"/>
    <col min="11" max="11" width="14" style="10" customWidth="1"/>
    <col min="12" max="12" width="9.28515625" style="10" customWidth="1"/>
    <col min="13" max="13" width="12.42578125" style="10" customWidth="1"/>
    <col min="14" max="15" width="14.85546875" style="10" customWidth="1"/>
    <col min="16" max="16" width="15" style="200" customWidth="1"/>
    <col min="17" max="17" width="12.28515625" style="140" bestFit="1" customWidth="1"/>
    <col min="18" max="18" width="12" style="10" hidden="1" customWidth="1"/>
    <col min="19" max="19" width="18.7109375" style="10" hidden="1" customWidth="1"/>
    <col min="20" max="20" width="15.85546875" style="11" hidden="1" customWidth="1"/>
    <col min="21" max="21" width="17.85546875" style="9" bestFit="1" customWidth="1"/>
    <col min="22" max="22" width="13.42578125" style="10" bestFit="1" customWidth="1"/>
    <col min="23" max="23" width="18.140625" style="11" bestFit="1" customWidth="1"/>
    <col min="24" max="28" width="13.140625" style="29"/>
    <col min="29" max="29" width="3" style="28" bestFit="1" customWidth="1"/>
    <col min="30" max="16384" width="13.140625" style="28"/>
  </cols>
  <sheetData>
    <row r="1" spans="1:29" s="146" customFormat="1" ht="15.75" customHeight="1">
      <c r="A1" s="30" t="s">
        <v>0</v>
      </c>
      <c r="B1" s="132" t="s">
        <v>871</v>
      </c>
      <c r="C1" s="132" t="s">
        <v>1542</v>
      </c>
      <c r="D1" s="354" t="s">
        <v>539</v>
      </c>
      <c r="E1" s="355"/>
      <c r="F1" s="356"/>
      <c r="G1" s="354" t="s">
        <v>538</v>
      </c>
      <c r="H1" s="355"/>
      <c r="I1" s="355"/>
      <c r="J1" s="199"/>
      <c r="K1" s="133"/>
      <c r="L1" s="133"/>
      <c r="M1" s="133"/>
      <c r="N1" s="133"/>
      <c r="O1" s="133"/>
      <c r="P1" s="254"/>
      <c r="Q1" s="360" t="s">
        <v>884</v>
      </c>
      <c r="R1" s="354" t="s">
        <v>636</v>
      </c>
      <c r="S1" s="355"/>
      <c r="T1" s="356"/>
      <c r="U1" s="354" t="s">
        <v>537</v>
      </c>
      <c r="V1" s="355"/>
      <c r="W1" s="356"/>
      <c r="X1" s="78"/>
      <c r="Y1" s="78"/>
      <c r="Z1" s="78"/>
      <c r="AA1" s="78"/>
      <c r="AB1" s="78"/>
    </row>
    <row r="2" spans="1:29" s="10" customFormat="1" ht="15" thickBot="1">
      <c r="A2" s="82" t="s">
        <v>1</v>
      </c>
      <c r="B2" s="134">
        <v>520</v>
      </c>
      <c r="C2" s="134"/>
      <c r="D2" s="357"/>
      <c r="E2" s="358"/>
      <c r="F2" s="359"/>
      <c r="G2" s="129" t="s">
        <v>883</v>
      </c>
      <c r="H2" s="190" t="s">
        <v>881</v>
      </c>
      <c r="I2" s="129" t="s">
        <v>877</v>
      </c>
      <c r="J2" s="9" t="s">
        <v>874</v>
      </c>
      <c r="K2" s="10" t="s">
        <v>873</v>
      </c>
      <c r="L2" s="10" t="s">
        <v>875</v>
      </c>
      <c r="M2" s="10" t="s">
        <v>624</v>
      </c>
      <c r="N2" s="10" t="s">
        <v>625</v>
      </c>
      <c r="O2" s="10" t="s">
        <v>626</v>
      </c>
      <c r="P2" s="200" t="s">
        <v>872</v>
      </c>
      <c r="Q2" s="361"/>
      <c r="R2" s="357"/>
      <c r="S2" s="358"/>
      <c r="T2" s="359"/>
      <c r="U2" s="357"/>
      <c r="V2" s="358"/>
      <c r="W2" s="359"/>
      <c r="X2" s="12"/>
      <c r="Y2" s="12"/>
      <c r="Z2" s="12"/>
      <c r="AA2" s="12"/>
      <c r="AB2" s="12"/>
    </row>
    <row r="3" spans="1:29" s="146" customFormat="1" ht="15.75" thickBot="1">
      <c r="A3" s="298">
        <f>SUM(B4:B520)</f>
        <v>91</v>
      </c>
      <c r="B3" s="114" t="s">
        <v>540</v>
      </c>
      <c r="C3" s="3" t="s">
        <v>5</v>
      </c>
      <c r="D3" s="4" t="s">
        <v>4</v>
      </c>
      <c r="E3" s="5" t="s">
        <v>11</v>
      </c>
      <c r="F3" s="6" t="s">
        <v>10</v>
      </c>
      <c r="G3" s="130" t="s">
        <v>3</v>
      </c>
      <c r="H3" s="5" t="s">
        <v>882</v>
      </c>
      <c r="I3" s="127" t="s">
        <v>868</v>
      </c>
      <c r="J3" s="201" t="s">
        <v>620</v>
      </c>
      <c r="K3" s="6" t="s">
        <v>620</v>
      </c>
      <c r="L3" s="6" t="s">
        <v>876</v>
      </c>
      <c r="M3" s="6" t="s">
        <v>620</v>
      </c>
      <c r="N3" s="6" t="s">
        <v>621</v>
      </c>
      <c r="O3" s="6" t="s">
        <v>622</v>
      </c>
      <c r="P3" s="69" t="s">
        <v>1429</v>
      </c>
      <c r="Q3" s="1" t="s">
        <v>6</v>
      </c>
      <c r="R3" s="7" t="s">
        <v>12</v>
      </c>
      <c r="S3" s="5" t="s">
        <v>555</v>
      </c>
      <c r="T3" s="6" t="s">
        <v>7</v>
      </c>
      <c r="U3" s="7" t="s">
        <v>8</v>
      </c>
      <c r="V3" s="5" t="s">
        <v>575</v>
      </c>
      <c r="W3" s="6" t="s">
        <v>9</v>
      </c>
      <c r="X3" s="78"/>
      <c r="Y3" s="78"/>
      <c r="Z3" s="78"/>
      <c r="AA3" s="78"/>
      <c r="AB3" s="78"/>
    </row>
    <row r="4" spans="1:29" s="10" customFormat="1" ht="15" hidden="1">
      <c r="A4" s="9"/>
      <c r="B4" s="169" cm="1">
        <f t="array" ref="B4">_xlfn.IFS(OR(Code!R271&lt;&gt;Code!U271,Code!R271=""),0,Code!R271=Code!U271,1)</f>
        <v>0</v>
      </c>
      <c r="C4" s="192" t="str">
        <f>IF(Code!F271="","",Code!F271)</f>
        <v>KSU</v>
      </c>
      <c r="D4" s="152" t="str">
        <f>IFERROR(VLOOKUP($C4,Code!$H:$K,2,FALSE),"")</f>
        <v>XLI</v>
      </c>
      <c r="E4" s="153" t="str">
        <f>IFERROR(VLOOKUP($C4,Code!$H:$K,3,FALSE),"")</f>
        <v>鐵路</v>
      </c>
      <c r="F4" s="154" t="str">
        <f>IFERROR(VLOOKUP($C4,Code!$H:$K,4,FALSE),"")</f>
        <v>.SPX</v>
      </c>
      <c r="G4" s="158">
        <f>IFERROR(((VLOOKUP($C4,Code!$H:$Q,9,FALSE))+(VLOOKUP($C4,Code!$H:$Q,10,FALSE)))/2*0.5/(((VLOOKUP($C4,Code!$H:$Q,7,FALSE))+(VLOOKUP($C4,Code!$H:$Q,8,FALSE)))/2),0)</f>
        <v>0.56148454921949664</v>
      </c>
      <c r="H4" s="159" t="str">
        <f t="shared" ref="H4:H67" si="0">IFERROR(IF(G4&gt;9E+306,"",IF(G4&gt;70%,"XL",IF(G4&gt;60%,"L",IF(G4&gt;50%,"M",IF(G4&gt;0%,"S",""))))),"")</f>
        <v>M</v>
      </c>
      <c r="I4" s="158">
        <f>IFERROR((VLOOKUP($C4,Code!$H:$Q,5,FALSE))/(((VLOOKUP($C4,Code!$H:$Q,7,FALSE))+(VLOOKUP($C4,Code!$H:$Q,8,FALSE)))/2)-1,0)</f>
        <v>0.66932143994902837</v>
      </c>
      <c r="J4" s="202">
        <f>IFERROR(POWER((VLOOKUP(C4,Code!H:W,12,FALSE))/(VLOOKUP(C4,Code!H:W,15,FALSE)),1/(P4-1))-1,"")</f>
        <v>0.36375453936111635</v>
      </c>
      <c r="K4" s="172" cm="1">
        <f t="array" ref="K4">IFERROR(IF(C4="","",_xlfn.IFS(AND(VLOOKUP(C4,Code!H:W,13,FALSE)=0,VLOOKUP(C4,Code!H:W,16,FALSE)=0),"無股息",AND(VLOOKUP(C4,Code!H:W,13,FALSE)=0,VLOOKUP(C4,Code!H:W,16,FALSE)&gt;0),"股息沒了",AND(VLOOKUP(C4,Code!H:W,13,FALSE)&gt;0,VLOOKUP(C4,Code!H:W,16,FALSE)=0),"發股息了",AND(VLOOKUP(C4,Code!H:W,13,FALSE)&gt;0,VLOOKUP(C4,Code!H:W,16,FALSE)&gt;0),POWER((VLOOKUP(C4,Code!H:W,13,FALSE))/(VLOOKUP(C4,Code!H:W,16,FALSE)),1/(P4-1))-1)),"")</f>
        <v>0.13998599191156336</v>
      </c>
      <c r="L4" s="161">
        <f>IFERROR(VLOOKUP(C4,Code!H:W,13,FALSE)*4/VLOOKUP(C4,Code!H:W,12,FALSE),"")</f>
        <v>7.3394498457115161E-3</v>
      </c>
      <c r="M4" s="160">
        <f t="shared" ref="M4:M67" si="1">IF(SUM(J4:K4)=0,"",SUM(J4:K4))</f>
        <v>0.5037405312726797</v>
      </c>
      <c r="N4" s="160" t="str">
        <f t="shared" ref="N4:N67" si="2">IFERROR(IF(L4&gt;3%,IF((K4+L4)&gt;12%,"Venture","-"),"-"),"")</f>
        <v>-</v>
      </c>
      <c r="O4" s="160" t="str">
        <f t="shared" ref="O4:O67" si="3">IFERROR(IF(OR(L4&lt;3%,L4=""),IF((K4+L4)&gt;15%,"Value","-"),"-"),"")</f>
        <v>-</v>
      </c>
      <c r="P4" s="203">
        <f>IFERROR(YEARFRAC(VLOOKUP(C4,Code!H:W,11,FALSE),VLOOKUP(C4,Code!H:W,14,FALSE),3),"")</f>
        <v>4.7589041095890412</v>
      </c>
      <c r="Q4" s="162">
        <v>44547</v>
      </c>
      <c r="R4" s="163" t="str">
        <f t="shared" ref="R4:R67" ca="1" si="4">IFERROR(IF(OR(_xlfn.DAYS(Q4,TODAY())+1&lt;0,C4=0),"",_xlfn.DAYS(Q4,TODAY())+1),"")</f>
        <v/>
      </c>
      <c r="S4" s="164">
        <f>IFERROR(VLOOKUP($C4,Code!$H:$Q,5,FALSE),"")</f>
        <v>0.52400000000000002</v>
      </c>
      <c r="T4" s="165" t="str">
        <f t="shared" ref="T4:T67" ca="1" si="5">IFERROR(IF(V4*S4*SQRT(R4/365)=0,"",V4*S4*SQRT(R4/365)),"")</f>
        <v/>
      </c>
      <c r="U4" s="166" t="str">
        <f t="shared" ref="U4:U67" ca="1" si="6">IFERROR(V4-T4,"")</f>
        <v/>
      </c>
      <c r="V4" s="167">
        <f>IFERROR(VLOOKUP($C4,Code!$H:$Q,6,FALSE),"")</f>
        <v>271.72000000000003</v>
      </c>
      <c r="W4" s="168" t="str">
        <f t="shared" ref="W4:W67" ca="1" si="7">IFERROR(V4+T4,"")</f>
        <v/>
      </c>
      <c r="X4" s="12"/>
      <c r="Y4" s="12"/>
      <c r="Z4" s="12"/>
      <c r="AA4" s="12"/>
      <c r="AB4" s="12"/>
      <c r="AC4" s="13"/>
    </row>
    <row r="5" spans="1:29" s="10" customFormat="1" ht="15" hidden="1">
      <c r="A5" s="9"/>
      <c r="B5" s="169" cm="1">
        <f t="array" ref="B5">_xlfn.IFS(OR(Code!R284&lt;&gt;Code!U284,Code!R284=""),0,Code!R284=Code!U284,1)</f>
        <v>0</v>
      </c>
      <c r="C5" s="193" t="str">
        <f>IF(Code!F284="","",Code!F284)</f>
        <v>LNT</v>
      </c>
      <c r="D5" s="155" t="str">
        <f>IFERROR(VLOOKUP($C5,Code!$H:$K,2,FALSE),"")</f>
        <v>XLU</v>
      </c>
      <c r="E5" s="156" t="str">
        <f>IFERROR(VLOOKUP($C5,Code!$H:$K,3,FALSE),"")</f>
        <v>公用事業—受監督的電力</v>
      </c>
      <c r="F5" s="157" t="str">
        <f>IFERROR(VLOOKUP($C5,Code!$H:$K,4,FALSE),"")</f>
        <v>.SPX</v>
      </c>
      <c r="G5" s="170">
        <f>IFERROR(((VLOOKUP($C5,Code!$H:$Q,9,FALSE))+(VLOOKUP($C5,Code!$H:$Q,10,FALSE)))/2*0.5/(((VLOOKUP($C5,Code!$H:$Q,7,FALSE))+(VLOOKUP($C5,Code!$H:$Q,8,FALSE)))/2),0)</f>
        <v>0.71574001566170709</v>
      </c>
      <c r="H5" s="171" t="str">
        <f t="shared" si="0"/>
        <v>XL</v>
      </c>
      <c r="I5" s="170">
        <f>IFERROR((VLOOKUP($C5,Code!$H:$Q,5,FALSE))/(((VLOOKUP($C5,Code!$H:$Q,7,FALSE))+(VLOOKUP($C5,Code!$H:$Q,8,FALSE)))/2)-1,0)</f>
        <v>0.41268598277212232</v>
      </c>
      <c r="J5" s="204">
        <f>IFERROR(POWER((VLOOKUP(C5,Code!H:W,12,FALSE))/(VLOOKUP(C5,Code!H:W,15,FALSE)),1/(P5-1))-1,"")</f>
        <v>0.17563228190736857</v>
      </c>
      <c r="K5" s="172" cm="1">
        <f t="array" ref="K5">IFERROR(IF(C5="","",_xlfn.IFS(AND(VLOOKUP(C5,Code!H:W,13,FALSE)=0,VLOOKUP(C5,Code!H:W,16,FALSE)=0),"無股息",AND(VLOOKUP(C5,Code!H:W,13,FALSE)=0,VLOOKUP(C5,Code!H:W,16,FALSE)&gt;0),"股息沒了",AND(VLOOKUP(C5,Code!H:W,13,FALSE)&gt;0,VLOOKUP(C5,Code!H:W,16,FALSE)=0),"發股息了",AND(VLOOKUP(C5,Code!H:W,13,FALSE)&gt;0,VLOOKUP(C5,Code!H:W,16,FALSE)&gt;0),POWER((VLOOKUP(C5,Code!H:W,13,FALSE))/(VLOOKUP(C5,Code!H:W,16,FALSE)),1/(P5-1))-1)),"")</f>
        <v>8.7582271966827996E-2</v>
      </c>
      <c r="L5" s="173">
        <f>IFERROR(VLOOKUP(C5,Code!H:W,13,FALSE)*4/VLOOKUP(C5,Code!H:W,12,FALSE),"")</f>
        <v>2.7368420343618083E-2</v>
      </c>
      <c r="M5" s="172">
        <f t="shared" si="1"/>
        <v>0.26321455387419657</v>
      </c>
      <c r="N5" s="172" t="str">
        <f t="shared" si="2"/>
        <v>-</v>
      </c>
      <c r="O5" s="172" t="str">
        <f t="shared" si="3"/>
        <v>-</v>
      </c>
      <c r="P5" s="205">
        <f>IFERROR(YEARFRAC(VLOOKUP(C5,Code!H:W,11,FALSE),VLOOKUP(C5,Code!H:W,14,FALSE),3),"")</f>
        <v>4.7561643835616438</v>
      </c>
      <c r="Q5" s="174">
        <v>44547</v>
      </c>
      <c r="R5" s="175" t="str">
        <f t="shared" ca="1" si="4"/>
        <v/>
      </c>
      <c r="S5" s="176">
        <f>IFERROR(VLOOKUP($C5,Code!$H:$Q,5,FALSE),"")</f>
        <v>0.27060000000000001</v>
      </c>
      <c r="T5" s="177" t="str">
        <f t="shared" ca="1" si="5"/>
        <v/>
      </c>
      <c r="U5" s="178" t="str">
        <f t="shared" ca="1" si="6"/>
        <v/>
      </c>
      <c r="V5" s="179">
        <f>IFERROR(VLOOKUP($C5,Code!$H:$Q,6,FALSE),"")</f>
        <v>60.53</v>
      </c>
      <c r="W5" s="180" t="str">
        <f t="shared" ca="1" si="7"/>
        <v/>
      </c>
      <c r="X5" s="12"/>
      <c r="Y5" s="12"/>
      <c r="Z5" s="12"/>
      <c r="AA5" s="12"/>
      <c r="AB5" s="12"/>
      <c r="AC5" s="13"/>
    </row>
    <row r="6" spans="1:29" s="10" customFormat="1" ht="15" hidden="1">
      <c r="A6" s="9"/>
      <c r="B6" s="169" cm="1">
        <f t="array" ref="B6">_xlfn.IFS(OR(Code!R311&lt;&gt;Code!U311,Code!R311=""),0,Code!R311=Code!U311,1)</f>
        <v>1</v>
      </c>
      <c r="C6" s="193" t="str">
        <f>IF(Code!F311="","",Code!F311)</f>
        <v>MNST</v>
      </c>
      <c r="D6" s="155" t="str">
        <f>IFERROR(VLOOKUP($C6,Code!$H:$K,2,FALSE),"")</f>
        <v>XLP</v>
      </c>
      <c r="E6" s="156" t="str">
        <f>IFERROR(VLOOKUP($C6,Code!$H:$K,3,FALSE),"")</f>
        <v>飲料-不含酒精</v>
      </c>
      <c r="F6" s="157" t="str">
        <f>IFERROR(VLOOKUP($C6,Code!$H:$K,4,FALSE),"")</f>
        <v>.SPX</v>
      </c>
      <c r="G6" s="170">
        <f>IFERROR(((VLOOKUP($C6,Code!$H:$Q,9,FALSE))+(VLOOKUP($C6,Code!$H:$Q,10,FALSE)))/2*0.5/(((VLOOKUP($C6,Code!$H:$Q,7,FALSE))+(VLOOKUP($C6,Code!$H:$Q,8,FALSE)))/2),0)</f>
        <v>0.78998625114573784</v>
      </c>
      <c r="H6" s="171" t="str">
        <f t="shared" si="0"/>
        <v>XL</v>
      </c>
      <c r="I6" s="170">
        <f>IFERROR((VLOOKUP($C6,Code!$H:$Q,5,FALSE))/(((VLOOKUP($C6,Code!$H:$Q,7,FALSE))+(VLOOKUP($C6,Code!$H:$Q,8,FALSE)))/2)-1,0)</f>
        <v>0.3703024747937671</v>
      </c>
      <c r="J6" s="204">
        <f>IFERROR(POWER((VLOOKUP(C6,Code!H:W,12,FALSE))/(VLOOKUP(C6,Code!H:W,15,FALSE)),1/(P6-1))-1,"")</f>
        <v>0</v>
      </c>
      <c r="K6" s="172" t="str" cm="1">
        <f t="array" ref="K6">IFERROR(IF(C6="","",_xlfn.IFS(AND(VLOOKUP(C6,Code!H:W,13,FALSE)=0,VLOOKUP(C6,Code!H:W,16,FALSE)=0),"無股息",AND(VLOOKUP(C6,Code!H:W,13,FALSE)=0,VLOOKUP(C6,Code!H:W,16,FALSE)&gt;0),"股息沒了",AND(VLOOKUP(C6,Code!H:W,13,FALSE)&gt;0,VLOOKUP(C6,Code!H:W,16,FALSE)=0),"發股息了",AND(VLOOKUP(C6,Code!H:W,13,FALSE)&gt;0,VLOOKUP(C6,Code!H:W,16,FALSE)&gt;0),POWER((VLOOKUP(C6,Code!H:W,13,FALSE))/(VLOOKUP(C6,Code!H:W,16,FALSE)),1/(P6-1))-1)),"")</f>
        <v>無股息</v>
      </c>
      <c r="L6" s="173">
        <f>IFERROR(VLOOKUP(C6,Code!H:W,13,FALSE)*4/VLOOKUP(C6,Code!H:W,12,FALSE),"")</f>
        <v>0</v>
      </c>
      <c r="M6" s="172" t="str">
        <f t="shared" si="1"/>
        <v/>
      </c>
      <c r="N6" s="172" t="str">
        <f t="shared" si="2"/>
        <v>-</v>
      </c>
      <c r="O6" s="172" t="str">
        <f t="shared" si="3"/>
        <v/>
      </c>
      <c r="P6" s="205">
        <f>IFERROR(YEARFRAC(VLOOKUP(C6,Code!H:W,11,FALSE),VLOOKUP(C6,Code!H:W,14,FALSE),3),"")</f>
        <v>0</v>
      </c>
      <c r="Q6" s="174">
        <v>44547</v>
      </c>
      <c r="R6" s="175" t="str">
        <f t="shared" ca="1" si="4"/>
        <v/>
      </c>
      <c r="S6" s="176">
        <f>IFERROR(VLOOKUP($C6,Code!$H:$Q,5,FALSE),"")</f>
        <v>0.29899999999999999</v>
      </c>
      <c r="T6" s="177" t="str">
        <f t="shared" ca="1" si="5"/>
        <v/>
      </c>
      <c r="U6" s="178" t="str">
        <f t="shared" ca="1" si="6"/>
        <v/>
      </c>
      <c r="V6" s="179">
        <f>IFERROR(VLOOKUP($C6,Code!$H:$Q,6,FALSE),"")</f>
        <v>91.95</v>
      </c>
      <c r="W6" s="180" t="str">
        <f t="shared" ca="1" si="7"/>
        <v/>
      </c>
      <c r="X6" s="12"/>
      <c r="Y6" s="12"/>
      <c r="Z6" s="12"/>
      <c r="AA6" s="12"/>
      <c r="AB6" s="12"/>
      <c r="AC6" s="13"/>
    </row>
    <row r="7" spans="1:29" s="10" customFormat="1" ht="15" hidden="1">
      <c r="A7" s="9"/>
      <c r="B7" s="169" cm="1">
        <f t="array" ref="B7">_xlfn.IFS(OR(Code!R326&lt;&gt;Code!U326,Code!R326=""),0,Code!R326=Code!U326,1)</f>
        <v>0</v>
      </c>
      <c r="C7" s="193" t="str">
        <f>IF(Code!F326="","",Code!F326)</f>
        <v>MXIM</v>
      </c>
      <c r="D7" s="155" t="str">
        <f>IFERROR(VLOOKUP($C7,Code!$H:$K,2,FALSE),"")</f>
        <v>XLK</v>
      </c>
      <c r="E7" s="156" t="str">
        <f>IFERROR(VLOOKUP($C7,Code!$H:$K,3,FALSE),"")</f>
        <v>半導體</v>
      </c>
      <c r="F7" s="157" t="str">
        <f>IFERROR(VLOOKUP($C7,Code!$H:$K,4,FALSE),"")</f>
        <v>.SPX</v>
      </c>
      <c r="G7" s="170">
        <f>IFERROR(((VLOOKUP($C7,Code!$H:$Q,9,FALSE))+(VLOOKUP($C7,Code!$H:$Q,10,FALSE)))/2*0.5/(((VLOOKUP($C7,Code!$H:$Q,7,FALSE))+(VLOOKUP($C7,Code!$H:$Q,8,FALSE)))/2),0)</f>
        <v>0.58977878249636695</v>
      </c>
      <c r="H7" s="171" t="str">
        <f t="shared" si="0"/>
        <v>M</v>
      </c>
      <c r="I7" s="170">
        <f>IFERROR((VLOOKUP($C7,Code!$H:$Q,5,FALSE))/(((VLOOKUP($C7,Code!$H:$Q,7,FALSE))+(VLOOKUP($C7,Code!$H:$Q,8,FALSE)))/2)-1,0)</f>
        <v>0.32020022606168252</v>
      </c>
      <c r="J7" s="204">
        <f>IFERROR(POWER((VLOOKUP(C7,Code!H:W,12,FALSE))/(VLOOKUP(C7,Code!H:W,15,FALSE)),1/(P7-1))-1,"")</f>
        <v>0.25224217066768673</v>
      </c>
      <c r="K7" s="172" cm="1">
        <f t="array" ref="K7">IFERROR(IF(C7="","",_xlfn.IFS(AND(VLOOKUP(C7,Code!H:W,13,FALSE)=0,VLOOKUP(C7,Code!H:W,16,FALSE)=0),"無股息",AND(VLOOKUP(C7,Code!H:W,13,FALSE)=0,VLOOKUP(C7,Code!H:W,16,FALSE)&gt;0),"股息沒了",AND(VLOOKUP(C7,Code!H:W,13,FALSE)&gt;0,VLOOKUP(C7,Code!H:W,16,FALSE)=0),"發股息了",AND(VLOOKUP(C7,Code!H:W,13,FALSE)&gt;0,VLOOKUP(C7,Code!H:W,16,FALSE)&gt;0),POWER((VLOOKUP(C7,Code!H:W,13,FALSE))/(VLOOKUP(C7,Code!H:W,16,FALSE)),1/(P7-1))-1)),"")</f>
        <v>0.1316260876644697</v>
      </c>
      <c r="L7" s="173">
        <f>IFERROR(VLOOKUP(C7,Code!H:W,13,FALSE)*4/VLOOKUP(C7,Code!H:W,12,FALSE),"")</f>
        <v>2.7307638553108249E-2</v>
      </c>
      <c r="M7" s="172">
        <f t="shared" si="1"/>
        <v>0.38386825833215643</v>
      </c>
      <c r="N7" s="172" t="str">
        <f t="shared" si="2"/>
        <v>-</v>
      </c>
      <c r="O7" s="172" t="str">
        <f t="shared" si="3"/>
        <v>Value</v>
      </c>
      <c r="P7" s="205">
        <f>IFERROR(YEARFRAC(VLOOKUP(C7,Code!H:W,11,FALSE),VLOOKUP(C7,Code!H:W,14,FALSE),3),"")</f>
        <v>4.0301369863013701</v>
      </c>
      <c r="Q7" s="174">
        <v>44547</v>
      </c>
      <c r="R7" s="175" t="str">
        <f t="shared" ca="1" si="4"/>
        <v/>
      </c>
      <c r="S7" s="176">
        <f>IFERROR(VLOOKUP($C7,Code!$H:$Q,5,FALSE),"")</f>
        <v>0.4088</v>
      </c>
      <c r="T7" s="177" t="str">
        <f t="shared" ca="1" si="5"/>
        <v/>
      </c>
      <c r="U7" s="178" t="str">
        <f t="shared" ca="1" si="6"/>
        <v/>
      </c>
      <c r="V7" s="179">
        <f>IFERROR(VLOOKUP($C7,Code!$H:$Q,6,FALSE),"")</f>
        <v>100.46</v>
      </c>
      <c r="W7" s="180" t="str">
        <f t="shared" ca="1" si="7"/>
        <v/>
      </c>
      <c r="X7" s="12"/>
      <c r="Y7" s="12"/>
      <c r="Z7" s="12"/>
      <c r="AA7" s="12"/>
      <c r="AB7" s="12"/>
      <c r="AC7" s="13"/>
    </row>
    <row r="8" spans="1:29" s="10" customFormat="1" ht="15" hidden="1">
      <c r="A8" s="9"/>
      <c r="B8" s="169" cm="1">
        <f t="array" ref="B8">_xlfn.IFS(OR(Code!R402&lt;&gt;Code!U402,Code!R402=""),0,Code!R402=Code!U402,1)</f>
        <v>0</v>
      </c>
      <c r="C8" s="193" t="str">
        <f>IF(Code!F402="","",Code!F402)</f>
        <v>RMD</v>
      </c>
      <c r="D8" s="155" t="str">
        <f>IFERROR(VLOOKUP($C8,Code!$H:$K,2,FALSE),"")</f>
        <v>XLV</v>
      </c>
      <c r="E8" s="156" t="str">
        <f>IFERROR(VLOOKUP($C8,Code!$H:$K,3,FALSE),"")</f>
        <v>醫療器械及用品</v>
      </c>
      <c r="F8" s="157" t="str">
        <f>IFERROR(VLOOKUP($C8,Code!$H:$K,4,FALSE),"")</f>
        <v>.SPX</v>
      </c>
      <c r="G8" s="170">
        <f>IFERROR(((VLOOKUP($C8,Code!$H:$Q,9,FALSE))+(VLOOKUP($C8,Code!$H:$Q,10,FALSE)))/2*0.5/(((VLOOKUP($C8,Code!$H:$Q,7,FALSE))+(VLOOKUP($C8,Code!$H:$Q,8,FALSE)))/2),0)</f>
        <v>0.56946039035591278</v>
      </c>
      <c r="H8" s="171" t="str">
        <f t="shared" si="0"/>
        <v>M</v>
      </c>
      <c r="I8" s="170">
        <f>IFERROR((VLOOKUP($C8,Code!$H:$Q,5,FALSE))/(((VLOOKUP($C8,Code!$H:$Q,7,FALSE))+(VLOOKUP($C8,Code!$H:$Q,8,FALSE)))/2)-1,0)</f>
        <v>0.31310480564211907</v>
      </c>
      <c r="J8" s="204">
        <f>IFERROR(POWER((VLOOKUP(C8,Code!H:W,12,FALSE))/(VLOOKUP(C8,Code!H:W,15,FALSE)),1/(P8-1))-1,"")</f>
        <v>0.33751950720790314</v>
      </c>
      <c r="K8" s="172" cm="1">
        <f t="array" ref="K8">IFERROR(IF(C8="","",_xlfn.IFS(AND(VLOOKUP(C8,Code!H:W,13,FALSE)=0,VLOOKUP(C8,Code!H:W,16,FALSE)=0),"無股息",AND(VLOOKUP(C8,Code!H:W,13,FALSE)=0,VLOOKUP(C8,Code!H:W,16,FALSE)&gt;0),"股息沒了",AND(VLOOKUP(C8,Code!H:W,13,FALSE)&gt;0,VLOOKUP(C8,Code!H:W,16,FALSE)=0),"發股息了",AND(VLOOKUP(C8,Code!H:W,13,FALSE)&gt;0,VLOOKUP(C8,Code!H:W,16,FALSE)&gt;0),POWER((VLOOKUP(C8,Code!H:W,13,FALSE))/(VLOOKUP(C8,Code!H:W,16,FALSE)),1/(P8-1))-1)),"")</f>
        <v>4.5682873908852617E-2</v>
      </c>
      <c r="L8" s="173">
        <f>IFERROR(VLOOKUP(C8,Code!H:W,13,FALSE)*4/VLOOKUP(C8,Code!H:W,12,FALSE),"")</f>
        <v>8.1114805563110865E-3</v>
      </c>
      <c r="M8" s="172">
        <f t="shared" si="1"/>
        <v>0.38320238111675575</v>
      </c>
      <c r="N8" s="172" t="str">
        <f t="shared" si="2"/>
        <v>-</v>
      </c>
      <c r="O8" s="172" t="str">
        <f t="shared" si="3"/>
        <v>-</v>
      </c>
      <c r="P8" s="205">
        <f>IFERROR(YEARFRAC(VLOOKUP(C8,Code!H:W,11,FALSE),VLOOKUP(C8,Code!H:W,14,FALSE),3),"")</f>
        <v>4.7397260273972606</v>
      </c>
      <c r="Q8" s="174">
        <v>44547</v>
      </c>
      <c r="R8" s="175" t="str">
        <f t="shared" ca="1" si="4"/>
        <v/>
      </c>
      <c r="S8" s="176">
        <f>IFERROR(VLOOKUP($C8,Code!$H:$Q,5,FALSE),"")</f>
        <v>0.40029999999999999</v>
      </c>
      <c r="T8" s="177" t="str">
        <f t="shared" ca="1" si="5"/>
        <v/>
      </c>
      <c r="U8" s="178" t="str">
        <f t="shared" ca="1" si="6"/>
        <v/>
      </c>
      <c r="V8" s="179">
        <f>IFERROR(VLOOKUP($C8,Code!$H:$Q,6,FALSE),"")</f>
        <v>267.38</v>
      </c>
      <c r="W8" s="180" t="str">
        <f t="shared" ca="1" si="7"/>
        <v/>
      </c>
      <c r="X8" s="12"/>
      <c r="Y8" s="12"/>
      <c r="Z8" s="12"/>
      <c r="AA8" s="12"/>
      <c r="AB8" s="12"/>
      <c r="AC8" s="13"/>
    </row>
    <row r="9" spans="1:29" s="10" customFormat="1" ht="15" hidden="1">
      <c r="A9" s="9"/>
      <c r="B9" s="169" cm="1">
        <f t="array" ref="B9">_xlfn.IFS(OR(Code!R240&lt;&gt;Code!U240,Code!R240=""),0,Code!R240=Code!U240,1)</f>
        <v>0</v>
      </c>
      <c r="C9" s="193" t="str">
        <f>IF(Code!F240="","",Code!F240)</f>
        <v>INFO</v>
      </c>
      <c r="D9" s="155" t="str">
        <f>IFERROR(VLOOKUP($C9,Code!$H:$K,2,FALSE),"")</f>
        <v>XLI</v>
      </c>
      <c r="E9" s="156" t="str">
        <f>IFERROR(VLOOKUP($C9,Code!$H:$K,3,FALSE),"")</f>
        <v>咨詢服務</v>
      </c>
      <c r="F9" s="157" t="str">
        <f>IFERROR(VLOOKUP($C9,Code!$H:$K,4,FALSE),"")</f>
        <v>.SPX</v>
      </c>
      <c r="G9" s="170">
        <f>IFERROR(((VLOOKUP($C9,Code!$H:$Q,9,FALSE))+(VLOOKUP($C9,Code!$H:$Q,10,FALSE)))/2*0.5/(((VLOOKUP($C9,Code!$H:$Q,7,FALSE))+(VLOOKUP($C9,Code!$H:$Q,8,FALSE)))/2),0)</f>
        <v>0.56614785992217898</v>
      </c>
      <c r="H9" s="171" t="str">
        <f t="shared" si="0"/>
        <v>M</v>
      </c>
      <c r="I9" s="170">
        <f>IFERROR((VLOOKUP($C9,Code!$H:$Q,5,FALSE))/(((VLOOKUP($C9,Code!$H:$Q,7,FALSE))+(VLOOKUP($C9,Code!$H:$Q,8,FALSE)))/2)-1,0)</f>
        <v>0.28199877124718409</v>
      </c>
      <c r="J9" s="204">
        <f>IFERROR(POWER((VLOOKUP(C9,Code!H:W,12,FALSE))/(VLOOKUP(C9,Code!H:W,15,FALSE)),1/(P9-1))-1,"")</f>
        <v>1.1817559206665753</v>
      </c>
      <c r="K9" s="172" cm="1">
        <f t="array" ref="K9">IFERROR(IF(C9="","",_xlfn.IFS(AND(VLOOKUP(C9,Code!H:W,13,FALSE)=0,VLOOKUP(C9,Code!H:W,16,FALSE)=0),"無股息",AND(VLOOKUP(C9,Code!H:W,13,FALSE)=0,VLOOKUP(C9,Code!H:W,16,FALSE)&gt;0),"股息沒了",AND(VLOOKUP(C9,Code!H:W,13,FALSE)&gt;0,VLOOKUP(C9,Code!H:W,16,FALSE)=0),"發股息了",AND(VLOOKUP(C9,Code!H:W,13,FALSE)&gt;0,VLOOKUP(C9,Code!H:W,16,FALSE)&gt;0),POWER((VLOOKUP(C9,Code!H:W,13,FALSE))/(VLOOKUP(C9,Code!H:W,16,FALSE)),1/(P9-1))-1)),"")</f>
        <v>0.40349850686304145</v>
      </c>
      <c r="L9" s="173">
        <f>IFERROR(VLOOKUP(C9,Code!H:W,13,FALSE)*4/VLOOKUP(C9,Code!H:W,12,FALSE),"")</f>
        <v>6.9366165550913076E-3</v>
      </c>
      <c r="M9" s="172">
        <f t="shared" si="1"/>
        <v>1.5852544275296168</v>
      </c>
      <c r="N9" s="172" t="str">
        <f t="shared" si="2"/>
        <v>-</v>
      </c>
      <c r="O9" s="172" t="str">
        <f t="shared" si="3"/>
        <v>Value</v>
      </c>
      <c r="P9" s="205">
        <f>IFERROR(YEARFRAC(VLOOKUP(C9,Code!H:W,11,FALSE),VLOOKUP(C9,Code!H:W,14,FALSE),3),"")</f>
        <v>1.4794520547945205</v>
      </c>
      <c r="Q9" s="174">
        <v>44547</v>
      </c>
      <c r="R9" s="175" t="str">
        <f t="shared" ca="1" si="4"/>
        <v/>
      </c>
      <c r="S9" s="176">
        <f>IFERROR(VLOOKUP($C9,Code!$H:$Q,5,FALSE),"")</f>
        <v>0.313</v>
      </c>
      <c r="T9" s="177" t="str">
        <f t="shared" ca="1" si="5"/>
        <v/>
      </c>
      <c r="U9" s="178" t="str">
        <f t="shared" ca="1" si="6"/>
        <v/>
      </c>
      <c r="V9" s="179">
        <f>IFERROR(VLOOKUP($C9,Code!$H:$Q,6,FALSE),"")</f>
        <v>119.42</v>
      </c>
      <c r="W9" s="180" t="str">
        <f t="shared" ca="1" si="7"/>
        <v/>
      </c>
      <c r="X9" s="12"/>
      <c r="Y9" s="12"/>
      <c r="Z9" s="12"/>
      <c r="AA9" s="12"/>
      <c r="AB9" s="12"/>
      <c r="AC9" s="13"/>
    </row>
    <row r="10" spans="1:29" s="10" customFormat="1" ht="15" hidden="1">
      <c r="A10" s="9"/>
      <c r="B10" s="169" cm="1">
        <f t="array" ref="B10">_xlfn.IFS(OR(Code!R4&lt;&gt;Code!U4,Code!R4=""),0,Code!R4=Code!U4,1)</f>
        <v>0</v>
      </c>
      <c r="C10" s="193" t="str">
        <f>IF(Code!F4="","",Code!F4)</f>
        <v>A</v>
      </c>
      <c r="D10" s="155" t="str">
        <f>IFERROR(VLOOKUP($C10,Code!$H:$K,2,FALSE),"")</f>
        <v>XLV</v>
      </c>
      <c r="E10" s="156" t="str">
        <f>IFERROR(VLOOKUP($C10,Code!$H:$K,3,FALSE),"")</f>
        <v>診斷與研究</v>
      </c>
      <c r="F10" s="157" t="str">
        <f>IFERROR(VLOOKUP($C10,Code!$H:$K,4,FALSE),"")</f>
        <v>.SPX</v>
      </c>
      <c r="G10" s="170">
        <f>IFERROR(((VLOOKUP($C10,Code!$H:$Q,9,FALSE))+(VLOOKUP($C10,Code!$H:$Q,10,FALSE)))/2*0.5/(((VLOOKUP($C10,Code!$H:$Q,7,FALSE))+(VLOOKUP($C10,Code!$H:$Q,8,FALSE)))/2),0)</f>
        <v>0.72641038442336503</v>
      </c>
      <c r="H10" s="171" t="str">
        <f t="shared" si="0"/>
        <v>XL</v>
      </c>
      <c r="I10" s="170">
        <f>IFERROR((VLOOKUP($C10,Code!$H:$Q,5,FALSE))/(((VLOOKUP($C10,Code!$H:$Q,7,FALSE))+(VLOOKUP($C10,Code!$H:$Q,8,FALSE)))/2)-1,0)</f>
        <v>0.23115327009485798</v>
      </c>
      <c r="J10" s="204">
        <f>IFERROR(POWER((VLOOKUP(C10,Code!H:W,12,FALSE))/(VLOOKUP(C10,Code!H:W,15,FALSE)),1/(P10-1))-1,"")</f>
        <v>0.37317691578441603</v>
      </c>
      <c r="K10" s="172" cm="1">
        <f t="array" ref="K10">IFERROR(IF(C10="","",_xlfn.IFS(AND(VLOOKUP(C10,Code!H:W,13,FALSE)=0,VLOOKUP(C10,Code!H:W,16,FALSE)=0),"無股息",AND(VLOOKUP(C10,Code!H:W,13,FALSE)=0,VLOOKUP(C10,Code!H:W,16,FALSE)&gt;0),"股息沒了",AND(VLOOKUP(C10,Code!H:W,13,FALSE)&gt;0,VLOOKUP(C10,Code!H:W,16,FALSE)=0),"發股息了",AND(VLOOKUP(C10,Code!H:W,13,FALSE)&gt;0,VLOOKUP(C10,Code!H:W,16,FALSE)&gt;0),POWER((VLOOKUP(C10,Code!H:W,13,FALSE))/(VLOOKUP(C10,Code!H:W,16,FALSE)),1/(P10-1))-1)),"")</f>
        <v>0.14937473965394776</v>
      </c>
      <c r="L10" s="173">
        <f>IFERROR(VLOOKUP(C10,Code!H:W,13,FALSE)*4/VLOOKUP(C10,Code!H:W,12,FALSE),"")</f>
        <v>5.2143526529293402E-3</v>
      </c>
      <c r="M10" s="172">
        <f t="shared" si="1"/>
        <v>0.52255165543836379</v>
      </c>
      <c r="N10" s="172" t="str">
        <f t="shared" si="2"/>
        <v>-</v>
      </c>
      <c r="O10" s="172" t="str">
        <f t="shared" si="3"/>
        <v>Value</v>
      </c>
      <c r="P10" s="205">
        <f>IFERROR(YEARFRAC(VLOOKUP(C10,Code!H:W,11,FALSE),VLOOKUP(C10,Code!H:W,14,FALSE),3),"")</f>
        <v>4.7561643835616438</v>
      </c>
      <c r="Q10" s="174">
        <v>44547</v>
      </c>
      <c r="R10" s="175" t="str">
        <f t="shared" ca="1" si="4"/>
        <v/>
      </c>
      <c r="S10" s="176">
        <f>IFERROR(VLOOKUP($C10,Code!$H:$Q,5,FALSE),"")</f>
        <v>0.24660000000000001</v>
      </c>
      <c r="T10" s="177" t="str">
        <f t="shared" ca="1" si="5"/>
        <v/>
      </c>
      <c r="U10" s="178" t="str">
        <f t="shared" ca="1" si="6"/>
        <v/>
      </c>
      <c r="V10" s="179">
        <f>IFERROR(VLOOKUP($C10,Code!$H:$Q,6,FALSE),"")</f>
        <v>155.04</v>
      </c>
      <c r="W10" s="180" t="str">
        <f t="shared" ca="1" si="7"/>
        <v/>
      </c>
      <c r="X10" s="12"/>
      <c r="Y10" s="12"/>
      <c r="Z10" s="12"/>
      <c r="AA10" s="12"/>
      <c r="AB10" s="12"/>
      <c r="AC10" s="13"/>
    </row>
    <row r="11" spans="1:29" s="10" customFormat="1" ht="15" hidden="1">
      <c r="A11" s="9"/>
      <c r="B11" s="169" cm="1">
        <f t="array" ref="B11">_xlfn.IFS(OR(Code!R226&lt;&gt;Code!U226,Code!R226=""),0,Code!R226=Code!U226,1)</f>
        <v>0</v>
      </c>
      <c r="C11" s="193" t="str">
        <f>IF(Code!F226="","",Code!F226)</f>
        <v>HPQ</v>
      </c>
      <c r="D11" s="155" t="str">
        <f>IFERROR(VLOOKUP($C11,Code!$H:$K,2,FALSE),"")</f>
        <v>XLK</v>
      </c>
      <c r="E11" s="156" t="str">
        <f>IFERROR(VLOOKUP($C11,Code!$H:$K,3,FALSE),"")</f>
        <v>計算機硬件</v>
      </c>
      <c r="F11" s="157" t="str">
        <f>IFERROR(VLOOKUP($C11,Code!$H:$K,4,FALSE),"")</f>
        <v>.SPX</v>
      </c>
      <c r="G11" s="170">
        <f>IFERROR(((VLOOKUP($C11,Code!$H:$Q,9,FALSE))+(VLOOKUP($C11,Code!$H:$Q,10,FALSE)))/2*0.5/(((VLOOKUP($C11,Code!$H:$Q,7,FALSE))+(VLOOKUP($C11,Code!$H:$Q,8,FALSE)))/2),0)</f>
        <v>0.6402523332181127</v>
      </c>
      <c r="H11" s="171" t="str">
        <f t="shared" si="0"/>
        <v>L</v>
      </c>
      <c r="I11" s="170">
        <f>IFERROR((VLOOKUP($C11,Code!$H:$Q,5,FALSE))/(((VLOOKUP($C11,Code!$H:$Q,7,FALSE))+(VLOOKUP($C11,Code!$H:$Q,8,FALSE)))/2)-1,0)</f>
        <v>0.21742136190805406</v>
      </c>
      <c r="J11" s="204">
        <f>IFERROR(POWER((VLOOKUP(C11,Code!H:W,12,FALSE))/(VLOOKUP(C11,Code!H:W,15,FALSE)),1/(P11-1))-1,"")</f>
        <v>0.26736785233461569</v>
      </c>
      <c r="K11" s="172" cm="1">
        <f t="array" ref="K11">IFERROR(IF(C11="","",_xlfn.IFS(AND(VLOOKUP(C11,Code!H:W,13,FALSE)=0,VLOOKUP(C11,Code!H:W,16,FALSE)=0),"無股息",AND(VLOOKUP(C11,Code!H:W,13,FALSE)=0,VLOOKUP(C11,Code!H:W,16,FALSE)&gt;0),"股息沒了",AND(VLOOKUP(C11,Code!H:W,13,FALSE)&gt;0,VLOOKUP(C11,Code!H:W,16,FALSE)=0),"發股息了",AND(VLOOKUP(C11,Code!H:W,13,FALSE)&gt;0,VLOOKUP(C11,Code!H:W,16,FALSE)&gt;0),POWER((VLOOKUP(C11,Code!H:W,13,FALSE))/(VLOOKUP(C11,Code!H:W,16,FALSE)),1/(P11-1))-1)),"")</f>
        <v>0.12713797368678348</v>
      </c>
      <c r="L11" s="173">
        <f>IFERROR(VLOOKUP(C11,Code!H:W,13,FALSE)*4/VLOOKUP(C11,Code!H:W,12,FALSE),"")</f>
        <v>2.5509533137862535E-2</v>
      </c>
      <c r="M11" s="172">
        <f t="shared" si="1"/>
        <v>0.39450582602139916</v>
      </c>
      <c r="N11" s="172" t="str">
        <f t="shared" si="2"/>
        <v>-</v>
      </c>
      <c r="O11" s="172" t="str">
        <f t="shared" si="3"/>
        <v>Value</v>
      </c>
      <c r="P11" s="205">
        <f>IFERROR(YEARFRAC(VLOOKUP(C11,Code!H:W,11,FALSE),VLOOKUP(C11,Code!H:W,14,FALSE),3),"")</f>
        <v>4.7397260273972606</v>
      </c>
      <c r="Q11" s="174">
        <v>44547</v>
      </c>
      <c r="R11" s="175" t="str">
        <f t="shared" ca="1" si="4"/>
        <v/>
      </c>
      <c r="S11" s="176">
        <f>IFERROR(VLOOKUP($C11,Code!$H:$Q,5,FALSE),"")</f>
        <v>0.35220000000000001</v>
      </c>
      <c r="T11" s="177" t="str">
        <f t="shared" ca="1" si="5"/>
        <v/>
      </c>
      <c r="U11" s="178" t="str">
        <f t="shared" ca="1" si="6"/>
        <v/>
      </c>
      <c r="V11" s="179">
        <f>IFERROR(VLOOKUP($C11,Code!$H:$Q,6,FALSE),"")</f>
        <v>29.23</v>
      </c>
      <c r="W11" s="180" t="str">
        <f t="shared" ca="1" si="7"/>
        <v/>
      </c>
      <c r="X11" s="12"/>
      <c r="Y11" s="12"/>
      <c r="Z11" s="12"/>
      <c r="AA11" s="12"/>
      <c r="AB11" s="12"/>
    </row>
    <row r="12" spans="1:29" s="10" customFormat="1" ht="15" hidden="1">
      <c r="A12" s="9"/>
      <c r="B12" s="169" cm="1">
        <f t="array" ref="B12">_xlfn.IFS(OR(Code!R218&lt;&gt;Code!U218,Code!R218=""),0,Code!R218=Code!U218,1)</f>
        <v>0</v>
      </c>
      <c r="C12" s="193" t="str">
        <f>IF(Code!F218="","",Code!F218)</f>
        <v>HD</v>
      </c>
      <c r="D12" s="155" t="str">
        <f>IFERROR(VLOOKUP($C12,Code!$H:$K,2,FALSE),"")</f>
        <v>XLY</v>
      </c>
      <c r="E12" s="156" t="str">
        <f>IFERROR(VLOOKUP($C12,Code!$H:$K,3,FALSE),"")</f>
        <v>家居裝修零售</v>
      </c>
      <c r="F12" s="157" t="str">
        <f>IFERROR(VLOOKUP($C12,Code!$H:$K,4,FALSE),"")</f>
        <v>.SPX</v>
      </c>
      <c r="G12" s="170">
        <f>IFERROR(((VLOOKUP($C12,Code!$H:$Q,9,FALSE))+(VLOOKUP($C12,Code!$H:$Q,10,FALSE)))/2*0.5/(((VLOOKUP($C12,Code!$H:$Q,7,FALSE))+(VLOOKUP($C12,Code!$H:$Q,8,FALSE)))/2),0)</f>
        <v>0.72886678879874367</v>
      </c>
      <c r="H12" s="171" t="str">
        <f t="shared" si="0"/>
        <v>XL</v>
      </c>
      <c r="I12" s="170">
        <f>IFERROR((VLOOKUP($C12,Code!$H:$Q,5,FALSE))/(((VLOOKUP($C12,Code!$H:$Q,7,FALSE))+(VLOOKUP($C12,Code!$H:$Q,8,FALSE)))/2)-1,0)</f>
        <v>0.20387333158858945</v>
      </c>
      <c r="J12" s="204">
        <f>IFERROR(POWER((VLOOKUP(C12,Code!H:W,12,FALSE))/(VLOOKUP(C12,Code!H:W,15,FALSE)),1/(P12-1))-1,"")</f>
        <v>0.29112116947101652</v>
      </c>
      <c r="K12" s="172" cm="1">
        <f t="array" ref="K12">IFERROR(IF(C12="","",_xlfn.IFS(AND(VLOOKUP(C12,Code!H:W,13,FALSE)=0,VLOOKUP(C12,Code!H:W,16,FALSE)=0),"無股息",AND(VLOOKUP(C12,Code!H:W,13,FALSE)=0,VLOOKUP(C12,Code!H:W,16,FALSE)&gt;0),"股息沒了",AND(VLOOKUP(C12,Code!H:W,13,FALSE)&gt;0,VLOOKUP(C12,Code!H:W,16,FALSE)=0),"發股息了",AND(VLOOKUP(C12,Code!H:W,13,FALSE)&gt;0,VLOOKUP(C12,Code!H:W,16,FALSE)&gt;0),POWER((VLOOKUP(C12,Code!H:W,13,FALSE))/(VLOOKUP(C12,Code!H:W,16,FALSE)),1/(P12-1))-1)),"")</f>
        <v>0.26104364460435603</v>
      </c>
      <c r="L12" s="173">
        <f>IFERROR(VLOOKUP(C12,Code!H:W,13,FALSE)*4/VLOOKUP(C12,Code!H:W,12,FALSE),"")</f>
        <v>2.1070777922004666E-2</v>
      </c>
      <c r="M12" s="172">
        <f t="shared" si="1"/>
        <v>0.55216481407537255</v>
      </c>
      <c r="N12" s="172" t="str">
        <f t="shared" si="2"/>
        <v>-</v>
      </c>
      <c r="O12" s="172" t="str">
        <f t="shared" si="3"/>
        <v>Value</v>
      </c>
      <c r="P12" s="205">
        <f>IFERROR(YEARFRAC(VLOOKUP(C12,Code!H:W,11,FALSE),VLOOKUP(C12,Code!H:W,14,FALSE),3),"")</f>
        <v>4.7589041095890412</v>
      </c>
      <c r="Q12" s="174">
        <v>44547</v>
      </c>
      <c r="R12" s="175" t="str">
        <f t="shared" ca="1" si="4"/>
        <v/>
      </c>
      <c r="S12" s="176">
        <f>IFERROR(VLOOKUP($C12,Code!$H:$Q,5,FALSE),"")</f>
        <v>0.23</v>
      </c>
      <c r="T12" s="177" t="str">
        <f t="shared" ca="1" si="5"/>
        <v/>
      </c>
      <c r="U12" s="178" t="str">
        <f t="shared" ca="1" si="6"/>
        <v/>
      </c>
      <c r="V12" s="179">
        <f>IFERROR(VLOOKUP($C12,Code!$H:$Q,6,FALSE),"")</f>
        <v>333.11</v>
      </c>
      <c r="W12" s="180" t="str">
        <f t="shared" ca="1" si="7"/>
        <v/>
      </c>
      <c r="X12" s="12"/>
      <c r="Y12" s="12"/>
      <c r="Z12" s="12"/>
      <c r="AA12" s="12"/>
      <c r="AB12" s="12"/>
    </row>
    <row r="13" spans="1:29" s="10" customFormat="1" ht="15" hidden="1">
      <c r="A13" s="9"/>
      <c r="B13" s="169" cm="1">
        <f t="array" ref="B13">_xlfn.IFS(OR(Code!R440&lt;&gt;Code!U440,Code!R440=""),0,Code!R440=Code!U440,1)</f>
        <v>0</v>
      </c>
      <c r="C13" s="193" t="str">
        <f>IF(Code!F440="","",Code!F440)</f>
        <v>TGT</v>
      </c>
      <c r="D13" s="155" t="str">
        <f>IFERROR(VLOOKUP($C13,Code!$H:$K,2,FALSE),"")</f>
        <v>XLY</v>
      </c>
      <c r="E13" s="156" t="str">
        <f>IFERROR(VLOOKUP($C13,Code!$H:$K,3,FALSE),"")</f>
        <v>折扣店</v>
      </c>
      <c r="F13" s="157" t="str">
        <f>IFERROR(VLOOKUP($C13,Code!$H:$K,4,FALSE),"")</f>
        <v>.SPX</v>
      </c>
      <c r="G13" s="170">
        <f>IFERROR(((VLOOKUP($C13,Code!$H:$Q,9,FALSE))+(VLOOKUP($C13,Code!$H:$Q,10,FALSE)))/2*0.5/(((VLOOKUP($C13,Code!$H:$Q,7,FALSE))+(VLOOKUP($C13,Code!$H:$Q,8,FALSE)))/2),0)</f>
        <v>0.59577015163607339</v>
      </c>
      <c r="H13" s="171" t="str">
        <f t="shared" si="0"/>
        <v>M</v>
      </c>
      <c r="I13" s="170">
        <f>IFERROR((VLOOKUP($C13,Code!$H:$Q,5,FALSE))/(((VLOOKUP($C13,Code!$H:$Q,7,FALSE))+(VLOOKUP($C13,Code!$H:$Q,8,FALSE)))/2)-1,0)</f>
        <v>0.18236233040702321</v>
      </c>
      <c r="J13" s="204">
        <f>IFERROR(POWER((VLOOKUP(C13,Code!H:W,12,FALSE))/(VLOOKUP(C13,Code!H:W,15,FALSE)),1/(P13-1))-1,"")</f>
        <v>0.35660562631109416</v>
      </c>
      <c r="K13" s="172" cm="1">
        <f t="array" ref="K13">IFERROR(IF(C13="","",_xlfn.IFS(AND(VLOOKUP(C13,Code!H:W,13,FALSE)=0,VLOOKUP(C13,Code!H:W,16,FALSE)=0),"無股息",AND(VLOOKUP(C13,Code!H:W,13,FALSE)=0,VLOOKUP(C13,Code!H:W,16,FALSE)&gt;0),"股息沒了",AND(VLOOKUP(C13,Code!H:W,13,FALSE)&gt;0,VLOOKUP(C13,Code!H:W,16,FALSE)=0),"發股息了",AND(VLOOKUP(C13,Code!H:W,13,FALSE)&gt;0,VLOOKUP(C13,Code!H:W,16,FALSE)&gt;0),POWER((VLOOKUP(C13,Code!H:W,13,FALSE))/(VLOOKUP(C13,Code!H:W,16,FALSE)),1/(P13-1))-1)),"")</f>
        <v>3.3858350488342293E-2</v>
      </c>
      <c r="L13" s="173">
        <f>IFERROR(VLOOKUP(C13,Code!H:W,13,FALSE)*4/VLOOKUP(C13,Code!H:W,12,FALSE),"")</f>
        <v>1.3176379869721901E-2</v>
      </c>
      <c r="M13" s="172">
        <f t="shared" si="1"/>
        <v>0.39046397679943645</v>
      </c>
      <c r="N13" s="172" t="str">
        <f t="shared" si="2"/>
        <v>-</v>
      </c>
      <c r="O13" s="172" t="str">
        <f t="shared" si="3"/>
        <v>-</v>
      </c>
      <c r="P13" s="205">
        <f>IFERROR(YEARFRAC(VLOOKUP(C13,Code!H:W,11,FALSE),VLOOKUP(C13,Code!H:W,14,FALSE),3),"")</f>
        <v>4.7589041095890412</v>
      </c>
      <c r="Q13" s="174">
        <v>44547</v>
      </c>
      <c r="R13" s="175" t="str">
        <f t="shared" ca="1" si="4"/>
        <v/>
      </c>
      <c r="S13" s="176">
        <f>IFERROR(VLOOKUP($C13,Code!$H:$Q,5,FALSE),"")</f>
        <v>0.29630000000000001</v>
      </c>
      <c r="T13" s="177" t="str">
        <f t="shared" ca="1" si="5"/>
        <v/>
      </c>
      <c r="U13" s="178" t="str">
        <f t="shared" ca="1" si="6"/>
        <v/>
      </c>
      <c r="V13" s="179">
        <f>IFERROR(VLOOKUP($C13,Code!$H:$Q,6,FALSE),"")</f>
        <v>261.39999999999998</v>
      </c>
      <c r="W13" s="180" t="str">
        <f t="shared" ca="1" si="7"/>
        <v/>
      </c>
      <c r="X13" s="12"/>
      <c r="Y13" s="12"/>
      <c r="Z13" s="12"/>
      <c r="AA13" s="12"/>
      <c r="AB13" s="12"/>
    </row>
    <row r="14" spans="1:29" s="10" customFormat="1" ht="15" hidden="1">
      <c r="A14" s="9"/>
      <c r="B14" s="169" cm="1">
        <f t="array" ref="B14">_xlfn.IFS(OR(Code!R120&lt;&gt;Code!U120,Code!R120=""),0,Code!R120=Code!U120,1)</f>
        <v>1</v>
      </c>
      <c r="C14" s="193" t="str">
        <f>IF(Code!F120="","",Code!F120)</f>
        <v>CTLT</v>
      </c>
      <c r="D14" s="155" t="str">
        <f>IFERROR(VLOOKUP($C14,Code!$H:$K,2,FALSE),"")</f>
        <v>XLV</v>
      </c>
      <c r="E14" s="156" t="str">
        <f>IFERROR(VLOOKUP($C14,Code!$H:$K,3,FALSE),"")</f>
        <v>藥品製造商-專業和通用</v>
      </c>
      <c r="F14" s="157" t="str">
        <f>IFERROR(VLOOKUP($C14,Code!$H:$K,4,FALSE),"")</f>
        <v>.SPX</v>
      </c>
      <c r="G14" s="170">
        <f>IFERROR(((VLOOKUP($C14,Code!$H:$Q,9,FALSE))+(VLOOKUP($C14,Code!$H:$Q,10,FALSE)))/2*0.5/(((VLOOKUP($C14,Code!$H:$Q,7,FALSE))+(VLOOKUP($C14,Code!$H:$Q,8,FALSE)))/2),0)</f>
        <v>0.80200744698073501</v>
      </c>
      <c r="H14" s="171" t="str">
        <f t="shared" si="0"/>
        <v>XL</v>
      </c>
      <c r="I14" s="170">
        <f>IFERROR((VLOOKUP($C14,Code!$H:$Q,5,FALSE))/(((VLOOKUP($C14,Code!$H:$Q,7,FALSE))+(VLOOKUP($C14,Code!$H:$Q,8,FALSE)))/2)-1,0)</f>
        <v>0.17694673789865623</v>
      </c>
      <c r="J14" s="204" t="str">
        <f>IFERROR(POWER((VLOOKUP(C14,Code!H:W,12,FALSE))/(VLOOKUP(C14,Code!H:W,15,FALSE)),1/(P14-1))-1,"")</f>
        <v/>
      </c>
      <c r="K14" s="172" t="str" cm="1">
        <f t="array" ref="K14">IFERROR(IF(C14="","",_xlfn.IFS(AND(VLOOKUP(C14,Code!H:W,13,FALSE)=0,VLOOKUP(C14,Code!H:W,16,FALSE)=0),"無股息",AND(VLOOKUP(C14,Code!H:W,13,FALSE)=0,VLOOKUP(C14,Code!H:W,16,FALSE)&gt;0),"股息沒了",AND(VLOOKUP(C14,Code!H:W,13,FALSE)&gt;0,VLOOKUP(C14,Code!H:W,16,FALSE)=0),"發股息了",AND(VLOOKUP(C14,Code!H:W,13,FALSE)&gt;0,VLOOKUP(C14,Code!H:W,16,FALSE)&gt;0),POWER((VLOOKUP(C14,Code!H:W,13,FALSE))/(VLOOKUP(C14,Code!H:W,16,FALSE)),1/(P14-1))-1)),"")</f>
        <v>無股息</v>
      </c>
      <c r="L14" s="173" t="str">
        <f>IFERROR(VLOOKUP(C14,Code!H:W,13,FALSE)*4/VLOOKUP(C14,Code!H:W,12,FALSE),"")</f>
        <v/>
      </c>
      <c r="M14" s="172" t="str">
        <f t="shared" si="1"/>
        <v/>
      </c>
      <c r="N14" s="172" t="str">
        <f t="shared" si="2"/>
        <v/>
      </c>
      <c r="O14" s="172" t="str">
        <f t="shared" si="3"/>
        <v/>
      </c>
      <c r="P14" s="205">
        <f>IFERROR(YEARFRAC(VLOOKUP(C14,Code!H:W,11,FALSE),VLOOKUP(C14,Code!H:W,14,FALSE),3),"")</f>
        <v>0</v>
      </c>
      <c r="Q14" s="174">
        <v>44547</v>
      </c>
      <c r="R14" s="175" t="str">
        <f t="shared" ca="1" si="4"/>
        <v/>
      </c>
      <c r="S14" s="176">
        <f>IFERROR(VLOOKUP($C14,Code!$H:$Q,5,FALSE),"")</f>
        <v>0.36349999999999999</v>
      </c>
      <c r="T14" s="177" t="str">
        <f t="shared" ca="1" si="5"/>
        <v/>
      </c>
      <c r="U14" s="178" t="str">
        <f t="shared" ca="1" si="6"/>
        <v/>
      </c>
      <c r="V14" s="179">
        <f>IFERROR(VLOOKUP($C14,Code!$H:$Q,6,FALSE),"")</f>
        <v>122.12</v>
      </c>
      <c r="W14" s="180" t="str">
        <f t="shared" ca="1" si="7"/>
        <v/>
      </c>
      <c r="X14" s="12"/>
      <c r="Y14" s="12"/>
      <c r="Z14" s="12"/>
      <c r="AA14" s="12"/>
      <c r="AB14" s="12"/>
    </row>
    <row r="15" spans="1:29" s="10" customFormat="1" ht="15" hidden="1">
      <c r="A15" s="9"/>
      <c r="B15" s="169" cm="1">
        <f t="array" ref="B15">_xlfn.IFS(OR(Code!R90&lt;&gt;Code!U90,Code!R90=""),0,Code!R90=Code!U90,1)</f>
        <v>0</v>
      </c>
      <c r="C15" s="193" t="str">
        <f>IF(Code!F90="","",Code!F90)</f>
        <v>CERN</v>
      </c>
      <c r="D15" s="155" t="str">
        <f>IFERROR(VLOOKUP($C15,Code!$H:$K,2,FALSE),"")</f>
        <v>XLV</v>
      </c>
      <c r="E15" s="156" t="str">
        <f>IFERROR(VLOOKUP($C15,Code!$H:$K,3,FALSE),"")</f>
        <v>衛生信息服務</v>
      </c>
      <c r="F15" s="157" t="str">
        <f>IFERROR(VLOOKUP($C15,Code!$H:$K,4,FALSE),"")</f>
        <v>.SPX</v>
      </c>
      <c r="G15" s="170">
        <f>IFERROR(((VLOOKUP($C15,Code!$H:$Q,9,FALSE))+(VLOOKUP($C15,Code!$H:$Q,10,FALSE)))/2*0.5/(((VLOOKUP($C15,Code!$H:$Q,7,FALSE))+(VLOOKUP($C15,Code!$H:$Q,8,FALSE)))/2),0)</f>
        <v>0.76302826030593729</v>
      </c>
      <c r="H15" s="171" t="str">
        <f t="shared" si="0"/>
        <v>XL</v>
      </c>
      <c r="I15" s="170">
        <f>IFERROR((VLOOKUP($C15,Code!$H:$Q,5,FALSE))/(((VLOOKUP($C15,Code!$H:$Q,7,FALSE))+(VLOOKUP($C15,Code!$H:$Q,8,FALSE)))/2)-1,0)</f>
        <v>0.17085817993259012</v>
      </c>
      <c r="J15" s="204">
        <f>IFERROR(POWER((VLOOKUP(C15,Code!H:W,12,FALSE))/(VLOOKUP(C15,Code!H:W,15,FALSE)),1/(P15-1))-1,"")</f>
        <v>0.11864714623176398</v>
      </c>
      <c r="K15" s="172" cm="1">
        <f t="array" ref="K15">IFERROR(IF(C15="","",_xlfn.IFS(AND(VLOOKUP(C15,Code!H:W,13,FALSE)=0,VLOOKUP(C15,Code!H:W,16,FALSE)=0),"無股息",AND(VLOOKUP(C15,Code!H:W,13,FALSE)=0,VLOOKUP(C15,Code!H:W,16,FALSE)&gt;0),"股息沒了",AND(VLOOKUP(C15,Code!H:W,13,FALSE)&gt;0,VLOOKUP(C15,Code!H:W,16,FALSE)=0),"發股息了",AND(VLOOKUP(C15,Code!H:W,13,FALSE)&gt;0,VLOOKUP(C15,Code!H:W,16,FALSE)&gt;0),POWER((VLOOKUP(C15,Code!H:W,13,FALSE))/(VLOOKUP(C15,Code!H:W,16,FALSE)),1/(P15-1))-1)),"")</f>
        <v>0.21633437052672599</v>
      </c>
      <c r="L15" s="173">
        <f>IFERROR(VLOOKUP(C15,Code!H:W,13,FALSE)*4/VLOOKUP(C15,Code!H:W,12,FALSE),"")</f>
        <v>1.1217336319089799E-2</v>
      </c>
      <c r="M15" s="172">
        <f t="shared" si="1"/>
        <v>0.33498151675848997</v>
      </c>
      <c r="N15" s="172" t="str">
        <f t="shared" si="2"/>
        <v>-</v>
      </c>
      <c r="O15" s="172" t="str">
        <f t="shared" si="3"/>
        <v>Value</v>
      </c>
      <c r="P15" s="205">
        <f>IFERROR(YEARFRAC(VLOOKUP(C15,Code!H:W,11,FALSE),VLOOKUP(C15,Code!H:W,14,FALSE),3),"")</f>
        <v>2.0246575342465754</v>
      </c>
      <c r="Q15" s="174">
        <v>44547</v>
      </c>
      <c r="R15" s="175" t="str">
        <f t="shared" ca="1" si="4"/>
        <v/>
      </c>
      <c r="S15" s="176">
        <f>IFERROR(VLOOKUP($C15,Code!$H:$Q,5,FALSE),"")</f>
        <v>0.2258</v>
      </c>
      <c r="T15" s="177" t="str">
        <f t="shared" ca="1" si="5"/>
        <v/>
      </c>
      <c r="U15" s="178" t="str">
        <f t="shared" ca="1" si="6"/>
        <v/>
      </c>
      <c r="V15" s="179">
        <f>IFERROR(VLOOKUP($C15,Code!$H:$Q,6,FALSE),"")</f>
        <v>79.900000000000006</v>
      </c>
      <c r="W15" s="180" t="str">
        <f t="shared" ca="1" si="7"/>
        <v/>
      </c>
      <c r="X15" s="12"/>
      <c r="Y15" s="12"/>
      <c r="Z15" s="12"/>
      <c r="AA15" s="12"/>
      <c r="AB15" s="12"/>
    </row>
    <row r="16" spans="1:29" s="10" customFormat="1" ht="15" hidden="1">
      <c r="A16" s="9"/>
      <c r="B16" s="169" cm="1">
        <f t="array" ref="B16">_xlfn.IFS(OR(Code!R423&lt;&gt;Code!U423,Code!R423=""),0,Code!R423=Code!U423,1)</f>
        <v>0</v>
      </c>
      <c r="C16" s="193" t="str">
        <f>IF(Code!F423="","",Code!F423)</f>
        <v>STE</v>
      </c>
      <c r="D16" s="155" t="str">
        <f>IFERROR(VLOOKUP($C16,Code!$H:$K,2,FALSE),"")</f>
        <v>XLV</v>
      </c>
      <c r="E16" s="156" t="str">
        <f>IFERROR(VLOOKUP($C16,Code!$H:$K,3,FALSE),"")</f>
        <v>醫療設備</v>
      </c>
      <c r="F16" s="157" t="str">
        <f>IFERROR(VLOOKUP($C16,Code!$H:$K,4,FALSE),"")</f>
        <v>.SPX</v>
      </c>
      <c r="G16" s="170">
        <f>IFERROR(((VLOOKUP($C16,Code!$H:$Q,9,FALSE))+(VLOOKUP($C16,Code!$H:$Q,10,FALSE)))/2*0.5/(((VLOOKUP($C16,Code!$H:$Q,7,FALSE))+(VLOOKUP($C16,Code!$H:$Q,8,FALSE)))/2),0)</f>
        <v>0.70789220404234843</v>
      </c>
      <c r="H16" s="171" t="str">
        <f t="shared" si="0"/>
        <v>XL</v>
      </c>
      <c r="I16" s="170">
        <f>IFERROR((VLOOKUP($C16,Code!$H:$Q,5,FALSE))/(((VLOOKUP($C16,Code!$H:$Q,7,FALSE))+(VLOOKUP($C16,Code!$H:$Q,8,FALSE)))/2)-1,0)</f>
        <v>0.15640038498556308</v>
      </c>
      <c r="J16" s="204">
        <f>IFERROR(POWER((VLOOKUP(C16,Code!H:W,12,FALSE))/(VLOOKUP(C16,Code!H:W,15,FALSE)),1/(P16-1))-1,"")</f>
        <v>0.32489294044470984</v>
      </c>
      <c r="K16" s="172" cm="1">
        <f t="array" ref="K16">IFERROR(IF(C16="","",_xlfn.IFS(AND(VLOOKUP(C16,Code!H:W,13,FALSE)=0,VLOOKUP(C16,Code!H:W,16,FALSE)=0),"無股息",AND(VLOOKUP(C16,Code!H:W,13,FALSE)=0,VLOOKUP(C16,Code!H:W,16,FALSE)&gt;0),"股息沒了",AND(VLOOKUP(C16,Code!H:W,13,FALSE)&gt;0,VLOOKUP(C16,Code!H:W,16,FALSE)=0),"發股息了",AND(VLOOKUP(C16,Code!H:W,13,FALSE)&gt;0,VLOOKUP(C16,Code!H:W,16,FALSE)&gt;0),POWER((VLOOKUP(C16,Code!H:W,13,FALSE))/(VLOOKUP(C16,Code!H:W,16,FALSE)),1/(P16-1))-1)),"")</f>
        <v>9.9688036235349164E-2</v>
      </c>
      <c r="L16" s="173">
        <f>IFERROR(VLOOKUP(C16,Code!H:W,13,FALSE)*4/VLOOKUP(C16,Code!H:W,12,FALSE),"")</f>
        <v>8.3817905868083329E-3</v>
      </c>
      <c r="M16" s="172">
        <f t="shared" si="1"/>
        <v>0.42458097668005901</v>
      </c>
      <c r="N16" s="172" t="str">
        <f t="shared" si="2"/>
        <v>-</v>
      </c>
      <c r="O16" s="172" t="str">
        <f t="shared" si="3"/>
        <v>-</v>
      </c>
      <c r="P16" s="205">
        <f>IFERROR(YEARFRAC(VLOOKUP(C16,Code!H:W,11,FALSE),VLOOKUP(C16,Code!H:W,14,FALSE),3),"")</f>
        <v>4.7534246575342465</v>
      </c>
      <c r="Q16" s="174">
        <v>44547</v>
      </c>
      <c r="R16" s="175" t="str">
        <f t="shared" ca="1" si="4"/>
        <v/>
      </c>
      <c r="S16" s="176">
        <f>IFERROR(VLOOKUP($C16,Code!$H:$Q,5,FALSE),"")</f>
        <v>0.24030000000000001</v>
      </c>
      <c r="T16" s="177" t="str">
        <f t="shared" ca="1" si="5"/>
        <v/>
      </c>
      <c r="U16" s="178" t="str">
        <f t="shared" ca="1" si="6"/>
        <v/>
      </c>
      <c r="V16" s="179">
        <f>IFERROR(VLOOKUP($C16,Code!$H:$Q,6,FALSE),"")</f>
        <v>215.53</v>
      </c>
      <c r="W16" s="180" t="str">
        <f t="shared" ca="1" si="7"/>
        <v/>
      </c>
      <c r="X16" s="14"/>
      <c r="Y16" s="12"/>
      <c r="Z16" s="12"/>
      <c r="AA16" s="12"/>
      <c r="AB16" s="12"/>
    </row>
    <row r="17" spans="1:29" s="10" customFormat="1" ht="15" hidden="1">
      <c r="A17" s="9"/>
      <c r="B17" s="169" cm="1">
        <f t="array" ref="B17">_xlfn.IFS(OR(Code!R500&lt;&gt;Code!U500,Code!R500=""),0,Code!R500=Code!U500,1)</f>
        <v>0</v>
      </c>
      <c r="C17" s="193" t="str">
        <f>IF(Code!F500="","",Code!F500)</f>
        <v>XLNX</v>
      </c>
      <c r="D17" s="155" t="str">
        <f>IFERROR(VLOOKUP($C17,Code!$H:$K,2,FALSE),"")</f>
        <v>XLK</v>
      </c>
      <c r="E17" s="156" t="str">
        <f>IFERROR(VLOOKUP($C17,Code!$H:$K,3,FALSE),"")</f>
        <v>半導體</v>
      </c>
      <c r="F17" s="157" t="str">
        <f>IFERROR(VLOOKUP($C17,Code!$H:$K,4,FALSE),"")</f>
        <v>.SPX</v>
      </c>
      <c r="G17" s="170">
        <f>IFERROR(((VLOOKUP($C17,Code!$H:$Q,9,FALSE))+(VLOOKUP($C17,Code!$H:$Q,10,FALSE)))/2*0.5/(((VLOOKUP($C17,Code!$H:$Q,7,FALSE))+(VLOOKUP($C17,Code!$H:$Q,8,FALSE)))/2),0)</f>
        <v>0.52060972824845864</v>
      </c>
      <c r="H17" s="171" t="str">
        <f t="shared" si="0"/>
        <v>M</v>
      </c>
      <c r="I17" s="170">
        <f>IFERROR((VLOOKUP($C17,Code!$H:$Q,5,FALSE))/(((VLOOKUP($C17,Code!$H:$Q,7,FALSE))+(VLOOKUP($C17,Code!$H:$Q,8,FALSE)))/2)-1,0)</f>
        <v>0.154373144553551</v>
      </c>
      <c r="J17" s="204">
        <f>IFERROR(POWER((VLOOKUP(C17,Code!H:W,12,FALSE))/(VLOOKUP(C17,Code!H:W,15,FALSE)),1/(P17-1))-1,"")</f>
        <v>0.35791531521641451</v>
      </c>
      <c r="K17" s="172" cm="1">
        <f t="array" ref="K17">IFERROR(IF(C17="","",_xlfn.IFS(AND(VLOOKUP(C17,Code!H:W,13,FALSE)=0,VLOOKUP(C17,Code!H:W,16,FALSE)=0),"無股息",AND(VLOOKUP(C17,Code!H:W,13,FALSE)=0,VLOOKUP(C17,Code!H:W,16,FALSE)&gt;0),"股息沒了",AND(VLOOKUP(C17,Code!H:W,13,FALSE)&gt;0,VLOOKUP(C17,Code!H:W,16,FALSE)=0),"發股息了",AND(VLOOKUP(C17,Code!H:W,13,FALSE)&gt;0,VLOOKUP(C17,Code!H:W,16,FALSE)&gt;0),POWER((VLOOKUP(C17,Code!H:W,13,FALSE))/(VLOOKUP(C17,Code!H:W,16,FALSE)),1/(P17-1))-1)),"")</f>
        <v>4.4297964684900437E-2</v>
      </c>
      <c r="L17" s="173">
        <f>IFERROR(VLOOKUP(C17,Code!H:W,13,FALSE)*4/VLOOKUP(C17,Code!H:W,12,FALSE),"")</f>
        <v>1.166091238072456E-2</v>
      </c>
      <c r="M17" s="172">
        <f t="shared" si="1"/>
        <v>0.40221327990131495</v>
      </c>
      <c r="N17" s="172" t="str">
        <f t="shared" si="2"/>
        <v>-</v>
      </c>
      <c r="O17" s="172" t="str">
        <f t="shared" si="3"/>
        <v>-</v>
      </c>
      <c r="P17" s="205">
        <f>IFERROR(YEARFRAC(VLOOKUP(C17,Code!H:W,11,FALSE),VLOOKUP(C17,Code!H:W,14,FALSE),3),"")</f>
        <v>4.2547945205479456</v>
      </c>
      <c r="Q17" s="174">
        <v>44547</v>
      </c>
      <c r="R17" s="175" t="str">
        <f t="shared" ca="1" si="4"/>
        <v/>
      </c>
      <c r="S17" s="176">
        <f>IFERROR(VLOOKUP($C17,Code!$H:$Q,5,FALSE),"")</f>
        <v>0.50549999999999995</v>
      </c>
      <c r="T17" s="177" t="str">
        <f t="shared" ca="1" si="5"/>
        <v/>
      </c>
      <c r="U17" s="178" t="str">
        <f t="shared" ca="1" si="6"/>
        <v/>
      </c>
      <c r="V17" s="179">
        <f>IFERROR(VLOOKUP($C17,Code!$H:$Q,6,FALSE),"")</f>
        <v>150.97999999999999</v>
      </c>
      <c r="W17" s="180" t="str">
        <f t="shared" ca="1" si="7"/>
        <v/>
      </c>
      <c r="X17" s="12"/>
      <c r="Y17" s="12"/>
      <c r="Z17" s="12"/>
      <c r="AA17" s="12"/>
      <c r="AB17" s="12"/>
    </row>
    <row r="18" spans="1:29" s="10" customFormat="1" ht="15" hidden="1">
      <c r="A18" s="9"/>
      <c r="B18" s="169" cm="1">
        <f t="array" ref="B18">_xlfn.IFS(OR(Code!R72&lt;&gt;Code!U72,Code!R72=""),0,Code!R72=Code!U72,1)</f>
        <v>0</v>
      </c>
      <c r="C18" s="193" t="str">
        <f>IF(Code!F72="","",Code!F72)</f>
        <v>BR</v>
      </c>
      <c r="D18" s="155" t="str">
        <f>IFERROR(VLOOKUP($C18,Code!$H:$K,2,FALSE),"")</f>
        <v>XLK</v>
      </c>
      <c r="E18" s="156" t="str">
        <f>IFERROR(VLOOKUP($C18,Code!$H:$K,3,FALSE),"")</f>
        <v>信息技術處</v>
      </c>
      <c r="F18" s="157" t="str">
        <f>IFERROR(VLOOKUP($C18,Code!$H:$K,4,FALSE),"")</f>
        <v>.SPX</v>
      </c>
      <c r="G18" s="170">
        <f>IFERROR(((VLOOKUP($C18,Code!$H:$Q,9,FALSE))+(VLOOKUP($C18,Code!$H:$Q,10,FALSE)))/2*0.5/(((VLOOKUP($C18,Code!$H:$Q,7,FALSE))+(VLOOKUP($C18,Code!$H:$Q,8,FALSE)))/2),0)</f>
        <v>0.67363766730401531</v>
      </c>
      <c r="H18" s="171" t="str">
        <f t="shared" si="0"/>
        <v>L</v>
      </c>
      <c r="I18" s="170">
        <f>IFERROR((VLOOKUP($C18,Code!$H:$Q,5,FALSE))/(((VLOOKUP($C18,Code!$H:$Q,7,FALSE))+(VLOOKUP($C18,Code!$H:$Q,8,FALSE)))/2)-1,0)</f>
        <v>0.15344168260038238</v>
      </c>
      <c r="J18" s="204">
        <f>IFERROR(POWER((VLOOKUP(C18,Code!H:W,12,FALSE))/(VLOOKUP(C18,Code!H:W,15,FALSE)),1/(P18-1))-1,"")</f>
        <v>0.2817987037022216</v>
      </c>
      <c r="K18" s="172" cm="1">
        <f t="array" ref="K18">IFERROR(IF(C18="","",_xlfn.IFS(AND(VLOOKUP(C18,Code!H:W,13,FALSE)=0,VLOOKUP(C18,Code!H:W,16,FALSE)=0),"無股息",AND(VLOOKUP(C18,Code!H:W,13,FALSE)=0,VLOOKUP(C18,Code!H:W,16,FALSE)&gt;0),"股息沒了",AND(VLOOKUP(C18,Code!H:W,13,FALSE)&gt;0,VLOOKUP(C18,Code!H:W,16,FALSE)=0),"發股息了",AND(VLOOKUP(C18,Code!H:W,13,FALSE)&gt;0,VLOOKUP(C18,Code!H:W,16,FALSE)&gt;0),POWER((VLOOKUP(C18,Code!H:W,13,FALSE))/(VLOOKUP(C18,Code!H:W,16,FALSE)),1/(P18-1))-1)),"")</f>
        <v>0.15944201252378809</v>
      </c>
      <c r="L18" s="173">
        <f>IFERROR(VLOOKUP(C18,Code!H:W,13,FALSE)*4/VLOOKUP(C18,Code!H:W,12,FALSE),"")</f>
        <v>1.4289263817493682E-2</v>
      </c>
      <c r="M18" s="172">
        <f t="shared" si="1"/>
        <v>0.44124071622600969</v>
      </c>
      <c r="N18" s="172" t="str">
        <f t="shared" si="2"/>
        <v>-</v>
      </c>
      <c r="O18" s="172" t="str">
        <f t="shared" si="3"/>
        <v>Value</v>
      </c>
      <c r="P18" s="205">
        <f>IFERROR(YEARFRAC(VLOOKUP(C18,Code!H:W,11,FALSE),VLOOKUP(C18,Code!H:W,14,FALSE),3),"")</f>
        <v>4.7534246575342465</v>
      </c>
      <c r="Q18" s="174">
        <v>44547</v>
      </c>
      <c r="R18" s="175" t="str">
        <f t="shared" ca="1" si="4"/>
        <v/>
      </c>
      <c r="S18" s="176">
        <f>IFERROR(VLOOKUP($C18,Code!$H:$Q,5,FALSE),"")</f>
        <v>0.24129999999999999</v>
      </c>
      <c r="T18" s="177" t="str">
        <f t="shared" ca="1" si="5"/>
        <v/>
      </c>
      <c r="U18" s="178" t="str">
        <f t="shared" ca="1" si="6"/>
        <v/>
      </c>
      <c r="V18" s="179">
        <f>IFERROR(VLOOKUP($C18,Code!$H:$Q,6,FALSE),"")</f>
        <v>173.93</v>
      </c>
      <c r="W18" s="180" t="str">
        <f t="shared" ca="1" si="7"/>
        <v/>
      </c>
      <c r="X18" s="12"/>
      <c r="Y18" s="12"/>
      <c r="Z18" s="12"/>
      <c r="AA18" s="12"/>
      <c r="AB18" s="12"/>
    </row>
    <row r="19" spans="1:29" s="10" customFormat="1" ht="15" hidden="1">
      <c r="A19" s="9"/>
      <c r="B19" s="169" cm="1">
        <f t="array" ref="B19">_xlfn.IFS(OR(Code!R14&lt;&gt;Code!U14,Code!R14=""),0,Code!R14=Code!U14,1)</f>
        <v>0</v>
      </c>
      <c r="C19" s="193" t="str">
        <f>IF(Code!F14="","",Code!F14)</f>
        <v>ADI</v>
      </c>
      <c r="D19" s="155" t="str">
        <f>IFERROR(VLOOKUP($C19,Code!$H:$K,2,FALSE),"")</f>
        <v>XLK</v>
      </c>
      <c r="E19" s="156" t="str">
        <f>IFERROR(VLOOKUP($C19,Code!$H:$K,3,FALSE),"")</f>
        <v>半導體</v>
      </c>
      <c r="F19" s="157" t="str">
        <f>IFERROR(VLOOKUP($C19,Code!$H:$K,4,FALSE),"")</f>
        <v>.SPX</v>
      </c>
      <c r="G19" s="170">
        <f>IFERROR(((VLOOKUP($C19,Code!$H:$Q,9,FALSE))+(VLOOKUP($C19,Code!$H:$Q,10,FALSE)))/2*0.5/(((VLOOKUP($C19,Code!$H:$Q,7,FALSE))+(VLOOKUP($C19,Code!$H:$Q,8,FALSE)))/2),0)</f>
        <v>0.54432109308283527</v>
      </c>
      <c r="H19" s="171" t="str">
        <f t="shared" si="0"/>
        <v>M</v>
      </c>
      <c r="I19" s="170">
        <f>IFERROR((VLOOKUP($C19,Code!$H:$Q,5,FALSE))/(((VLOOKUP($C19,Code!$H:$Q,7,FALSE))+(VLOOKUP($C19,Code!$H:$Q,8,FALSE)))/2)-1,0)</f>
        <v>0.14056362083689145</v>
      </c>
      <c r="J19" s="204">
        <f>IFERROR(POWER((VLOOKUP(C19,Code!H:W,12,FALSE))/(VLOOKUP(C19,Code!H:W,15,FALSE)),1/(P19-1))-1,"")</f>
        <v>0.32348440884721463</v>
      </c>
      <c r="K19" s="172" cm="1">
        <f t="array" ref="K19">IFERROR(IF(C19="","",_xlfn.IFS(AND(VLOOKUP(C19,Code!H:W,13,FALSE)=0,VLOOKUP(C19,Code!H:W,16,FALSE)=0),"無股息",AND(VLOOKUP(C19,Code!H:W,13,FALSE)=0,VLOOKUP(C19,Code!H:W,16,FALSE)&gt;0),"股息沒了",AND(VLOOKUP(C19,Code!H:W,13,FALSE)&gt;0,VLOOKUP(C19,Code!H:W,16,FALSE)=0),"發股息了",AND(VLOOKUP(C19,Code!H:W,13,FALSE)&gt;0,VLOOKUP(C19,Code!H:W,16,FALSE)&gt;0),POWER((VLOOKUP(C19,Code!H:W,13,FALSE))/(VLOOKUP(C19,Code!H:W,16,FALSE)),1/(P19-1))-1)),"")</f>
        <v>0.14118772013396241</v>
      </c>
      <c r="L19" s="173">
        <f>IFERROR(VLOOKUP(C19,Code!H:W,13,FALSE)*4/VLOOKUP(C19,Code!H:W,12,FALSE),"")</f>
        <v>1.6910727813636558E-2</v>
      </c>
      <c r="M19" s="172">
        <f t="shared" si="1"/>
        <v>0.46467212898117705</v>
      </c>
      <c r="N19" s="172" t="str">
        <f t="shared" si="2"/>
        <v>-</v>
      </c>
      <c r="O19" s="172" t="str">
        <f t="shared" si="3"/>
        <v>Value</v>
      </c>
      <c r="P19" s="205">
        <f>IFERROR(YEARFRAC(VLOOKUP(C19,Code!H:W,11,FALSE),VLOOKUP(C19,Code!H:W,14,FALSE),3),"")</f>
        <v>4.7589041095890412</v>
      </c>
      <c r="Q19" s="174">
        <v>44547</v>
      </c>
      <c r="R19" s="175" t="str">
        <f t="shared" ca="1" si="4"/>
        <v/>
      </c>
      <c r="S19" s="176">
        <f>IFERROR(VLOOKUP($C19,Code!$H:$Q,5,FALSE),"")</f>
        <v>0.33389999999999997</v>
      </c>
      <c r="T19" s="177" t="str">
        <f t="shared" ca="1" si="5"/>
        <v/>
      </c>
      <c r="U19" s="178" t="str">
        <f t="shared" ca="1" si="6"/>
        <v/>
      </c>
      <c r="V19" s="179">
        <f>IFERROR(VLOOKUP($C19,Code!$H:$Q,6,FALSE),"")</f>
        <v>169.93</v>
      </c>
      <c r="W19" s="180" t="str">
        <f t="shared" ca="1" si="7"/>
        <v/>
      </c>
      <c r="X19" s="12"/>
      <c r="Y19" s="12"/>
      <c r="Z19" s="12"/>
      <c r="AA19" s="12"/>
      <c r="AB19" s="12"/>
    </row>
    <row r="20" spans="1:29" s="10" customFormat="1" ht="15">
      <c r="A20" s="9"/>
      <c r="B20" s="169" cm="1">
        <f t="array" ref="B20">_xlfn.IFS(OR(Code!R439&lt;&gt;Code!U439,Code!R439=""),0,Code!R439=Code!U439,1)</f>
        <v>0</v>
      </c>
      <c r="C20" s="193" t="str">
        <f>IF(Code!F439="","",Code!F439)</f>
        <v>TFX</v>
      </c>
      <c r="D20" s="155" t="str">
        <f>IFERROR(VLOOKUP($C20,Code!$H:$K,2,FALSE),"")</f>
        <v>XLV</v>
      </c>
      <c r="E20" s="156" t="str">
        <f>IFERROR(VLOOKUP($C20,Code!$H:$K,3,FALSE),"")</f>
        <v>醫療器械及用品</v>
      </c>
      <c r="F20" s="157" t="str">
        <f>IFERROR(VLOOKUP($C20,Code!$H:$K,4,FALSE),"")</f>
        <v>.SPX</v>
      </c>
      <c r="G20" s="170">
        <f>IFERROR(((VLOOKUP($C20,Code!$H:$Q,9,FALSE))+(VLOOKUP($C20,Code!$H:$Q,10,FALSE)))/2*0.5/(((VLOOKUP($C20,Code!$H:$Q,7,FALSE))+(VLOOKUP($C20,Code!$H:$Q,8,FALSE)))/2),0)</f>
        <v>0.617904319885755</v>
      </c>
      <c r="H20" s="171" t="str">
        <f t="shared" si="0"/>
        <v>L</v>
      </c>
      <c r="I20" s="170">
        <f>IFERROR((VLOOKUP($C20,Code!$H:$Q,5,FALSE))/(((VLOOKUP($C20,Code!$H:$Q,7,FALSE))+(VLOOKUP($C20,Code!$H:$Q,8,FALSE)))/2)-1,0)</f>
        <v>0.1367368796858266</v>
      </c>
      <c r="J20" s="204">
        <f>IFERROR(POWER((VLOOKUP(C20,Code!H:W,12,FALSE))/(VLOOKUP(C20,Code!H:W,15,FALSE)),1/(P20-1))-1,"")</f>
        <v>0.23548728312234823</v>
      </c>
      <c r="K20" s="172" cm="1">
        <f t="array" ref="K20">IFERROR(IF(C20="","",_xlfn.IFS(AND(VLOOKUP(C20,Code!H:W,13,FALSE)=0,VLOOKUP(C20,Code!H:W,16,FALSE)=0),"無股息",AND(VLOOKUP(C20,Code!H:W,13,FALSE)=0,VLOOKUP(C20,Code!H:W,16,FALSE)&gt;0),"股息沒了",AND(VLOOKUP(C20,Code!H:W,13,FALSE)&gt;0,VLOOKUP(C20,Code!H:W,16,FALSE)=0),"發股息了",AND(VLOOKUP(C20,Code!H:W,13,FALSE)&gt;0,VLOOKUP(C20,Code!H:W,16,FALSE)&gt;0),POWER((VLOOKUP(C20,Code!H:W,13,FALSE))/(VLOOKUP(C20,Code!H:W,16,FALSE)),1/(P20-1))-1)),"")</f>
        <v>0</v>
      </c>
      <c r="L20" s="173">
        <f>IFERROR(VLOOKUP(C20,Code!H:W,13,FALSE)*4/VLOOKUP(C20,Code!H:W,12,FALSE),"")</f>
        <v>3.4684146051027938E-3</v>
      </c>
      <c r="M20" s="172">
        <f t="shared" si="1"/>
        <v>0.23548728312234823</v>
      </c>
      <c r="N20" s="172" t="str">
        <f t="shared" si="2"/>
        <v>-</v>
      </c>
      <c r="O20" s="172" t="str">
        <f t="shared" si="3"/>
        <v>-</v>
      </c>
      <c r="P20" s="205">
        <f>IFERROR(YEARFRAC(VLOOKUP(C20,Code!H:W,11,FALSE),VLOOKUP(C20,Code!H:W,14,FALSE),3),"")</f>
        <v>4.7561643835616438</v>
      </c>
      <c r="Q20" s="174">
        <v>44547</v>
      </c>
      <c r="R20" s="175" t="str">
        <f t="shared" ca="1" si="4"/>
        <v/>
      </c>
      <c r="S20" s="176">
        <f>IFERROR(VLOOKUP($C20,Code!$H:$Q,5,FALSE),"")</f>
        <v>0.31840000000000002</v>
      </c>
      <c r="T20" s="177" t="str">
        <f t="shared" ca="1" si="5"/>
        <v/>
      </c>
      <c r="U20" s="178" t="str">
        <f t="shared" ca="1" si="6"/>
        <v/>
      </c>
      <c r="V20" s="179">
        <f>IFERROR(VLOOKUP($C20,Code!$H:$Q,6,FALSE),"")</f>
        <v>378.42</v>
      </c>
      <c r="W20" s="180" t="str">
        <f t="shared" ca="1" si="7"/>
        <v/>
      </c>
      <c r="X20" s="12"/>
      <c r="Y20" s="12"/>
      <c r="Z20" s="12"/>
      <c r="AA20" s="12"/>
      <c r="AB20" s="12"/>
    </row>
    <row r="21" spans="1:29" s="10" customFormat="1" ht="15" hidden="1">
      <c r="A21" s="9"/>
      <c r="B21" s="169" cm="1">
        <f t="array" ref="B21">_xlfn.IFS(OR(Code!R383&lt;&gt;Code!U383,Code!R383=""),0,Code!R383=Code!U383,1)</f>
        <v>0</v>
      </c>
      <c r="C21" s="193" t="str">
        <f>IF(Code!F383="","",Code!F383)</f>
        <v>PRGO</v>
      </c>
      <c r="D21" s="155" t="str">
        <f>IFERROR(VLOOKUP($C21,Code!$H:$K,2,FALSE),"")</f>
        <v>XLV</v>
      </c>
      <c r="E21" s="156" t="str">
        <f>IFERROR(VLOOKUP($C21,Code!$H:$K,3,FALSE),"")</f>
        <v>藥品製造商-專業和通用</v>
      </c>
      <c r="F21" s="157" t="str">
        <f>IFERROR(VLOOKUP($C21,Code!$H:$K,4,FALSE),"")</f>
        <v>.SPX</v>
      </c>
      <c r="G21" s="170">
        <f>IFERROR(((VLOOKUP($C21,Code!$H:$Q,9,FALSE))+(VLOOKUP($C21,Code!$H:$Q,10,FALSE)))/2*0.5/(((VLOOKUP($C21,Code!$H:$Q,7,FALSE))+(VLOOKUP($C21,Code!$H:$Q,8,FALSE)))/2),0)</f>
        <v>0.67468482828575571</v>
      </c>
      <c r="H21" s="171" t="str">
        <f t="shared" si="0"/>
        <v>L</v>
      </c>
      <c r="I21" s="170">
        <f>IFERROR((VLOOKUP($C21,Code!$H:$Q,5,FALSE))/(((VLOOKUP($C21,Code!$H:$Q,7,FALSE))+(VLOOKUP($C21,Code!$H:$Q,8,FALSE)))/2)-1,0)</f>
        <v>0.13519779742066351</v>
      </c>
      <c r="J21" s="204">
        <f>IFERROR(POWER((VLOOKUP(C21,Code!H:W,12,FALSE))/(VLOOKUP(C21,Code!H:W,15,FALSE)),1/(P21-1))-1,"")</f>
        <v>-0.13613773341767732</v>
      </c>
      <c r="K21" s="172" cm="1">
        <f t="array" ref="K21">IFERROR(IF(C21="","",_xlfn.IFS(AND(VLOOKUP(C21,Code!H:W,13,FALSE)=0,VLOOKUP(C21,Code!H:W,16,FALSE)=0),"無股息",AND(VLOOKUP(C21,Code!H:W,13,FALSE)=0,VLOOKUP(C21,Code!H:W,16,FALSE)&gt;0),"股息沒了",AND(VLOOKUP(C21,Code!H:W,13,FALSE)&gt;0,VLOOKUP(C21,Code!H:W,16,FALSE)=0),"發股息了",AND(VLOOKUP(C21,Code!H:W,13,FALSE)&gt;0,VLOOKUP(C21,Code!H:W,16,FALSE)&gt;0),POWER((VLOOKUP(C21,Code!H:W,13,FALSE))/(VLOOKUP(C21,Code!H:W,16,FALSE)),1/(P21-1))-1)),"")</f>
        <v>0.14267947147876137</v>
      </c>
      <c r="L21" s="173">
        <f>IFERROR(VLOOKUP(C21,Code!H:W,13,FALSE)*4/VLOOKUP(C21,Code!H:W,12,FALSE),"")</f>
        <v>2.0274551867719384E-2</v>
      </c>
      <c r="M21" s="172">
        <f t="shared" si="1"/>
        <v>6.5417380610840459E-3</v>
      </c>
      <c r="N21" s="172" t="str">
        <f t="shared" si="2"/>
        <v>-</v>
      </c>
      <c r="O21" s="172" t="str">
        <f t="shared" si="3"/>
        <v>Value</v>
      </c>
      <c r="P21" s="205">
        <f>IFERROR(YEARFRAC(VLOOKUP(C21,Code!H:W,11,FALSE),VLOOKUP(C21,Code!H:W,14,FALSE),3),"")</f>
        <v>4.7780821917808218</v>
      </c>
      <c r="Q21" s="174">
        <v>44547</v>
      </c>
      <c r="R21" s="175" t="str">
        <f t="shared" ca="1" si="4"/>
        <v/>
      </c>
      <c r="S21" s="176">
        <f>IFERROR(VLOOKUP($C21,Code!$H:$Q,5,FALSE),"")</f>
        <v>0.39169999999999999</v>
      </c>
      <c r="T21" s="177" t="str">
        <f t="shared" ca="1" si="5"/>
        <v/>
      </c>
      <c r="U21" s="178" t="str">
        <f t="shared" ca="1" si="6"/>
        <v/>
      </c>
      <c r="V21" s="179">
        <f>IFERROR(VLOOKUP($C21,Code!$H:$Q,6,FALSE),"")</f>
        <v>48.52</v>
      </c>
      <c r="W21" s="180" t="str">
        <f t="shared" ca="1" si="7"/>
        <v/>
      </c>
      <c r="X21" s="12"/>
      <c r="Y21" s="12"/>
      <c r="Z21" s="12"/>
      <c r="AA21" s="12"/>
      <c r="AB21" s="12"/>
      <c r="AC21" s="10" t="s">
        <v>556</v>
      </c>
    </row>
    <row r="22" spans="1:29" s="10" customFormat="1" ht="15">
      <c r="A22" s="9"/>
      <c r="B22" s="169" cm="1">
        <f t="array" ref="B22">_xlfn.IFS(OR(Code!R348&lt;&gt;Code!U348,Code!R348=""),0,Code!R348=Code!U348,1)</f>
        <v>0</v>
      </c>
      <c r="C22" s="193" t="str">
        <f>IF(Code!F348="","",Code!F348)</f>
        <v>NWSA</v>
      </c>
      <c r="D22" s="155" t="str">
        <f>IFERROR(VLOOKUP($C22,Code!$H:$K,2,FALSE),"")</f>
        <v>XLC</v>
      </c>
      <c r="E22" s="156" t="str">
        <f>IFERROR(VLOOKUP($C22,Code!$H:$K,3,FALSE),"")</f>
        <v>廣播</v>
      </c>
      <c r="F22" s="157" t="str">
        <f>IFERROR(VLOOKUP($C22,Code!$H:$K,4,FALSE),"")</f>
        <v>.SPX</v>
      </c>
      <c r="G22" s="170">
        <f>IFERROR(((VLOOKUP($C22,Code!$H:$Q,9,FALSE))+(VLOOKUP($C22,Code!$H:$Q,10,FALSE)))/2*0.5/(((VLOOKUP($C22,Code!$H:$Q,7,FALSE))+(VLOOKUP($C22,Code!$H:$Q,8,FALSE)))/2),0)</f>
        <v>0.80206806709005063</v>
      </c>
      <c r="H22" s="171" t="str">
        <f t="shared" si="0"/>
        <v>XL</v>
      </c>
      <c r="I22" s="170">
        <f>IFERROR((VLOOKUP($C22,Code!$H:$Q,5,FALSE))/(((VLOOKUP($C22,Code!$H:$Q,7,FALSE))+(VLOOKUP($C22,Code!$H:$Q,8,FALSE)))/2)-1,0)</f>
        <v>0.1340172610324053</v>
      </c>
      <c r="J22" s="204">
        <f>IFERROR(POWER((VLOOKUP(C22,Code!H:W,12,FALSE))/(VLOOKUP(C22,Code!H:W,15,FALSE)),1/(P22-1))-1,"")</f>
        <v>0.22391692492314674</v>
      </c>
      <c r="K22" s="172" cm="1">
        <f t="array" ref="K22">IFERROR(IF(C22="","",_xlfn.IFS(AND(VLOOKUP(C22,Code!H:W,13,FALSE)=0,VLOOKUP(C22,Code!H:W,16,FALSE)=0),"無股息",AND(VLOOKUP(C22,Code!H:W,13,FALSE)=0,VLOOKUP(C22,Code!H:W,16,FALSE)&gt;0),"股息沒了",AND(VLOOKUP(C22,Code!H:W,13,FALSE)&gt;0,VLOOKUP(C22,Code!H:W,16,FALSE)=0),"發股息了",AND(VLOOKUP(C22,Code!H:W,13,FALSE)&gt;0,VLOOKUP(C22,Code!H:W,16,FALSE)&gt;0),POWER((VLOOKUP(C22,Code!H:W,13,FALSE))/(VLOOKUP(C22,Code!H:W,16,FALSE)),1/(P22-1))-1)),"")</f>
        <v>0</v>
      </c>
      <c r="L22" s="173">
        <f>IFERROR(VLOOKUP(C22,Code!H:W,13,FALSE)*4/VLOOKUP(C22,Code!H:W,12,FALSE),"")</f>
        <v>1.5105740442404066E-2</v>
      </c>
      <c r="M22" s="172">
        <f t="shared" si="1"/>
        <v>0.22391692492314674</v>
      </c>
      <c r="N22" s="172" t="str">
        <f t="shared" si="2"/>
        <v>-</v>
      </c>
      <c r="O22" s="172" t="str">
        <f t="shared" si="3"/>
        <v>-</v>
      </c>
      <c r="P22" s="205">
        <f>IFERROR(YEARFRAC(VLOOKUP(C22,Code!H:W,11,FALSE),VLOOKUP(C22,Code!H:W,14,FALSE),3),"")</f>
        <v>4.5095890410958903</v>
      </c>
      <c r="Q22" s="174">
        <v>44547</v>
      </c>
      <c r="R22" s="175" t="str">
        <f t="shared" ca="1" si="4"/>
        <v/>
      </c>
      <c r="S22" s="176">
        <f>IFERROR(VLOOKUP($C22,Code!$H:$Q,5,FALSE),"")</f>
        <v>0.34820000000000001</v>
      </c>
      <c r="T22" s="177" t="str">
        <f t="shared" ca="1" si="5"/>
        <v/>
      </c>
      <c r="U22" s="178" t="str">
        <f t="shared" ca="1" si="6"/>
        <v/>
      </c>
      <c r="V22" s="179">
        <f>IFERROR(VLOOKUP($C22,Code!$H:$Q,6,FALSE),"")</f>
        <v>25.33</v>
      </c>
      <c r="W22" s="180" t="str">
        <f t="shared" ca="1" si="7"/>
        <v/>
      </c>
      <c r="X22" s="12"/>
      <c r="Y22" s="12"/>
      <c r="Z22" s="12"/>
      <c r="AA22" s="12"/>
      <c r="AB22" s="12"/>
    </row>
    <row r="23" spans="1:29" s="10" customFormat="1" ht="15" hidden="1">
      <c r="A23" s="9"/>
      <c r="B23" s="169" cm="1">
        <f t="array" ref="B23">_xlfn.IFS(OR(Code!R114&lt;&gt;Code!U114,Code!R114=""),0,Code!R114=Code!U114,1)</f>
        <v>1</v>
      </c>
      <c r="C23" s="193" t="str">
        <f>IF(Code!F114="","",Code!F114)</f>
        <v>CPRT</v>
      </c>
      <c r="D23" s="155" t="str">
        <f>IFERROR(VLOOKUP($C23,Code!$H:$K,2,FALSE),"")</f>
        <v>XLI</v>
      </c>
      <c r="E23" s="156" t="str">
        <f>IFERROR(VLOOKUP($C23,Code!$H:$K,3,FALSE),"")</f>
        <v>專業商業服務</v>
      </c>
      <c r="F23" s="157" t="str">
        <f>IFERROR(VLOOKUP($C23,Code!$H:$K,4,FALSE),"")</f>
        <v>.SPX</v>
      </c>
      <c r="G23" s="170">
        <f>IFERROR(((VLOOKUP($C23,Code!$H:$Q,9,FALSE))+(VLOOKUP($C23,Code!$H:$Q,10,FALSE)))/2*0.5/(((VLOOKUP($C23,Code!$H:$Q,7,FALSE))+(VLOOKUP($C23,Code!$H:$Q,8,FALSE)))/2),0)</f>
        <v>0.65607180570221768</v>
      </c>
      <c r="H23" s="171" t="str">
        <f t="shared" si="0"/>
        <v>L</v>
      </c>
      <c r="I23" s="170">
        <f>IFERROR((VLOOKUP($C23,Code!$H:$Q,5,FALSE))/(((VLOOKUP($C23,Code!$H:$Q,7,FALSE))+(VLOOKUP($C23,Code!$H:$Q,8,FALSE)))/2)-1,0)</f>
        <v>0.13199577613516378</v>
      </c>
      <c r="J23" s="204">
        <f>IFERROR(POWER((VLOOKUP(C23,Code!H:W,12,FALSE))/(VLOOKUP(C23,Code!H:W,15,FALSE)),1/(P23-1))-1,"")</f>
        <v>0</v>
      </c>
      <c r="K23" s="172" t="str" cm="1">
        <f t="array" ref="K23">IFERROR(IF(C23="","",_xlfn.IFS(AND(VLOOKUP(C23,Code!H:W,13,FALSE)=0,VLOOKUP(C23,Code!H:W,16,FALSE)=0),"無股息",AND(VLOOKUP(C23,Code!H:W,13,FALSE)=0,VLOOKUP(C23,Code!H:W,16,FALSE)&gt;0),"股息沒了",AND(VLOOKUP(C23,Code!H:W,13,FALSE)&gt;0,VLOOKUP(C23,Code!H:W,16,FALSE)=0),"發股息了",AND(VLOOKUP(C23,Code!H:W,13,FALSE)&gt;0,VLOOKUP(C23,Code!H:W,16,FALSE)&gt;0),POWER((VLOOKUP(C23,Code!H:W,13,FALSE))/(VLOOKUP(C23,Code!H:W,16,FALSE)),1/(P23-1))-1)),"")</f>
        <v>無股息</v>
      </c>
      <c r="L23" s="173">
        <f>IFERROR(VLOOKUP(C23,Code!H:W,13,FALSE)*4/VLOOKUP(C23,Code!H:W,12,FALSE),"")</f>
        <v>0</v>
      </c>
      <c r="M23" s="172" t="str">
        <f t="shared" si="1"/>
        <v/>
      </c>
      <c r="N23" s="172" t="str">
        <f t="shared" si="2"/>
        <v>-</v>
      </c>
      <c r="O23" s="172" t="str">
        <f t="shared" si="3"/>
        <v/>
      </c>
      <c r="P23" s="205">
        <f>IFERROR(YEARFRAC(VLOOKUP(C23,Code!H:W,11,FALSE),VLOOKUP(C23,Code!H:W,14,FALSE),3),"")</f>
        <v>0</v>
      </c>
      <c r="Q23" s="174">
        <v>44547</v>
      </c>
      <c r="R23" s="175" t="str">
        <f t="shared" ca="1" si="4"/>
        <v/>
      </c>
      <c r="S23" s="176">
        <f>IFERROR(VLOOKUP($C23,Code!$H:$Q,5,FALSE),"")</f>
        <v>0.26800000000000002</v>
      </c>
      <c r="T23" s="177" t="str">
        <f t="shared" ca="1" si="5"/>
        <v/>
      </c>
      <c r="U23" s="178" t="str">
        <f t="shared" ca="1" si="6"/>
        <v/>
      </c>
      <c r="V23" s="179">
        <f>IFERROR(VLOOKUP($C23,Code!$H:$Q,6,FALSE),"")</f>
        <v>148.21</v>
      </c>
      <c r="W23" s="180" t="str">
        <f t="shared" ca="1" si="7"/>
        <v/>
      </c>
      <c r="X23" s="12"/>
      <c r="Y23" s="12"/>
      <c r="Z23" s="12"/>
      <c r="AA23" s="12"/>
      <c r="AB23" s="12"/>
    </row>
    <row r="24" spans="1:29" s="10" customFormat="1" ht="15" hidden="1">
      <c r="A24" s="9"/>
      <c r="B24" s="169" cm="1">
        <f t="array" ref="B24">_xlfn.IFS(OR(Code!R379&lt;&gt;Code!U379,Code!R379=""),0,Code!R379=Code!U379,1)</f>
        <v>0</v>
      </c>
      <c r="C24" s="193" t="str">
        <f>IF(Code!F379="","",Code!F379)</f>
        <v>PNW</v>
      </c>
      <c r="D24" s="155" t="str">
        <f>IFERROR(VLOOKUP($C24,Code!$H:$K,2,FALSE),"")</f>
        <v>XLU</v>
      </c>
      <c r="E24" s="156" t="str">
        <f>IFERROR(VLOOKUP($C24,Code!$H:$K,3,FALSE),"")</f>
        <v>公用事業—受監督的電力</v>
      </c>
      <c r="F24" s="157" t="str">
        <f>IFERROR(VLOOKUP($C24,Code!$H:$K,4,FALSE),"")</f>
        <v>.SPX</v>
      </c>
      <c r="G24" s="170">
        <f>IFERROR(((VLOOKUP($C24,Code!$H:$Q,9,FALSE))+(VLOOKUP($C24,Code!$H:$Q,10,FALSE)))/2*0.5/(((VLOOKUP($C24,Code!$H:$Q,7,FALSE))+(VLOOKUP($C24,Code!$H:$Q,8,FALSE)))/2),0)</f>
        <v>0.71256931608133089</v>
      </c>
      <c r="H24" s="171" t="str">
        <f t="shared" si="0"/>
        <v>XL</v>
      </c>
      <c r="I24" s="170">
        <f>IFERROR((VLOOKUP($C24,Code!$H:$Q,5,FALSE))/(((VLOOKUP($C24,Code!$H:$Q,7,FALSE))+(VLOOKUP($C24,Code!$H:$Q,8,FALSE)))/2)-1,0)</f>
        <v>0.12343397001437673</v>
      </c>
      <c r="J24" s="204">
        <f>IFERROR(POWER((VLOOKUP(C24,Code!H:W,12,FALSE))/(VLOOKUP(C24,Code!H:W,15,FALSE)),1/(P24-1))-1,"")</f>
        <v>7.7663228361351644E-2</v>
      </c>
      <c r="K24" s="172" cm="1">
        <f t="array" ref="K24">IFERROR(IF(C24="","",_xlfn.IFS(AND(VLOOKUP(C24,Code!H:W,13,FALSE)=0,VLOOKUP(C24,Code!H:W,16,FALSE)=0),"無股息",AND(VLOOKUP(C24,Code!H:W,13,FALSE)=0,VLOOKUP(C24,Code!H:W,16,FALSE)&gt;0),"股息沒了",AND(VLOOKUP(C24,Code!H:W,13,FALSE)&gt;0,VLOOKUP(C24,Code!H:W,16,FALSE)=0),"發股息了",AND(VLOOKUP(C24,Code!H:W,13,FALSE)&gt;0,VLOOKUP(C24,Code!H:W,16,FALSE)&gt;0),POWER((VLOOKUP(C24,Code!H:W,13,FALSE))/(VLOOKUP(C24,Code!H:W,16,FALSE)),1/(P24-1))-1)),"")</f>
        <v>6.5069969249477833E-2</v>
      </c>
      <c r="L24" s="173">
        <f>IFERROR(VLOOKUP(C24,Code!H:W,13,FALSE)*4/VLOOKUP(C24,Code!H:W,12,FALSE),"")</f>
        <v>3.9736683168560945E-2</v>
      </c>
      <c r="M24" s="172">
        <f t="shared" si="1"/>
        <v>0.14273319761082948</v>
      </c>
      <c r="N24" s="172" t="str">
        <f t="shared" si="2"/>
        <v>-</v>
      </c>
      <c r="O24" s="172" t="str">
        <f t="shared" si="3"/>
        <v>-</v>
      </c>
      <c r="P24" s="205">
        <f>IFERROR(YEARFRAC(VLOOKUP(C24,Code!H:W,11,FALSE),VLOOKUP(C24,Code!H:W,14,FALSE),3),"")</f>
        <v>4.7561643835616438</v>
      </c>
      <c r="Q24" s="174">
        <v>44547</v>
      </c>
      <c r="R24" s="175" t="str">
        <f t="shared" ca="1" si="4"/>
        <v/>
      </c>
      <c r="S24" s="176">
        <f>IFERROR(VLOOKUP($C24,Code!$H:$Q,5,FALSE),"")</f>
        <v>0.27350000000000002</v>
      </c>
      <c r="T24" s="177" t="str">
        <f t="shared" ca="1" si="5"/>
        <v/>
      </c>
      <c r="U24" s="178" t="str">
        <f t="shared" ca="1" si="6"/>
        <v/>
      </c>
      <c r="V24" s="179">
        <f>IFERROR(VLOOKUP($C24,Code!$H:$Q,6,FALSE),"")</f>
        <v>80.39</v>
      </c>
      <c r="W24" s="180" t="str">
        <f t="shared" ca="1" si="7"/>
        <v/>
      </c>
      <c r="X24" s="12"/>
      <c r="Y24" s="12"/>
      <c r="Z24" s="12"/>
      <c r="AA24" s="12"/>
      <c r="AB24" s="12"/>
    </row>
    <row r="25" spans="1:29" s="10" customFormat="1" ht="15" hidden="1">
      <c r="A25" s="9"/>
      <c r="B25" s="169" cm="1">
        <f t="array" ref="B25">_xlfn.IFS(OR(Code!R262&lt;&gt;Code!U262,Code!R262=""),0,Code!R262=Code!U262,1)</f>
        <v>1</v>
      </c>
      <c r="C25" s="193" t="str">
        <f>IF(Code!F262="","",Code!F262)</f>
        <v>KEYS</v>
      </c>
      <c r="D25" s="155" t="str">
        <f>IFERROR(VLOOKUP($C25,Code!$H:$K,2,FALSE),"")</f>
        <v>XLK</v>
      </c>
      <c r="E25" s="156" t="str">
        <f>IFERROR(VLOOKUP($C25,Code!$H:$K,3,FALSE),"")</f>
        <v>科技儀器</v>
      </c>
      <c r="F25" s="157" t="str">
        <f>IFERROR(VLOOKUP($C25,Code!$H:$K,4,FALSE),"")</f>
        <v>.SPX</v>
      </c>
      <c r="G25" s="170">
        <f>IFERROR(((VLOOKUP($C25,Code!$H:$Q,9,FALSE))+(VLOOKUP($C25,Code!$H:$Q,10,FALSE)))/2*0.5/(((VLOOKUP($C25,Code!$H:$Q,7,FALSE))+(VLOOKUP($C25,Code!$H:$Q,8,FALSE)))/2),0)</f>
        <v>0.70269133725819999</v>
      </c>
      <c r="H25" s="171" t="str">
        <f t="shared" si="0"/>
        <v>XL</v>
      </c>
      <c r="I25" s="170">
        <f>IFERROR((VLOOKUP($C25,Code!$H:$Q,5,FALSE))/(((VLOOKUP($C25,Code!$H:$Q,7,FALSE))+(VLOOKUP($C25,Code!$H:$Q,8,FALSE)))/2)-1,0)</f>
        <v>0.11942809083263239</v>
      </c>
      <c r="J25" s="204" t="str">
        <f>IFERROR(POWER((VLOOKUP(C25,Code!H:W,12,FALSE))/(VLOOKUP(C25,Code!H:W,15,FALSE)),1/(P25-1))-1,"")</f>
        <v/>
      </c>
      <c r="K25" s="172" t="str" cm="1">
        <f t="array" ref="K25">IFERROR(IF(C25="","",_xlfn.IFS(AND(VLOOKUP(C25,Code!H:W,13,FALSE)=0,VLOOKUP(C25,Code!H:W,16,FALSE)=0),"無股息",AND(VLOOKUP(C25,Code!H:W,13,FALSE)=0,VLOOKUP(C25,Code!H:W,16,FALSE)&gt;0),"股息沒了",AND(VLOOKUP(C25,Code!H:W,13,FALSE)&gt;0,VLOOKUP(C25,Code!H:W,16,FALSE)=0),"發股息了",AND(VLOOKUP(C25,Code!H:W,13,FALSE)&gt;0,VLOOKUP(C25,Code!H:W,16,FALSE)&gt;0),POWER((VLOOKUP(C25,Code!H:W,13,FALSE))/(VLOOKUP(C25,Code!H:W,16,FALSE)),1/(P25-1))-1)),"")</f>
        <v>無股息</v>
      </c>
      <c r="L25" s="173" t="str">
        <f>IFERROR(VLOOKUP(C25,Code!H:W,13,FALSE)*4/VLOOKUP(C25,Code!H:W,12,FALSE),"")</f>
        <v/>
      </c>
      <c r="M25" s="172" t="str">
        <f t="shared" si="1"/>
        <v/>
      </c>
      <c r="N25" s="172" t="str">
        <f t="shared" si="2"/>
        <v/>
      </c>
      <c r="O25" s="172" t="str">
        <f t="shared" si="3"/>
        <v/>
      </c>
      <c r="P25" s="205">
        <f>IFERROR(YEARFRAC(VLOOKUP(C25,Code!H:W,11,FALSE),VLOOKUP(C25,Code!H:W,14,FALSE),3),"")</f>
        <v>0</v>
      </c>
      <c r="Q25" s="174">
        <v>44547</v>
      </c>
      <c r="R25" s="175" t="str">
        <f t="shared" ca="1" si="4"/>
        <v/>
      </c>
      <c r="S25" s="176">
        <f>IFERROR(VLOOKUP($C25,Code!$H:$Q,5,FALSE),"")</f>
        <v>0.26619999999999999</v>
      </c>
      <c r="T25" s="177" t="str">
        <f t="shared" ca="1" si="5"/>
        <v/>
      </c>
      <c r="U25" s="178" t="str">
        <f t="shared" ca="1" si="6"/>
        <v/>
      </c>
      <c r="V25" s="179">
        <f>IFERROR(VLOOKUP($C25,Code!$H:$Q,6,FALSE),"")</f>
        <v>166.4</v>
      </c>
      <c r="W25" s="180" t="str">
        <f t="shared" ca="1" si="7"/>
        <v/>
      </c>
      <c r="X25" s="12"/>
      <c r="Y25" s="12"/>
      <c r="Z25" s="12"/>
      <c r="AA25" s="12"/>
      <c r="AB25" s="12"/>
    </row>
    <row r="26" spans="1:29" s="10" customFormat="1" ht="15" hidden="1">
      <c r="A26" s="9"/>
      <c r="B26" s="169" cm="1">
        <f t="array" ref="B26">_xlfn.IFS(OR(Code!R141&lt;&gt;Code!U141,Code!R141=""),0,Code!R141=Code!U141,1)</f>
        <v>1</v>
      </c>
      <c r="C26" s="193" t="str">
        <f>IF(Code!F141="","",Code!F141)</f>
        <v>DLTR</v>
      </c>
      <c r="D26" s="155" t="str">
        <f>IFERROR(VLOOKUP($C26,Code!$H:$K,2,FALSE),"")</f>
        <v>XLY</v>
      </c>
      <c r="E26" s="156" t="str">
        <f>IFERROR(VLOOKUP($C26,Code!$H:$K,3,FALSE),"")</f>
        <v>折扣店</v>
      </c>
      <c r="F26" s="157" t="str">
        <f>IFERROR(VLOOKUP($C26,Code!$H:$K,4,FALSE),"")</f>
        <v>.SPX</v>
      </c>
      <c r="G26" s="170">
        <f>IFERROR(((VLOOKUP($C26,Code!$H:$Q,9,FALSE))+(VLOOKUP($C26,Code!$H:$Q,10,FALSE)))/2*0.5/(((VLOOKUP($C26,Code!$H:$Q,7,FALSE))+(VLOOKUP($C26,Code!$H:$Q,8,FALSE)))/2),0)</f>
        <v>0.56032875783765468</v>
      </c>
      <c r="H26" s="171" t="str">
        <f t="shared" si="0"/>
        <v>M</v>
      </c>
      <c r="I26" s="170">
        <f>IFERROR((VLOOKUP($C26,Code!$H:$Q,5,FALSE))/(((VLOOKUP($C26,Code!$H:$Q,7,FALSE))+(VLOOKUP($C26,Code!$H:$Q,8,FALSE)))/2)-1,0)</f>
        <v>0.11404846636163368</v>
      </c>
      <c r="J26" s="204" t="str">
        <f>IFERROR(POWER((VLOOKUP(C26,Code!H:W,12,FALSE))/(VLOOKUP(C26,Code!H:W,15,FALSE)),1/(P26-1))-1,"")</f>
        <v/>
      </c>
      <c r="K26" s="172" t="str" cm="1">
        <f t="array" ref="K26">IFERROR(IF(C26="","",_xlfn.IFS(AND(VLOOKUP(C26,Code!H:W,13,FALSE)=0,VLOOKUP(C26,Code!H:W,16,FALSE)=0),"無股息",AND(VLOOKUP(C26,Code!H:W,13,FALSE)=0,VLOOKUP(C26,Code!H:W,16,FALSE)&gt;0),"股息沒了",AND(VLOOKUP(C26,Code!H:W,13,FALSE)&gt;0,VLOOKUP(C26,Code!H:W,16,FALSE)=0),"發股息了",AND(VLOOKUP(C26,Code!H:W,13,FALSE)&gt;0,VLOOKUP(C26,Code!H:W,16,FALSE)&gt;0),POWER((VLOOKUP(C26,Code!H:W,13,FALSE))/(VLOOKUP(C26,Code!H:W,16,FALSE)),1/(P26-1))-1)),"")</f>
        <v>無股息</v>
      </c>
      <c r="L26" s="173" t="str">
        <f>IFERROR(VLOOKUP(C26,Code!H:W,13,FALSE)*4/VLOOKUP(C26,Code!H:W,12,FALSE),"")</f>
        <v/>
      </c>
      <c r="M26" s="172" t="str">
        <f t="shared" si="1"/>
        <v/>
      </c>
      <c r="N26" s="172" t="str">
        <f t="shared" si="2"/>
        <v/>
      </c>
      <c r="O26" s="172" t="str">
        <f t="shared" si="3"/>
        <v/>
      </c>
      <c r="P26" s="205">
        <f>IFERROR(YEARFRAC(VLOOKUP(C26,Code!H:W,11,FALSE),VLOOKUP(C26,Code!H:W,14,FALSE),3),"")</f>
        <v>0</v>
      </c>
      <c r="Q26" s="174">
        <v>44547</v>
      </c>
      <c r="R26" s="175" t="str">
        <f t="shared" ca="1" si="4"/>
        <v/>
      </c>
      <c r="S26" s="176">
        <f>IFERROR(VLOOKUP($C26,Code!$H:$Q,5,FALSE),"")</f>
        <v>0.32869999999999999</v>
      </c>
      <c r="T26" s="177" t="str">
        <f t="shared" ca="1" si="5"/>
        <v/>
      </c>
      <c r="U26" s="178" t="str">
        <f t="shared" ca="1" si="6"/>
        <v/>
      </c>
      <c r="V26" s="179">
        <f>IFERROR(VLOOKUP($C26,Code!$H:$Q,6,FALSE),"")</f>
        <v>98.94</v>
      </c>
      <c r="W26" s="180" t="str">
        <f t="shared" ca="1" si="7"/>
        <v/>
      </c>
      <c r="X26" s="12"/>
      <c r="Y26" s="12"/>
      <c r="Z26" s="12"/>
      <c r="AA26" s="12"/>
      <c r="AB26" s="12"/>
    </row>
    <row r="27" spans="1:29" s="10" customFormat="1" ht="15" hidden="1">
      <c r="A27" s="9"/>
      <c r="B27" s="169" cm="1">
        <f t="array" ref="B27">_xlfn.IFS(OR(Code!R24&lt;&gt;Code!U24,Code!R24=""),0,Code!R24=Code!U24,1)</f>
        <v>0</v>
      </c>
      <c r="C27" s="193" t="str">
        <f>IF(Code!F24="","",Code!F24)</f>
        <v>AJG</v>
      </c>
      <c r="D27" s="155" t="str">
        <f>IFERROR(VLOOKUP($C27,Code!$H:$K,2,FALSE),"")</f>
        <v>XLF</v>
      </c>
      <c r="E27" s="156" t="str">
        <f>IFERROR(VLOOKUP($C27,Code!$H:$K,3,FALSE),"")</f>
        <v>保險經紀</v>
      </c>
      <c r="F27" s="157" t="str">
        <f>IFERROR(VLOOKUP($C27,Code!$H:$K,4,FALSE),"")</f>
        <v>.SPX</v>
      </c>
      <c r="G27" s="170">
        <f>IFERROR(((VLOOKUP($C27,Code!$H:$Q,9,FALSE))+(VLOOKUP($C27,Code!$H:$Q,10,FALSE)))/2*0.5/(((VLOOKUP($C27,Code!$H:$Q,7,FALSE))+(VLOOKUP($C27,Code!$H:$Q,8,FALSE)))/2),0)</f>
        <v>0.70552560646900264</v>
      </c>
      <c r="H27" s="171" t="str">
        <f t="shared" si="0"/>
        <v>XL</v>
      </c>
      <c r="I27" s="170">
        <f>IFERROR((VLOOKUP($C27,Code!$H:$Q,5,FALSE))/(((VLOOKUP($C27,Code!$H:$Q,7,FALSE))+(VLOOKUP($C27,Code!$H:$Q,8,FALSE)))/2)-1,0)</f>
        <v>0.10727762803234508</v>
      </c>
      <c r="J27" s="204">
        <f>IFERROR(POWER((VLOOKUP(C27,Code!H:W,12,FALSE))/(VLOOKUP(C27,Code!H:W,15,FALSE)),1/(P27-1))-1,"")</f>
        <v>0.36675609611548787</v>
      </c>
      <c r="K27" s="172" cm="1">
        <f t="array" ref="K27">IFERROR(IF(C27="","",_xlfn.IFS(AND(VLOOKUP(C27,Code!H:W,13,FALSE)=0,VLOOKUP(C27,Code!H:W,16,FALSE)=0),"無股息",AND(VLOOKUP(C27,Code!H:W,13,FALSE)=0,VLOOKUP(C27,Code!H:W,16,FALSE)&gt;0),"股息沒了",AND(VLOOKUP(C27,Code!H:W,13,FALSE)&gt;0,VLOOKUP(C27,Code!H:W,16,FALSE)=0),"發股息了",AND(VLOOKUP(C27,Code!H:W,13,FALSE)&gt;0,VLOOKUP(C27,Code!H:W,16,FALSE)&gt;0),POWER((VLOOKUP(C27,Code!H:W,13,FALSE))/(VLOOKUP(C27,Code!H:W,16,FALSE)),1/(P27-1))-1)),"")</f>
        <v>6.412165685068083E-2</v>
      </c>
      <c r="L27" s="173">
        <f>IFERROR(VLOOKUP(C27,Code!H:W,13,FALSE)*4/VLOOKUP(C27,Code!H:W,12,FALSE),"")</f>
        <v>1.3279844900289713E-2</v>
      </c>
      <c r="M27" s="172">
        <f t="shared" si="1"/>
        <v>0.4308777529661687</v>
      </c>
      <c r="N27" s="172" t="str">
        <f t="shared" si="2"/>
        <v>-</v>
      </c>
      <c r="O27" s="172" t="str">
        <f t="shared" si="3"/>
        <v>-</v>
      </c>
      <c r="P27" s="205">
        <f>IFERROR(YEARFRAC(VLOOKUP(C27,Code!H:W,11,FALSE),VLOOKUP(C27,Code!H:W,14,FALSE),3),"")</f>
        <v>4.7589041095890412</v>
      </c>
      <c r="Q27" s="174">
        <v>44547</v>
      </c>
      <c r="R27" s="175" t="str">
        <f t="shared" ca="1" si="4"/>
        <v/>
      </c>
      <c r="S27" s="176">
        <f>IFERROR(VLOOKUP($C27,Code!$H:$Q,5,FALSE),"")</f>
        <v>0.2054</v>
      </c>
      <c r="T27" s="177" t="str">
        <f t="shared" ca="1" si="5"/>
        <v/>
      </c>
      <c r="U27" s="178" t="str">
        <f t="shared" ca="1" si="6"/>
        <v/>
      </c>
      <c r="V27" s="179">
        <f>IFERROR(VLOOKUP($C27,Code!$H:$Q,6,FALSE),"")</f>
        <v>138.62</v>
      </c>
      <c r="W27" s="180" t="str">
        <f t="shared" ca="1" si="7"/>
        <v/>
      </c>
      <c r="X27" s="12"/>
      <c r="Y27" s="12"/>
      <c r="Z27" s="12"/>
      <c r="AA27" s="12"/>
      <c r="AB27" s="12"/>
    </row>
    <row r="28" spans="1:29" s="10" customFormat="1" ht="15" hidden="1">
      <c r="A28" s="9"/>
      <c r="B28" s="169" cm="1">
        <f t="array" ref="B28">_xlfn.IFS(OR(Code!R17&lt;&gt;Code!U17,Code!R17=""),0,Code!R17=Code!U17,1)</f>
        <v>1</v>
      </c>
      <c r="C28" s="193" t="str">
        <f>IF(Code!F17="","",Code!F17)</f>
        <v>ADSK</v>
      </c>
      <c r="D28" s="155" t="str">
        <f>IFERROR(VLOOKUP($C28,Code!$H:$K,2,FALSE),"")</f>
        <v>XLK</v>
      </c>
      <c r="E28" s="156" t="str">
        <f>IFERROR(VLOOKUP($C28,Code!$H:$K,3,FALSE),"")</f>
        <v>軟件-應用</v>
      </c>
      <c r="F28" s="157" t="str">
        <f>IFERROR(VLOOKUP($C28,Code!$H:$K,4,FALSE),"")</f>
        <v>.SPX</v>
      </c>
      <c r="G28" s="170">
        <f>IFERROR(((VLOOKUP($C28,Code!$H:$Q,9,FALSE))+(VLOOKUP($C28,Code!$H:$Q,10,FALSE)))/2*0.5/(((VLOOKUP($C28,Code!$H:$Q,7,FALSE))+(VLOOKUP($C28,Code!$H:$Q,8,FALSE)))/2),0)</f>
        <v>0.60843754946968498</v>
      </c>
      <c r="H28" s="171" t="str">
        <f t="shared" si="0"/>
        <v>L</v>
      </c>
      <c r="I28" s="170">
        <f>IFERROR((VLOOKUP($C28,Code!$H:$Q,5,FALSE))/(((VLOOKUP($C28,Code!$H:$Q,7,FALSE))+(VLOOKUP($C28,Code!$H:$Q,8,FALSE)))/2)-1,0)</f>
        <v>0.10717112553427266</v>
      </c>
      <c r="J28" s="204" t="str">
        <f>IFERROR(POWER((VLOOKUP(C28,Code!H:W,12,FALSE))/(VLOOKUP(C28,Code!H:W,15,FALSE)),1/(P28-1))-1,"")</f>
        <v/>
      </c>
      <c r="K28" s="172" t="str" cm="1">
        <f t="array" ref="K28">IFERROR(IF(C28="","",_xlfn.IFS(AND(VLOOKUP(C28,Code!H:W,13,FALSE)=0,VLOOKUP(C28,Code!H:W,16,FALSE)=0),"無股息",AND(VLOOKUP(C28,Code!H:W,13,FALSE)=0,VLOOKUP(C28,Code!H:W,16,FALSE)&gt;0),"股息沒了",AND(VLOOKUP(C28,Code!H:W,13,FALSE)&gt;0,VLOOKUP(C28,Code!H:W,16,FALSE)=0),"發股息了",AND(VLOOKUP(C28,Code!H:W,13,FALSE)&gt;0,VLOOKUP(C28,Code!H:W,16,FALSE)&gt;0),POWER((VLOOKUP(C28,Code!H:W,13,FALSE))/(VLOOKUP(C28,Code!H:W,16,FALSE)),1/(P28-1))-1)),"")</f>
        <v>無股息</v>
      </c>
      <c r="L28" s="173" t="str">
        <f>IFERROR(VLOOKUP(C28,Code!H:W,13,FALSE)*4/VLOOKUP(C28,Code!H:W,12,FALSE),"")</f>
        <v/>
      </c>
      <c r="M28" s="172" t="str">
        <f t="shared" si="1"/>
        <v/>
      </c>
      <c r="N28" s="172" t="str">
        <f t="shared" si="2"/>
        <v/>
      </c>
      <c r="O28" s="172" t="str">
        <f t="shared" si="3"/>
        <v/>
      </c>
      <c r="P28" s="205">
        <f>IFERROR(YEARFRAC(VLOOKUP(C28,Code!H:W,11,FALSE),VLOOKUP(C28,Code!H:W,14,FALSE),3),"")</f>
        <v>0</v>
      </c>
      <c r="Q28" s="174">
        <v>44547</v>
      </c>
      <c r="R28" s="175" t="str">
        <f t="shared" ca="1" si="4"/>
        <v/>
      </c>
      <c r="S28" s="176">
        <f>IFERROR(VLOOKUP($C28,Code!$H:$Q,5,FALSE),"")</f>
        <v>0.34970000000000001</v>
      </c>
      <c r="T28" s="177" t="str">
        <f t="shared" ca="1" si="5"/>
        <v/>
      </c>
      <c r="U28" s="178" t="str">
        <f t="shared" ca="1" si="6"/>
        <v/>
      </c>
      <c r="V28" s="179">
        <f>IFERROR(VLOOKUP($C28,Code!$H:$Q,6,FALSE),"")</f>
        <v>328.82</v>
      </c>
      <c r="W28" s="180" t="str">
        <f t="shared" ca="1" si="7"/>
        <v/>
      </c>
      <c r="X28" s="12"/>
      <c r="Y28" s="12"/>
      <c r="Z28" s="12"/>
      <c r="AA28" s="12"/>
      <c r="AB28" s="12"/>
    </row>
    <row r="29" spans="1:29" s="10" customFormat="1" ht="15">
      <c r="A29" s="9"/>
      <c r="B29" s="169" cm="1">
        <f t="array" ref="B29">_xlfn.IFS(OR(Code!R91&lt;&gt;Code!U91,Code!R91=""),0,Code!R91=Code!U91,1)</f>
        <v>0</v>
      </c>
      <c r="C29" s="193" t="str">
        <f>IF(Code!F91="","",Code!F91)</f>
        <v>CF</v>
      </c>
      <c r="D29" s="155" t="str">
        <f>IFERROR(VLOOKUP($C29,Code!$H:$K,2,FALSE),"")</f>
        <v>XLB</v>
      </c>
      <c r="E29" s="156" t="str">
        <f>IFERROR(VLOOKUP($C29,Code!$H:$K,3,FALSE),"")</f>
        <v>農業投入</v>
      </c>
      <c r="F29" s="157" t="str">
        <f>IFERROR(VLOOKUP($C29,Code!$H:$K,4,FALSE),"")</f>
        <v>.SPX</v>
      </c>
      <c r="G29" s="170">
        <f>IFERROR(((VLOOKUP($C29,Code!$H:$Q,9,FALSE))+(VLOOKUP($C29,Code!$H:$Q,10,FALSE)))/2*0.5/(((VLOOKUP($C29,Code!$H:$Q,7,FALSE))+(VLOOKUP($C29,Code!$H:$Q,8,FALSE)))/2),0)</f>
        <v>0.6171822234229366</v>
      </c>
      <c r="H29" s="171" t="str">
        <f t="shared" si="0"/>
        <v>L</v>
      </c>
      <c r="I29" s="170">
        <f>IFERROR((VLOOKUP($C29,Code!$H:$Q,5,FALSE))/(((VLOOKUP($C29,Code!$H:$Q,7,FALSE))+(VLOOKUP($C29,Code!$H:$Q,8,FALSE)))/2)-1,0)</f>
        <v>0.10630825341077932</v>
      </c>
      <c r="J29" s="204">
        <f>IFERROR(POWER((VLOOKUP(C29,Code!H:W,12,FALSE))/(VLOOKUP(C29,Code!H:W,15,FALSE)),1/(P29-1))-1,"")</f>
        <v>0.32091542230508341</v>
      </c>
      <c r="K29" s="172" cm="1">
        <f t="array" ref="K29">IFERROR(IF(C29="","",_xlfn.IFS(AND(VLOOKUP(C29,Code!H:W,13,FALSE)=0,VLOOKUP(C29,Code!H:W,16,FALSE)=0),"無股息",AND(VLOOKUP(C29,Code!H:W,13,FALSE)=0,VLOOKUP(C29,Code!H:W,16,FALSE)&gt;0),"股息沒了",AND(VLOOKUP(C29,Code!H:W,13,FALSE)&gt;0,VLOOKUP(C29,Code!H:W,16,FALSE)=0),"發股息了",AND(VLOOKUP(C29,Code!H:W,13,FALSE)&gt;0,VLOOKUP(C29,Code!H:W,16,FALSE)&gt;0),POWER((VLOOKUP(C29,Code!H:W,13,FALSE))/(VLOOKUP(C29,Code!H:W,16,FALSE)),1/(P29-1))-1)),"")</f>
        <v>0</v>
      </c>
      <c r="L29" s="173">
        <f>IFERROR(VLOOKUP(C29,Code!H:W,13,FALSE)*4/VLOOKUP(C29,Code!H:W,12,FALSE),"")</f>
        <v>2.208317991590681E-2</v>
      </c>
      <c r="M29" s="172">
        <f t="shared" si="1"/>
        <v>0.32091542230508341</v>
      </c>
      <c r="N29" s="172" t="str">
        <f t="shared" si="2"/>
        <v>-</v>
      </c>
      <c r="O29" s="172" t="str">
        <f t="shared" si="3"/>
        <v>-</v>
      </c>
      <c r="P29" s="205">
        <f>IFERROR(YEARFRAC(VLOOKUP(C29,Code!H:W,11,FALSE),VLOOKUP(C29,Code!H:W,14,FALSE),3),"")</f>
        <v>4.7589041095890412</v>
      </c>
      <c r="Q29" s="174">
        <v>44547</v>
      </c>
      <c r="R29" s="175" t="str">
        <f t="shared" ca="1" si="4"/>
        <v/>
      </c>
      <c r="S29" s="176">
        <f>IFERROR(VLOOKUP($C29,Code!$H:$Q,5,FALSE),"")</f>
        <v>0.40949999999999998</v>
      </c>
      <c r="T29" s="177" t="str">
        <f t="shared" ca="1" si="5"/>
        <v/>
      </c>
      <c r="U29" s="178" t="str">
        <f t="shared" ca="1" si="6"/>
        <v/>
      </c>
      <c r="V29" s="179">
        <f>IFERROR(VLOOKUP($C29,Code!$H:$Q,6,FALSE),"")</f>
        <v>45.7</v>
      </c>
      <c r="W29" s="180" t="str">
        <f t="shared" ca="1" si="7"/>
        <v/>
      </c>
      <c r="X29" s="12"/>
      <c r="Y29" s="12"/>
      <c r="Z29" s="12"/>
      <c r="AA29" s="12"/>
      <c r="AB29" s="12"/>
    </row>
    <row r="30" spans="1:29" s="10" customFormat="1" ht="15" hidden="1">
      <c r="A30" s="9"/>
      <c r="B30" s="169" cm="1">
        <f t="array" ref="B30">_xlfn.IFS(OR(Code!R132&lt;&gt;Code!U132,Code!R132=""),0,Code!R132=Code!U132,1)</f>
        <v>0</v>
      </c>
      <c r="C30" s="193" t="str">
        <f>IF(Code!F132="","",Code!F132)</f>
        <v>DG</v>
      </c>
      <c r="D30" s="155" t="str">
        <f>IFERROR(VLOOKUP($C30,Code!$H:$K,2,FALSE),"")</f>
        <v>XLY</v>
      </c>
      <c r="E30" s="156" t="str">
        <f>IFERROR(VLOOKUP($C30,Code!$H:$K,3,FALSE),"")</f>
        <v>折扣店</v>
      </c>
      <c r="F30" s="157" t="str">
        <f>IFERROR(VLOOKUP($C30,Code!$H:$K,4,FALSE),"")</f>
        <v>.SPX</v>
      </c>
      <c r="G30" s="170">
        <f>IFERROR(((VLOOKUP($C30,Code!$H:$Q,9,FALSE))+(VLOOKUP($C30,Code!$H:$Q,10,FALSE)))/2*0.5/(((VLOOKUP($C30,Code!$H:$Q,7,FALSE))+(VLOOKUP($C30,Code!$H:$Q,8,FALSE)))/2),0)</f>
        <v>0.58149140433132385</v>
      </c>
      <c r="H30" s="171" t="str">
        <f t="shared" si="0"/>
        <v>M</v>
      </c>
      <c r="I30" s="170">
        <f>IFERROR((VLOOKUP($C30,Code!$H:$Q,5,FALSE))/(((VLOOKUP($C30,Code!$H:$Q,7,FALSE))+(VLOOKUP($C30,Code!$H:$Q,8,FALSE)))/2)-1,0)</f>
        <v>0.10337128823398078</v>
      </c>
      <c r="J30" s="204">
        <f>IFERROR(POWER((VLOOKUP(C30,Code!H:W,12,FALSE))/(VLOOKUP(C30,Code!H:W,15,FALSE)),1/(P30-1))-1,"")</f>
        <v>0.35711328960433186</v>
      </c>
      <c r="K30" s="172" cm="1">
        <f t="array" ref="K30">IFERROR(IF(C30="","",_xlfn.IFS(AND(VLOOKUP(C30,Code!H:W,13,FALSE)=0,VLOOKUP(C30,Code!H:W,16,FALSE)=0),"無股息",AND(VLOOKUP(C30,Code!H:W,13,FALSE)=0,VLOOKUP(C30,Code!H:W,16,FALSE)&gt;0),"股息沒了",AND(VLOOKUP(C30,Code!H:W,13,FALSE)&gt;0,VLOOKUP(C30,Code!H:W,16,FALSE)=0),"發股息了",AND(VLOOKUP(C30,Code!H:W,13,FALSE)&gt;0,VLOOKUP(C30,Code!H:W,16,FALSE)&gt;0),POWER((VLOOKUP(C30,Code!H:W,13,FALSE))/(VLOOKUP(C30,Code!H:W,16,FALSE)),1/(P30-1))-1)),"")</f>
        <v>0.14605785654699543</v>
      </c>
      <c r="L30" s="173">
        <f>IFERROR(VLOOKUP(C30,Code!H:W,13,FALSE)*4/VLOOKUP(C30,Code!H:W,12,FALSE),"")</f>
        <v>7.6877317045002738E-3</v>
      </c>
      <c r="M30" s="172">
        <f t="shared" si="1"/>
        <v>0.5031711461513273</v>
      </c>
      <c r="N30" s="172" t="str">
        <f t="shared" si="2"/>
        <v>-</v>
      </c>
      <c r="O30" s="172" t="str">
        <f t="shared" si="3"/>
        <v>Value</v>
      </c>
      <c r="P30" s="205">
        <f>IFERROR(YEARFRAC(VLOOKUP(C30,Code!H:W,11,FALSE),VLOOKUP(C30,Code!H:W,14,FALSE),3),"")</f>
        <v>4.8054794520547945</v>
      </c>
      <c r="Q30" s="174">
        <v>44547</v>
      </c>
      <c r="R30" s="175" t="str">
        <f t="shared" ca="1" si="4"/>
        <v/>
      </c>
      <c r="S30" s="176">
        <f>IFERROR(VLOOKUP($C30,Code!$H:$Q,5,FALSE),"")</f>
        <v>0.24709999999999999</v>
      </c>
      <c r="T30" s="177" t="str">
        <f t="shared" ca="1" si="5"/>
        <v/>
      </c>
      <c r="U30" s="178" t="str">
        <f t="shared" ca="1" si="6"/>
        <v/>
      </c>
      <c r="V30" s="179">
        <f>IFERROR(VLOOKUP($C30,Code!$H:$Q,6,FALSE),"")</f>
        <v>235.81</v>
      </c>
      <c r="W30" s="180" t="str">
        <f t="shared" ca="1" si="7"/>
        <v/>
      </c>
      <c r="X30" s="12"/>
      <c r="Y30" s="12"/>
      <c r="Z30" s="12"/>
      <c r="AA30" s="12"/>
      <c r="AB30" s="12"/>
    </row>
    <row r="31" spans="1:29" s="10" customFormat="1" ht="15" hidden="1">
      <c r="A31" s="9"/>
      <c r="B31" s="169" cm="1">
        <f t="array" ref="B31">_xlfn.IFS(OR(Code!R18&lt;&gt;Code!U18,Code!R18=""),0,Code!R18=Code!U18,1)</f>
        <v>0</v>
      </c>
      <c r="C31" s="193" t="str">
        <f>IF(Code!F18="","",Code!F18)</f>
        <v>AEE</v>
      </c>
      <c r="D31" s="155" t="str">
        <f>IFERROR(VLOOKUP($C31,Code!$H:$K,2,FALSE),"")</f>
        <v>XLU</v>
      </c>
      <c r="E31" s="156" t="str">
        <f>IFERROR(VLOOKUP($C31,Code!$H:$K,3,FALSE),"")</f>
        <v>公用事業—受監督的電力</v>
      </c>
      <c r="F31" s="157" t="str">
        <f>IFERROR(VLOOKUP($C31,Code!$H:$K,4,FALSE),"")</f>
        <v>.SPX</v>
      </c>
      <c r="G31" s="170">
        <f>IFERROR(((VLOOKUP($C31,Code!$H:$Q,9,FALSE))+(VLOOKUP($C31,Code!$H:$Q,10,FALSE)))/2*0.5/(((VLOOKUP($C31,Code!$H:$Q,7,FALSE))+(VLOOKUP($C31,Code!$H:$Q,8,FALSE)))/2),0)</f>
        <v>0.71924050632911396</v>
      </c>
      <c r="H31" s="171" t="str">
        <f t="shared" si="0"/>
        <v>XL</v>
      </c>
      <c r="I31" s="170">
        <f>IFERROR((VLOOKUP($C31,Code!$H:$Q,5,FALSE))/(((VLOOKUP($C31,Code!$H:$Q,7,FALSE))+(VLOOKUP($C31,Code!$H:$Q,8,FALSE)))/2)-1,0)</f>
        <v>9.8734177215189733E-2</v>
      </c>
      <c r="J31" s="204">
        <f>IFERROR(POWER((VLOOKUP(C31,Code!H:W,12,FALSE))/(VLOOKUP(C31,Code!H:W,15,FALSE)),1/(P31-1))-1,"")</f>
        <v>0.1939206231020163</v>
      </c>
      <c r="K31" s="172" cm="1">
        <f t="array" ref="K31">IFERROR(IF(C31="","",_xlfn.IFS(AND(VLOOKUP(C31,Code!H:W,13,FALSE)=0,VLOOKUP(C31,Code!H:W,16,FALSE)=0),"無股息",AND(VLOOKUP(C31,Code!H:W,13,FALSE)=0,VLOOKUP(C31,Code!H:W,16,FALSE)&gt;0),"股息沒了",AND(VLOOKUP(C31,Code!H:W,13,FALSE)&gt;0,VLOOKUP(C31,Code!H:W,16,FALSE)=0),"發股息了",AND(VLOOKUP(C31,Code!H:W,13,FALSE)&gt;0,VLOOKUP(C31,Code!H:W,16,FALSE)&gt;0),POWER((VLOOKUP(C31,Code!H:W,13,FALSE))/(VLOOKUP(C31,Code!H:W,16,FALSE)),1/(P31-1))-1)),"")</f>
        <v>7.1052268415748188E-2</v>
      </c>
      <c r="L31" s="173">
        <f>IFERROR(VLOOKUP(C31,Code!H:W,13,FALSE)*4/VLOOKUP(C31,Code!H:W,12,FALSE),"")</f>
        <v>2.5958702064896758E-2</v>
      </c>
      <c r="M31" s="172">
        <f t="shared" si="1"/>
        <v>0.26497289151776449</v>
      </c>
      <c r="N31" s="172" t="str">
        <f t="shared" si="2"/>
        <v>-</v>
      </c>
      <c r="O31" s="172" t="str">
        <f t="shared" si="3"/>
        <v>-</v>
      </c>
      <c r="P31" s="205">
        <f>IFERROR(YEARFRAC(VLOOKUP(C31,Code!H:W,11,FALSE),VLOOKUP(C31,Code!H:W,14,FALSE),3),"")</f>
        <v>4.7561643835616438</v>
      </c>
      <c r="Q31" s="174">
        <v>44547</v>
      </c>
      <c r="R31" s="175" t="str">
        <f t="shared" ca="1" si="4"/>
        <v/>
      </c>
      <c r="S31" s="176">
        <f>IFERROR(VLOOKUP($C31,Code!$H:$Q,5,FALSE),"")</f>
        <v>0.217</v>
      </c>
      <c r="T31" s="177" t="str">
        <f t="shared" ca="1" si="5"/>
        <v/>
      </c>
      <c r="U31" s="178" t="str">
        <f t="shared" ca="1" si="6"/>
        <v/>
      </c>
      <c r="V31" s="179">
        <f>IFERROR(VLOOKUP($C31,Code!$H:$Q,6,FALSE),"")</f>
        <v>86.18</v>
      </c>
      <c r="W31" s="180" t="str">
        <f t="shared" ca="1" si="7"/>
        <v/>
      </c>
      <c r="X31" s="12"/>
      <c r="Y31" s="12"/>
      <c r="Z31" s="12"/>
      <c r="AA31" s="12"/>
      <c r="AB31" s="12"/>
    </row>
    <row r="32" spans="1:29" s="10" customFormat="1" ht="15" hidden="1">
      <c r="A32" s="9"/>
      <c r="B32" s="169" cm="1">
        <f t="array" ref="B32">_xlfn.IFS(OR(Code!R450&lt;&gt;Code!U450,Code!R450=""),0,Code!R450=Code!U450,1)</f>
        <v>0</v>
      </c>
      <c r="C32" s="193" t="str">
        <f>IF(Code!F450="","",Code!F450)</f>
        <v>TSN</v>
      </c>
      <c r="D32" s="155" t="str">
        <f>IFERROR(VLOOKUP($C32,Code!$H:$K,2,FALSE),"")</f>
        <v>XLP</v>
      </c>
      <c r="E32" s="156" t="str">
        <f>IFERROR(VLOOKUP($C32,Code!$H:$K,3,FALSE),"")</f>
        <v>農產品</v>
      </c>
      <c r="F32" s="157" t="str">
        <f>IFERROR(VLOOKUP($C32,Code!$H:$K,4,FALSE),"")</f>
        <v>.SPX</v>
      </c>
      <c r="G32" s="170">
        <f>IFERROR(((VLOOKUP($C32,Code!$H:$Q,9,FALSE))+(VLOOKUP($C32,Code!$H:$Q,10,FALSE)))/2*0.5/(((VLOOKUP($C32,Code!$H:$Q,7,FALSE))+(VLOOKUP($C32,Code!$H:$Q,8,FALSE)))/2),0)</f>
        <v>0.67838765008576341</v>
      </c>
      <c r="H32" s="171" t="str">
        <f t="shared" si="0"/>
        <v>L</v>
      </c>
      <c r="I32" s="170">
        <f>IFERROR((VLOOKUP($C32,Code!$H:$Q,5,FALSE))/(((VLOOKUP($C32,Code!$H:$Q,7,FALSE))+(VLOOKUP($C32,Code!$H:$Q,8,FALSE)))/2)-1,0)</f>
        <v>9.0051457975986349E-2</v>
      </c>
      <c r="J32" s="204">
        <f>IFERROR(POWER((VLOOKUP(C32,Code!H:W,12,FALSE))/(VLOOKUP(C32,Code!H:W,15,FALSE)),1/(P32-1))-1,"")</f>
        <v>4.0576292419933324E-2</v>
      </c>
      <c r="K32" s="172" cm="1">
        <f t="array" ref="K32">IFERROR(IF(C32="","",_xlfn.IFS(AND(VLOOKUP(C32,Code!H:W,13,FALSE)=0,VLOOKUP(C32,Code!H:W,16,FALSE)=0),"無股息",AND(VLOOKUP(C32,Code!H:W,13,FALSE)=0,VLOOKUP(C32,Code!H:W,16,FALSE)&gt;0),"股息沒了",AND(VLOOKUP(C32,Code!H:W,13,FALSE)&gt;0,VLOOKUP(C32,Code!H:W,16,FALSE)=0),"發股息了",AND(VLOOKUP(C32,Code!H:W,13,FALSE)&gt;0,VLOOKUP(C32,Code!H:W,16,FALSE)&gt;0),POWER((VLOOKUP(C32,Code!H:W,13,FALSE))/(VLOOKUP(C32,Code!H:W,16,FALSE)),1/(P32-1))-1)),"")</f>
        <v>0.33690195084762165</v>
      </c>
      <c r="L32" s="173">
        <f>IFERROR(VLOOKUP(C32,Code!H:W,13,FALSE)*4/VLOOKUP(C32,Code!H:W,12,FALSE),"")</f>
        <v>2.238993710691824E-2</v>
      </c>
      <c r="M32" s="172">
        <f t="shared" si="1"/>
        <v>0.37747824326755497</v>
      </c>
      <c r="N32" s="172" t="str">
        <f t="shared" si="2"/>
        <v>-</v>
      </c>
      <c r="O32" s="172" t="str">
        <f t="shared" si="3"/>
        <v>Value</v>
      </c>
      <c r="P32" s="205">
        <f>IFERROR(YEARFRAC(VLOOKUP(C32,Code!H:W,11,FALSE),VLOOKUP(C32,Code!H:W,14,FALSE),3),"")</f>
        <v>4.7452054794520544</v>
      </c>
      <c r="Q32" s="174">
        <v>44547</v>
      </c>
      <c r="R32" s="175" t="str">
        <f t="shared" ca="1" si="4"/>
        <v/>
      </c>
      <c r="S32" s="176">
        <f>IFERROR(VLOOKUP($C32,Code!$H:$Q,5,FALSE),"")</f>
        <v>0.25419999999999998</v>
      </c>
      <c r="T32" s="177" t="str">
        <f t="shared" ca="1" si="5"/>
        <v/>
      </c>
      <c r="U32" s="178" t="str">
        <f t="shared" ca="1" si="6"/>
        <v/>
      </c>
      <c r="V32" s="179">
        <f>IFERROR(VLOOKUP($C32,Code!$H:$Q,6,FALSE),"")</f>
        <v>70.14</v>
      </c>
      <c r="W32" s="180" t="str">
        <f t="shared" ca="1" si="7"/>
        <v/>
      </c>
      <c r="X32" s="12"/>
      <c r="Y32" s="12"/>
      <c r="Z32" s="12"/>
      <c r="AA32" s="12"/>
      <c r="AB32" s="12"/>
    </row>
    <row r="33" spans="1:28" s="10" customFormat="1" ht="15" hidden="1">
      <c r="A33" s="9"/>
      <c r="B33" s="169" cm="1">
        <f t="array" ref="B33">_xlfn.IFS(OR(Code!R289&lt;&gt;Code!U289,Code!R289=""),0,Code!R289=Code!U289,1)</f>
        <v>0</v>
      </c>
      <c r="C33" s="193" t="str">
        <f>IF(Code!F289="","",Code!F289)</f>
        <v>LVS</v>
      </c>
      <c r="D33" s="155" t="str">
        <f>IFERROR(VLOOKUP($C33,Code!$H:$K,2,FALSE),"")</f>
        <v>XLY</v>
      </c>
      <c r="E33" s="156" t="str">
        <f>IFERROR(VLOOKUP($C33,Code!$H:$K,3,FALSE),"")</f>
        <v>度假村和賭場</v>
      </c>
      <c r="F33" s="157" t="str">
        <f>IFERROR(VLOOKUP($C33,Code!$H:$K,4,FALSE),"")</f>
        <v>.SPX</v>
      </c>
      <c r="G33" s="170">
        <f>IFERROR(((VLOOKUP($C33,Code!$H:$Q,9,FALSE))+(VLOOKUP($C33,Code!$H:$Q,10,FALSE)))/2*0.5/(((VLOOKUP($C33,Code!$H:$Q,7,FALSE))+(VLOOKUP($C33,Code!$H:$Q,8,FALSE)))/2),0)</f>
        <v>0.60964524681227117</v>
      </c>
      <c r="H33" s="171" t="str">
        <f t="shared" si="0"/>
        <v>L</v>
      </c>
      <c r="I33" s="170">
        <f>IFERROR((VLOOKUP($C33,Code!$H:$Q,5,FALSE))/(((VLOOKUP($C33,Code!$H:$Q,7,FALSE))+(VLOOKUP($C33,Code!$H:$Q,8,FALSE)))/2)-1,0)</f>
        <v>8.8498926903168629E-2</v>
      </c>
      <c r="J33" s="204">
        <f>IFERROR(POWER((VLOOKUP(C33,Code!H:W,12,FALSE))/(VLOOKUP(C33,Code!H:W,15,FALSE)),1/(P33-1))-1,"")</f>
        <v>-5.6996355585954728E-2</v>
      </c>
      <c r="K33" s="172" cm="1">
        <f t="array" ref="K33">IFERROR(IF(C33="","",_xlfn.IFS(AND(VLOOKUP(C33,Code!H:W,13,FALSE)=0,VLOOKUP(C33,Code!H:W,16,FALSE)=0),"無股息",AND(VLOOKUP(C33,Code!H:W,13,FALSE)=0,VLOOKUP(C33,Code!H:W,16,FALSE)&gt;0),"股息沒了",AND(VLOOKUP(C33,Code!H:W,13,FALSE)&gt;0,VLOOKUP(C33,Code!H:W,16,FALSE)=0),"發股息了",AND(VLOOKUP(C33,Code!H:W,13,FALSE)&gt;0,VLOOKUP(C33,Code!H:W,16,FALSE)&gt;0),POWER((VLOOKUP(C33,Code!H:W,13,FALSE))/(VLOOKUP(C33,Code!H:W,16,FALSE)),1/(P33-1))-1)),"")</f>
        <v>3.7958280292698765E-2</v>
      </c>
      <c r="L33" s="173">
        <f>IFERROR(VLOOKUP(C33,Code!H:W,13,FALSE)*4/VLOOKUP(C33,Code!H:W,12,FALSE),"")</f>
        <v>7.7337247988181465E-2</v>
      </c>
      <c r="M33" s="172">
        <f t="shared" si="1"/>
        <v>-1.9038075293255963E-2</v>
      </c>
      <c r="N33" s="172" t="str">
        <f t="shared" si="2"/>
        <v>-</v>
      </c>
      <c r="O33" s="172" t="str">
        <f t="shared" si="3"/>
        <v>-</v>
      </c>
      <c r="P33" s="205">
        <f>IFERROR(YEARFRAC(VLOOKUP(C33,Code!H:W,11,FALSE),VLOOKUP(C33,Code!H:W,14,FALSE),3),"")</f>
        <v>3.4904109589041097</v>
      </c>
      <c r="Q33" s="174">
        <v>44547</v>
      </c>
      <c r="R33" s="175" t="str">
        <f t="shared" ca="1" si="4"/>
        <v/>
      </c>
      <c r="S33" s="176">
        <f>IFERROR(VLOOKUP($C33,Code!$H:$Q,5,FALSE),"")</f>
        <v>0.43109999999999998</v>
      </c>
      <c r="T33" s="177" t="str">
        <f t="shared" ca="1" si="5"/>
        <v/>
      </c>
      <c r="U33" s="178" t="str">
        <f t="shared" ca="1" si="6"/>
        <v/>
      </c>
      <c r="V33" s="179">
        <f>IFERROR(VLOOKUP($C33,Code!$H:$Q,6,FALSE),"")</f>
        <v>40.71</v>
      </c>
      <c r="W33" s="180" t="str">
        <f t="shared" ca="1" si="7"/>
        <v/>
      </c>
      <c r="X33" s="12"/>
      <c r="Y33" s="12"/>
      <c r="Z33" s="12"/>
      <c r="AA33" s="12"/>
      <c r="AB33" s="12"/>
    </row>
    <row r="34" spans="1:28" s="10" customFormat="1" ht="15" hidden="1">
      <c r="A34" s="9"/>
      <c r="B34" s="169" cm="1">
        <f t="array" ref="B34">_xlfn.IFS(OR(Code!R322&lt;&gt;Code!U322,Code!R322=""),0,Code!R322=Code!U322,1)</f>
        <v>0</v>
      </c>
      <c r="C34" s="193" t="str">
        <f>IF(Code!F322="","",Code!F322)</f>
        <v>MSI</v>
      </c>
      <c r="D34" s="155" t="str">
        <f>IFERROR(VLOOKUP($C34,Code!$H:$K,2,FALSE),"")</f>
        <v>XLK</v>
      </c>
      <c r="E34" s="156" t="str">
        <f>IFERROR(VLOOKUP($C34,Code!$H:$K,3,FALSE),"")</f>
        <v>通信設備</v>
      </c>
      <c r="F34" s="157" t="str">
        <f>IFERROR(VLOOKUP($C34,Code!$H:$K,4,FALSE),"")</f>
        <v>.SPX</v>
      </c>
      <c r="G34" s="170">
        <f>IFERROR(((VLOOKUP($C34,Code!$H:$Q,9,FALSE))+(VLOOKUP($C34,Code!$H:$Q,10,FALSE)))/2*0.5/(((VLOOKUP($C34,Code!$H:$Q,7,FALSE))+(VLOOKUP($C34,Code!$H:$Q,8,FALSE)))/2),0)</f>
        <v>0.66714538223596997</v>
      </c>
      <c r="H34" s="171" t="str">
        <f t="shared" si="0"/>
        <v>L</v>
      </c>
      <c r="I34" s="170">
        <f>IFERROR((VLOOKUP($C34,Code!$H:$Q,5,FALSE))/(((VLOOKUP($C34,Code!$H:$Q,7,FALSE))+(VLOOKUP($C34,Code!$H:$Q,8,FALSE)))/2)-1,0)</f>
        <v>8.1307998232434731E-2</v>
      </c>
      <c r="J34" s="204">
        <f>IFERROR(POWER((VLOOKUP(C34,Code!H:W,12,FALSE))/(VLOOKUP(C34,Code!H:W,15,FALSE)),1/(P34-1))-1,"")</f>
        <v>0.34306823245934925</v>
      </c>
      <c r="K34" s="172" cm="1">
        <f t="array" ref="K34">IFERROR(IF(C34="","",_xlfn.IFS(AND(VLOOKUP(C34,Code!H:W,13,FALSE)=0,VLOOKUP(C34,Code!H:W,16,FALSE)=0),"無股息",AND(VLOOKUP(C34,Code!H:W,13,FALSE)=0,VLOOKUP(C34,Code!H:W,16,FALSE)&gt;0),"股息沒了",AND(VLOOKUP(C34,Code!H:W,13,FALSE)&gt;0,VLOOKUP(C34,Code!H:W,16,FALSE)=0),"發股息了",AND(VLOOKUP(C34,Code!H:W,13,FALSE)&gt;0,VLOOKUP(C34,Code!H:W,16,FALSE)&gt;0),POWER((VLOOKUP(C34,Code!H:W,13,FALSE))/(VLOOKUP(C34,Code!H:W,16,FALSE)),1/(P34-1))-1)),"")</f>
        <v>0.15753778092045545</v>
      </c>
      <c r="L34" s="173">
        <f>IFERROR(VLOOKUP(C34,Code!H:W,13,FALSE)*4/VLOOKUP(C34,Code!H:W,12,FALSE),"")</f>
        <v>1.3434248259206003E-2</v>
      </c>
      <c r="M34" s="172">
        <f t="shared" si="1"/>
        <v>0.5006060133798047</v>
      </c>
      <c r="N34" s="172" t="str">
        <f t="shared" si="2"/>
        <v>-</v>
      </c>
      <c r="O34" s="172" t="str">
        <f t="shared" si="3"/>
        <v>Value</v>
      </c>
      <c r="P34" s="205">
        <f>IFERROR(YEARFRAC(VLOOKUP(C34,Code!H:W,11,FALSE),VLOOKUP(C34,Code!H:W,14,FALSE),3),"")</f>
        <v>4.7534246575342465</v>
      </c>
      <c r="Q34" s="174">
        <v>44547</v>
      </c>
      <c r="R34" s="175" t="str">
        <f t="shared" ca="1" si="4"/>
        <v/>
      </c>
      <c r="S34" s="176">
        <f>IFERROR(VLOOKUP($C34,Code!$H:$Q,5,FALSE),"")</f>
        <v>0.2447</v>
      </c>
      <c r="T34" s="177" t="str">
        <f t="shared" ca="1" si="5"/>
        <v/>
      </c>
      <c r="U34" s="178" t="str">
        <f t="shared" ca="1" si="6"/>
        <v/>
      </c>
      <c r="V34" s="179">
        <f>IFERROR(VLOOKUP($C34,Code!$H:$Q,6,FALSE),"")</f>
        <v>222.27</v>
      </c>
      <c r="W34" s="180" t="str">
        <f t="shared" ca="1" si="7"/>
        <v/>
      </c>
      <c r="X34" s="12"/>
      <c r="Y34" s="12"/>
      <c r="Z34" s="12"/>
      <c r="AA34" s="12"/>
      <c r="AB34" s="12"/>
    </row>
    <row r="35" spans="1:28" s="10" customFormat="1" ht="15" hidden="1">
      <c r="A35" s="9"/>
      <c r="B35" s="169" cm="1">
        <f t="array" ref="B35">_xlfn.IFS(OR(Code!R44&lt;&gt;Code!U44,Code!R44=""),0,Code!R44=Code!U44,1)</f>
        <v>0</v>
      </c>
      <c r="C35" s="193" t="str">
        <f>IF(Code!F44="","",Code!F44)</f>
        <v>APA</v>
      </c>
      <c r="D35" s="155" t="str">
        <f>IFERROR(VLOOKUP($C35,Code!$H:$K,2,FALSE),"")</f>
        <v>XLE</v>
      </c>
      <c r="E35" s="156" t="str">
        <f>IFERROR(VLOOKUP($C35,Code!$H:$K,3,FALSE),"")</f>
        <v>油氣E&amp;P</v>
      </c>
      <c r="F35" s="157" t="str">
        <f>IFERROR(VLOOKUP($C35,Code!$H:$K,4,FALSE),"")</f>
        <v>.SPX</v>
      </c>
      <c r="G35" s="170">
        <f>IFERROR(((VLOOKUP($C35,Code!$H:$Q,9,FALSE))+(VLOOKUP($C35,Code!$H:$Q,10,FALSE)))/2*0.5/(((VLOOKUP($C35,Code!$H:$Q,7,FALSE))+(VLOOKUP($C35,Code!$H:$Q,8,FALSE)))/2),0)</f>
        <v>0.63154897494305251</v>
      </c>
      <c r="H35" s="171" t="str">
        <f t="shared" si="0"/>
        <v>L</v>
      </c>
      <c r="I35" s="170">
        <f>IFERROR((VLOOKUP($C35,Code!$H:$Q,5,FALSE))/(((VLOOKUP($C35,Code!$H:$Q,7,FALSE))+(VLOOKUP($C35,Code!$H:$Q,8,FALSE)))/2)-1,0)</f>
        <v>7.346241457858782E-2</v>
      </c>
      <c r="J35" s="204">
        <f>IFERROR(POWER((VLOOKUP(C35,Code!H:W,12,FALSE))/(VLOOKUP(C35,Code!H:W,15,FALSE)),1/(P35-1))-1,"")</f>
        <v>-0.26400774368154956</v>
      </c>
      <c r="K35" s="172" cm="1">
        <f t="array" ref="K35">IFERROR(IF(C35="","",_xlfn.IFS(AND(VLOOKUP(C35,Code!H:W,13,FALSE)=0,VLOOKUP(C35,Code!H:W,16,FALSE)=0),"無股息",AND(VLOOKUP(C35,Code!H:W,13,FALSE)=0,VLOOKUP(C35,Code!H:W,16,FALSE)&gt;0),"股息沒了",AND(VLOOKUP(C35,Code!H:W,13,FALSE)&gt;0,VLOOKUP(C35,Code!H:W,16,FALSE)=0),"發股息了",AND(VLOOKUP(C35,Code!H:W,13,FALSE)&gt;0,VLOOKUP(C35,Code!H:W,16,FALSE)&gt;0),POWER((VLOOKUP(C35,Code!H:W,13,FALSE))/(VLOOKUP(C35,Code!H:W,16,FALSE)),1/(P35-1))-1)),"")</f>
        <v>-0.45828486429166693</v>
      </c>
      <c r="L35" s="173">
        <f>IFERROR(VLOOKUP(C35,Code!H:W,13,FALSE)*4/VLOOKUP(C35,Code!H:W,12,FALSE),"")</f>
        <v>5.4288816278941074E-3</v>
      </c>
      <c r="M35" s="172">
        <f t="shared" si="1"/>
        <v>-0.72229260797321648</v>
      </c>
      <c r="N35" s="172" t="str">
        <f t="shared" si="2"/>
        <v>-</v>
      </c>
      <c r="O35" s="172" t="str">
        <f t="shared" si="3"/>
        <v>-</v>
      </c>
      <c r="P35" s="205">
        <f>IFERROR(YEARFRAC(VLOOKUP(C35,Code!H:W,11,FALSE),VLOOKUP(C35,Code!H:W,14,FALSE),3),"")</f>
        <v>4.7561643835616438</v>
      </c>
      <c r="Q35" s="174">
        <v>44547</v>
      </c>
      <c r="R35" s="175" t="str">
        <f t="shared" ca="1" si="4"/>
        <v/>
      </c>
      <c r="S35" s="176">
        <f>IFERROR(VLOOKUP($C35,Code!$H:$Q,5,FALSE),"")</f>
        <v>0.5655</v>
      </c>
      <c r="T35" s="177" t="str">
        <f t="shared" ca="1" si="5"/>
        <v/>
      </c>
      <c r="U35" s="178" t="str">
        <f t="shared" ca="1" si="6"/>
        <v/>
      </c>
      <c r="V35" s="179">
        <f>IFERROR(VLOOKUP($C35,Code!$H:$Q,6,FALSE),"")</f>
        <v>18.43</v>
      </c>
      <c r="W35" s="180" t="str">
        <f t="shared" ca="1" si="7"/>
        <v/>
      </c>
      <c r="X35" s="12"/>
      <c r="Y35" s="12"/>
      <c r="Z35" s="12"/>
      <c r="AA35" s="12"/>
      <c r="AB35" s="12"/>
    </row>
    <row r="36" spans="1:28" s="10" customFormat="1" ht="15" hidden="1">
      <c r="A36" s="9"/>
      <c r="B36" s="169" cm="1">
        <f t="array" ref="B36">_xlfn.IFS(OR(Code!R98&lt;&gt;Code!U98,Code!R98=""),0,Code!R98=Code!U98,1)</f>
        <v>0</v>
      </c>
      <c r="C36" s="193" t="str">
        <f>IF(Code!F98="","",Code!F98)</f>
        <v>CL</v>
      </c>
      <c r="D36" s="155" t="str">
        <f>IFERROR(VLOOKUP($C36,Code!$H:$K,2,FALSE),"")</f>
        <v>XLP</v>
      </c>
      <c r="E36" s="156" t="str">
        <f>IFERROR(VLOOKUP($C36,Code!$H:$K,3,FALSE),"")</f>
        <v>家庭及個人產品</v>
      </c>
      <c r="F36" s="157" t="str">
        <f>IFERROR(VLOOKUP($C36,Code!$H:$K,4,FALSE),"")</f>
        <v>.SPX</v>
      </c>
      <c r="G36" s="170">
        <f>IFERROR(((VLOOKUP($C36,Code!$H:$Q,9,FALSE))+(VLOOKUP($C36,Code!$H:$Q,10,FALSE)))/2*0.5/(((VLOOKUP($C36,Code!$H:$Q,7,FALSE))+(VLOOKUP($C36,Code!$H:$Q,8,FALSE)))/2),0)</f>
        <v>0.72632794457274841</v>
      </c>
      <c r="H36" s="171" t="str">
        <f t="shared" si="0"/>
        <v>XL</v>
      </c>
      <c r="I36" s="170">
        <f>IFERROR((VLOOKUP($C36,Code!$H:$Q,5,FALSE))/(((VLOOKUP($C36,Code!$H:$Q,7,FALSE))+(VLOOKUP($C36,Code!$H:$Q,8,FALSE)))/2)-1,0)</f>
        <v>7.2253381722203969E-2</v>
      </c>
      <c r="J36" s="204">
        <f>IFERROR(POWER((VLOOKUP(C36,Code!H:W,12,FALSE))/(VLOOKUP(C36,Code!H:W,15,FALSE)),1/(P36-1))-1,"")</f>
        <v>7.3192680378991071E-2</v>
      </c>
      <c r="K36" s="172" cm="1">
        <f t="array" ref="K36">IFERROR(IF(C36="","",_xlfn.IFS(AND(VLOOKUP(C36,Code!H:W,13,FALSE)=0,VLOOKUP(C36,Code!H:W,16,FALSE)=0),"無股息",AND(VLOOKUP(C36,Code!H:W,13,FALSE)=0,VLOOKUP(C36,Code!H:W,16,FALSE)&gt;0),"股息沒了",AND(VLOOKUP(C36,Code!H:W,13,FALSE)&gt;0,VLOOKUP(C36,Code!H:W,16,FALSE)=0),"發股息了",AND(VLOOKUP(C36,Code!H:W,13,FALSE)&gt;0,VLOOKUP(C36,Code!H:W,16,FALSE)&gt;0),POWER((VLOOKUP(C36,Code!H:W,13,FALSE))/(VLOOKUP(C36,Code!H:W,16,FALSE)),1/(P36-1))-1)),"")</f>
        <v>3.8890437224252228E-2</v>
      </c>
      <c r="L36" s="173">
        <f>IFERROR(VLOOKUP(C36,Code!H:W,13,FALSE)*4/VLOOKUP(C36,Code!H:W,12,FALSE),"")</f>
        <v>2.1768048698214429E-2</v>
      </c>
      <c r="M36" s="172">
        <f t="shared" si="1"/>
        <v>0.1120831176032433</v>
      </c>
      <c r="N36" s="172" t="str">
        <f t="shared" si="2"/>
        <v>-</v>
      </c>
      <c r="O36" s="172" t="str">
        <f t="shared" si="3"/>
        <v>-</v>
      </c>
      <c r="P36" s="205">
        <f>IFERROR(YEARFRAC(VLOOKUP(C36,Code!H:W,11,FALSE),VLOOKUP(C36,Code!H:W,14,FALSE),3),"")</f>
        <v>4.7506849315068491</v>
      </c>
      <c r="Q36" s="174">
        <v>44547</v>
      </c>
      <c r="R36" s="175" t="str">
        <f t="shared" ca="1" si="4"/>
        <v/>
      </c>
      <c r="S36" s="176">
        <f>IFERROR(VLOOKUP($C36,Code!$H:$Q,5,FALSE),"")</f>
        <v>0.16250000000000001</v>
      </c>
      <c r="T36" s="177" t="str">
        <f t="shared" ca="1" si="5"/>
        <v/>
      </c>
      <c r="U36" s="178" t="str">
        <f t="shared" ca="1" si="6"/>
        <v/>
      </c>
      <c r="V36" s="179">
        <f>IFERROR(VLOOKUP($C36,Code!$H:$Q,6,FALSE),"")</f>
        <v>78.900000000000006</v>
      </c>
      <c r="W36" s="180" t="str">
        <f t="shared" ca="1" si="7"/>
        <v/>
      </c>
      <c r="X36" s="12"/>
      <c r="Y36" s="12"/>
      <c r="Z36" s="12"/>
      <c r="AA36" s="12"/>
      <c r="AB36" s="12"/>
    </row>
    <row r="37" spans="1:28" s="10" customFormat="1" ht="15">
      <c r="A37" s="9"/>
      <c r="B37" s="169" cm="1">
        <f t="array" ref="B37">_xlfn.IFS(OR(Code!R110&lt;&gt;Code!U110,Code!R110=""),0,Code!R110=Code!U110,1)</f>
        <v>0</v>
      </c>
      <c r="C37" s="193" t="str">
        <f>IF(Code!F110="","",Code!F110)</f>
        <v>COO</v>
      </c>
      <c r="D37" s="155" t="str">
        <f>IFERROR(VLOOKUP($C37,Code!$H:$K,2,FALSE),"")</f>
        <v>XLV</v>
      </c>
      <c r="E37" s="156" t="str">
        <f>IFERROR(VLOOKUP($C37,Code!$H:$K,3,FALSE),"")</f>
        <v>醫療器械及用品</v>
      </c>
      <c r="F37" s="157" t="str">
        <f>IFERROR(VLOOKUP($C37,Code!$H:$K,4,FALSE),"")</f>
        <v>.SPX</v>
      </c>
      <c r="G37" s="170">
        <f>IFERROR(((VLOOKUP($C37,Code!$H:$Q,9,FALSE))+(VLOOKUP($C37,Code!$H:$Q,10,FALSE)))/2*0.5/(((VLOOKUP($C37,Code!$H:$Q,7,FALSE))+(VLOOKUP($C37,Code!$H:$Q,8,FALSE)))/2),0)</f>
        <v>0.6474180415684595</v>
      </c>
      <c r="H37" s="171" t="str">
        <f t="shared" si="0"/>
        <v>L</v>
      </c>
      <c r="I37" s="170">
        <f>IFERROR((VLOOKUP($C37,Code!$H:$Q,5,FALSE))/(((VLOOKUP($C37,Code!$H:$Q,7,FALSE))+(VLOOKUP($C37,Code!$H:$Q,8,FALSE)))/2)-1,0)</f>
        <v>6.9209342189843648E-2</v>
      </c>
      <c r="J37" s="204">
        <f>IFERROR(POWER((VLOOKUP(C37,Code!H:W,12,FALSE))/(VLOOKUP(C37,Code!H:W,15,FALSE)),1/(P37-1))-1,"")</f>
        <v>0.25634393670792299</v>
      </c>
      <c r="K37" s="172" cm="1">
        <f t="array" ref="K37">IFERROR(IF(C37="","",_xlfn.IFS(AND(VLOOKUP(C37,Code!H:W,13,FALSE)=0,VLOOKUP(C37,Code!H:W,16,FALSE)=0),"無股息",AND(VLOOKUP(C37,Code!H:W,13,FALSE)=0,VLOOKUP(C37,Code!H:W,16,FALSE)&gt;0),"股息沒了",AND(VLOOKUP(C37,Code!H:W,13,FALSE)&gt;0,VLOOKUP(C37,Code!H:W,16,FALSE)=0),"發股息了",AND(VLOOKUP(C37,Code!H:W,13,FALSE)&gt;0,VLOOKUP(C37,Code!H:W,16,FALSE)&gt;0),POWER((VLOOKUP(C37,Code!H:W,13,FALSE))/(VLOOKUP(C37,Code!H:W,16,FALSE)),1/(P37-1))-1)),"")</f>
        <v>0</v>
      </c>
      <c r="L37" s="173">
        <f>IFERROR(VLOOKUP(C37,Code!H:W,13,FALSE)*4/VLOOKUP(C37,Code!H:W,12,FALSE),"")</f>
        <v>2.9585070470094599E-4</v>
      </c>
      <c r="M37" s="172">
        <f t="shared" si="1"/>
        <v>0.25634393670792299</v>
      </c>
      <c r="N37" s="172" t="str">
        <f t="shared" si="2"/>
        <v>-</v>
      </c>
      <c r="O37" s="172" t="str">
        <f t="shared" si="3"/>
        <v>-</v>
      </c>
      <c r="P37" s="205">
        <f>IFERROR(YEARFRAC(VLOOKUP(C37,Code!H:W,11,FALSE),VLOOKUP(C37,Code!H:W,14,FALSE),3),"")</f>
        <v>4.5178082191780824</v>
      </c>
      <c r="Q37" s="174">
        <v>44547</v>
      </c>
      <c r="R37" s="175" t="str">
        <f t="shared" ca="1" si="4"/>
        <v/>
      </c>
      <c r="S37" s="176">
        <f>IFERROR(VLOOKUP($C37,Code!$H:$Q,5,FALSE),"")</f>
        <v>0.2495</v>
      </c>
      <c r="T37" s="177" t="str">
        <f t="shared" ca="1" si="5"/>
        <v/>
      </c>
      <c r="U37" s="178" t="str">
        <f t="shared" ca="1" si="6"/>
        <v/>
      </c>
      <c r="V37" s="179">
        <f>IFERROR(VLOOKUP($C37,Code!$H:$Q,6,FALSE),"")</f>
        <v>412.94</v>
      </c>
      <c r="W37" s="180" t="str">
        <f t="shared" ca="1" si="7"/>
        <v/>
      </c>
      <c r="X37" s="12"/>
      <c r="Y37" s="12"/>
      <c r="Z37" s="12"/>
      <c r="AA37" s="12"/>
      <c r="AB37" s="12"/>
    </row>
    <row r="38" spans="1:28" s="10" customFormat="1" ht="15" hidden="1">
      <c r="A38" s="9"/>
      <c r="B38" s="169" cm="1">
        <f t="array" ref="B38">_xlfn.IFS(OR(Code!R344&lt;&gt;Code!U344,Code!R344=""),0,Code!R344=Code!U344,1)</f>
        <v>0</v>
      </c>
      <c r="C38" s="193" t="str">
        <f>IF(Code!F344="","",Code!F344)</f>
        <v>NVDA</v>
      </c>
      <c r="D38" s="155" t="str">
        <f>IFERROR(VLOOKUP($C38,Code!$H:$K,2,FALSE),"")</f>
        <v>XLK</v>
      </c>
      <c r="E38" s="156" t="str">
        <f>IFERROR(VLOOKUP($C38,Code!$H:$K,3,FALSE),"")</f>
        <v>半導體</v>
      </c>
      <c r="F38" s="157" t="str">
        <f>IFERROR(VLOOKUP($C38,Code!$H:$K,4,FALSE),"")</f>
        <v>.SPX</v>
      </c>
      <c r="G38" s="170">
        <f>IFERROR(((VLOOKUP($C38,Code!$H:$Q,9,FALSE))+(VLOOKUP($C38,Code!$H:$Q,10,FALSE)))/2*0.5/(((VLOOKUP($C38,Code!$H:$Q,7,FALSE))+(VLOOKUP($C38,Code!$H:$Q,8,FALSE)))/2),0)</f>
        <v>0.55779400654746902</v>
      </c>
      <c r="H38" s="171" t="str">
        <f t="shared" si="0"/>
        <v>M</v>
      </c>
      <c r="I38" s="170">
        <f>IFERROR((VLOOKUP($C38,Code!$H:$Q,5,FALSE))/(((VLOOKUP($C38,Code!$H:$Q,7,FALSE))+(VLOOKUP($C38,Code!$H:$Q,8,FALSE)))/2)-1,0)</f>
        <v>-0.17350793251070262</v>
      </c>
      <c r="J38" s="204">
        <f>IFERROR(POWER((VLOOKUP(C38,Code!H:W,12,FALSE))/(VLOOKUP(C38,Code!H:W,15,FALSE)),1/(P38-1))-1,"")</f>
        <v>0.82390930161071063</v>
      </c>
      <c r="K38" s="172" cm="1">
        <f t="array" ref="K38">IFERROR(IF(C38="","",_xlfn.IFS(AND(VLOOKUP(C38,Code!H:W,13,FALSE)=0,VLOOKUP(C38,Code!H:W,16,FALSE)=0),"無股息",AND(VLOOKUP(C38,Code!H:W,13,FALSE)=0,VLOOKUP(C38,Code!H:W,16,FALSE)&gt;0),"股息沒了",AND(VLOOKUP(C38,Code!H:W,13,FALSE)&gt;0,VLOOKUP(C38,Code!H:W,16,FALSE)=0),"發股息了",AND(VLOOKUP(C38,Code!H:W,13,FALSE)&gt;0,VLOOKUP(C38,Code!H:W,16,FALSE)&gt;0),POWER((VLOOKUP(C38,Code!H:W,13,FALSE))/(VLOOKUP(C38,Code!H:W,16,FALSE)),1/(P38-1))-1)),"")</f>
        <v>3.6028891970607102E-2</v>
      </c>
      <c r="L38" s="173">
        <f>IFERROR(VLOOKUP(C38,Code!H:W,13,FALSE)*4/VLOOKUP(C38,Code!H:W,12,FALSE),"")</f>
        <v>7.1476433163915646E-4</v>
      </c>
      <c r="M38" s="172">
        <f t="shared" si="1"/>
        <v>0.85993819358131773</v>
      </c>
      <c r="N38" s="172" t="str">
        <f t="shared" si="2"/>
        <v>-</v>
      </c>
      <c r="O38" s="172" t="str">
        <f t="shared" si="3"/>
        <v>-</v>
      </c>
      <c r="P38" s="205">
        <f>IFERROR(YEARFRAC(VLOOKUP(C38,Code!H:W,11,FALSE),VLOOKUP(C38,Code!H:W,14,FALSE),3),"")</f>
        <v>4.7726027397260271</v>
      </c>
      <c r="Q38" s="174">
        <v>44547</v>
      </c>
      <c r="R38" s="175" t="str">
        <f t="shared" ca="1" si="4"/>
        <v/>
      </c>
      <c r="S38" s="176">
        <f>IFERROR(VLOOKUP($C38,Code!$H:$Q,5,FALSE),"")</f>
        <v>0.32819999999999999</v>
      </c>
      <c r="T38" s="177" t="str">
        <f t="shared" ca="1" si="5"/>
        <v/>
      </c>
      <c r="U38" s="178" t="str">
        <f t="shared" ca="1" si="6"/>
        <v/>
      </c>
      <c r="V38" s="179">
        <f>IFERROR(VLOOKUP($C38,Code!$H:$Q,6,FALSE),"")</f>
        <v>222.42</v>
      </c>
      <c r="W38" s="180" t="str">
        <f t="shared" ca="1" si="7"/>
        <v/>
      </c>
      <c r="X38" s="12"/>
      <c r="Y38" s="12"/>
      <c r="Z38" s="12"/>
      <c r="AA38" s="12"/>
      <c r="AB38" s="12"/>
    </row>
    <row r="39" spans="1:28" s="10" customFormat="1" ht="15" hidden="1">
      <c r="A39" s="9"/>
      <c r="B39" s="169" cm="1">
        <f t="array" ref="B39">_xlfn.IFS(OR(Code!R70&lt;&gt;Code!U70,Code!R70=""),0,Code!R70=Code!U70,1)</f>
        <v>0</v>
      </c>
      <c r="C39" s="193" t="str">
        <f>IF(Code!F70="","",Code!F70)</f>
        <v>BLL</v>
      </c>
      <c r="D39" s="155" t="str">
        <f>IFERROR(VLOOKUP($C39,Code!$H:$K,2,FALSE),"")</f>
        <v>XLB</v>
      </c>
      <c r="E39" s="156" t="str">
        <f>IFERROR(VLOOKUP($C39,Code!$H:$K,3,FALSE),"")</f>
        <v>包裝和容器</v>
      </c>
      <c r="F39" s="157" t="str">
        <f>IFERROR(VLOOKUP($C39,Code!$H:$K,4,FALSE),"")</f>
        <v>.SPX</v>
      </c>
      <c r="G39" s="170">
        <f>IFERROR(((VLOOKUP($C39,Code!$H:$Q,9,FALSE))+(VLOOKUP($C39,Code!$H:$Q,10,FALSE)))/2*0.5/(((VLOOKUP($C39,Code!$H:$Q,7,FALSE))+(VLOOKUP($C39,Code!$H:$Q,8,FALSE)))/2),0)</f>
        <v>0.67367565055762091</v>
      </c>
      <c r="H39" s="171" t="str">
        <f t="shared" si="0"/>
        <v>L</v>
      </c>
      <c r="I39" s="170">
        <f>IFERROR((VLOOKUP($C39,Code!$H:$Q,5,FALSE))/(((VLOOKUP($C39,Code!$H:$Q,7,FALSE))+(VLOOKUP($C39,Code!$H:$Q,8,FALSE)))/2)-1,0)</f>
        <v>6.4591078066914553E-2</v>
      </c>
      <c r="J39" s="204">
        <f>IFERROR(POWER((VLOOKUP(C39,Code!H:W,12,FALSE))/(VLOOKUP(C39,Code!H:W,15,FALSE)),1/(P39-1))-1,"")</f>
        <v>0.22929994594244807</v>
      </c>
      <c r="K39" s="172" cm="1">
        <f t="array" ref="K39">IFERROR(IF(C39="","",_xlfn.IFS(AND(VLOOKUP(C39,Code!H:W,13,FALSE)=0,VLOOKUP(C39,Code!H:W,16,FALSE)=0),"無股息",AND(VLOOKUP(C39,Code!H:W,13,FALSE)=0,VLOOKUP(C39,Code!H:W,16,FALSE)&gt;0),"股息沒了",AND(VLOOKUP(C39,Code!H:W,13,FALSE)&gt;0,VLOOKUP(C39,Code!H:W,16,FALSE)=0),"發股息了",AND(VLOOKUP(C39,Code!H:W,13,FALSE)&gt;0,VLOOKUP(C39,Code!H:W,16,FALSE)&gt;0),POWER((VLOOKUP(C39,Code!H:W,13,FALSE))/(VLOOKUP(C39,Code!H:W,16,FALSE)),1/(P39-1))-1)),"")</f>
        <v>0.25017676285046786</v>
      </c>
      <c r="L39" s="173">
        <f>IFERROR(VLOOKUP(C39,Code!H:W,13,FALSE)*4/VLOOKUP(C39,Code!H:W,12,FALSE),"")</f>
        <v>7.3028234330119561E-3</v>
      </c>
      <c r="M39" s="172">
        <f t="shared" si="1"/>
        <v>0.47947670879291593</v>
      </c>
      <c r="N39" s="172" t="str">
        <f t="shared" si="2"/>
        <v>-</v>
      </c>
      <c r="O39" s="172" t="str">
        <f t="shared" si="3"/>
        <v>Value</v>
      </c>
      <c r="P39" s="205">
        <f>IFERROR(YEARFRAC(VLOOKUP(C39,Code!H:W,11,FALSE),VLOOKUP(C39,Code!H:W,14,FALSE),3),"")</f>
        <v>4.7452054794520544</v>
      </c>
      <c r="Q39" s="174">
        <v>44547</v>
      </c>
      <c r="R39" s="175" t="str">
        <f t="shared" ca="1" si="4"/>
        <v/>
      </c>
      <c r="S39" s="176">
        <f>IFERROR(VLOOKUP($C39,Code!$H:$Q,5,FALSE),"")</f>
        <v>0.2291</v>
      </c>
      <c r="T39" s="177" t="str">
        <f t="shared" ca="1" si="5"/>
        <v/>
      </c>
      <c r="U39" s="178" t="str">
        <f t="shared" ca="1" si="6"/>
        <v/>
      </c>
      <c r="V39" s="179">
        <f>IFERROR(VLOOKUP($C39,Code!$H:$Q,6,FALSE),"")</f>
        <v>80.78</v>
      </c>
      <c r="W39" s="180" t="str">
        <f t="shared" ca="1" si="7"/>
        <v/>
      </c>
      <c r="X39" s="12"/>
      <c r="Y39" s="12"/>
      <c r="Z39" s="12"/>
      <c r="AA39" s="12"/>
      <c r="AB39" s="12"/>
    </row>
    <row r="40" spans="1:28" s="10" customFormat="1" ht="15">
      <c r="A40" s="9"/>
      <c r="B40" s="169" cm="1">
        <f t="array" ref="B40">_xlfn.IFS(OR(Code!R444&lt;&gt;Code!U444,Code!R444=""),0,Code!R444=Code!U444,1)</f>
        <v>0</v>
      </c>
      <c r="C40" s="193" t="str">
        <f>IF(Code!F444="","",Code!F444)</f>
        <v>TPR</v>
      </c>
      <c r="D40" s="155" t="str">
        <f>IFERROR(VLOOKUP($C40,Code!$H:$K,2,FALSE),"")</f>
        <v>XLY</v>
      </c>
      <c r="E40" s="156" t="str">
        <f>IFERROR(VLOOKUP($C40,Code!$H:$K,3,FALSE),"")</f>
        <v>奢侈品</v>
      </c>
      <c r="F40" s="157" t="str">
        <f>IFERROR(VLOOKUP($C40,Code!$H:$K,4,FALSE),"")</f>
        <v>.SPX</v>
      </c>
      <c r="G40" s="170">
        <f>IFERROR(((VLOOKUP($C40,Code!$H:$Q,9,FALSE))+(VLOOKUP($C40,Code!$H:$Q,10,FALSE)))/2*0.5/(((VLOOKUP($C40,Code!$H:$Q,7,FALSE))+(VLOOKUP($C40,Code!$H:$Q,8,FALSE)))/2),0)</f>
        <v>0.63662823878552666</v>
      </c>
      <c r="H40" s="171" t="str">
        <f t="shared" si="0"/>
        <v>L</v>
      </c>
      <c r="I40" s="170">
        <f>IFERROR((VLOOKUP($C40,Code!$H:$Q,5,FALSE))/(((VLOOKUP($C40,Code!$H:$Q,7,FALSE))+(VLOOKUP($C40,Code!$H:$Q,8,FALSE)))/2)-1,0)</f>
        <v>5.9696381691587641E-2</v>
      </c>
      <c r="J40" s="204">
        <f>IFERROR(POWER((VLOOKUP(C40,Code!H:W,12,FALSE))/(VLOOKUP(C40,Code!H:W,15,FALSE)),1/(P40-1))-1,"")</f>
        <v>-0.14346831386834602</v>
      </c>
      <c r="K40" s="172" cm="1">
        <f t="array" ref="K40">IFERROR(IF(C40="","",_xlfn.IFS(AND(VLOOKUP(C40,Code!H:W,13,FALSE)=0,VLOOKUP(C40,Code!H:W,16,FALSE)=0),"無股息",AND(VLOOKUP(C40,Code!H:W,13,FALSE)=0,VLOOKUP(C40,Code!H:W,16,FALSE)&gt;0),"股息沒了",AND(VLOOKUP(C40,Code!H:W,13,FALSE)&gt;0,VLOOKUP(C40,Code!H:W,16,FALSE)=0),"發股息了",AND(VLOOKUP(C40,Code!H:W,13,FALSE)&gt;0,VLOOKUP(C40,Code!H:W,16,FALSE)&gt;0),POWER((VLOOKUP(C40,Code!H:W,13,FALSE))/(VLOOKUP(C40,Code!H:W,16,FALSE)),1/(P40-1))-1)),"")</f>
        <v>0</v>
      </c>
      <c r="L40" s="173">
        <f>IFERROR(VLOOKUP(C40,Code!H:W,13,FALSE)*4/VLOOKUP(C40,Code!H:W,12,FALSE),"")</f>
        <v>6.0846086488735268E-2</v>
      </c>
      <c r="M40" s="172">
        <f t="shared" si="1"/>
        <v>-0.14346831386834602</v>
      </c>
      <c r="N40" s="172" t="str">
        <f t="shared" si="2"/>
        <v>-</v>
      </c>
      <c r="O40" s="172" t="str">
        <f t="shared" si="3"/>
        <v>-</v>
      </c>
      <c r="P40" s="205">
        <f>IFERROR(YEARFRAC(VLOOKUP(C40,Code!H:W,11,FALSE),VLOOKUP(C40,Code!H:W,14,FALSE),3),"")</f>
        <v>3.4904109589041097</v>
      </c>
      <c r="Q40" s="174">
        <v>44547</v>
      </c>
      <c r="R40" s="175" t="str">
        <f t="shared" ca="1" si="4"/>
        <v/>
      </c>
      <c r="S40" s="176">
        <f>IFERROR(VLOOKUP($C40,Code!$H:$Q,5,FALSE),"")</f>
        <v>0.4642</v>
      </c>
      <c r="T40" s="177" t="str">
        <f t="shared" ca="1" si="5"/>
        <v/>
      </c>
      <c r="U40" s="178" t="str">
        <f t="shared" ca="1" si="6"/>
        <v/>
      </c>
      <c r="V40" s="179">
        <f>IFERROR(VLOOKUP($C40,Code!$H:$Q,6,FALSE),"")</f>
        <v>43.64</v>
      </c>
      <c r="W40" s="180" t="str">
        <f t="shared" ca="1" si="7"/>
        <v/>
      </c>
      <c r="X40" s="12"/>
      <c r="Y40" s="12"/>
      <c r="Z40" s="12"/>
      <c r="AA40" s="12"/>
      <c r="AB40" s="12"/>
    </row>
    <row r="41" spans="1:28" s="10" customFormat="1" ht="15" hidden="1">
      <c r="A41" s="9"/>
      <c r="B41" s="169" cm="1">
        <f t="array" ref="B41">_xlfn.IFS(OR(Code!R159&lt;&gt;Code!U159,Code!R159=""),0,Code!R159=Code!U159,1)</f>
        <v>0</v>
      </c>
      <c r="C41" s="193" t="str">
        <f>IF(Code!F159="","",Code!F159)</f>
        <v>EL</v>
      </c>
      <c r="D41" s="155" t="str">
        <f>IFERROR(VLOOKUP($C41,Code!$H:$K,2,FALSE),"")</f>
        <v>XLP</v>
      </c>
      <c r="E41" s="156" t="str">
        <f>IFERROR(VLOOKUP($C41,Code!$H:$K,3,FALSE),"")</f>
        <v>家庭及個人產品</v>
      </c>
      <c r="F41" s="157" t="str">
        <f>IFERROR(VLOOKUP($C41,Code!$H:$K,4,FALSE),"")</f>
        <v>.SPX</v>
      </c>
      <c r="G41" s="170">
        <f>IFERROR(((VLOOKUP($C41,Code!$H:$Q,9,FALSE))+(VLOOKUP($C41,Code!$H:$Q,10,FALSE)))/2*0.5/(((VLOOKUP($C41,Code!$H:$Q,7,FALSE))+(VLOOKUP($C41,Code!$H:$Q,8,FALSE)))/2),0)</f>
        <v>0.55700625229863909</v>
      </c>
      <c r="H41" s="171" t="str">
        <f t="shared" si="0"/>
        <v>M</v>
      </c>
      <c r="I41" s="170">
        <f>IFERROR((VLOOKUP($C41,Code!$H:$Q,5,FALSE))/(((VLOOKUP($C41,Code!$H:$Q,7,FALSE))+(VLOOKUP($C41,Code!$H:$Q,8,FALSE)))/2)-1,0)</f>
        <v>5.59029054799558E-2</v>
      </c>
      <c r="J41" s="204">
        <f>IFERROR(POWER((VLOOKUP(C41,Code!H:W,12,FALSE))/(VLOOKUP(C41,Code!H:W,15,FALSE)),1/(P41-1))-1,"")</f>
        <v>0.39840324392737325</v>
      </c>
      <c r="K41" s="172" cm="1">
        <f t="array" ref="K41">IFERROR(IF(C41="","",_xlfn.IFS(AND(VLOOKUP(C41,Code!H:W,13,FALSE)=0,VLOOKUP(C41,Code!H:W,16,FALSE)=0),"無股息",AND(VLOOKUP(C41,Code!H:W,13,FALSE)=0,VLOOKUP(C41,Code!H:W,16,FALSE)&gt;0),"股息沒了",AND(VLOOKUP(C41,Code!H:W,13,FALSE)&gt;0,VLOOKUP(C41,Code!H:W,16,FALSE)=0),"發股息了",AND(VLOOKUP(C41,Code!H:W,13,FALSE)&gt;0,VLOOKUP(C41,Code!H:W,16,FALSE)&gt;0),POWER((VLOOKUP(C41,Code!H:W,13,FALSE))/(VLOOKUP(C41,Code!H:W,16,FALSE)),1/(P41-1))-1)),"")</f>
        <v>0.1641053119664202</v>
      </c>
      <c r="L41" s="173">
        <f>IFERROR(VLOOKUP(C41,Code!H:W,13,FALSE)*4/VLOOKUP(C41,Code!H:W,12,FALSE),"")</f>
        <v>6.9840226824384394E-3</v>
      </c>
      <c r="M41" s="172">
        <f t="shared" si="1"/>
        <v>0.56250855589379345</v>
      </c>
      <c r="N41" s="172" t="str">
        <f t="shared" si="2"/>
        <v>-</v>
      </c>
      <c r="O41" s="172" t="str">
        <f t="shared" si="3"/>
        <v>Value</v>
      </c>
      <c r="P41" s="205">
        <f>IFERROR(YEARFRAC(VLOOKUP(C41,Code!H:W,11,FALSE),VLOOKUP(C41,Code!H:W,14,FALSE),3),"")</f>
        <v>4.7452054794520544</v>
      </c>
      <c r="Q41" s="174">
        <v>44547</v>
      </c>
      <c r="R41" s="175" t="str">
        <f t="shared" ca="1" si="4"/>
        <v/>
      </c>
      <c r="S41" s="176">
        <f>IFERROR(VLOOKUP($C41,Code!$H:$Q,5,FALSE),"")</f>
        <v>0.28710000000000002</v>
      </c>
      <c r="T41" s="177" t="str">
        <f t="shared" ca="1" si="5"/>
        <v/>
      </c>
      <c r="U41" s="178" t="str">
        <f t="shared" ca="1" si="6"/>
        <v/>
      </c>
      <c r="V41" s="179">
        <f>IFERROR(VLOOKUP($C41,Code!$H:$Q,6,FALSE),"")</f>
        <v>328.69</v>
      </c>
      <c r="W41" s="180" t="str">
        <f t="shared" ca="1" si="7"/>
        <v/>
      </c>
      <c r="X41" s="12"/>
      <c r="Y41" s="12"/>
      <c r="Z41" s="12"/>
      <c r="AA41" s="12"/>
      <c r="AB41" s="12"/>
    </row>
    <row r="42" spans="1:28" s="10" customFormat="1" ht="15" hidden="1">
      <c r="A42" s="9"/>
      <c r="B42" s="169" cm="1">
        <f t="array" ref="B42">_xlfn.IFS(OR(Code!R174&lt;&gt;Code!U174,Code!R174=""),0,Code!R174=Code!U174,1)</f>
        <v>0</v>
      </c>
      <c r="C42" s="193" t="str">
        <f>IF(Code!F174="","",Code!F174)</f>
        <v>EXPD</v>
      </c>
      <c r="D42" s="155" t="str">
        <f>IFERROR(VLOOKUP($C42,Code!$H:$K,2,FALSE),"")</f>
        <v>XLI</v>
      </c>
      <c r="E42" s="156" t="str">
        <f>IFERROR(VLOOKUP($C42,Code!$H:$K,3,FALSE),"")</f>
        <v>綜合貨運物流</v>
      </c>
      <c r="F42" s="157" t="str">
        <f>IFERROR(VLOOKUP($C42,Code!$H:$K,4,FALSE),"")</f>
        <v>.SPX</v>
      </c>
      <c r="G42" s="170">
        <f>IFERROR(((VLOOKUP($C42,Code!$H:$Q,9,FALSE))+(VLOOKUP($C42,Code!$H:$Q,10,FALSE)))/2*0.5/(((VLOOKUP($C42,Code!$H:$Q,7,FALSE))+(VLOOKUP($C42,Code!$H:$Q,8,FALSE)))/2),0)</f>
        <v>0.75559380378657492</v>
      </c>
      <c r="H42" s="171" t="str">
        <f t="shared" si="0"/>
        <v>XL</v>
      </c>
      <c r="I42" s="170">
        <f>IFERROR((VLOOKUP($C42,Code!$H:$Q,5,FALSE))/(((VLOOKUP($C42,Code!$H:$Q,7,FALSE))+(VLOOKUP($C42,Code!$H:$Q,8,FALSE)))/2)-1,0)</f>
        <v>5.5323334152938441E-2</v>
      </c>
      <c r="J42" s="204">
        <f>IFERROR(POWER((VLOOKUP(C42,Code!H:W,12,FALSE))/(VLOOKUP(C42,Code!H:W,15,FALSE)),1/(P42-1))-1,"")</f>
        <v>0.30322744914118749</v>
      </c>
      <c r="K42" s="172" cm="1">
        <f t="array" ref="K42">IFERROR(IF(C42="","",_xlfn.IFS(AND(VLOOKUP(C42,Code!H:W,13,FALSE)=0,VLOOKUP(C42,Code!H:W,16,FALSE)=0),"無股息",AND(VLOOKUP(C42,Code!H:W,13,FALSE)=0,VLOOKUP(C42,Code!H:W,16,FALSE)&gt;0),"股息沒了",AND(VLOOKUP(C42,Code!H:W,13,FALSE)&gt;0,VLOOKUP(C42,Code!H:W,16,FALSE)=0),"發股息了",AND(VLOOKUP(C42,Code!H:W,13,FALSE)&gt;0,VLOOKUP(C42,Code!H:W,16,FALSE)&gt;0),POWER((VLOOKUP(C42,Code!H:W,13,FALSE))/(VLOOKUP(C42,Code!H:W,16,FALSE)),1/(P42-1))-1)),"")</f>
        <v>0.11213969568739413</v>
      </c>
      <c r="L42" s="173">
        <f>IFERROR(VLOOKUP(C42,Code!H:W,13,FALSE)*4/VLOOKUP(C42,Code!H:W,12,FALSE),"")</f>
        <v>1.8458110867501449E-2</v>
      </c>
      <c r="M42" s="172">
        <f t="shared" si="1"/>
        <v>0.41536714482858161</v>
      </c>
      <c r="N42" s="172" t="str">
        <f t="shared" si="2"/>
        <v>-</v>
      </c>
      <c r="O42" s="172" t="str">
        <f t="shared" si="3"/>
        <v>-</v>
      </c>
      <c r="P42" s="205">
        <f>IFERROR(YEARFRAC(VLOOKUP(C42,Code!H:W,11,FALSE),VLOOKUP(C42,Code!H:W,14,FALSE),3),"")</f>
        <v>4.4958904109589044</v>
      </c>
      <c r="Q42" s="174">
        <v>44547</v>
      </c>
      <c r="R42" s="175" t="str">
        <f t="shared" ca="1" si="4"/>
        <v/>
      </c>
      <c r="S42" s="176">
        <f>IFERROR(VLOOKUP($C42,Code!$H:$Q,5,FALSE),"")</f>
        <v>0.21460000000000001</v>
      </c>
      <c r="T42" s="177" t="str">
        <f t="shared" ca="1" si="5"/>
        <v/>
      </c>
      <c r="U42" s="178" t="str">
        <f t="shared" ca="1" si="6"/>
        <v/>
      </c>
      <c r="V42" s="179">
        <f>IFERROR(VLOOKUP($C42,Code!$H:$Q,6,FALSE),"")</f>
        <v>124.16</v>
      </c>
      <c r="W42" s="180" t="str">
        <f t="shared" ca="1" si="7"/>
        <v/>
      </c>
      <c r="X42" s="12"/>
      <c r="Y42" s="12"/>
      <c r="Z42" s="12"/>
      <c r="AA42" s="12"/>
      <c r="AB42" s="12"/>
    </row>
    <row r="43" spans="1:28" s="10" customFormat="1" ht="15" hidden="1">
      <c r="A43" s="9"/>
      <c r="B43" s="169" cm="1">
        <f t="array" ref="B43">_xlfn.IFS(OR(Code!R139&lt;&gt;Code!U139,Code!R139=""),0,Code!R139=Code!U139,1)</f>
        <v>1</v>
      </c>
      <c r="C43" s="193" t="str">
        <f>IF(Code!F139="","",Code!F139)</f>
        <v>DISH</v>
      </c>
      <c r="D43" s="155" t="str">
        <f>IFERROR(VLOOKUP($C43,Code!$H:$K,2,FALSE),"")</f>
        <v>XLC</v>
      </c>
      <c r="E43" s="156" t="str">
        <f>IFERROR(VLOOKUP($C43,Code!$H:$K,3,FALSE),"")</f>
        <v>娛樂</v>
      </c>
      <c r="F43" s="157" t="str">
        <f>IFERROR(VLOOKUP($C43,Code!$H:$K,4,FALSE),"")</f>
        <v>.SPX</v>
      </c>
      <c r="G43" s="170">
        <f>IFERROR(((VLOOKUP($C43,Code!$H:$Q,9,FALSE))+(VLOOKUP($C43,Code!$H:$Q,10,FALSE)))/2*0.5/(((VLOOKUP($C43,Code!$H:$Q,7,FALSE))+(VLOOKUP($C43,Code!$H:$Q,8,FALSE)))/2),0)</f>
        <v>0.71265281173594142</v>
      </c>
      <c r="H43" s="171" t="str">
        <f t="shared" si="0"/>
        <v>XL</v>
      </c>
      <c r="I43" s="170">
        <f>IFERROR((VLOOKUP($C43,Code!$H:$Q,5,FALSE))/(((VLOOKUP($C43,Code!$H:$Q,7,FALSE))+(VLOOKUP($C43,Code!$H:$Q,8,FALSE)))/2)-1,0)</f>
        <v>5.1344743276283689E-2</v>
      </c>
      <c r="J43" s="204" t="str">
        <f>IFERROR(POWER((VLOOKUP(C43,Code!H:W,12,FALSE))/(VLOOKUP(C43,Code!H:W,15,FALSE)),1/(P43-1))-1,"")</f>
        <v/>
      </c>
      <c r="K43" s="172" t="str" cm="1">
        <f t="array" ref="K43">IFERROR(IF(C43="","",_xlfn.IFS(AND(VLOOKUP(C43,Code!H:W,13,FALSE)=0,VLOOKUP(C43,Code!H:W,16,FALSE)=0),"無股息",AND(VLOOKUP(C43,Code!H:W,13,FALSE)=0,VLOOKUP(C43,Code!H:W,16,FALSE)&gt;0),"股息沒了",AND(VLOOKUP(C43,Code!H:W,13,FALSE)&gt;0,VLOOKUP(C43,Code!H:W,16,FALSE)=0),"發股息了",AND(VLOOKUP(C43,Code!H:W,13,FALSE)&gt;0,VLOOKUP(C43,Code!H:W,16,FALSE)&gt;0),POWER((VLOOKUP(C43,Code!H:W,13,FALSE))/(VLOOKUP(C43,Code!H:W,16,FALSE)),1/(P43-1))-1)),"")</f>
        <v>無股息</v>
      </c>
      <c r="L43" s="173" t="str">
        <f>IFERROR(VLOOKUP(C43,Code!H:W,13,FALSE)*4/VLOOKUP(C43,Code!H:W,12,FALSE),"")</f>
        <v/>
      </c>
      <c r="M43" s="172" t="str">
        <f t="shared" si="1"/>
        <v/>
      </c>
      <c r="N43" s="172" t="str">
        <f t="shared" si="2"/>
        <v/>
      </c>
      <c r="O43" s="172" t="str">
        <f t="shared" si="3"/>
        <v/>
      </c>
      <c r="P43" s="205">
        <f>IFERROR(YEARFRAC(VLOOKUP(C43,Code!H:W,11,FALSE),VLOOKUP(C43,Code!H:W,14,FALSE),3),"")</f>
        <v>0</v>
      </c>
      <c r="Q43" s="174">
        <v>44547</v>
      </c>
      <c r="R43" s="175" t="str">
        <f t="shared" ca="1" si="4"/>
        <v/>
      </c>
      <c r="S43" s="176">
        <f>IFERROR(VLOOKUP($C43,Code!$H:$Q,5,FALSE),"")</f>
        <v>0.43</v>
      </c>
      <c r="T43" s="177" t="str">
        <f t="shared" ca="1" si="5"/>
        <v/>
      </c>
      <c r="U43" s="178" t="str">
        <f t="shared" ca="1" si="6"/>
        <v/>
      </c>
      <c r="V43" s="179">
        <f>IFERROR(VLOOKUP($C43,Code!$H:$Q,6,FALSE),"")</f>
        <v>41.84</v>
      </c>
      <c r="W43" s="180" t="str">
        <f t="shared" ca="1" si="7"/>
        <v/>
      </c>
      <c r="X43" s="12"/>
      <c r="Y43" s="12"/>
      <c r="Z43" s="12"/>
      <c r="AA43" s="12"/>
      <c r="AB43" s="12"/>
    </row>
    <row r="44" spans="1:28" s="10" customFormat="1" ht="15" hidden="1">
      <c r="A44" s="9"/>
      <c r="B44" s="169" cm="1">
        <f t="array" ref="B44">_xlfn.IFS(OR(Code!R109&lt;&gt;Code!U109,Code!R109=""),0,Code!R109=Code!U109,1)</f>
        <v>0</v>
      </c>
      <c r="C44" s="193" t="str">
        <f>IF(Code!F109="","",Code!F109)</f>
        <v>COG</v>
      </c>
      <c r="D44" s="155" t="str">
        <f>IFERROR(VLOOKUP($C44,Code!$H:$K,2,FALSE),"")</f>
        <v>XLE</v>
      </c>
      <c r="E44" s="156" t="str">
        <f>IFERROR(VLOOKUP($C44,Code!$H:$K,3,FALSE),"")</f>
        <v>油氣E&amp;P</v>
      </c>
      <c r="F44" s="157" t="str">
        <f>IFERROR(VLOOKUP($C44,Code!$H:$K,4,FALSE),"")</f>
        <v>.SPX</v>
      </c>
      <c r="G44" s="170">
        <f>IFERROR(((VLOOKUP($C44,Code!$H:$Q,9,FALSE))+(VLOOKUP($C44,Code!$H:$Q,10,FALSE)))/2*0.5/(((VLOOKUP($C44,Code!$H:$Q,7,FALSE))+(VLOOKUP($C44,Code!$H:$Q,8,FALSE)))/2),0)</f>
        <v>0.61703304299737316</v>
      </c>
      <c r="H44" s="171" t="str">
        <f t="shared" si="0"/>
        <v>L</v>
      </c>
      <c r="I44" s="170">
        <f>IFERROR((VLOOKUP($C44,Code!$H:$Q,5,FALSE))/(((VLOOKUP($C44,Code!$H:$Q,7,FALSE))+(VLOOKUP($C44,Code!$H:$Q,8,FALSE)))/2)-1,0)</f>
        <v>4.1614820959491094E-2</v>
      </c>
      <c r="J44" s="204">
        <f>IFERROR(POWER((VLOOKUP(C44,Code!H:W,12,FALSE))/(VLOOKUP(C44,Code!H:W,15,FALSE)),1/(P44-1))-1,"")</f>
        <v>-7.3597031044328909E-2</v>
      </c>
      <c r="K44" s="172" cm="1">
        <f t="array" ref="K44">IFERROR(IF(C44="","",_xlfn.IFS(AND(VLOOKUP(C44,Code!H:W,13,FALSE)=0,VLOOKUP(C44,Code!H:W,16,FALSE)=0),"無股息",AND(VLOOKUP(C44,Code!H:W,13,FALSE)=0,VLOOKUP(C44,Code!H:W,16,FALSE)&gt;0),"股息沒了",AND(VLOOKUP(C44,Code!H:W,13,FALSE)&gt;0,VLOOKUP(C44,Code!H:W,16,FALSE)=0),"發股息了",AND(VLOOKUP(C44,Code!H:W,13,FALSE)&gt;0,VLOOKUP(C44,Code!H:W,16,FALSE)&gt;0),POWER((VLOOKUP(C44,Code!H:W,13,FALSE))/(VLOOKUP(C44,Code!H:W,16,FALSE)),1/(P44-1))-1)),"")</f>
        <v>0.57332673767831221</v>
      </c>
      <c r="L44" s="173">
        <f>IFERROR(VLOOKUP(C44,Code!H:W,13,FALSE)*4/VLOOKUP(C44,Code!H:W,12,FALSE),"")</f>
        <v>2.5142857142857144E-2</v>
      </c>
      <c r="M44" s="172">
        <f t="shared" si="1"/>
        <v>0.49972970663398331</v>
      </c>
      <c r="N44" s="172" t="str">
        <f t="shared" si="2"/>
        <v>-</v>
      </c>
      <c r="O44" s="172" t="str">
        <f t="shared" si="3"/>
        <v>Value</v>
      </c>
      <c r="P44" s="205">
        <f>IFERROR(YEARFRAC(VLOOKUP(C44,Code!H:W,11,FALSE),VLOOKUP(C44,Code!H:W,14,FALSE),3),"")</f>
        <v>4.7616438356164386</v>
      </c>
      <c r="Q44" s="174">
        <v>44547</v>
      </c>
      <c r="R44" s="175" t="str">
        <f t="shared" ca="1" si="4"/>
        <v/>
      </c>
      <c r="S44" s="176">
        <f>IFERROR(VLOOKUP($C44,Code!$H:$Q,5,FALSE),"")</f>
        <v>0.37669999999999998</v>
      </c>
      <c r="T44" s="177" t="str">
        <f t="shared" ca="1" si="5"/>
        <v/>
      </c>
      <c r="U44" s="178" t="str">
        <f t="shared" ca="1" si="6"/>
        <v/>
      </c>
      <c r="V44" s="179">
        <f>IFERROR(VLOOKUP($C44,Code!$H:$Q,6,FALSE),"")</f>
        <v>16.04</v>
      </c>
      <c r="W44" s="180" t="str">
        <f t="shared" ca="1" si="7"/>
        <v/>
      </c>
      <c r="X44" s="12"/>
      <c r="Y44" s="12"/>
      <c r="Z44" s="12"/>
      <c r="AA44" s="12"/>
      <c r="AB44" s="12"/>
    </row>
    <row r="45" spans="1:28" s="10" customFormat="1" ht="15" hidden="1">
      <c r="A45" s="9"/>
      <c r="B45" s="169" cm="1">
        <f t="array" ref="B45">_xlfn.IFS(OR(Code!R412&lt;&gt;Code!U412,Code!R412=""),0,Code!R412=Code!U412,1)</f>
        <v>0</v>
      </c>
      <c r="C45" s="193" t="str">
        <f>IF(Code!F412="","",Code!F412)</f>
        <v>SEE</v>
      </c>
      <c r="D45" s="155" t="str">
        <f>IFERROR(VLOOKUP($C45,Code!$H:$K,2,FALSE),"")</f>
        <v>XLB</v>
      </c>
      <c r="E45" s="156" t="str">
        <f>IFERROR(VLOOKUP($C45,Code!$H:$K,3,FALSE),"")</f>
        <v>包裝和容器</v>
      </c>
      <c r="F45" s="157" t="str">
        <f>IFERROR(VLOOKUP($C45,Code!$H:$K,4,FALSE),"")</f>
        <v>.SPX</v>
      </c>
      <c r="G45" s="170">
        <f>IFERROR(((VLOOKUP($C45,Code!$H:$Q,9,FALSE))+(VLOOKUP($C45,Code!$H:$Q,10,FALSE)))/2*0.5/(((VLOOKUP($C45,Code!$H:$Q,7,FALSE))+(VLOOKUP($C45,Code!$H:$Q,8,FALSE)))/2),0)</f>
        <v>0.70698306502195274</v>
      </c>
      <c r="H45" s="171" t="str">
        <f t="shared" si="0"/>
        <v>XL</v>
      </c>
      <c r="I45" s="170">
        <f>IFERROR((VLOOKUP($C45,Code!$H:$Q,5,FALSE))/(((VLOOKUP($C45,Code!$H:$Q,7,FALSE))+(VLOOKUP($C45,Code!$H:$Q,8,FALSE)))/2)-1,0)</f>
        <v>4.0351243989128038E-2</v>
      </c>
      <c r="J45" s="204">
        <f>IFERROR(POWER((VLOOKUP(C45,Code!H:W,12,FALSE))/(VLOOKUP(C45,Code!H:W,15,FALSE)),1/(P45-1))-1,"")</f>
        <v>7.6660412588833271E-2</v>
      </c>
      <c r="K45" s="172" cm="1">
        <f t="array" ref="K45">IFERROR(IF(C45="","",_xlfn.IFS(AND(VLOOKUP(C45,Code!H:W,13,FALSE)=0,VLOOKUP(C45,Code!H:W,16,FALSE)=0),"無股息",AND(VLOOKUP(C45,Code!H:W,13,FALSE)=0,VLOOKUP(C45,Code!H:W,16,FALSE)&gt;0),"股息沒了",AND(VLOOKUP(C45,Code!H:W,13,FALSE)&gt;0,VLOOKUP(C45,Code!H:W,16,FALSE)=0),"發股息了",AND(VLOOKUP(C45,Code!H:W,13,FALSE)&gt;0,VLOOKUP(C45,Code!H:W,16,FALSE)&gt;0),POWER((VLOOKUP(C45,Code!H:W,13,FALSE))/(VLOOKUP(C45,Code!H:W,16,FALSE)),1/(P45-1))-1)),"")</f>
        <v>6.1161424106907836E-2</v>
      </c>
      <c r="L45" s="173">
        <f>IFERROR(VLOOKUP(C45,Code!H:W,13,FALSE)*4/VLOOKUP(C45,Code!H:W,12,FALSE),"")</f>
        <v>1.3838435927967489E-2</v>
      </c>
      <c r="M45" s="172">
        <f t="shared" si="1"/>
        <v>0.13782183669574111</v>
      </c>
      <c r="N45" s="172" t="str">
        <f t="shared" si="2"/>
        <v>-</v>
      </c>
      <c r="O45" s="172" t="str">
        <f t="shared" si="3"/>
        <v>-</v>
      </c>
      <c r="P45" s="205">
        <f>IFERROR(YEARFRAC(VLOOKUP(C45,Code!H:W,11,FALSE),VLOOKUP(C45,Code!H:W,14,FALSE),3),"")</f>
        <v>4.7589041095890412</v>
      </c>
      <c r="Q45" s="174">
        <v>44547</v>
      </c>
      <c r="R45" s="175" t="str">
        <f t="shared" ca="1" si="4"/>
        <v/>
      </c>
      <c r="S45" s="176">
        <f>IFERROR(VLOOKUP($C45,Code!$H:$Q,5,FALSE),"")</f>
        <v>0.24879999999999999</v>
      </c>
      <c r="T45" s="177" t="str">
        <f t="shared" ca="1" si="5"/>
        <v/>
      </c>
      <c r="U45" s="178" t="str">
        <f t="shared" ca="1" si="6"/>
        <v/>
      </c>
      <c r="V45" s="179">
        <f>IFERROR(VLOOKUP($C45,Code!$H:$Q,6,FALSE),"")</f>
        <v>58.4</v>
      </c>
      <c r="W45" s="180" t="str">
        <f t="shared" ca="1" si="7"/>
        <v/>
      </c>
      <c r="X45" s="12"/>
      <c r="Y45" s="12"/>
      <c r="Z45" s="12"/>
      <c r="AA45" s="12"/>
      <c r="AB45" s="12"/>
    </row>
    <row r="46" spans="1:28" s="10" customFormat="1" ht="15" hidden="1">
      <c r="A46" s="9"/>
      <c r="B46" s="169" cm="1">
        <f t="array" ref="B46">_xlfn.IFS(OR(Code!R32&lt;&gt;Code!U32,Code!R32=""),0,Code!R32=Code!U32,1)</f>
        <v>0</v>
      </c>
      <c r="C46" s="193" t="str">
        <f>IF(Code!F32="","",Code!F32)</f>
        <v>AMCR</v>
      </c>
      <c r="D46" s="155" t="str">
        <f>IFERROR(VLOOKUP($C46,Code!$H:$K,2,FALSE),"")</f>
        <v>XLB</v>
      </c>
      <c r="E46" s="156" t="str">
        <f>IFERROR(VLOOKUP($C46,Code!$H:$K,3,FALSE),"")</f>
        <v>包裝和容器</v>
      </c>
      <c r="F46" s="157" t="str">
        <f>IFERROR(VLOOKUP($C46,Code!$H:$K,4,FALSE),"")</f>
        <v>.SPX</v>
      </c>
      <c r="G46" s="170">
        <f>IFERROR(((VLOOKUP($C46,Code!$H:$Q,9,FALSE))+(VLOOKUP($C46,Code!$H:$Q,10,FALSE)))/2*0.5/(((VLOOKUP($C46,Code!$H:$Q,7,FALSE))+(VLOOKUP($C46,Code!$H:$Q,8,FALSE)))/2),0)</f>
        <v>0.73193096008629988</v>
      </c>
      <c r="H46" s="171" t="str">
        <f t="shared" si="0"/>
        <v>XL</v>
      </c>
      <c r="I46" s="170">
        <f>IFERROR((VLOOKUP($C46,Code!$H:$Q,5,FALSE))/(((VLOOKUP($C46,Code!$H:$Q,7,FALSE))+(VLOOKUP($C46,Code!$H:$Q,8,FALSE)))/2)-1,0)</f>
        <v>3.9913700107874872E-2</v>
      </c>
      <c r="J46" s="204">
        <f>IFERROR(POWER((VLOOKUP(C46,Code!H:W,12,FALSE))/(VLOOKUP(C46,Code!H:W,15,FALSE)),1/(P46-1))-1,"")</f>
        <v>5.4863234136828476E-2</v>
      </c>
      <c r="K46" s="172" cm="1">
        <f t="array" ref="K46">IFERROR(IF(C46="","",_xlfn.IFS(AND(VLOOKUP(C46,Code!H:W,13,FALSE)=0,VLOOKUP(C46,Code!H:W,16,FALSE)=0),"無股息",AND(VLOOKUP(C46,Code!H:W,13,FALSE)=0,VLOOKUP(C46,Code!H:W,16,FALSE)&gt;0),"股息沒了",AND(VLOOKUP(C46,Code!H:W,13,FALSE)&gt;0,VLOOKUP(C46,Code!H:W,16,FALSE)=0),"發股息了",AND(VLOOKUP(C46,Code!H:W,13,FALSE)&gt;0,VLOOKUP(C46,Code!H:W,16,FALSE)&gt;0),POWER((VLOOKUP(C46,Code!H:W,13,FALSE))/(VLOOKUP(C46,Code!H:W,16,FALSE)),1/(P46-1))-1)),"")</f>
        <v>-0.15427116524007878</v>
      </c>
      <c r="L46" s="173">
        <f>IFERROR(VLOOKUP(C46,Code!H:W,13,FALSE)*4/VLOOKUP(C46,Code!H:W,12,FALSE),"")</f>
        <v>4.0273036625080146E-2</v>
      </c>
      <c r="M46" s="172">
        <f t="shared" si="1"/>
        <v>-9.9407931103250302E-2</v>
      </c>
      <c r="N46" s="172" t="str">
        <f t="shared" si="2"/>
        <v>-</v>
      </c>
      <c r="O46" s="172" t="str">
        <f t="shared" si="3"/>
        <v>-</v>
      </c>
      <c r="P46" s="205">
        <f>IFERROR(YEARFRAC(VLOOKUP(C46,Code!H:W,11,FALSE),VLOOKUP(C46,Code!H:W,14,FALSE),3),"")</f>
        <v>4.7178082191780826</v>
      </c>
      <c r="Q46" s="174">
        <v>44547</v>
      </c>
      <c r="R46" s="175" t="str">
        <f t="shared" ca="1" si="4"/>
        <v/>
      </c>
      <c r="S46" s="176">
        <f>IFERROR(VLOOKUP($C46,Code!$H:$Q,5,FALSE),"")</f>
        <v>0.24099999999999999</v>
      </c>
      <c r="T46" s="177" t="str">
        <f t="shared" ca="1" si="5"/>
        <v/>
      </c>
      <c r="U46" s="178" t="str">
        <f t="shared" ca="1" si="6"/>
        <v/>
      </c>
      <c r="V46" s="179">
        <f>IFERROR(VLOOKUP($C46,Code!$H:$Q,6,FALSE),"")</f>
        <v>11.81</v>
      </c>
      <c r="W46" s="180" t="str">
        <f t="shared" ca="1" si="7"/>
        <v/>
      </c>
      <c r="X46" s="12"/>
      <c r="Y46" s="12"/>
      <c r="Z46" s="12"/>
      <c r="AA46" s="12"/>
      <c r="AB46" s="12"/>
    </row>
    <row r="47" spans="1:28" s="10" customFormat="1" ht="15" hidden="1">
      <c r="A47" s="9"/>
      <c r="B47" s="169" cm="1">
        <f t="array" ref="B47">_xlfn.IFS(OR(Code!R343&lt;&gt;Code!U343,Code!R343=""),0,Code!R343=Code!U343,1)</f>
        <v>0</v>
      </c>
      <c r="C47" s="193" t="str">
        <f>IF(Code!F343="","",Code!F343)</f>
        <v>NUE</v>
      </c>
      <c r="D47" s="155" t="str">
        <f>IFERROR(VLOOKUP($C47,Code!$H:$K,2,FALSE),"")</f>
        <v>XLB</v>
      </c>
      <c r="E47" s="156" t="str">
        <f>IFERROR(VLOOKUP($C47,Code!$H:$K,3,FALSE),"")</f>
        <v>鋼鐵</v>
      </c>
      <c r="F47" s="157" t="str">
        <f>IFERROR(VLOOKUP($C47,Code!$H:$K,4,FALSE),"")</f>
        <v>.SPX</v>
      </c>
      <c r="G47" s="170">
        <f>IFERROR(((VLOOKUP($C47,Code!$H:$Q,9,FALSE))+(VLOOKUP($C47,Code!$H:$Q,10,FALSE)))/2*0.5/(((VLOOKUP($C47,Code!$H:$Q,7,FALSE))+(VLOOKUP($C47,Code!$H:$Q,8,FALSE)))/2),0)</f>
        <v>0.49258278145695372</v>
      </c>
      <c r="H47" s="171" t="str">
        <f t="shared" si="0"/>
        <v>S</v>
      </c>
      <c r="I47" s="170">
        <f>IFERROR((VLOOKUP($C47,Code!$H:$Q,5,FALSE))/(((VLOOKUP($C47,Code!$H:$Q,7,FALSE))+(VLOOKUP($C47,Code!$H:$Q,8,FALSE)))/2)-1,0)</f>
        <v>3.7086092715231889E-2</v>
      </c>
      <c r="J47" s="204">
        <f>IFERROR(POWER((VLOOKUP(C47,Code!H:W,12,FALSE))/(VLOOKUP(C47,Code!H:W,15,FALSE)),1/(P47-1))-1,"")</f>
        <v>0.230489560047348</v>
      </c>
      <c r="K47" s="172" cm="1">
        <f t="array" ref="K47">IFERROR(IF(C47="","",_xlfn.IFS(AND(VLOOKUP(C47,Code!H:W,13,FALSE)=0,VLOOKUP(C47,Code!H:W,16,FALSE)=0),"無股息",AND(VLOOKUP(C47,Code!H:W,13,FALSE)=0,VLOOKUP(C47,Code!H:W,16,FALSE)&gt;0),"股息沒了",AND(VLOOKUP(C47,Code!H:W,13,FALSE)&gt;0,VLOOKUP(C47,Code!H:W,16,FALSE)=0),"發股息了",AND(VLOOKUP(C47,Code!H:W,13,FALSE)&gt;0,VLOOKUP(C47,Code!H:W,16,FALSE)&gt;0),POWER((VLOOKUP(C47,Code!H:W,13,FALSE))/(VLOOKUP(C47,Code!H:W,16,FALSE)),1/(P47-1))-1)),"")</f>
        <v>2.0715874622975194E-2</v>
      </c>
      <c r="L47" s="173">
        <f>IFERROR(VLOOKUP(C47,Code!H:W,13,FALSE)*4/VLOOKUP(C47,Code!H:W,12,FALSE),"")</f>
        <v>1.7119307270628586E-2</v>
      </c>
      <c r="M47" s="172">
        <f t="shared" si="1"/>
        <v>0.25120543467032319</v>
      </c>
      <c r="N47" s="172" t="str">
        <f t="shared" si="2"/>
        <v>-</v>
      </c>
      <c r="O47" s="172" t="str">
        <f t="shared" si="3"/>
        <v>-</v>
      </c>
      <c r="P47" s="205">
        <f>IFERROR(YEARFRAC(VLOOKUP(C47,Code!H:W,11,FALSE),VLOOKUP(C47,Code!H:W,14,FALSE),3),"")</f>
        <v>4.7534246575342465</v>
      </c>
      <c r="Q47" s="174">
        <v>44547</v>
      </c>
      <c r="R47" s="175" t="str">
        <f t="shared" ca="1" si="4"/>
        <v/>
      </c>
      <c r="S47" s="176">
        <f>IFERROR(VLOOKUP($C47,Code!$H:$Q,5,FALSE),"")</f>
        <v>0.39150000000000001</v>
      </c>
      <c r="T47" s="177" t="str">
        <f t="shared" ca="1" si="5"/>
        <v/>
      </c>
      <c r="U47" s="178" t="str">
        <f t="shared" ca="1" si="6"/>
        <v/>
      </c>
      <c r="V47" s="179">
        <f>IFERROR(VLOOKUP($C47,Code!$H:$Q,6,FALSE),"")</f>
        <v>103.77</v>
      </c>
      <c r="W47" s="180" t="str">
        <f t="shared" ca="1" si="7"/>
        <v/>
      </c>
      <c r="X47" s="12"/>
      <c r="Y47" s="12"/>
      <c r="Z47" s="12"/>
      <c r="AA47" s="12"/>
      <c r="AB47" s="12"/>
    </row>
    <row r="48" spans="1:28" s="10" customFormat="1" ht="15" hidden="1">
      <c r="A48" s="9"/>
      <c r="B48" s="169" cm="1">
        <f t="array" ref="B48">_xlfn.IFS(OR(Code!R169&lt;&gt;Code!U169,Code!R169=""),0,Code!R169=Code!U169,1)</f>
        <v>0</v>
      </c>
      <c r="C48" s="193" t="str">
        <f>IF(Code!F169="","",Code!F169)</f>
        <v>ETR</v>
      </c>
      <c r="D48" s="155" t="str">
        <f>IFERROR(VLOOKUP($C48,Code!$H:$K,2,FALSE),"")</f>
        <v>XLU</v>
      </c>
      <c r="E48" s="156" t="str">
        <f>IFERROR(VLOOKUP($C48,Code!$H:$K,3,FALSE),"")</f>
        <v>公用事業—受監督的電力</v>
      </c>
      <c r="F48" s="157" t="str">
        <f>IFERROR(VLOOKUP($C48,Code!$H:$K,4,FALSE),"")</f>
        <v>.SPX</v>
      </c>
      <c r="G48" s="170">
        <f>IFERROR(((VLOOKUP($C48,Code!$H:$Q,9,FALSE))+(VLOOKUP($C48,Code!$H:$Q,10,FALSE)))/2*0.5/(((VLOOKUP($C48,Code!$H:$Q,7,FALSE))+(VLOOKUP($C48,Code!$H:$Q,8,FALSE)))/2),0)</f>
        <v>0.64050179211469527</v>
      </c>
      <c r="H48" s="171" t="str">
        <f t="shared" si="0"/>
        <v>L</v>
      </c>
      <c r="I48" s="170">
        <f>IFERROR((VLOOKUP($C48,Code!$H:$Q,5,FALSE))/(((VLOOKUP($C48,Code!$H:$Q,7,FALSE))+(VLOOKUP($C48,Code!$H:$Q,8,FALSE)))/2)-1,0)</f>
        <v>3.6081242532855384E-2</v>
      </c>
      <c r="J48" s="204">
        <f>IFERROR(POWER((VLOOKUP(C48,Code!H:W,12,FALSE))/(VLOOKUP(C48,Code!H:W,15,FALSE)),1/(P48-1))-1,"")</f>
        <v>0.14194111462641801</v>
      </c>
      <c r="K48" s="172" cm="1">
        <f t="array" ref="K48">IFERROR(IF(C48="","",_xlfn.IFS(AND(VLOOKUP(C48,Code!H:W,13,FALSE)=0,VLOOKUP(C48,Code!H:W,16,FALSE)=0),"無股息",AND(VLOOKUP(C48,Code!H:W,13,FALSE)=0,VLOOKUP(C48,Code!H:W,16,FALSE)&gt;0),"股息沒了",AND(VLOOKUP(C48,Code!H:W,13,FALSE)&gt;0,VLOOKUP(C48,Code!H:W,16,FALSE)=0),"發股息了",AND(VLOOKUP(C48,Code!H:W,13,FALSE)&gt;0,VLOOKUP(C48,Code!H:W,16,FALSE)&gt;0),POWER((VLOOKUP(C48,Code!H:W,13,FALSE))/(VLOOKUP(C48,Code!H:W,16,FALSE)),1/(P48-1))-1)),"")</f>
        <v>3.0188353855866712E-2</v>
      </c>
      <c r="L48" s="173">
        <f>IFERROR(VLOOKUP(C48,Code!H:W,13,FALSE)*4/VLOOKUP(C48,Code!H:W,12,FALSE),"")</f>
        <v>3.5533943456585164E-2</v>
      </c>
      <c r="M48" s="172">
        <f t="shared" si="1"/>
        <v>0.17212946848228472</v>
      </c>
      <c r="N48" s="172" t="str">
        <f t="shared" si="2"/>
        <v>-</v>
      </c>
      <c r="O48" s="172" t="str">
        <f t="shared" si="3"/>
        <v>-</v>
      </c>
      <c r="P48" s="205">
        <f>IFERROR(YEARFRAC(VLOOKUP(C48,Code!H:W,11,FALSE),VLOOKUP(C48,Code!H:W,14,FALSE),3),"")</f>
        <v>4.7397260273972606</v>
      </c>
      <c r="Q48" s="174">
        <v>44547</v>
      </c>
      <c r="R48" s="175" t="str">
        <f t="shared" ca="1" si="4"/>
        <v/>
      </c>
      <c r="S48" s="176">
        <f>IFERROR(VLOOKUP($C48,Code!$H:$Q,5,FALSE),"")</f>
        <v>0.21679999999999999</v>
      </c>
      <c r="T48" s="177" t="str">
        <f t="shared" ca="1" si="5"/>
        <v/>
      </c>
      <c r="U48" s="178" t="str">
        <f t="shared" ca="1" si="6"/>
        <v/>
      </c>
      <c r="V48" s="179">
        <f>IFERROR(VLOOKUP($C48,Code!$H:$Q,6,FALSE),"")</f>
        <v>106.6</v>
      </c>
      <c r="W48" s="180" t="str">
        <f t="shared" ca="1" si="7"/>
        <v/>
      </c>
      <c r="X48" s="12"/>
      <c r="Y48" s="12"/>
      <c r="Z48" s="12"/>
      <c r="AA48" s="12"/>
      <c r="AB48" s="12"/>
    </row>
    <row r="49" spans="1:28" s="10" customFormat="1" ht="15">
      <c r="A49" s="9"/>
      <c r="B49" s="169" cm="1">
        <f t="array" ref="B49">_xlfn.IFS(OR(Code!R122&lt;&gt;Code!U122,Code!R122=""),0,Code!R122=Code!U122,1)</f>
        <v>0</v>
      </c>
      <c r="C49" s="193" t="str">
        <f>IF(Code!F122="","",Code!F122)</f>
        <v>CTVA</v>
      </c>
      <c r="D49" s="155" t="str">
        <f>IFERROR(VLOOKUP($C49,Code!$H:$K,2,FALSE),"")</f>
        <v>XLB</v>
      </c>
      <c r="E49" s="156" t="str">
        <f>IFERROR(VLOOKUP($C49,Code!$H:$K,3,FALSE),"")</f>
        <v>農業投入</v>
      </c>
      <c r="F49" s="157" t="str">
        <f>IFERROR(VLOOKUP($C49,Code!$H:$K,4,FALSE),"")</f>
        <v>.SPX</v>
      </c>
      <c r="G49" s="170">
        <f>IFERROR(((VLOOKUP($C49,Code!$H:$Q,9,FALSE))+(VLOOKUP($C49,Code!$H:$Q,10,FALSE)))/2*0.5/(((VLOOKUP($C49,Code!$H:$Q,7,FALSE))+(VLOOKUP($C49,Code!$H:$Q,8,FALSE)))/2),0)</f>
        <v>0.59117082533589249</v>
      </c>
      <c r="H49" s="171" t="str">
        <f t="shared" si="0"/>
        <v>M</v>
      </c>
      <c r="I49" s="170">
        <f>IFERROR((VLOOKUP($C49,Code!$H:$Q,5,FALSE))/(((VLOOKUP($C49,Code!$H:$Q,7,FALSE))+(VLOOKUP($C49,Code!$H:$Q,8,FALSE)))/2)-1,0)</f>
        <v>3.358925143953928E-2</v>
      </c>
      <c r="J49" s="204">
        <f>IFERROR(POWER((VLOOKUP(C49,Code!H:W,12,FALSE))/(VLOOKUP(C49,Code!H:W,15,FALSE)),1/(P49-1))-1,"")</f>
        <v>0.84860577555479577</v>
      </c>
      <c r="K49" s="172" cm="1">
        <f t="array" ref="K49">IFERROR(IF(C49="","",_xlfn.IFS(AND(VLOOKUP(C49,Code!H:W,13,FALSE)=0,VLOOKUP(C49,Code!H:W,16,FALSE)=0),"無股息",AND(VLOOKUP(C49,Code!H:W,13,FALSE)=0,VLOOKUP(C49,Code!H:W,16,FALSE)&gt;0),"股息沒了",AND(VLOOKUP(C49,Code!H:W,13,FALSE)&gt;0,VLOOKUP(C49,Code!H:W,16,FALSE)=0),"發股息了",AND(VLOOKUP(C49,Code!H:W,13,FALSE)&gt;0,VLOOKUP(C49,Code!H:W,16,FALSE)&gt;0),POWER((VLOOKUP(C49,Code!H:W,13,FALSE))/(VLOOKUP(C49,Code!H:W,16,FALSE)),1/(P49-1))-1)),"")</f>
        <v>0</v>
      </c>
      <c r="L49" s="173">
        <f>IFERROR(VLOOKUP(C49,Code!H:W,13,FALSE)*4/VLOOKUP(C49,Code!H:W,12,FALSE),"")</f>
        <v>1.1324042263391568E-2</v>
      </c>
      <c r="M49" s="172">
        <f t="shared" si="1"/>
        <v>0.84860577555479577</v>
      </c>
      <c r="N49" s="172" t="str">
        <f t="shared" si="2"/>
        <v>-</v>
      </c>
      <c r="O49" s="172" t="str">
        <f t="shared" si="3"/>
        <v>-</v>
      </c>
      <c r="P49" s="205">
        <f>IFERROR(YEARFRAC(VLOOKUP(C49,Code!H:W,11,FALSE),VLOOKUP(C49,Code!H:W,14,FALSE),3),"")</f>
        <v>1.789041095890411</v>
      </c>
      <c r="Q49" s="174">
        <v>44547</v>
      </c>
      <c r="R49" s="175" t="str">
        <f t="shared" ca="1" si="4"/>
        <v/>
      </c>
      <c r="S49" s="176">
        <f>IFERROR(VLOOKUP($C49,Code!$H:$Q,5,FALSE),"")</f>
        <v>0.3231</v>
      </c>
      <c r="T49" s="177" t="str">
        <f t="shared" ca="1" si="5"/>
        <v/>
      </c>
      <c r="U49" s="178" t="str">
        <f t="shared" ca="1" si="6"/>
        <v/>
      </c>
      <c r="V49" s="179">
        <f>IFERROR(VLOOKUP($C49,Code!$H:$Q,6,FALSE),"")</f>
        <v>41.44</v>
      </c>
      <c r="W49" s="180" t="str">
        <f t="shared" ca="1" si="7"/>
        <v/>
      </c>
      <c r="X49" s="12"/>
      <c r="Y49" s="12"/>
      <c r="Z49" s="12"/>
      <c r="AA49" s="12"/>
      <c r="AB49" s="12"/>
    </row>
    <row r="50" spans="1:28" s="10" customFormat="1" ht="15" hidden="1">
      <c r="A50" s="9"/>
      <c r="B50" s="169" cm="1">
        <f t="array" ref="B50">_xlfn.IFS(OR(Code!R154&lt;&gt;Code!U154,Code!R154=""),0,Code!R154=Code!U154,1)</f>
        <v>0</v>
      </c>
      <c r="C50" s="193" t="str">
        <f>IF(Code!F154="","",Code!F154)</f>
        <v>EBAY</v>
      </c>
      <c r="D50" s="155" t="str">
        <f>IFERROR(VLOOKUP($C50,Code!$H:$K,2,FALSE),"")</f>
        <v>XLY</v>
      </c>
      <c r="E50" s="156" t="str">
        <f>IFERROR(VLOOKUP($C50,Code!$H:$K,3,FALSE),"")</f>
        <v>互聯網零售</v>
      </c>
      <c r="F50" s="157" t="str">
        <f>IFERROR(VLOOKUP($C50,Code!$H:$K,4,FALSE),"")</f>
        <v>.SPX</v>
      </c>
      <c r="G50" s="170">
        <f>IFERROR(((VLOOKUP($C50,Code!$H:$Q,9,FALSE))+(VLOOKUP($C50,Code!$H:$Q,10,FALSE)))/2*0.5/(((VLOOKUP($C50,Code!$H:$Q,7,FALSE))+(VLOOKUP($C50,Code!$H:$Q,8,FALSE)))/2),0)</f>
        <v>0.53518412789037972</v>
      </c>
      <c r="H50" s="171" t="str">
        <f t="shared" si="0"/>
        <v>M</v>
      </c>
      <c r="I50" s="170">
        <f>IFERROR((VLOOKUP($C50,Code!$H:$Q,5,FALSE))/(((VLOOKUP($C50,Code!$H:$Q,7,FALSE))+(VLOOKUP($C50,Code!$H:$Q,8,FALSE)))/2)-1,0)</f>
        <v>3.3399942906080504E-2</v>
      </c>
      <c r="J50" s="204">
        <f>IFERROR(POWER((VLOOKUP(C50,Code!H:W,12,FALSE))/(VLOOKUP(C50,Code!H:W,15,FALSE)),1/(P50-1))-1,"")</f>
        <v>0.52453477882766553</v>
      </c>
      <c r="K50" s="172" cm="1">
        <f t="array" ref="K50">IFERROR(IF(C50="","",_xlfn.IFS(AND(VLOOKUP(C50,Code!H:W,13,FALSE)=0,VLOOKUP(C50,Code!H:W,16,FALSE)=0),"無股息",AND(VLOOKUP(C50,Code!H:W,13,FALSE)=0,VLOOKUP(C50,Code!H:W,16,FALSE)&gt;0),"股息沒了",AND(VLOOKUP(C50,Code!H:W,13,FALSE)&gt;0,VLOOKUP(C50,Code!H:W,16,FALSE)=0),"發股息了",AND(VLOOKUP(C50,Code!H:W,13,FALSE)&gt;0,VLOOKUP(C50,Code!H:W,16,FALSE)&gt;0),POWER((VLOOKUP(C50,Code!H:W,13,FALSE))/(VLOOKUP(C50,Code!H:W,16,FALSE)),1/(P50-1))-1)),"")</f>
        <v>0.2233633159237669</v>
      </c>
      <c r="L50" s="173">
        <f>IFERROR(VLOOKUP(C50,Code!H:W,13,FALSE)*4/VLOOKUP(C50,Code!H:W,12,FALSE),"")</f>
        <v>1.1826543813532996E-2</v>
      </c>
      <c r="M50" s="172">
        <f t="shared" si="1"/>
        <v>0.74789809475143243</v>
      </c>
      <c r="N50" s="172" t="str">
        <f t="shared" si="2"/>
        <v>-</v>
      </c>
      <c r="O50" s="172" t="str">
        <f t="shared" si="3"/>
        <v>Value</v>
      </c>
      <c r="P50" s="205">
        <f>IFERROR(YEARFRAC(VLOOKUP(C50,Code!H:W,11,FALSE),VLOOKUP(C50,Code!H:W,14,FALSE),3),"")</f>
        <v>2.2465753424657535</v>
      </c>
      <c r="Q50" s="174">
        <v>44547</v>
      </c>
      <c r="R50" s="175" t="str">
        <f t="shared" ca="1" si="4"/>
        <v/>
      </c>
      <c r="S50" s="176">
        <f>IFERROR(VLOOKUP($C50,Code!$H:$Q,5,FALSE),"")</f>
        <v>0.36199999999999999</v>
      </c>
      <c r="T50" s="177" t="str">
        <f t="shared" ca="1" si="5"/>
        <v/>
      </c>
      <c r="U50" s="178" t="str">
        <f t="shared" ca="1" si="6"/>
        <v/>
      </c>
      <c r="V50" s="179">
        <f>IFERROR(VLOOKUP($C50,Code!$H:$Q,6,FALSE),"")</f>
        <v>67.28</v>
      </c>
      <c r="W50" s="180" t="str">
        <f t="shared" ca="1" si="7"/>
        <v/>
      </c>
      <c r="X50" s="12"/>
      <c r="Y50" s="12"/>
      <c r="Z50" s="12"/>
      <c r="AA50" s="12"/>
      <c r="AB50" s="12"/>
    </row>
    <row r="51" spans="1:28" s="10" customFormat="1" ht="15" hidden="1">
      <c r="A51" s="9"/>
      <c r="B51" s="169" cm="1">
        <f t="array" ref="B51">_xlfn.IFS(OR(Code!R60&lt;&gt;Code!U60,Code!R60=""),0,Code!R60=Code!U60,1)</f>
        <v>0</v>
      </c>
      <c r="C51" s="193" t="str">
        <f>IF(Code!F60="","",Code!F60)</f>
        <v>BBY</v>
      </c>
      <c r="D51" s="155" t="str">
        <f>IFERROR(VLOOKUP($C51,Code!$H:$K,2,FALSE),"")</f>
        <v>XLY</v>
      </c>
      <c r="E51" s="156" t="str">
        <f>IFERROR(VLOOKUP($C51,Code!$H:$K,3,FALSE),"")</f>
        <v>專業零售</v>
      </c>
      <c r="F51" s="157" t="str">
        <f>IFERROR(VLOOKUP($C51,Code!$H:$K,4,FALSE),"")</f>
        <v>.SPX</v>
      </c>
      <c r="G51" s="170">
        <f>IFERROR(((VLOOKUP($C51,Code!$H:$Q,9,FALSE))+(VLOOKUP($C51,Code!$H:$Q,10,FALSE)))/2*0.5/(((VLOOKUP($C51,Code!$H:$Q,7,FALSE))+(VLOOKUP($C51,Code!$H:$Q,8,FALSE)))/2),0)</f>
        <v>0.53924566768603466</v>
      </c>
      <c r="H51" s="171" t="str">
        <f t="shared" si="0"/>
        <v>M</v>
      </c>
      <c r="I51" s="170">
        <f>IFERROR((VLOOKUP($C51,Code!$H:$Q,5,FALSE))/(((VLOOKUP($C51,Code!$H:$Q,7,FALSE))+(VLOOKUP($C51,Code!$H:$Q,8,FALSE)))/2)-1,0)</f>
        <v>2.9561671763506547E-2</v>
      </c>
      <c r="J51" s="204">
        <f>IFERROR(POWER((VLOOKUP(C51,Code!H:W,12,FALSE))/(VLOOKUP(C51,Code!H:W,15,FALSE)),1/(P51-1))-1,"")</f>
        <v>0.38053384528862177</v>
      </c>
      <c r="K51" s="172" cm="1">
        <f t="array" ref="K51">IFERROR(IF(C51="","",_xlfn.IFS(AND(VLOOKUP(C51,Code!H:W,13,FALSE)=0,VLOOKUP(C51,Code!H:W,16,FALSE)=0),"無股息",AND(VLOOKUP(C51,Code!H:W,13,FALSE)=0,VLOOKUP(C51,Code!H:W,16,FALSE)&gt;0),"股息沒了",AND(VLOOKUP(C51,Code!H:W,13,FALSE)&gt;0,VLOOKUP(C51,Code!H:W,16,FALSE)=0),"發股息了",AND(VLOOKUP(C51,Code!H:W,13,FALSE)&gt;0,VLOOKUP(C51,Code!H:W,16,FALSE)&gt;0),POWER((VLOOKUP(C51,Code!H:W,13,FALSE))/(VLOOKUP(C51,Code!H:W,16,FALSE)),1/(P51-1))-1)),"")</f>
        <v>0.27514101331471386</v>
      </c>
      <c r="L51" s="173">
        <f>IFERROR(VLOOKUP(C51,Code!H:W,13,FALSE)*4/VLOOKUP(C51,Code!H:W,12,FALSE),"")</f>
        <v>2.5477706652630827E-2</v>
      </c>
      <c r="M51" s="172">
        <f t="shared" si="1"/>
        <v>0.65567485860333563</v>
      </c>
      <c r="N51" s="172" t="str">
        <f t="shared" si="2"/>
        <v>-</v>
      </c>
      <c r="O51" s="172" t="str">
        <f t="shared" si="3"/>
        <v>Value</v>
      </c>
      <c r="P51" s="205">
        <f>IFERROR(YEARFRAC(VLOOKUP(C51,Code!H:W,11,FALSE),VLOOKUP(C51,Code!H:W,14,FALSE),3),"")</f>
        <v>4.7698630136986298</v>
      </c>
      <c r="Q51" s="174">
        <v>44547</v>
      </c>
      <c r="R51" s="175" t="str">
        <f t="shared" ca="1" si="4"/>
        <v/>
      </c>
      <c r="S51" s="176">
        <f>IFERROR(VLOOKUP($C51,Code!$H:$Q,5,FALSE),"")</f>
        <v>0.35349999999999998</v>
      </c>
      <c r="T51" s="177" t="str">
        <f t="shared" ca="1" si="5"/>
        <v/>
      </c>
      <c r="U51" s="178" t="str">
        <f t="shared" ca="1" si="6"/>
        <v/>
      </c>
      <c r="V51" s="179">
        <f>IFERROR(VLOOKUP($C51,Code!$H:$Q,6,FALSE),"")</f>
        <v>115.37</v>
      </c>
      <c r="W51" s="180" t="str">
        <f t="shared" ca="1" si="7"/>
        <v/>
      </c>
      <c r="X51" s="12"/>
      <c r="Y51" s="12"/>
      <c r="Z51" s="12"/>
      <c r="AA51" s="12"/>
      <c r="AB51" s="12"/>
    </row>
    <row r="52" spans="1:28" s="10" customFormat="1" ht="15">
      <c r="A52" s="9"/>
      <c r="B52" s="169" cm="1">
        <f t="array" ref="B52">_xlfn.IFS(OR(Code!R347&lt;&gt;Code!U347,Code!R347=""),0,Code!R347=Code!U347,1)</f>
        <v>0</v>
      </c>
      <c r="C52" s="193" t="str">
        <f>IF(Code!F347="","",Code!F347)</f>
        <v>NWS</v>
      </c>
      <c r="D52" s="155" t="str">
        <f>IFERROR(VLOOKUP($C52,Code!$H:$K,2,FALSE),"")</f>
        <v>XLC</v>
      </c>
      <c r="E52" s="156" t="str">
        <f>IFERROR(VLOOKUP($C52,Code!$H:$K,3,FALSE),"")</f>
        <v>廣播</v>
      </c>
      <c r="F52" s="157" t="str">
        <f>IFERROR(VLOOKUP($C52,Code!$H:$K,4,FALSE),"")</f>
        <v>.SPX</v>
      </c>
      <c r="G52" s="170">
        <f>IFERROR(((VLOOKUP($C52,Code!$H:$Q,9,FALSE))+(VLOOKUP($C52,Code!$H:$Q,10,FALSE)))/2*0.5/(((VLOOKUP($C52,Code!$H:$Q,7,FALSE))+(VLOOKUP($C52,Code!$H:$Q,8,FALSE)))/2),0)</f>
        <v>0.95438512105178763</v>
      </c>
      <c r="H52" s="171" t="str">
        <f t="shared" si="0"/>
        <v>XL</v>
      </c>
      <c r="I52" s="170">
        <f>IFERROR((VLOOKUP($C52,Code!$H:$Q,5,FALSE))/(((VLOOKUP($C52,Code!$H:$Q,7,FALSE))+(VLOOKUP($C52,Code!$H:$Q,8,FALSE)))/2)-1,0)</f>
        <v>2.5813692480359141E-2</v>
      </c>
      <c r="J52" s="204">
        <f>IFERROR(POWER((VLOOKUP(C52,Code!H:W,12,FALSE))/(VLOOKUP(C52,Code!H:W,15,FALSE)),1/(P52-1))-1,"")</f>
        <v>0.19217655658971244</v>
      </c>
      <c r="K52" s="172" cm="1">
        <f t="array" ref="K52">IFERROR(IF(C52="","",_xlfn.IFS(AND(VLOOKUP(C52,Code!H:W,13,FALSE)=0,VLOOKUP(C52,Code!H:W,16,FALSE)=0),"無股息",AND(VLOOKUP(C52,Code!H:W,13,FALSE)=0,VLOOKUP(C52,Code!H:W,16,FALSE)&gt;0),"股息沒了",AND(VLOOKUP(C52,Code!H:W,13,FALSE)&gt;0,VLOOKUP(C52,Code!H:W,16,FALSE)=0),"發股息了",AND(VLOOKUP(C52,Code!H:W,13,FALSE)&gt;0,VLOOKUP(C52,Code!H:W,16,FALSE)&gt;0),POWER((VLOOKUP(C52,Code!H:W,13,FALSE))/(VLOOKUP(C52,Code!H:W,16,FALSE)),1/(P52-1))-1)),"")</f>
        <v>0</v>
      </c>
      <c r="L52" s="173">
        <f>IFERROR(VLOOKUP(C52,Code!H:W,13,FALSE)*4/VLOOKUP(C52,Code!H:W,12,FALSE),"")</f>
        <v>1.5860428663381981E-2</v>
      </c>
      <c r="M52" s="172">
        <f t="shared" si="1"/>
        <v>0.19217655658971244</v>
      </c>
      <c r="N52" s="172" t="str">
        <f t="shared" si="2"/>
        <v>-</v>
      </c>
      <c r="O52" s="172" t="str">
        <f t="shared" si="3"/>
        <v>-</v>
      </c>
      <c r="P52" s="205">
        <f>IFERROR(YEARFRAC(VLOOKUP(C52,Code!H:W,11,FALSE),VLOOKUP(C52,Code!H:W,14,FALSE),3),"")</f>
        <v>4.5095890410958903</v>
      </c>
      <c r="Q52" s="174">
        <v>44547</v>
      </c>
      <c r="R52" s="175" t="str">
        <f t="shared" ca="1" si="4"/>
        <v/>
      </c>
      <c r="S52" s="176">
        <f>IFERROR(VLOOKUP($C52,Code!$H:$Q,5,FALSE),"")</f>
        <v>0.31990000000000002</v>
      </c>
      <c r="T52" s="177" t="str">
        <f t="shared" ca="1" si="5"/>
        <v/>
      </c>
      <c r="U52" s="178" t="str">
        <f t="shared" ca="1" si="6"/>
        <v/>
      </c>
      <c r="V52" s="179">
        <f>IFERROR(VLOOKUP($C52,Code!$H:$Q,6,FALSE),"")</f>
        <v>24.44</v>
      </c>
      <c r="W52" s="180" t="str">
        <f t="shared" ca="1" si="7"/>
        <v/>
      </c>
      <c r="X52" s="12"/>
      <c r="Y52" s="12"/>
      <c r="Z52" s="12"/>
      <c r="AA52" s="12"/>
      <c r="AB52" s="12"/>
    </row>
    <row r="53" spans="1:28" s="10" customFormat="1" ht="15" hidden="1">
      <c r="A53" s="9"/>
      <c r="B53" s="169" cm="1">
        <f t="array" ref="B53">_xlfn.IFS(OR(Code!R407&lt;&gt;Code!U407,Code!R407=""),0,Code!R407=Code!U407,1)</f>
        <v>0</v>
      </c>
      <c r="C53" s="193" t="str">
        <f>IF(Code!F407="","",Code!F407)</f>
        <v>RSG</v>
      </c>
      <c r="D53" s="155" t="str">
        <f>IFERROR(VLOOKUP($C53,Code!$H:$K,2,FALSE),"")</f>
        <v>XLI</v>
      </c>
      <c r="E53" s="156" t="str">
        <f>IFERROR(VLOOKUP($C53,Code!$H:$K,3,FALSE),"")</f>
        <v>廢物管理</v>
      </c>
      <c r="F53" s="157" t="str">
        <f>IFERROR(VLOOKUP($C53,Code!$H:$K,4,FALSE),"")</f>
        <v>.SPX</v>
      </c>
      <c r="G53" s="170">
        <f>IFERROR(((VLOOKUP($C53,Code!$H:$Q,9,FALSE))+(VLOOKUP($C53,Code!$H:$Q,10,FALSE)))/2*0.5/(((VLOOKUP($C53,Code!$H:$Q,7,FALSE))+(VLOOKUP($C53,Code!$H:$Q,8,FALSE)))/2),0)</f>
        <v>0.63533408833522076</v>
      </c>
      <c r="H53" s="171" t="str">
        <f t="shared" si="0"/>
        <v>L</v>
      </c>
      <c r="I53" s="170">
        <f>IFERROR((VLOOKUP($C53,Code!$H:$Q,5,FALSE))/(((VLOOKUP($C53,Code!$H:$Q,7,FALSE))+(VLOOKUP($C53,Code!$H:$Q,8,FALSE)))/2)-1,0)</f>
        <v>2.3782559456398511E-2</v>
      </c>
      <c r="J53" s="204">
        <f>IFERROR(POWER((VLOOKUP(C53,Code!H:W,12,FALSE))/(VLOOKUP(C53,Code!H:W,15,FALSE)),1/(P53-1))-1,"")</f>
        <v>0.26406454348896458</v>
      </c>
      <c r="K53" s="172" cm="1">
        <f t="array" ref="K53">IFERROR(IF(C53="","",_xlfn.IFS(AND(VLOOKUP(C53,Code!H:W,13,FALSE)=0,VLOOKUP(C53,Code!H:W,16,FALSE)=0),"無股息",AND(VLOOKUP(C53,Code!H:W,13,FALSE)=0,VLOOKUP(C53,Code!H:W,16,FALSE)&gt;0),"股息沒了",AND(VLOOKUP(C53,Code!H:W,13,FALSE)&gt;0,VLOOKUP(C53,Code!H:W,16,FALSE)=0),"發股息了",AND(VLOOKUP(C53,Code!H:W,13,FALSE)&gt;0,VLOOKUP(C53,Code!H:W,16,FALSE)&gt;0),POWER((VLOOKUP(C53,Code!H:W,13,FALSE))/(VLOOKUP(C53,Code!H:W,16,FALSE)),1/(P53-1))-1)),"")</f>
        <v>7.8533738851331414E-2</v>
      </c>
      <c r="L53" s="173">
        <f>IFERROR(VLOOKUP(C53,Code!H:W,13,FALSE)*4/VLOOKUP(C53,Code!H:W,12,FALSE),"")</f>
        <v>1.5453140323502755E-2</v>
      </c>
      <c r="M53" s="172">
        <f t="shared" si="1"/>
        <v>0.34259828234029599</v>
      </c>
      <c r="N53" s="172" t="str">
        <f t="shared" si="2"/>
        <v>-</v>
      </c>
      <c r="O53" s="172" t="str">
        <f t="shared" si="3"/>
        <v>-</v>
      </c>
      <c r="P53" s="205">
        <f>IFERROR(YEARFRAC(VLOOKUP(C53,Code!H:W,11,FALSE),VLOOKUP(C53,Code!H:W,14,FALSE),3),"")</f>
        <v>4.7534246575342465</v>
      </c>
      <c r="Q53" s="174">
        <v>44547</v>
      </c>
      <c r="R53" s="175" t="str">
        <f t="shared" ca="1" si="4"/>
        <v/>
      </c>
      <c r="S53" s="176">
        <f>IFERROR(VLOOKUP($C53,Code!$H:$Q,5,FALSE),"")</f>
        <v>0.18079999999999999</v>
      </c>
      <c r="T53" s="177" t="str">
        <f t="shared" ca="1" si="5"/>
        <v/>
      </c>
      <c r="U53" s="178" t="str">
        <f t="shared" ca="1" si="6"/>
        <v/>
      </c>
      <c r="V53" s="179">
        <f>IFERROR(VLOOKUP($C53,Code!$H:$Q,6,FALSE),"")</f>
        <v>118.23</v>
      </c>
      <c r="W53" s="180" t="str">
        <f t="shared" ca="1" si="7"/>
        <v/>
      </c>
      <c r="X53" s="12"/>
      <c r="Y53" s="12"/>
      <c r="Z53" s="12"/>
      <c r="AA53" s="12"/>
      <c r="AB53" s="12"/>
    </row>
    <row r="54" spans="1:28" s="10" customFormat="1" ht="15" hidden="1">
      <c r="A54" s="9"/>
      <c r="B54" s="169" cm="1">
        <f t="array" ref="B54">_xlfn.IFS(OR(Code!R445&lt;&gt;Code!U445,Code!R445=""),0,Code!R445=Code!U445,1)</f>
        <v>1</v>
      </c>
      <c r="C54" s="193" t="str">
        <f>IF(Code!F445="","",Code!F445)</f>
        <v>TRMB</v>
      </c>
      <c r="D54" s="155" t="str">
        <f>IFERROR(VLOOKUP($C54,Code!$H:$K,2,FALSE),"")</f>
        <v>XLK</v>
      </c>
      <c r="E54" s="156" t="str">
        <f>IFERROR(VLOOKUP($C54,Code!$H:$K,3,FALSE),"")</f>
        <v>科技儀器</v>
      </c>
      <c r="F54" s="157" t="str">
        <f>IFERROR(VLOOKUP($C54,Code!$H:$K,4,FALSE),"")</f>
        <v>.SPX</v>
      </c>
      <c r="G54" s="170">
        <f>IFERROR(((VLOOKUP($C54,Code!$H:$Q,9,FALSE))+(VLOOKUP($C54,Code!$H:$Q,10,FALSE)))/2*0.5/(((VLOOKUP($C54,Code!$H:$Q,7,FALSE))+(VLOOKUP($C54,Code!$H:$Q,8,FALSE)))/2),0)</f>
        <v>0.73604240282685507</v>
      </c>
      <c r="H54" s="171" t="str">
        <f t="shared" si="0"/>
        <v>XL</v>
      </c>
      <c r="I54" s="170">
        <f>IFERROR((VLOOKUP($C54,Code!$H:$Q,5,FALSE))/(((VLOOKUP($C54,Code!$H:$Q,7,FALSE))+(VLOOKUP($C54,Code!$H:$Q,8,FALSE)))/2)-1,0)</f>
        <v>2.2614840989399143E-2</v>
      </c>
      <c r="J54" s="204" t="str">
        <f>IFERROR(POWER((VLOOKUP(C54,Code!H:W,12,FALSE))/(VLOOKUP(C54,Code!H:W,15,FALSE)),1/(P54-1))-1,"")</f>
        <v/>
      </c>
      <c r="K54" s="172" t="str" cm="1">
        <f t="array" ref="K54">IFERROR(IF(C54="","",_xlfn.IFS(AND(VLOOKUP(C54,Code!H:W,13,FALSE)=0,VLOOKUP(C54,Code!H:W,16,FALSE)=0),"無股息",AND(VLOOKUP(C54,Code!H:W,13,FALSE)=0,VLOOKUP(C54,Code!H:W,16,FALSE)&gt;0),"股息沒了",AND(VLOOKUP(C54,Code!H:W,13,FALSE)&gt;0,VLOOKUP(C54,Code!H:W,16,FALSE)=0),"發股息了",AND(VLOOKUP(C54,Code!H:W,13,FALSE)&gt;0,VLOOKUP(C54,Code!H:W,16,FALSE)&gt;0),POWER((VLOOKUP(C54,Code!H:W,13,FALSE))/(VLOOKUP(C54,Code!H:W,16,FALSE)),1/(P54-1))-1)),"")</f>
        <v>無股息</v>
      </c>
      <c r="L54" s="173" t="str">
        <f>IFERROR(VLOOKUP(C54,Code!H:W,13,FALSE)*4/VLOOKUP(C54,Code!H:W,12,FALSE),"")</f>
        <v/>
      </c>
      <c r="M54" s="172" t="str">
        <f t="shared" si="1"/>
        <v/>
      </c>
      <c r="N54" s="172" t="str">
        <f t="shared" si="2"/>
        <v/>
      </c>
      <c r="O54" s="172" t="str">
        <f t="shared" si="3"/>
        <v/>
      </c>
      <c r="P54" s="205">
        <f>IFERROR(YEARFRAC(VLOOKUP(C54,Code!H:W,11,FALSE),VLOOKUP(C54,Code!H:W,14,FALSE),3),"")</f>
        <v>0</v>
      </c>
      <c r="Q54" s="174">
        <v>44547</v>
      </c>
      <c r="R54" s="175" t="str">
        <f t="shared" ca="1" si="4"/>
        <v/>
      </c>
      <c r="S54" s="176">
        <f>IFERROR(VLOOKUP($C54,Code!$H:$Q,5,FALSE),"")</f>
        <v>0.28939999999999999</v>
      </c>
      <c r="T54" s="177" t="str">
        <f t="shared" ca="1" si="5"/>
        <v/>
      </c>
      <c r="U54" s="178" t="str">
        <f t="shared" ca="1" si="6"/>
        <v/>
      </c>
      <c r="V54" s="179">
        <f>IFERROR(VLOOKUP($C54,Code!$H:$Q,6,FALSE),"")</f>
        <v>89.42</v>
      </c>
      <c r="W54" s="180" t="str">
        <f t="shared" ca="1" si="7"/>
        <v/>
      </c>
      <c r="X54" s="12"/>
      <c r="Y54" s="12"/>
      <c r="Z54" s="12"/>
      <c r="AA54" s="12"/>
      <c r="AB54" s="12"/>
    </row>
    <row r="55" spans="1:28" s="10" customFormat="1" ht="15">
      <c r="A55" s="9"/>
      <c r="B55" s="169" cm="1">
        <f t="array" ref="B55">_xlfn.IFS(OR(Code!R479&lt;&gt;Code!U479,Code!R479=""),0,Code!R479=Code!U479,1)</f>
        <v>1</v>
      </c>
      <c r="C55" s="193" t="str">
        <f>IF(Code!F479="","",Code!F479)</f>
        <v>VTRS</v>
      </c>
      <c r="D55" s="155" t="str">
        <f>IFERROR(VLOOKUP($C55,Code!$H:$K,2,FALSE),"")</f>
        <v>XLV</v>
      </c>
      <c r="E55" s="156" t="str">
        <f>IFERROR(VLOOKUP($C55,Code!$H:$K,3,FALSE),"")</f>
        <v>藥品製造商-專業和通用</v>
      </c>
      <c r="F55" s="157" t="str">
        <f>IFERROR(VLOOKUP($C55,Code!$H:$K,4,FALSE),"")</f>
        <v>.SPX</v>
      </c>
      <c r="G55" s="170">
        <f>IFERROR(((VLOOKUP($C55,Code!$H:$Q,9,FALSE))+(VLOOKUP($C55,Code!$H:$Q,10,FALSE)))/2*0.5/(((VLOOKUP($C55,Code!$H:$Q,7,FALSE))+(VLOOKUP($C55,Code!$H:$Q,8,FALSE)))/2),0)</f>
        <v>0.54850019477989875</v>
      </c>
      <c r="H55" s="171" t="str">
        <f t="shared" si="0"/>
        <v>M</v>
      </c>
      <c r="I55" s="170">
        <f>IFERROR((VLOOKUP($C55,Code!$H:$Q,5,FALSE))/(((VLOOKUP($C55,Code!$H:$Q,7,FALSE))+(VLOOKUP($C55,Code!$H:$Q,8,FALSE)))/2)-1,0)</f>
        <v>1.7530190884300634E-2</v>
      </c>
      <c r="J55" s="204">
        <f>IFERROR(POWER((VLOOKUP(C55,Code!H:W,12,FALSE))/(VLOOKUP(C55,Code!H:W,15,FALSE)),1/(P55-1))-1,"")</f>
        <v>0</v>
      </c>
      <c r="K55" s="172" cm="1">
        <f t="array" ref="K55">IFERROR(IF(C55="","",_xlfn.IFS(AND(VLOOKUP(C55,Code!H:W,13,FALSE)=0,VLOOKUP(C55,Code!H:W,16,FALSE)=0),"無股息",AND(VLOOKUP(C55,Code!H:W,13,FALSE)=0,VLOOKUP(C55,Code!H:W,16,FALSE)&gt;0),"股息沒了",AND(VLOOKUP(C55,Code!H:W,13,FALSE)&gt;0,VLOOKUP(C55,Code!H:W,16,FALSE)=0),"發股息了",AND(VLOOKUP(C55,Code!H:W,13,FALSE)&gt;0,VLOOKUP(C55,Code!H:W,16,FALSE)&gt;0),POWER((VLOOKUP(C55,Code!H:W,13,FALSE))/(VLOOKUP(C55,Code!H:W,16,FALSE)),1/(P55-1))-1)),"")</f>
        <v>0</v>
      </c>
      <c r="L55" s="173">
        <f>IFERROR(VLOOKUP(C55,Code!H:W,13,FALSE)*4/VLOOKUP(C55,Code!H:W,12,FALSE),"")</f>
        <v>2.8739385234518227E-2</v>
      </c>
      <c r="M55" s="172" t="str">
        <f t="shared" si="1"/>
        <v/>
      </c>
      <c r="N55" s="172" t="str">
        <f t="shared" si="2"/>
        <v>-</v>
      </c>
      <c r="O55" s="172" t="str">
        <f t="shared" si="3"/>
        <v>-</v>
      </c>
      <c r="P55" s="205">
        <f>IFERROR(YEARFRAC(VLOOKUP(C55,Code!H:W,11,FALSE),VLOOKUP(C55,Code!H:W,14,FALSE),3),"")</f>
        <v>0</v>
      </c>
      <c r="Q55" s="174">
        <v>44547</v>
      </c>
      <c r="R55" s="175" t="str">
        <f t="shared" ca="1" si="4"/>
        <v/>
      </c>
      <c r="S55" s="176">
        <f>IFERROR(VLOOKUP($C55,Code!$H:$Q,5,FALSE),"")</f>
        <v>0.39179999999999998</v>
      </c>
      <c r="T55" s="177" t="str">
        <f t="shared" ca="1" si="5"/>
        <v/>
      </c>
      <c r="U55" s="178" t="str">
        <f t="shared" ca="1" si="6"/>
        <v/>
      </c>
      <c r="V55" s="179">
        <f>IFERROR(VLOOKUP($C55,Code!$H:$Q,6,FALSE),"")</f>
        <v>13.93</v>
      </c>
      <c r="W55" s="180" t="str">
        <f t="shared" ca="1" si="7"/>
        <v/>
      </c>
      <c r="X55" s="12"/>
      <c r="Y55" s="12"/>
      <c r="Z55" s="12"/>
      <c r="AA55" s="12"/>
      <c r="AB55" s="12"/>
    </row>
    <row r="56" spans="1:28" s="10" customFormat="1" ht="15" hidden="1">
      <c r="A56" s="9"/>
      <c r="B56" s="169" cm="1">
        <f t="array" ref="B56">_xlfn.IFS(OR(Code!R434&lt;&gt;Code!U434,Code!R434=""),0,Code!R434=Code!U434,1)</f>
        <v>0</v>
      </c>
      <c r="C56" s="193" t="str">
        <f>IF(Code!F434="","",Code!F434)</f>
        <v>TDG</v>
      </c>
      <c r="D56" s="155" t="str">
        <f>IFERROR(VLOOKUP($C56,Code!$H:$K,2,FALSE),"")</f>
        <v>XLI</v>
      </c>
      <c r="E56" s="156" t="str">
        <f>IFERROR(VLOOKUP($C56,Code!$H:$K,3,FALSE),"")</f>
        <v>航天軍工</v>
      </c>
      <c r="F56" s="157" t="str">
        <f>IFERROR(VLOOKUP($C56,Code!$H:$K,4,FALSE),"")</f>
        <v>.SPX</v>
      </c>
      <c r="G56" s="170">
        <f>IFERROR(((VLOOKUP($C56,Code!$H:$Q,9,FALSE))+(VLOOKUP($C56,Code!$H:$Q,10,FALSE)))/2*0.5/(((VLOOKUP($C56,Code!$H:$Q,7,FALSE))+(VLOOKUP($C56,Code!$H:$Q,8,FALSE)))/2),0)</f>
        <v>0.58264331210191078</v>
      </c>
      <c r="H56" s="171" t="str">
        <f t="shared" si="0"/>
        <v>M</v>
      </c>
      <c r="I56" s="170">
        <f>IFERROR((VLOOKUP($C56,Code!$H:$Q,5,FALSE))/(((VLOOKUP($C56,Code!$H:$Q,7,FALSE))+(VLOOKUP($C56,Code!$H:$Q,8,FALSE)))/2)-1,0)</f>
        <v>1.5605095541401326E-2</v>
      </c>
      <c r="J56" s="204">
        <f>IFERROR(POWER((VLOOKUP(C56,Code!H:W,12,FALSE))/(VLOOKUP(C56,Code!H:W,15,FALSE)),1/(P56-1))-1,"")</f>
        <v>0.55818869824300887</v>
      </c>
      <c r="K56" s="172" cm="1">
        <f t="array" ref="K56">IFERROR(IF(C56="","",_xlfn.IFS(AND(VLOOKUP(C56,Code!H:W,13,FALSE)=0,VLOOKUP(C56,Code!H:W,16,FALSE)=0),"無股息",AND(VLOOKUP(C56,Code!H:W,13,FALSE)=0,VLOOKUP(C56,Code!H:W,16,FALSE)&gt;0),"股息沒了",AND(VLOOKUP(C56,Code!H:W,13,FALSE)&gt;0,VLOOKUP(C56,Code!H:W,16,FALSE)=0),"發股息了",AND(VLOOKUP(C56,Code!H:W,13,FALSE)&gt;0,VLOOKUP(C56,Code!H:W,16,FALSE)&gt;0),POWER((VLOOKUP(C56,Code!H:W,13,FALSE))/(VLOOKUP(C56,Code!H:W,16,FALSE)),1/(P56-1))-1)),"")</f>
        <v>0.1487511769218901</v>
      </c>
      <c r="L56" s="173">
        <f>IFERROR(VLOOKUP(C56,Code!H:W,13,FALSE)*4/VLOOKUP(C56,Code!H:W,12,FALSE),"")</f>
        <v>0.2305046358063117</v>
      </c>
      <c r="M56" s="172">
        <f t="shared" si="1"/>
        <v>0.70693987516489898</v>
      </c>
      <c r="N56" s="172" t="str">
        <f t="shared" si="2"/>
        <v>Venture</v>
      </c>
      <c r="O56" s="172" t="str">
        <f t="shared" si="3"/>
        <v>-</v>
      </c>
      <c r="P56" s="205">
        <f>IFERROR(YEARFRAC(VLOOKUP(C56,Code!H:W,11,FALSE),VLOOKUP(C56,Code!H:W,14,FALSE),3),"")</f>
        <v>3.1863013698630138</v>
      </c>
      <c r="Q56" s="174">
        <v>44547</v>
      </c>
      <c r="R56" s="175" t="str">
        <f t="shared" ca="1" si="4"/>
        <v/>
      </c>
      <c r="S56" s="176">
        <f>IFERROR(VLOOKUP($C56,Code!$H:$Q,5,FALSE),"")</f>
        <v>0.31890000000000002</v>
      </c>
      <c r="T56" s="177" t="str">
        <f t="shared" ca="1" si="5"/>
        <v/>
      </c>
      <c r="U56" s="178" t="str">
        <f t="shared" ca="1" si="6"/>
        <v/>
      </c>
      <c r="V56" s="179">
        <f>IFERROR(VLOOKUP($C56,Code!$H:$Q,6,FALSE),"")</f>
        <v>624.54999999999995</v>
      </c>
      <c r="W56" s="180" t="str">
        <f t="shared" ca="1" si="7"/>
        <v/>
      </c>
      <c r="X56" s="12"/>
      <c r="Y56" s="12"/>
      <c r="Z56" s="12"/>
      <c r="AA56" s="12"/>
      <c r="AB56" s="12"/>
    </row>
    <row r="57" spans="1:28" s="10" customFormat="1" ht="15" hidden="1">
      <c r="A57" s="9"/>
      <c r="B57" s="169" cm="1">
        <f t="array" ref="B57">_xlfn.IFS(OR(Code!R297&lt;&gt;Code!U297,Code!R297=""),0,Code!R297=Code!U297,1)</f>
        <v>0</v>
      </c>
      <c r="C57" s="193" t="str">
        <f>IF(Code!F297="","",Code!F297)</f>
        <v>MCD</v>
      </c>
      <c r="D57" s="155" t="str">
        <f>IFERROR(VLOOKUP($C57,Code!$H:$K,2,FALSE),"")</f>
        <v>XLY</v>
      </c>
      <c r="E57" s="156" t="str">
        <f>IFERROR(VLOOKUP($C57,Code!$H:$K,3,FALSE),"")</f>
        <v>飯館</v>
      </c>
      <c r="F57" s="157" t="str">
        <f>IFERROR(VLOOKUP($C57,Code!$H:$K,4,FALSE),"")</f>
        <v>.SPX</v>
      </c>
      <c r="G57" s="170">
        <f>IFERROR(((VLOOKUP($C57,Code!$H:$Q,9,FALSE))+(VLOOKUP($C57,Code!$H:$Q,10,FALSE)))/2*0.5/(((VLOOKUP($C57,Code!$H:$Q,7,FALSE))+(VLOOKUP($C57,Code!$H:$Q,8,FALSE)))/2),0)</f>
        <v>0.74425822470515213</v>
      </c>
      <c r="H57" s="171" t="str">
        <f t="shared" si="0"/>
        <v>XL</v>
      </c>
      <c r="I57" s="170">
        <f>IFERROR((VLOOKUP($C57,Code!$H:$Q,5,FALSE))/(((VLOOKUP($C57,Code!$H:$Q,7,FALSE))+(VLOOKUP($C57,Code!$H:$Q,8,FALSE)))/2)-1,0)</f>
        <v>1.3035381750465591E-2</v>
      </c>
      <c r="J57" s="204">
        <f>IFERROR(POWER((VLOOKUP(C57,Code!H:W,12,FALSE))/(VLOOKUP(C57,Code!H:W,15,FALSE)),1/(P57-1))-1,"")</f>
        <v>0.24646873354144572</v>
      </c>
      <c r="K57" s="172" cm="1">
        <f t="array" ref="K57">IFERROR(IF(C57="","",_xlfn.IFS(AND(VLOOKUP(C57,Code!H:W,13,FALSE)=0,VLOOKUP(C57,Code!H:W,16,FALSE)=0),"無股息",AND(VLOOKUP(C57,Code!H:W,13,FALSE)=0,VLOOKUP(C57,Code!H:W,16,FALSE)&gt;0),"股息沒了",AND(VLOOKUP(C57,Code!H:W,13,FALSE)&gt;0,VLOOKUP(C57,Code!H:W,16,FALSE)=0),"發股息了",AND(VLOOKUP(C57,Code!H:W,13,FALSE)&gt;0,VLOOKUP(C57,Code!H:W,16,FALSE)&gt;0),POWER((VLOOKUP(C57,Code!H:W,13,FALSE))/(VLOOKUP(C57,Code!H:W,16,FALSE)),1/(P57-1))-1)),"")</f>
        <v>0.10418442775853687</v>
      </c>
      <c r="L57" s="173">
        <f>IFERROR(VLOOKUP(C57,Code!H:W,13,FALSE)*4/VLOOKUP(C57,Code!H:W,12,FALSE),"")</f>
        <v>2.2061652971334278E-2</v>
      </c>
      <c r="M57" s="172">
        <f t="shared" si="1"/>
        <v>0.35065316129998259</v>
      </c>
      <c r="N57" s="172" t="str">
        <f t="shared" si="2"/>
        <v>-</v>
      </c>
      <c r="O57" s="172" t="str">
        <f t="shared" si="3"/>
        <v>-</v>
      </c>
      <c r="P57" s="205">
        <f>IFERROR(YEARFRAC(VLOOKUP(C57,Code!H:W,11,FALSE),VLOOKUP(C57,Code!H:W,14,FALSE),3),"")</f>
        <v>4.7452054794520544</v>
      </c>
      <c r="Q57" s="174">
        <v>44547</v>
      </c>
      <c r="R57" s="175" t="str">
        <f t="shared" ca="1" si="4"/>
        <v/>
      </c>
      <c r="S57" s="176">
        <f>IFERROR(VLOOKUP($C57,Code!$H:$Q,5,FALSE),"")</f>
        <v>0.16320000000000001</v>
      </c>
      <c r="T57" s="177" t="str">
        <f t="shared" ca="1" si="5"/>
        <v/>
      </c>
      <c r="U57" s="178" t="str">
        <f t="shared" ca="1" si="6"/>
        <v/>
      </c>
      <c r="V57" s="179">
        <f>IFERROR(VLOOKUP($C57,Code!$H:$Q,6,FALSE),"")</f>
        <v>236.42</v>
      </c>
      <c r="W57" s="180" t="str">
        <f t="shared" ca="1" si="7"/>
        <v/>
      </c>
      <c r="X57" s="12"/>
      <c r="Y57" s="12"/>
      <c r="Z57" s="12"/>
      <c r="AA57" s="12"/>
      <c r="AB57" s="12"/>
    </row>
    <row r="58" spans="1:28" s="10" customFormat="1" ht="15" hidden="1">
      <c r="A58" s="9"/>
      <c r="B58" s="169" cm="1">
        <f t="array" ref="B58">_xlfn.IFS(OR(Code!R485&lt;&gt;Code!U485,Code!R485=""),0,Code!R485=Code!U485,1)</f>
        <v>0</v>
      </c>
      <c r="C58" s="193" t="str">
        <f>IF(Code!F485="","",Code!F485)</f>
        <v>WEC</v>
      </c>
      <c r="D58" s="155" t="str">
        <f>IFERROR(VLOOKUP($C58,Code!$H:$K,2,FALSE),"")</f>
        <v>XLU</v>
      </c>
      <c r="E58" s="156" t="str">
        <f>IFERROR(VLOOKUP($C58,Code!$H:$K,3,FALSE),"")</f>
        <v>公用事業—受監督的電力</v>
      </c>
      <c r="F58" s="157" t="str">
        <f>IFERROR(VLOOKUP($C58,Code!$H:$K,4,FALSE),"")</f>
        <v>.SPX</v>
      </c>
      <c r="G58" s="170">
        <f>IFERROR(((VLOOKUP($C58,Code!$H:$Q,9,FALSE))+(VLOOKUP($C58,Code!$H:$Q,10,FALSE)))/2*0.5/(((VLOOKUP($C58,Code!$H:$Q,7,FALSE))+(VLOOKUP($C58,Code!$H:$Q,8,FALSE)))/2),0)</f>
        <v>0.61960684197089622</v>
      </c>
      <c r="H58" s="171" t="str">
        <f t="shared" si="0"/>
        <v>L</v>
      </c>
      <c r="I58" s="170">
        <f>IFERROR((VLOOKUP($C58,Code!$H:$Q,5,FALSE))/(((VLOOKUP($C58,Code!$H:$Q,7,FALSE))+(VLOOKUP($C58,Code!$H:$Q,8,FALSE)))/2)-1,0)</f>
        <v>1.2509573653306072E-2</v>
      </c>
      <c r="J58" s="204">
        <f>IFERROR(POWER((VLOOKUP(C58,Code!H:W,12,FALSE))/(VLOOKUP(C58,Code!H:W,15,FALSE)),1/(P58-1))-1,"")</f>
        <v>0.16601500660242219</v>
      </c>
      <c r="K58" s="172" cm="1">
        <f t="array" ref="K58">IFERROR(IF(C58="","",_xlfn.IFS(AND(VLOOKUP(C58,Code!H:W,13,FALSE)=0,VLOOKUP(C58,Code!H:W,16,FALSE)=0),"無股息",AND(VLOOKUP(C58,Code!H:W,13,FALSE)=0,VLOOKUP(C58,Code!H:W,16,FALSE)&gt;0),"股息沒了",AND(VLOOKUP(C58,Code!H:W,13,FALSE)&gt;0,VLOOKUP(C58,Code!H:W,16,FALSE)=0),"發股息了",AND(VLOOKUP(C58,Code!H:W,13,FALSE)&gt;0,VLOOKUP(C58,Code!H:W,16,FALSE)&gt;0),POWER((VLOOKUP(C58,Code!H:W,13,FALSE))/(VLOOKUP(C58,Code!H:W,16,FALSE)),1/(P58-1))-1)),"")</f>
        <v>8.7293759758392486E-2</v>
      </c>
      <c r="L58" s="173">
        <f>IFERROR(VLOOKUP(C58,Code!H:W,13,FALSE)*4/VLOOKUP(C58,Code!H:W,12,FALSE),"")</f>
        <v>2.8297163017814139E-2</v>
      </c>
      <c r="M58" s="172">
        <f t="shared" si="1"/>
        <v>0.25330876636081467</v>
      </c>
      <c r="N58" s="172" t="str">
        <f t="shared" si="2"/>
        <v>-</v>
      </c>
      <c r="O58" s="172" t="str">
        <f t="shared" si="3"/>
        <v>-</v>
      </c>
      <c r="P58" s="205">
        <f>IFERROR(YEARFRAC(VLOOKUP(C58,Code!H:W,11,FALSE),VLOOKUP(C58,Code!H:W,14,FALSE),3),"")</f>
        <v>4.7589041095890412</v>
      </c>
      <c r="Q58" s="174">
        <v>44547</v>
      </c>
      <c r="R58" s="175" t="str">
        <f t="shared" ca="1" si="4"/>
        <v/>
      </c>
      <c r="S58" s="176">
        <f>IFERROR(VLOOKUP($C58,Code!$H:$Q,5,FALSE),"")</f>
        <v>0.1983</v>
      </c>
      <c r="T58" s="177" t="str">
        <f t="shared" ca="1" si="5"/>
        <v/>
      </c>
      <c r="U58" s="178" t="str">
        <f t="shared" ca="1" si="6"/>
        <v/>
      </c>
      <c r="V58" s="179">
        <f>IFERROR(VLOOKUP($C58,Code!$H:$Q,6,FALSE),"")</f>
        <v>96.29</v>
      </c>
      <c r="W58" s="180" t="str">
        <f t="shared" ca="1" si="7"/>
        <v/>
      </c>
      <c r="X58" s="12"/>
      <c r="Y58" s="12"/>
      <c r="Z58" s="12"/>
      <c r="AA58" s="12"/>
      <c r="AB58" s="12"/>
    </row>
    <row r="59" spans="1:28" s="10" customFormat="1" ht="15" hidden="1">
      <c r="A59" s="9"/>
      <c r="B59" s="169" cm="1">
        <f t="array" ref="B59">_xlfn.IFS(OR(Code!R78&lt;&gt;Code!U78,Code!R78=""),0,Code!R78=Code!U78,1)</f>
        <v>0</v>
      </c>
      <c r="C59" s="193" t="str">
        <f>IF(Code!F78="","",Code!F78)</f>
        <v>CAG</v>
      </c>
      <c r="D59" s="155" t="str">
        <f>IFERROR(VLOOKUP($C59,Code!$H:$K,2,FALSE),"")</f>
        <v>XLP</v>
      </c>
      <c r="E59" s="156" t="str">
        <f>IFERROR(VLOOKUP($C59,Code!$H:$K,3,FALSE),"")</f>
        <v>包裝食品</v>
      </c>
      <c r="F59" s="157" t="str">
        <f>IFERROR(VLOOKUP($C59,Code!$H:$K,4,FALSE),"")</f>
        <v>.SPX</v>
      </c>
      <c r="G59" s="170">
        <f>IFERROR(((VLOOKUP($C59,Code!$H:$Q,9,FALSE))+(VLOOKUP($C59,Code!$H:$Q,10,FALSE)))/2*0.5/(((VLOOKUP($C59,Code!$H:$Q,7,FALSE))+(VLOOKUP($C59,Code!$H:$Q,8,FALSE)))/2),0)</f>
        <v>0.72593417470923038</v>
      </c>
      <c r="H59" s="171" t="str">
        <f t="shared" si="0"/>
        <v>XL</v>
      </c>
      <c r="I59" s="170">
        <f>IFERROR((VLOOKUP($C59,Code!$H:$Q,5,FALSE))/(((VLOOKUP($C59,Code!$H:$Q,7,FALSE))+(VLOOKUP($C59,Code!$H:$Q,8,FALSE)))/2)-1,0)</f>
        <v>8.1662954714178948E-3</v>
      </c>
      <c r="J59" s="204">
        <f>IFERROR(POWER((VLOOKUP(C59,Code!H:W,12,FALSE))/(VLOOKUP(C59,Code!H:W,15,FALSE)),1/(P59-1))-1,"")</f>
        <v>7.25904702304625E-3</v>
      </c>
      <c r="K59" s="172" cm="1">
        <f t="array" ref="K59">IFERROR(IF(C59="","",_xlfn.IFS(AND(VLOOKUP(C59,Code!H:W,13,FALSE)=0,VLOOKUP(C59,Code!H:W,16,FALSE)=0),"無股息",AND(VLOOKUP(C59,Code!H:W,13,FALSE)=0,VLOOKUP(C59,Code!H:W,16,FALSE)&gt;0),"股息沒了",AND(VLOOKUP(C59,Code!H:W,13,FALSE)&gt;0,VLOOKUP(C59,Code!H:W,16,FALSE)=0),"發股息了",AND(VLOOKUP(C59,Code!H:W,13,FALSE)&gt;0,VLOOKUP(C59,Code!H:W,16,FALSE)&gt;0),POWER((VLOOKUP(C59,Code!H:W,13,FALSE))/(VLOOKUP(C59,Code!H:W,16,FALSE)),1/(P59-1))-1)),"")</f>
        <v>0.13453543302901916</v>
      </c>
      <c r="L59" s="173">
        <f>IFERROR(VLOOKUP(C59,Code!H:W,13,FALSE)*4/VLOOKUP(C59,Code!H:W,12,FALSE),"")</f>
        <v>3.7507488314490162E-2</v>
      </c>
      <c r="M59" s="172">
        <f t="shared" si="1"/>
        <v>0.14179448005206541</v>
      </c>
      <c r="N59" s="172" t="str">
        <f t="shared" si="2"/>
        <v>Venture</v>
      </c>
      <c r="O59" s="172" t="str">
        <f t="shared" si="3"/>
        <v>-</v>
      </c>
      <c r="P59" s="205">
        <f>IFERROR(YEARFRAC(VLOOKUP(C59,Code!H:W,11,FALSE),VLOOKUP(C59,Code!H:W,14,FALSE),3),"")</f>
        <v>4.7671232876712333</v>
      </c>
      <c r="Q59" s="174">
        <v>44547</v>
      </c>
      <c r="R59" s="175" t="str">
        <f t="shared" ca="1" si="4"/>
        <v/>
      </c>
      <c r="S59" s="176">
        <f>IFERROR(VLOOKUP($C59,Code!$H:$Q,5,FALSE),"")</f>
        <v>0.20369999999999999</v>
      </c>
      <c r="T59" s="177" t="str">
        <f t="shared" ca="1" si="5"/>
        <v/>
      </c>
      <c r="U59" s="178" t="str">
        <f t="shared" ca="1" si="6"/>
        <v/>
      </c>
      <c r="V59" s="179">
        <f>IFERROR(VLOOKUP($C59,Code!$H:$Q,6,FALSE),"")</f>
        <v>32.86</v>
      </c>
      <c r="W59" s="180" t="str">
        <f t="shared" ca="1" si="7"/>
        <v/>
      </c>
      <c r="X59" s="12"/>
      <c r="Y59" s="12"/>
      <c r="Z59" s="12"/>
      <c r="AA59" s="12"/>
      <c r="AB59" s="12"/>
    </row>
    <row r="60" spans="1:28" s="10" customFormat="1" ht="15" hidden="1">
      <c r="A60" s="9"/>
      <c r="B60" s="169" cm="1">
        <f t="array" ref="B60">_xlfn.IFS(OR(Code!R249&lt;&gt;Code!U249,Code!R249=""),0,Code!R249=Code!U249,1)</f>
        <v>1</v>
      </c>
      <c r="C60" s="193" t="str">
        <f>IF(Code!F249="","",Code!F249)</f>
        <v>ISRG</v>
      </c>
      <c r="D60" s="155" t="str">
        <f>IFERROR(VLOOKUP($C60,Code!$H:$K,2,FALSE),"")</f>
        <v>XLV</v>
      </c>
      <c r="E60" s="156" t="str">
        <f>IFERROR(VLOOKUP($C60,Code!$H:$K,3,FALSE),"")</f>
        <v>醫療器械及用品</v>
      </c>
      <c r="F60" s="157" t="str">
        <f>IFERROR(VLOOKUP($C60,Code!$H:$K,4,FALSE),"")</f>
        <v>.SPX</v>
      </c>
      <c r="G60" s="170">
        <f>IFERROR(((VLOOKUP($C60,Code!$H:$Q,9,FALSE))+(VLOOKUP($C60,Code!$H:$Q,10,FALSE)))/2*0.5/(((VLOOKUP($C60,Code!$H:$Q,7,FALSE))+(VLOOKUP($C60,Code!$H:$Q,8,FALSE)))/2),0)</f>
        <v>0.6795767618287083</v>
      </c>
      <c r="H60" s="171" t="str">
        <f t="shared" si="0"/>
        <v>L</v>
      </c>
      <c r="I60" s="170">
        <f>IFERROR((VLOOKUP($C60,Code!$H:$Q,5,FALSE))/(((VLOOKUP($C60,Code!$H:$Q,7,FALSE))+(VLOOKUP($C60,Code!$H:$Q,8,FALSE)))/2)-1,0)</f>
        <v>6.1888600519064418E-3</v>
      </c>
      <c r="J60" s="204">
        <f>IFERROR(POWER((VLOOKUP(C60,Code!H:W,12,FALSE))/(VLOOKUP(C60,Code!H:W,15,FALSE)),1/(P60-1))-1,"")</f>
        <v>0</v>
      </c>
      <c r="K60" s="172" t="str" cm="1">
        <f t="array" ref="K60">IFERROR(IF(C60="","",_xlfn.IFS(AND(VLOOKUP(C60,Code!H:W,13,FALSE)=0,VLOOKUP(C60,Code!H:W,16,FALSE)=0),"無股息",AND(VLOOKUP(C60,Code!H:W,13,FALSE)=0,VLOOKUP(C60,Code!H:W,16,FALSE)&gt;0),"股息沒了",AND(VLOOKUP(C60,Code!H:W,13,FALSE)&gt;0,VLOOKUP(C60,Code!H:W,16,FALSE)=0),"發股息了",AND(VLOOKUP(C60,Code!H:W,13,FALSE)&gt;0,VLOOKUP(C60,Code!H:W,16,FALSE)&gt;0),POWER((VLOOKUP(C60,Code!H:W,13,FALSE))/(VLOOKUP(C60,Code!H:W,16,FALSE)),1/(P60-1))-1)),"")</f>
        <v>無股息</v>
      </c>
      <c r="L60" s="173">
        <f>IFERROR(VLOOKUP(C60,Code!H:W,13,FALSE)*4/VLOOKUP(C60,Code!H:W,12,FALSE),"")</f>
        <v>0</v>
      </c>
      <c r="M60" s="172" t="str">
        <f t="shared" si="1"/>
        <v/>
      </c>
      <c r="N60" s="172" t="str">
        <f t="shared" si="2"/>
        <v>-</v>
      </c>
      <c r="O60" s="172" t="str">
        <f t="shared" si="3"/>
        <v/>
      </c>
      <c r="P60" s="205">
        <f>IFERROR(YEARFRAC(VLOOKUP(C60,Code!H:W,11,FALSE),VLOOKUP(C60,Code!H:W,14,FALSE),3),"")</f>
        <v>0</v>
      </c>
      <c r="Q60" s="174">
        <v>44547</v>
      </c>
      <c r="R60" s="175" t="str">
        <f t="shared" ca="1" si="4"/>
        <v/>
      </c>
      <c r="S60" s="176">
        <f>IFERROR(VLOOKUP($C60,Code!$H:$Q,5,FALSE),"")</f>
        <v>0.252</v>
      </c>
      <c r="T60" s="177" t="str">
        <f t="shared" ca="1" si="5"/>
        <v/>
      </c>
      <c r="U60" s="178" t="str">
        <f t="shared" ca="1" si="6"/>
        <v/>
      </c>
      <c r="V60" s="179">
        <f>IFERROR(VLOOKUP($C60,Code!$H:$Q,6,FALSE),"")</f>
        <v>1019.1</v>
      </c>
      <c r="W60" s="180" t="str">
        <f t="shared" ca="1" si="7"/>
        <v/>
      </c>
      <c r="X60" s="12"/>
      <c r="Y60" s="12"/>
      <c r="Z60" s="12"/>
      <c r="AA60" s="12"/>
      <c r="AB60" s="12"/>
    </row>
    <row r="61" spans="1:28" s="10" customFormat="1" ht="15" hidden="1">
      <c r="A61" s="9"/>
      <c r="B61" s="169" cm="1">
        <f t="array" ref="B61">_xlfn.IFS(OR(Code!R409&lt;&gt;Code!U409,Code!R409=""),0,Code!R409=Code!U409,1)</f>
        <v>0</v>
      </c>
      <c r="C61" s="193" t="str">
        <f>IF(Code!F409="","",Code!F409)</f>
        <v>SBAC</v>
      </c>
      <c r="D61" s="155" t="str">
        <f>IFERROR(VLOOKUP($C61,Code!$H:$K,2,FALSE),"")</f>
        <v>XLRE</v>
      </c>
      <c r="E61" s="156" t="str">
        <f>IFERROR(VLOOKUP($C61,Code!$H:$K,3,FALSE),"")</f>
        <v>REIT-專業</v>
      </c>
      <c r="F61" s="157" t="str">
        <f>IFERROR(VLOOKUP($C61,Code!$H:$K,4,FALSE),"")</f>
        <v>.SPX</v>
      </c>
      <c r="G61" s="170">
        <f>IFERROR(((VLOOKUP($C61,Code!$H:$Q,9,FALSE))+(VLOOKUP($C61,Code!$H:$Q,10,FALSE)))/2*0.5/(((VLOOKUP($C61,Code!$H:$Q,7,FALSE))+(VLOOKUP($C61,Code!$H:$Q,8,FALSE)))/2),0)</f>
        <v>0.73704941513487698</v>
      </c>
      <c r="H61" s="171" t="str">
        <f t="shared" si="0"/>
        <v>XL</v>
      </c>
      <c r="I61" s="170">
        <f>IFERROR((VLOOKUP($C61,Code!$H:$Q,5,FALSE))/(((VLOOKUP($C61,Code!$H:$Q,7,FALSE))+(VLOOKUP($C61,Code!$H:$Q,8,FALSE)))/2)-1,0)</f>
        <v>5.9680114585820565E-3</v>
      </c>
      <c r="J61" s="204">
        <f>IFERROR(POWER((VLOOKUP(C61,Code!H:W,12,FALSE))/(VLOOKUP(C61,Code!H:W,15,FALSE)),1/(P61-1))-1,"")</f>
        <v>0.14301101029726526</v>
      </c>
      <c r="K61" s="172" cm="1">
        <f t="array" ref="K61">IFERROR(IF(C61="","",_xlfn.IFS(AND(VLOOKUP(C61,Code!H:W,13,FALSE)=0,VLOOKUP(C61,Code!H:W,16,FALSE)=0),"無股息",AND(VLOOKUP(C61,Code!H:W,13,FALSE)=0,VLOOKUP(C61,Code!H:W,16,FALSE)&gt;0),"股息沒了",AND(VLOOKUP(C61,Code!H:W,13,FALSE)&gt;0,VLOOKUP(C61,Code!H:W,16,FALSE)=0),"發股息了",AND(VLOOKUP(C61,Code!H:W,13,FALSE)&gt;0,VLOOKUP(C61,Code!H:W,16,FALSE)&gt;0),POWER((VLOOKUP(C61,Code!H:W,13,FALSE))/(VLOOKUP(C61,Code!H:W,16,FALSE)),1/(P61-1))-1)),"")</f>
        <v>0.85304373933875866</v>
      </c>
      <c r="L61" s="173">
        <f>IFERROR(VLOOKUP(C61,Code!H:W,13,FALSE)*4/VLOOKUP(C61,Code!H:W,12,FALSE),"")</f>
        <v>8.0446613341595939E-3</v>
      </c>
      <c r="M61" s="172">
        <f t="shared" si="1"/>
        <v>0.99605474963602392</v>
      </c>
      <c r="N61" s="172" t="str">
        <f t="shared" si="2"/>
        <v>-</v>
      </c>
      <c r="O61" s="172" t="str">
        <f t="shared" si="3"/>
        <v>Value</v>
      </c>
      <c r="P61" s="205">
        <f>IFERROR(YEARFRAC(VLOOKUP(C61,Code!H:W,11,FALSE),VLOOKUP(C61,Code!H:W,14,FALSE),3),"")</f>
        <v>1.7287671232876711</v>
      </c>
      <c r="Q61" s="174">
        <v>44547</v>
      </c>
      <c r="R61" s="175" t="str">
        <f t="shared" ca="1" si="4"/>
        <v/>
      </c>
      <c r="S61" s="176">
        <f>IFERROR(VLOOKUP($C61,Code!$H:$Q,5,FALSE),"")</f>
        <v>0.2107</v>
      </c>
      <c r="T61" s="177" t="str">
        <f t="shared" ca="1" si="5"/>
        <v/>
      </c>
      <c r="U61" s="178" t="str">
        <f t="shared" ca="1" si="6"/>
        <v/>
      </c>
      <c r="V61" s="179">
        <f>IFERROR(VLOOKUP($C61,Code!$H:$Q,6,FALSE),"")</f>
        <v>346.93</v>
      </c>
      <c r="W61" s="180" t="str">
        <f t="shared" ca="1" si="7"/>
        <v/>
      </c>
      <c r="X61" s="12"/>
      <c r="Y61" s="12"/>
      <c r="Z61" s="12"/>
      <c r="AA61" s="12"/>
      <c r="AB61" s="12"/>
    </row>
    <row r="62" spans="1:28" s="10" customFormat="1" ht="15" hidden="1">
      <c r="A62" s="9"/>
      <c r="B62" s="169" cm="1">
        <f t="array" ref="B62">_xlfn.IFS(OR(Code!R234&lt;&gt;Code!U234,Code!R234=""),0,Code!R234=Code!U234,1)</f>
        <v>0</v>
      </c>
      <c r="C62" s="193" t="str">
        <f>IF(Code!F234="","",Code!F234)</f>
        <v>ICE</v>
      </c>
      <c r="D62" s="155" t="str">
        <f>IFERROR(VLOOKUP($C62,Code!$H:$K,2,FALSE),"")</f>
        <v>XLF</v>
      </c>
      <c r="E62" s="156" t="str">
        <f>IFERROR(VLOOKUP($C62,Code!$H:$K,3,FALSE),"")</f>
        <v>金融數據與證券交易所</v>
      </c>
      <c r="F62" s="157" t="str">
        <f>IFERROR(VLOOKUP($C62,Code!$H:$K,4,FALSE),"")</f>
        <v>.SPX</v>
      </c>
      <c r="G62" s="170">
        <f>IFERROR(((VLOOKUP($C62,Code!$H:$Q,9,FALSE))+(VLOOKUP($C62,Code!$H:$Q,10,FALSE)))/2*0.5/(((VLOOKUP($C62,Code!$H:$Q,7,FALSE))+(VLOOKUP($C62,Code!$H:$Q,8,FALSE)))/2),0)</f>
        <v>0.70838068181818181</v>
      </c>
      <c r="H62" s="171" t="str">
        <f t="shared" si="0"/>
        <v>XL</v>
      </c>
      <c r="I62" s="170">
        <f>IFERROR((VLOOKUP($C62,Code!$H:$Q,5,FALSE))/(((VLOOKUP($C62,Code!$H:$Q,7,FALSE))+(VLOOKUP($C62,Code!$H:$Q,8,FALSE)))/2)-1,0)</f>
        <v>3.4090909090909172E-3</v>
      </c>
      <c r="J62" s="204">
        <f>IFERROR(POWER((VLOOKUP(C62,Code!H:W,12,FALSE))/(VLOOKUP(C62,Code!H:W,15,FALSE)),1/(P62-1))-1,"")</f>
        <v>0.22802678561726575</v>
      </c>
      <c r="K62" s="172" cm="1">
        <f t="array" ref="K62">IFERROR(IF(C62="","",_xlfn.IFS(AND(VLOOKUP(C62,Code!H:W,13,FALSE)=0,VLOOKUP(C62,Code!H:W,16,FALSE)=0),"無股息",AND(VLOOKUP(C62,Code!H:W,13,FALSE)=0,VLOOKUP(C62,Code!H:W,16,FALSE)&gt;0),"股息沒了",AND(VLOOKUP(C62,Code!H:W,13,FALSE)&gt;0,VLOOKUP(C62,Code!H:W,16,FALSE)=0),"發股息了",AND(VLOOKUP(C62,Code!H:W,13,FALSE)&gt;0,VLOOKUP(C62,Code!H:W,16,FALSE)&gt;0),POWER((VLOOKUP(C62,Code!H:W,13,FALSE))/(VLOOKUP(C62,Code!H:W,16,FALSE)),1/(P62-1))-1)),"")</f>
        <v>0.19329342986131559</v>
      </c>
      <c r="L62" s="173">
        <f>IFERROR(VLOOKUP(C62,Code!H:W,13,FALSE)*4/VLOOKUP(C62,Code!H:W,12,FALSE),"")</f>
        <v>1.1574885911985964E-2</v>
      </c>
      <c r="M62" s="172">
        <f t="shared" si="1"/>
        <v>0.42132021547858134</v>
      </c>
      <c r="N62" s="172" t="str">
        <f t="shared" si="2"/>
        <v>-</v>
      </c>
      <c r="O62" s="172" t="str">
        <f t="shared" si="3"/>
        <v>Value</v>
      </c>
      <c r="P62" s="205">
        <f>IFERROR(YEARFRAC(VLOOKUP(C62,Code!H:W,11,FALSE),VLOOKUP(C62,Code!H:W,14,FALSE),3),"")</f>
        <v>4.7534246575342465</v>
      </c>
      <c r="Q62" s="174">
        <v>44547</v>
      </c>
      <c r="R62" s="175" t="str">
        <f t="shared" ca="1" si="4"/>
        <v/>
      </c>
      <c r="S62" s="176">
        <f>IFERROR(VLOOKUP($C62,Code!$H:$Q,5,FALSE),"")</f>
        <v>0.17660000000000001</v>
      </c>
      <c r="T62" s="177" t="str">
        <f t="shared" ca="1" si="5"/>
        <v/>
      </c>
      <c r="U62" s="178" t="str">
        <f t="shared" ca="1" si="6"/>
        <v/>
      </c>
      <c r="V62" s="179">
        <f>IFERROR(VLOOKUP($C62,Code!$H:$Q,6,FALSE),"")</f>
        <v>119.42</v>
      </c>
      <c r="W62" s="180" t="str">
        <f t="shared" ca="1" si="7"/>
        <v/>
      </c>
      <c r="X62" s="12"/>
      <c r="Y62" s="12"/>
      <c r="Z62" s="12"/>
      <c r="AA62" s="12"/>
      <c r="AB62" s="12"/>
    </row>
    <row r="63" spans="1:28" s="10" customFormat="1" ht="15" hidden="1">
      <c r="A63" s="9"/>
      <c r="B63" s="169" cm="1">
        <f t="array" ref="B63">_xlfn.IFS(OR(Code!R33&lt;&gt;Code!U33,Code!R33=""),0,Code!R33=Code!U33,1)</f>
        <v>1</v>
      </c>
      <c r="C63" s="193" t="str">
        <f>IF(Code!F33="","",Code!F33)</f>
        <v>AMD</v>
      </c>
      <c r="D63" s="155" t="str">
        <f>IFERROR(VLOOKUP($C63,Code!$H:$K,2,FALSE),"")</f>
        <v>XLK</v>
      </c>
      <c r="E63" s="156" t="str">
        <f>IFERROR(VLOOKUP($C63,Code!$H:$K,3,FALSE),"")</f>
        <v>半導體</v>
      </c>
      <c r="F63" s="157" t="str">
        <f>IFERROR(VLOOKUP($C63,Code!$H:$K,4,FALSE),"")</f>
        <v>.SPX</v>
      </c>
      <c r="G63" s="170">
        <f>IFERROR(((VLOOKUP($C63,Code!$H:$Q,9,FALSE))+(VLOOKUP($C63,Code!$H:$Q,10,FALSE)))/2*0.5/(((VLOOKUP($C63,Code!$H:$Q,7,FALSE))+(VLOOKUP($C63,Code!$H:$Q,8,FALSE)))/2),0)</f>
        <v>0.61235955056179769</v>
      </c>
      <c r="H63" s="171" t="str">
        <f t="shared" si="0"/>
        <v>L</v>
      </c>
      <c r="I63" s="170">
        <f>IFERROR((VLOOKUP($C63,Code!$H:$Q,5,FALSE))/(((VLOOKUP($C63,Code!$H:$Q,7,FALSE))+(VLOOKUP($C63,Code!$H:$Q,8,FALSE)))/2)-1,0)</f>
        <v>-9.2883895131086192E-2</v>
      </c>
      <c r="J63" s="204" t="str">
        <f>IFERROR(POWER((VLOOKUP(C63,Code!H:W,12,FALSE))/(VLOOKUP(C63,Code!H:W,15,FALSE)),1/(P63-1))-1,"")</f>
        <v/>
      </c>
      <c r="K63" s="172" t="str" cm="1">
        <f t="array" ref="K63">IFERROR(IF(C63="","",_xlfn.IFS(AND(VLOOKUP(C63,Code!H:W,13,FALSE)=0,VLOOKUP(C63,Code!H:W,16,FALSE)=0),"無股息",AND(VLOOKUP(C63,Code!H:W,13,FALSE)=0,VLOOKUP(C63,Code!H:W,16,FALSE)&gt;0),"股息沒了",AND(VLOOKUP(C63,Code!H:W,13,FALSE)&gt;0,VLOOKUP(C63,Code!H:W,16,FALSE)=0),"發股息了",AND(VLOOKUP(C63,Code!H:W,13,FALSE)&gt;0,VLOOKUP(C63,Code!H:W,16,FALSE)&gt;0),POWER((VLOOKUP(C63,Code!H:W,13,FALSE))/(VLOOKUP(C63,Code!H:W,16,FALSE)),1/(P63-1))-1)),"")</f>
        <v>無股息</v>
      </c>
      <c r="L63" s="173" t="str">
        <f>IFERROR(VLOOKUP(C63,Code!H:W,13,FALSE)*4/VLOOKUP(C63,Code!H:W,12,FALSE),"")</f>
        <v/>
      </c>
      <c r="M63" s="172" t="str">
        <f t="shared" si="1"/>
        <v/>
      </c>
      <c r="N63" s="172" t="str">
        <f t="shared" si="2"/>
        <v/>
      </c>
      <c r="O63" s="172" t="str">
        <f t="shared" si="3"/>
        <v/>
      </c>
      <c r="P63" s="205">
        <f>IFERROR(YEARFRAC(VLOOKUP(C63,Code!H:W,11,FALSE),VLOOKUP(C63,Code!H:W,14,FALSE),3),"")</f>
        <v>0</v>
      </c>
      <c r="Q63" s="174">
        <v>44547</v>
      </c>
      <c r="R63" s="175" t="str">
        <f t="shared" ca="1" si="4"/>
        <v/>
      </c>
      <c r="S63" s="176">
        <f>IFERROR(VLOOKUP($C63,Code!$H:$Q,5,FALSE),"")</f>
        <v>0.36330000000000001</v>
      </c>
      <c r="T63" s="177" t="str">
        <f t="shared" ca="1" si="5"/>
        <v/>
      </c>
      <c r="U63" s="178" t="str">
        <f t="shared" ca="1" si="6"/>
        <v/>
      </c>
      <c r="V63" s="179">
        <f>IFERROR(VLOOKUP($C63,Code!$H:$Q,6,FALSE),"")</f>
        <v>106.22</v>
      </c>
      <c r="W63" s="180" t="str">
        <f t="shared" ca="1" si="7"/>
        <v/>
      </c>
      <c r="X63" s="12"/>
      <c r="Y63" s="12"/>
      <c r="Z63" s="12"/>
      <c r="AA63" s="12"/>
      <c r="AB63" s="12"/>
    </row>
    <row r="64" spans="1:28" s="10" customFormat="1" ht="15" hidden="1">
      <c r="A64" s="9"/>
      <c r="B64" s="169" cm="1">
        <f t="array" ref="B64">_xlfn.IFS(OR(Code!R492&lt;&gt;Code!U492,Code!R492=""),0,Code!R492=Code!U492,1)</f>
        <v>0</v>
      </c>
      <c r="C64" s="193" t="str">
        <f>IF(Code!F492="","",Code!F492)</f>
        <v>WMT</v>
      </c>
      <c r="D64" s="155" t="str">
        <f>IFERROR(VLOOKUP($C64,Code!$H:$K,2,FALSE),"")</f>
        <v>XLP</v>
      </c>
      <c r="E64" s="156" t="str">
        <f>IFERROR(VLOOKUP($C64,Code!$H:$K,3,FALSE),"")</f>
        <v>折扣店</v>
      </c>
      <c r="F64" s="157" t="str">
        <f>IFERROR(VLOOKUP($C64,Code!$H:$K,4,FALSE),"")</f>
        <v>.SPX</v>
      </c>
      <c r="G64" s="170">
        <f>IFERROR(((VLOOKUP($C64,Code!$H:$Q,9,FALSE))+(VLOOKUP($C64,Code!$H:$Q,10,FALSE)))/2*0.5/(((VLOOKUP($C64,Code!$H:$Q,7,FALSE))+(VLOOKUP($C64,Code!$H:$Q,8,FALSE)))/2),0)</f>
        <v>0.64954501915708818</v>
      </c>
      <c r="H64" s="171" t="str">
        <f t="shared" si="0"/>
        <v>L</v>
      </c>
      <c r="I64" s="170">
        <f>IFERROR((VLOOKUP($C64,Code!$H:$Q,5,FALSE))/(((VLOOKUP($C64,Code!$H:$Q,7,FALSE))+(VLOOKUP($C64,Code!$H:$Q,8,FALSE)))/2)-1,0)</f>
        <v>2.2204460492503131E-16</v>
      </c>
      <c r="J64" s="204">
        <f>IFERROR(POWER((VLOOKUP(C64,Code!H:W,12,FALSE))/(VLOOKUP(C64,Code!H:W,15,FALSE)),1/(P64-1))-1,"")</f>
        <v>0.22094037589871141</v>
      </c>
      <c r="K64" s="172" cm="1">
        <f t="array" ref="K64">IFERROR(IF(C64="","",_xlfn.IFS(AND(VLOOKUP(C64,Code!H:W,13,FALSE)=0,VLOOKUP(C64,Code!H:W,16,FALSE)=0),"無股息",AND(VLOOKUP(C64,Code!H:W,13,FALSE)=0,VLOOKUP(C64,Code!H:W,16,FALSE)&gt;0),"股息沒了",AND(VLOOKUP(C64,Code!H:W,13,FALSE)&gt;0,VLOOKUP(C64,Code!H:W,16,FALSE)=0),"發股息了",AND(VLOOKUP(C64,Code!H:W,13,FALSE)&gt;0,VLOOKUP(C64,Code!H:W,16,FALSE)&gt;0),POWER((VLOOKUP(C64,Code!H:W,13,FALSE))/(VLOOKUP(C64,Code!H:W,16,FALSE)),1/(P64-1))-1)),"")</f>
        <v>2.5813413738122959E-2</v>
      </c>
      <c r="L64" s="173">
        <f>IFERROR(VLOOKUP(C64,Code!H:W,13,FALSE)*4/VLOOKUP(C64,Code!H:W,12,FALSE),"")</f>
        <v>1.5597305582423353E-2</v>
      </c>
      <c r="M64" s="172">
        <f t="shared" si="1"/>
        <v>0.24675378963683436</v>
      </c>
      <c r="N64" s="172" t="str">
        <f t="shared" si="2"/>
        <v>-</v>
      </c>
      <c r="O64" s="172" t="str">
        <f t="shared" si="3"/>
        <v>-</v>
      </c>
      <c r="P64" s="205">
        <f>IFERROR(YEARFRAC(VLOOKUP(C64,Code!H:W,11,FALSE),VLOOKUP(C64,Code!H:W,14,FALSE),3),"")</f>
        <v>4.7397260273972606</v>
      </c>
      <c r="Q64" s="174">
        <v>44547</v>
      </c>
      <c r="R64" s="175" t="str">
        <f t="shared" ca="1" si="4"/>
        <v/>
      </c>
      <c r="S64" s="176">
        <f>IFERROR(VLOOKUP($C64,Code!$H:$Q,5,FALSE),"")</f>
        <v>0.20880000000000001</v>
      </c>
      <c r="T64" s="177" t="str">
        <f t="shared" ca="1" si="5"/>
        <v/>
      </c>
      <c r="U64" s="178" t="str">
        <f t="shared" ca="1" si="6"/>
        <v/>
      </c>
      <c r="V64" s="179">
        <f>IFERROR(VLOOKUP($C64,Code!$H:$Q,6,FALSE),"")</f>
        <v>145.83000000000001</v>
      </c>
      <c r="W64" s="180" t="str">
        <f t="shared" ca="1" si="7"/>
        <v/>
      </c>
      <c r="X64" s="12"/>
      <c r="Y64" s="12"/>
      <c r="Z64" s="12"/>
      <c r="AA64" s="12"/>
      <c r="AB64" s="12"/>
    </row>
    <row r="65" spans="1:28" s="10" customFormat="1" ht="15" hidden="1">
      <c r="A65" s="9"/>
      <c r="B65" s="169" cm="1">
        <f t="array" ref="B65">_xlfn.IFS(OR(Code!R345&lt;&gt;Code!U345,Code!R345=""),0,Code!R345=Code!U345,1)</f>
        <v>1</v>
      </c>
      <c r="C65" s="193" t="str">
        <f>IF(Code!F345="","",Code!F345)</f>
        <v>NVR</v>
      </c>
      <c r="D65" s="155" t="str">
        <f>IFERROR(VLOOKUP($C65,Code!$H:$K,2,FALSE),"")</f>
        <v>XLY</v>
      </c>
      <c r="E65" s="156" t="str">
        <f>IFERROR(VLOOKUP($C65,Code!$H:$K,3,FALSE),"")</f>
        <v>住宅建設</v>
      </c>
      <c r="F65" s="157" t="str">
        <f>IFERROR(VLOOKUP($C65,Code!$H:$K,4,FALSE),"")</f>
        <v>.SPX</v>
      </c>
      <c r="G65" s="170">
        <f>IFERROR(((VLOOKUP($C65,Code!$H:$Q,9,FALSE))+(VLOOKUP($C65,Code!$H:$Q,10,FALSE)))/2*0.5/(((VLOOKUP($C65,Code!$H:$Q,7,FALSE))+(VLOOKUP($C65,Code!$H:$Q,8,FALSE)))/2),0)</f>
        <v>0</v>
      </c>
      <c r="H65" s="171" t="str">
        <f t="shared" si="0"/>
        <v/>
      </c>
      <c r="I65" s="170">
        <f>IFERROR((VLOOKUP($C65,Code!$H:$Q,5,FALSE))/(((VLOOKUP($C65,Code!$H:$Q,7,FALSE))+(VLOOKUP($C65,Code!$H:$Q,8,FALSE)))/2)-1,0)</f>
        <v>0</v>
      </c>
      <c r="J65" s="204" t="str">
        <f>IFERROR(POWER((VLOOKUP(C65,Code!H:W,12,FALSE))/(VLOOKUP(C65,Code!H:W,15,FALSE)),1/(P65-1))-1,"")</f>
        <v/>
      </c>
      <c r="K65" s="172" t="str" cm="1">
        <f t="array" ref="K65">IFERROR(IF(C65="","",_xlfn.IFS(AND(VLOOKUP(C65,Code!H:W,13,FALSE)=0,VLOOKUP(C65,Code!H:W,16,FALSE)=0),"無股息",AND(VLOOKUP(C65,Code!H:W,13,FALSE)=0,VLOOKUP(C65,Code!H:W,16,FALSE)&gt;0),"股息沒了",AND(VLOOKUP(C65,Code!H:W,13,FALSE)&gt;0,VLOOKUP(C65,Code!H:W,16,FALSE)=0),"發股息了",AND(VLOOKUP(C65,Code!H:W,13,FALSE)&gt;0,VLOOKUP(C65,Code!H:W,16,FALSE)&gt;0),POWER((VLOOKUP(C65,Code!H:W,13,FALSE))/(VLOOKUP(C65,Code!H:W,16,FALSE)),1/(P65-1))-1)),"")</f>
        <v>無股息</v>
      </c>
      <c r="L65" s="173" t="str">
        <f>IFERROR(VLOOKUP(C65,Code!H:W,13,FALSE)*4/VLOOKUP(C65,Code!H:W,12,FALSE),"")</f>
        <v/>
      </c>
      <c r="M65" s="172" t="str">
        <f t="shared" si="1"/>
        <v/>
      </c>
      <c r="N65" s="172" t="str">
        <f t="shared" si="2"/>
        <v/>
      </c>
      <c r="O65" s="172" t="str">
        <f t="shared" si="3"/>
        <v/>
      </c>
      <c r="P65" s="205">
        <f>IFERROR(YEARFRAC(VLOOKUP(C65,Code!H:W,11,FALSE),VLOOKUP(C65,Code!H:W,14,FALSE),3),"")</f>
        <v>0</v>
      </c>
      <c r="Q65" s="174">
        <v>44547</v>
      </c>
      <c r="R65" s="175" t="str">
        <f t="shared" ca="1" si="4"/>
        <v/>
      </c>
      <c r="S65" s="176" t="str">
        <f>IFERROR(VLOOKUP($C65,Code!$H:$Q,5,FALSE),"")</f>
        <v>N/A</v>
      </c>
      <c r="T65" s="177" t="str">
        <f t="shared" ca="1" si="5"/>
        <v/>
      </c>
      <c r="U65" s="178" t="str">
        <f t="shared" ca="1" si="6"/>
        <v/>
      </c>
      <c r="V65" s="179">
        <f>IFERROR(VLOOKUP($C65,Code!$H:$Q,6,FALSE),"")</f>
        <v>5313.57</v>
      </c>
      <c r="W65" s="180" t="str">
        <f t="shared" ca="1" si="7"/>
        <v/>
      </c>
      <c r="X65" s="12"/>
      <c r="Y65" s="12"/>
      <c r="Z65" s="12"/>
      <c r="AA65" s="12"/>
      <c r="AB65" s="12"/>
    </row>
    <row r="66" spans="1:28" s="10" customFormat="1" ht="15" hidden="1">
      <c r="A66" s="9"/>
      <c r="B66" s="169" cm="1">
        <f t="array" ref="B66">_xlfn.IFS(OR(Code!R509&lt;&gt;Code!U509,Code!R509=""),0,Code!R509=Code!U509,1)</f>
        <v>0</v>
      </c>
      <c r="C66" s="193" t="str">
        <f>IF(Code!F509="","",Code!F509)</f>
        <v/>
      </c>
      <c r="D66" s="155" t="str">
        <f>IFERROR(VLOOKUP($C66,Code!$H:$K,2,FALSE),"")</f>
        <v/>
      </c>
      <c r="E66" s="156" t="str">
        <f>IFERROR(VLOOKUP($C66,Code!$H:$K,3,FALSE),"")</f>
        <v/>
      </c>
      <c r="F66" s="157" t="str">
        <f>IFERROR(VLOOKUP($C66,Code!$H:$K,4,FALSE),"")</f>
        <v/>
      </c>
      <c r="G66" s="170">
        <f>IFERROR(((VLOOKUP($C66,Code!$H:$Q,9,FALSE))+(VLOOKUP($C66,Code!$H:$Q,10,FALSE)))/2*0.5/(((VLOOKUP($C66,Code!$H:$Q,7,FALSE))+(VLOOKUP($C66,Code!$H:$Q,8,FALSE)))/2),0)</f>
        <v>0</v>
      </c>
      <c r="H66" s="171" t="str">
        <f t="shared" si="0"/>
        <v/>
      </c>
      <c r="I66" s="170">
        <f>IFERROR((VLOOKUP($C66,Code!$H:$Q,5,FALSE))/(((VLOOKUP($C66,Code!$H:$Q,7,FALSE))+(VLOOKUP($C66,Code!$H:$Q,8,FALSE)))/2)-1,0)</f>
        <v>0</v>
      </c>
      <c r="J66" s="204" t="str">
        <f>IFERROR(POWER((VLOOKUP(C66,Code!H:W,12,FALSE))/(VLOOKUP(C66,Code!H:W,15,FALSE)),1/(P66-1))-1,"")</f>
        <v/>
      </c>
      <c r="K66" s="172" t="str" cm="1">
        <f t="array" ref="K66">IFERROR(IF(C66="","",_xlfn.IFS(AND(VLOOKUP(C66,Code!H:W,13,FALSE)=0,VLOOKUP(C66,Code!H:W,16,FALSE)=0),"無股息",AND(VLOOKUP(C66,Code!H:W,13,FALSE)=0,VLOOKUP(C66,Code!H:W,16,FALSE)&gt;0),"股息沒了",AND(VLOOKUP(C66,Code!H:W,13,FALSE)&gt;0,VLOOKUP(C66,Code!H:W,16,FALSE)=0),"發股息了",AND(VLOOKUP(C66,Code!H:W,13,FALSE)&gt;0,VLOOKUP(C66,Code!H:W,16,FALSE)&gt;0),POWER((VLOOKUP(C66,Code!H:W,13,FALSE))/(VLOOKUP(C66,Code!H:W,16,FALSE)),1/(P66-1))-1)),"")</f>
        <v/>
      </c>
      <c r="L66" s="173" t="str">
        <f>IFERROR(VLOOKUP(C66,Code!H:W,13,FALSE)*4/VLOOKUP(C66,Code!H:W,12,FALSE),"")</f>
        <v/>
      </c>
      <c r="M66" s="172" t="str">
        <f t="shared" si="1"/>
        <v/>
      </c>
      <c r="N66" s="172" t="str">
        <f t="shared" si="2"/>
        <v/>
      </c>
      <c r="O66" s="172" t="str">
        <f t="shared" si="3"/>
        <v/>
      </c>
      <c r="P66" s="205">
        <f>IFERROR(YEARFRAC(VLOOKUP(C66,Code!H:W,11,FALSE),VLOOKUP(C66,Code!H:W,14,FALSE),3),"")</f>
        <v>0</v>
      </c>
      <c r="Q66" s="174">
        <v>44547</v>
      </c>
      <c r="R66" s="175" t="str">
        <f t="shared" ca="1" si="4"/>
        <v/>
      </c>
      <c r="S66" s="176">
        <f>IFERROR(VLOOKUP($C66,Code!$H:$Q,5,FALSE),"")</f>
        <v>0</v>
      </c>
      <c r="T66" s="177" t="str">
        <f t="shared" ca="1" si="5"/>
        <v/>
      </c>
      <c r="U66" s="178" t="str">
        <f t="shared" ca="1" si="6"/>
        <v/>
      </c>
      <c r="V66" s="179">
        <f>IFERROR(VLOOKUP($C66,Code!$H:$Q,6,FALSE),"")</f>
        <v>0</v>
      </c>
      <c r="W66" s="180" t="str">
        <f t="shared" ca="1" si="7"/>
        <v/>
      </c>
      <c r="X66" s="12"/>
      <c r="Y66" s="12"/>
      <c r="Z66" s="12"/>
      <c r="AA66" s="12"/>
      <c r="AB66" s="12"/>
    </row>
    <row r="67" spans="1:28" s="10" customFormat="1" ht="15" hidden="1">
      <c r="A67" s="9"/>
      <c r="B67" s="169" cm="1">
        <f t="array" ref="B67">_xlfn.IFS(OR(Code!R510&lt;&gt;Code!U510,Code!R510=""),0,Code!R510=Code!U510,1)</f>
        <v>0</v>
      </c>
      <c r="C67" s="193" t="str">
        <f>IF(Code!F510="","",Code!F510)</f>
        <v/>
      </c>
      <c r="D67" s="155" t="str">
        <f>IFERROR(VLOOKUP($C67,Code!$H:$K,2,FALSE),"")</f>
        <v/>
      </c>
      <c r="E67" s="156" t="str">
        <f>IFERROR(VLOOKUP($C67,Code!$H:$K,3,FALSE),"")</f>
        <v/>
      </c>
      <c r="F67" s="157" t="str">
        <f>IFERROR(VLOOKUP($C67,Code!$H:$K,4,FALSE),"")</f>
        <v/>
      </c>
      <c r="G67" s="170">
        <f>IFERROR(((VLOOKUP($C67,Code!$H:$Q,9,FALSE))+(VLOOKUP($C67,Code!$H:$Q,10,FALSE)))/2*0.5/(((VLOOKUP($C67,Code!$H:$Q,7,FALSE))+(VLOOKUP($C67,Code!$H:$Q,8,FALSE)))/2),0)</f>
        <v>0</v>
      </c>
      <c r="H67" s="171" t="str">
        <f t="shared" si="0"/>
        <v/>
      </c>
      <c r="I67" s="170">
        <f>IFERROR((VLOOKUP($C67,Code!$H:$Q,5,FALSE))/(((VLOOKUP($C67,Code!$H:$Q,7,FALSE))+(VLOOKUP($C67,Code!$H:$Q,8,FALSE)))/2)-1,0)</f>
        <v>0</v>
      </c>
      <c r="J67" s="204" t="str">
        <f>IFERROR(POWER((VLOOKUP(C67,Code!H:W,12,FALSE))/(VLOOKUP(C67,Code!H:W,15,FALSE)),1/(P67-1))-1,"")</f>
        <v/>
      </c>
      <c r="K67" s="172" t="str" cm="1">
        <f t="array" ref="K67">IFERROR(IF(C67="","",_xlfn.IFS(AND(VLOOKUP(C67,Code!H:W,13,FALSE)=0,VLOOKUP(C67,Code!H:W,16,FALSE)=0),"無股息",AND(VLOOKUP(C67,Code!H:W,13,FALSE)=0,VLOOKUP(C67,Code!H:W,16,FALSE)&gt;0),"股息沒了",AND(VLOOKUP(C67,Code!H:W,13,FALSE)&gt;0,VLOOKUP(C67,Code!H:W,16,FALSE)=0),"發股息了",AND(VLOOKUP(C67,Code!H:W,13,FALSE)&gt;0,VLOOKUP(C67,Code!H:W,16,FALSE)&gt;0),POWER((VLOOKUP(C67,Code!H:W,13,FALSE))/(VLOOKUP(C67,Code!H:W,16,FALSE)),1/(P67-1))-1)),"")</f>
        <v/>
      </c>
      <c r="L67" s="173" t="str">
        <f>IFERROR(VLOOKUP(C67,Code!H:W,13,FALSE)*4/VLOOKUP(C67,Code!H:W,12,FALSE),"")</f>
        <v/>
      </c>
      <c r="M67" s="172" t="str">
        <f t="shared" si="1"/>
        <v/>
      </c>
      <c r="N67" s="172" t="str">
        <f t="shared" si="2"/>
        <v/>
      </c>
      <c r="O67" s="172" t="str">
        <f t="shared" si="3"/>
        <v/>
      </c>
      <c r="P67" s="205">
        <f>IFERROR(YEARFRAC(VLOOKUP(C67,Code!H:W,11,FALSE),VLOOKUP(C67,Code!H:W,14,FALSE),3),"")</f>
        <v>0</v>
      </c>
      <c r="Q67" s="174">
        <v>44547</v>
      </c>
      <c r="R67" s="175" t="str">
        <f t="shared" ca="1" si="4"/>
        <v/>
      </c>
      <c r="S67" s="176">
        <f>IFERROR(VLOOKUP($C67,Code!$H:$Q,5,FALSE),"")</f>
        <v>0</v>
      </c>
      <c r="T67" s="177" t="str">
        <f t="shared" ca="1" si="5"/>
        <v/>
      </c>
      <c r="U67" s="178" t="str">
        <f t="shared" ca="1" si="6"/>
        <v/>
      </c>
      <c r="V67" s="179">
        <f>IFERROR(VLOOKUP($C67,Code!$H:$Q,6,FALSE),"")</f>
        <v>0</v>
      </c>
      <c r="W67" s="180" t="str">
        <f t="shared" ca="1" si="7"/>
        <v/>
      </c>
      <c r="X67" s="12"/>
      <c r="Y67" s="12"/>
      <c r="Z67" s="12"/>
      <c r="AA67" s="12"/>
      <c r="AB67" s="12"/>
    </row>
    <row r="68" spans="1:28" s="10" customFormat="1" ht="15" hidden="1">
      <c r="A68" s="9"/>
      <c r="B68" s="169" cm="1">
        <f t="array" ref="B68">_xlfn.IFS(OR(Code!R511&lt;&gt;Code!U511,Code!R511=""),0,Code!R511=Code!U511,1)</f>
        <v>0</v>
      </c>
      <c r="C68" s="193" t="str">
        <f>IF(Code!F511="","",Code!F511)</f>
        <v/>
      </c>
      <c r="D68" s="155" t="str">
        <f>IFERROR(VLOOKUP($C68,Code!$H:$K,2,FALSE),"")</f>
        <v/>
      </c>
      <c r="E68" s="156" t="str">
        <f>IFERROR(VLOOKUP($C68,Code!$H:$K,3,FALSE),"")</f>
        <v/>
      </c>
      <c r="F68" s="157" t="str">
        <f>IFERROR(VLOOKUP($C68,Code!$H:$K,4,FALSE),"")</f>
        <v/>
      </c>
      <c r="G68" s="170">
        <f>IFERROR(((VLOOKUP($C68,Code!$H:$Q,9,FALSE))+(VLOOKUP($C68,Code!$H:$Q,10,FALSE)))/2*0.5/(((VLOOKUP($C68,Code!$H:$Q,7,FALSE))+(VLOOKUP($C68,Code!$H:$Q,8,FALSE)))/2),0)</f>
        <v>0</v>
      </c>
      <c r="H68" s="171" t="str">
        <f t="shared" ref="H68:H131" si="8">IFERROR(IF(G68&gt;9E+306,"",IF(G68&gt;70%,"XL",IF(G68&gt;60%,"L",IF(G68&gt;50%,"M",IF(G68&gt;0%,"S",""))))),"")</f>
        <v/>
      </c>
      <c r="I68" s="170">
        <f>IFERROR((VLOOKUP($C68,Code!$H:$Q,5,FALSE))/(((VLOOKUP($C68,Code!$H:$Q,7,FALSE))+(VLOOKUP($C68,Code!$H:$Q,8,FALSE)))/2)-1,0)</f>
        <v>0</v>
      </c>
      <c r="J68" s="204" t="str">
        <f>IFERROR(POWER((VLOOKUP(C68,Code!H:W,12,FALSE))/(VLOOKUP(C68,Code!H:W,15,FALSE)),1/(P68-1))-1,"")</f>
        <v/>
      </c>
      <c r="K68" s="172" t="str" cm="1">
        <f t="array" ref="K68">IFERROR(IF(C68="","",_xlfn.IFS(AND(VLOOKUP(C68,Code!H:W,13,FALSE)=0,VLOOKUP(C68,Code!H:W,16,FALSE)=0),"無股息",AND(VLOOKUP(C68,Code!H:W,13,FALSE)=0,VLOOKUP(C68,Code!H:W,16,FALSE)&gt;0),"股息沒了",AND(VLOOKUP(C68,Code!H:W,13,FALSE)&gt;0,VLOOKUP(C68,Code!H:W,16,FALSE)=0),"發股息了",AND(VLOOKUP(C68,Code!H:W,13,FALSE)&gt;0,VLOOKUP(C68,Code!H:W,16,FALSE)&gt;0),POWER((VLOOKUP(C68,Code!H:W,13,FALSE))/(VLOOKUP(C68,Code!H:W,16,FALSE)),1/(P68-1))-1)),"")</f>
        <v/>
      </c>
      <c r="L68" s="173" t="str">
        <f>IFERROR(VLOOKUP(C68,Code!H:W,13,FALSE)*4/VLOOKUP(C68,Code!H:W,12,FALSE),"")</f>
        <v/>
      </c>
      <c r="M68" s="172" t="str">
        <f t="shared" ref="M68:M131" si="9">IF(SUM(J68:K68)=0,"",SUM(J68:K68))</f>
        <v/>
      </c>
      <c r="N68" s="172" t="str">
        <f t="shared" ref="N68:N131" si="10">IFERROR(IF(L68&gt;3%,IF((K68+L68)&gt;12%,"Venture","-"),"-"),"")</f>
        <v/>
      </c>
      <c r="O68" s="172" t="str">
        <f t="shared" ref="O68:O131" si="11">IFERROR(IF(OR(L68&lt;3%,L68=""),IF((K68+L68)&gt;15%,"Value","-"),"-"),"")</f>
        <v/>
      </c>
      <c r="P68" s="205">
        <f>IFERROR(YEARFRAC(VLOOKUP(C68,Code!H:W,11,FALSE),VLOOKUP(C68,Code!H:W,14,FALSE),3),"")</f>
        <v>0</v>
      </c>
      <c r="Q68" s="174">
        <v>44547</v>
      </c>
      <c r="R68" s="175" t="str">
        <f t="shared" ref="R68:R131" ca="1" si="12">IFERROR(IF(OR(_xlfn.DAYS(Q68,TODAY())+1&lt;0,C68=0),"",_xlfn.DAYS(Q68,TODAY())+1),"")</f>
        <v/>
      </c>
      <c r="S68" s="176">
        <f>IFERROR(VLOOKUP($C68,Code!$H:$Q,5,FALSE),"")</f>
        <v>0</v>
      </c>
      <c r="T68" s="177" t="str">
        <f t="shared" ref="T68:T131" ca="1" si="13">IFERROR(IF(V68*S68*SQRT(R68/365)=0,"",V68*S68*SQRT(R68/365)),"")</f>
        <v/>
      </c>
      <c r="U68" s="178" t="str">
        <f t="shared" ref="U68:U131" ca="1" si="14">IFERROR(V68-T68,"")</f>
        <v/>
      </c>
      <c r="V68" s="179">
        <f>IFERROR(VLOOKUP($C68,Code!$H:$Q,6,FALSE),"")</f>
        <v>0</v>
      </c>
      <c r="W68" s="180" t="str">
        <f t="shared" ref="W68:W131" ca="1" si="15">IFERROR(V68+T68,"")</f>
        <v/>
      </c>
      <c r="X68" s="12"/>
      <c r="Y68" s="12"/>
      <c r="Z68" s="12"/>
      <c r="AA68" s="12"/>
      <c r="AB68" s="12"/>
    </row>
    <row r="69" spans="1:28" s="10" customFormat="1" ht="15" hidden="1">
      <c r="A69" s="9"/>
      <c r="B69" s="169" cm="1">
        <f t="array" ref="B69">_xlfn.IFS(OR(Code!R512&lt;&gt;Code!U512,Code!R512=""),0,Code!R512=Code!U512,1)</f>
        <v>0</v>
      </c>
      <c r="C69" s="193" t="str">
        <f>IF(Code!F512="","",Code!F512)</f>
        <v/>
      </c>
      <c r="D69" s="155" t="str">
        <f>IFERROR(VLOOKUP($C69,Code!$H:$K,2,FALSE),"")</f>
        <v/>
      </c>
      <c r="E69" s="156" t="str">
        <f>IFERROR(VLOOKUP($C69,Code!$H:$K,3,FALSE),"")</f>
        <v/>
      </c>
      <c r="F69" s="157" t="str">
        <f>IFERROR(VLOOKUP($C69,Code!$H:$K,4,FALSE),"")</f>
        <v/>
      </c>
      <c r="G69" s="170">
        <f>IFERROR(((VLOOKUP($C69,Code!$H:$Q,9,FALSE))+(VLOOKUP($C69,Code!$H:$Q,10,FALSE)))/2*0.5/(((VLOOKUP($C69,Code!$H:$Q,7,FALSE))+(VLOOKUP($C69,Code!$H:$Q,8,FALSE)))/2),0)</f>
        <v>0</v>
      </c>
      <c r="H69" s="171" t="str">
        <f t="shared" si="8"/>
        <v/>
      </c>
      <c r="I69" s="170">
        <f>IFERROR((VLOOKUP($C69,Code!$H:$Q,5,FALSE))/(((VLOOKUP($C69,Code!$H:$Q,7,FALSE))+(VLOOKUP($C69,Code!$H:$Q,8,FALSE)))/2)-1,0)</f>
        <v>0</v>
      </c>
      <c r="J69" s="204" t="str">
        <f>IFERROR(POWER((VLOOKUP(C69,Code!H:W,12,FALSE))/(VLOOKUP(C69,Code!H:W,15,FALSE)),1/(P69-1))-1,"")</f>
        <v/>
      </c>
      <c r="K69" s="172" t="str" cm="1">
        <f t="array" ref="K69">IFERROR(IF(C69="","",_xlfn.IFS(AND(VLOOKUP(C69,Code!H:W,13,FALSE)=0,VLOOKUP(C69,Code!H:W,16,FALSE)=0),"無股息",AND(VLOOKUP(C69,Code!H:W,13,FALSE)=0,VLOOKUP(C69,Code!H:W,16,FALSE)&gt;0),"股息沒了",AND(VLOOKUP(C69,Code!H:W,13,FALSE)&gt;0,VLOOKUP(C69,Code!H:W,16,FALSE)=0),"發股息了",AND(VLOOKUP(C69,Code!H:W,13,FALSE)&gt;0,VLOOKUP(C69,Code!H:W,16,FALSE)&gt;0),POWER((VLOOKUP(C69,Code!H:W,13,FALSE))/(VLOOKUP(C69,Code!H:W,16,FALSE)),1/(P69-1))-1)),"")</f>
        <v/>
      </c>
      <c r="L69" s="173" t="str">
        <f>IFERROR(VLOOKUP(C69,Code!H:W,13,FALSE)*4/VLOOKUP(C69,Code!H:W,12,FALSE),"")</f>
        <v/>
      </c>
      <c r="M69" s="172" t="str">
        <f t="shared" si="9"/>
        <v/>
      </c>
      <c r="N69" s="172" t="str">
        <f t="shared" si="10"/>
        <v/>
      </c>
      <c r="O69" s="172" t="str">
        <f t="shared" si="11"/>
        <v/>
      </c>
      <c r="P69" s="205">
        <f>IFERROR(YEARFRAC(VLOOKUP(C69,Code!H:W,11,FALSE),VLOOKUP(C69,Code!H:W,14,FALSE),3),"")</f>
        <v>0</v>
      </c>
      <c r="Q69" s="174">
        <v>44547</v>
      </c>
      <c r="R69" s="175" t="str">
        <f t="shared" ca="1" si="12"/>
        <v/>
      </c>
      <c r="S69" s="176">
        <f>IFERROR(VLOOKUP($C69,Code!$H:$Q,5,FALSE),"")</f>
        <v>0</v>
      </c>
      <c r="T69" s="177" t="str">
        <f t="shared" ca="1" si="13"/>
        <v/>
      </c>
      <c r="U69" s="178" t="str">
        <f t="shared" ca="1" si="14"/>
        <v/>
      </c>
      <c r="V69" s="179">
        <f>IFERROR(VLOOKUP($C69,Code!$H:$Q,6,FALSE),"")</f>
        <v>0</v>
      </c>
      <c r="W69" s="180" t="str">
        <f t="shared" ca="1" si="15"/>
        <v/>
      </c>
      <c r="X69" s="12"/>
      <c r="Y69" s="12"/>
      <c r="Z69" s="12"/>
      <c r="AA69" s="12"/>
      <c r="AB69" s="12"/>
    </row>
    <row r="70" spans="1:28" s="10" customFormat="1" ht="15" hidden="1">
      <c r="A70" s="9"/>
      <c r="B70" s="169" cm="1">
        <f t="array" ref="B70">_xlfn.IFS(OR(Code!R513&lt;&gt;Code!U513,Code!R513=""),0,Code!R513=Code!U513,1)</f>
        <v>0</v>
      </c>
      <c r="C70" s="193" t="str">
        <f>IF(Code!F513="","",Code!F513)</f>
        <v/>
      </c>
      <c r="D70" s="155" t="str">
        <f>IFERROR(VLOOKUP($C70,Code!$H:$K,2,FALSE),"")</f>
        <v/>
      </c>
      <c r="E70" s="156" t="str">
        <f>IFERROR(VLOOKUP($C70,Code!$H:$K,3,FALSE),"")</f>
        <v/>
      </c>
      <c r="F70" s="157" t="str">
        <f>IFERROR(VLOOKUP($C70,Code!$H:$K,4,FALSE),"")</f>
        <v/>
      </c>
      <c r="G70" s="170">
        <f>IFERROR(((VLOOKUP($C70,Code!$H:$Q,9,FALSE))+(VLOOKUP($C70,Code!$H:$Q,10,FALSE)))/2*0.5/(((VLOOKUP($C70,Code!$H:$Q,7,FALSE))+(VLOOKUP($C70,Code!$H:$Q,8,FALSE)))/2),0)</f>
        <v>0</v>
      </c>
      <c r="H70" s="171" t="str">
        <f t="shared" si="8"/>
        <v/>
      </c>
      <c r="I70" s="170">
        <f>IFERROR((VLOOKUP($C70,Code!$H:$Q,5,FALSE))/(((VLOOKUP($C70,Code!$H:$Q,7,FALSE))+(VLOOKUP($C70,Code!$H:$Q,8,FALSE)))/2)-1,0)</f>
        <v>0</v>
      </c>
      <c r="J70" s="204" t="str">
        <f>IFERROR(POWER((VLOOKUP(C70,Code!H:W,12,FALSE))/(VLOOKUP(C70,Code!H:W,15,FALSE)),1/(P70-1))-1,"")</f>
        <v/>
      </c>
      <c r="K70" s="172" t="str" cm="1">
        <f t="array" ref="K70">IFERROR(IF(C70="","",_xlfn.IFS(AND(VLOOKUP(C70,Code!H:W,13,FALSE)=0,VLOOKUP(C70,Code!H:W,16,FALSE)=0),"無股息",AND(VLOOKUP(C70,Code!H:W,13,FALSE)=0,VLOOKUP(C70,Code!H:W,16,FALSE)&gt;0),"股息沒了",AND(VLOOKUP(C70,Code!H:W,13,FALSE)&gt;0,VLOOKUP(C70,Code!H:W,16,FALSE)=0),"發股息了",AND(VLOOKUP(C70,Code!H:W,13,FALSE)&gt;0,VLOOKUP(C70,Code!H:W,16,FALSE)&gt;0),POWER((VLOOKUP(C70,Code!H:W,13,FALSE))/(VLOOKUP(C70,Code!H:W,16,FALSE)),1/(P70-1))-1)),"")</f>
        <v/>
      </c>
      <c r="L70" s="173" t="str">
        <f>IFERROR(VLOOKUP(C70,Code!H:W,13,FALSE)*4/VLOOKUP(C70,Code!H:W,12,FALSE),"")</f>
        <v/>
      </c>
      <c r="M70" s="172" t="str">
        <f t="shared" si="9"/>
        <v/>
      </c>
      <c r="N70" s="172" t="str">
        <f t="shared" si="10"/>
        <v/>
      </c>
      <c r="O70" s="172" t="str">
        <f t="shared" si="11"/>
        <v/>
      </c>
      <c r="P70" s="205">
        <f>IFERROR(YEARFRAC(VLOOKUP(C70,Code!H:W,11,FALSE),VLOOKUP(C70,Code!H:W,14,FALSE),3),"")</f>
        <v>0</v>
      </c>
      <c r="Q70" s="174">
        <v>44547</v>
      </c>
      <c r="R70" s="175" t="str">
        <f t="shared" ca="1" si="12"/>
        <v/>
      </c>
      <c r="S70" s="176">
        <f>IFERROR(VLOOKUP($C70,Code!$H:$Q,5,FALSE),"")</f>
        <v>0</v>
      </c>
      <c r="T70" s="177" t="str">
        <f t="shared" ca="1" si="13"/>
        <v/>
      </c>
      <c r="U70" s="178" t="str">
        <f t="shared" ca="1" si="14"/>
        <v/>
      </c>
      <c r="V70" s="179">
        <f>IFERROR(VLOOKUP($C70,Code!$H:$Q,6,FALSE),"")</f>
        <v>0</v>
      </c>
      <c r="W70" s="180" t="str">
        <f t="shared" ca="1" si="15"/>
        <v/>
      </c>
      <c r="X70" s="12"/>
      <c r="Y70" s="12"/>
      <c r="Z70" s="12"/>
      <c r="AA70" s="12"/>
      <c r="AB70" s="12"/>
    </row>
    <row r="71" spans="1:28" s="10" customFormat="1" ht="15" hidden="1">
      <c r="A71" s="9"/>
      <c r="B71" s="169" cm="1">
        <f t="array" ref="B71">_xlfn.IFS(OR(Code!R514&lt;&gt;Code!U514,Code!R514=""),0,Code!R514=Code!U514,1)</f>
        <v>0</v>
      </c>
      <c r="C71" s="193" t="str">
        <f>IF(Code!F514="","",Code!F514)</f>
        <v/>
      </c>
      <c r="D71" s="155" t="str">
        <f>IFERROR(VLOOKUP($C71,Code!$H:$K,2,FALSE),"")</f>
        <v/>
      </c>
      <c r="E71" s="156" t="str">
        <f>IFERROR(VLOOKUP($C71,Code!$H:$K,3,FALSE),"")</f>
        <v/>
      </c>
      <c r="F71" s="157" t="str">
        <f>IFERROR(VLOOKUP($C71,Code!$H:$K,4,FALSE),"")</f>
        <v/>
      </c>
      <c r="G71" s="170">
        <f>IFERROR(((VLOOKUP($C71,Code!$H:$Q,9,FALSE))+(VLOOKUP($C71,Code!$H:$Q,10,FALSE)))/2*0.5/(((VLOOKUP($C71,Code!$H:$Q,7,FALSE))+(VLOOKUP($C71,Code!$H:$Q,8,FALSE)))/2),0)</f>
        <v>0</v>
      </c>
      <c r="H71" s="171" t="str">
        <f t="shared" si="8"/>
        <v/>
      </c>
      <c r="I71" s="170">
        <f>IFERROR((VLOOKUP($C71,Code!$H:$Q,5,FALSE))/(((VLOOKUP($C71,Code!$H:$Q,7,FALSE))+(VLOOKUP($C71,Code!$H:$Q,8,FALSE)))/2)-1,0)</f>
        <v>0</v>
      </c>
      <c r="J71" s="204" t="str">
        <f>IFERROR(POWER((VLOOKUP(C71,Code!H:W,12,FALSE))/(VLOOKUP(C71,Code!H:W,15,FALSE)),1/(P71-1))-1,"")</f>
        <v/>
      </c>
      <c r="K71" s="172" t="str" cm="1">
        <f t="array" ref="K71">IFERROR(IF(C71="","",_xlfn.IFS(AND(VLOOKUP(C71,Code!H:W,13,FALSE)=0,VLOOKUP(C71,Code!H:W,16,FALSE)=0),"無股息",AND(VLOOKUP(C71,Code!H:W,13,FALSE)=0,VLOOKUP(C71,Code!H:W,16,FALSE)&gt;0),"股息沒了",AND(VLOOKUP(C71,Code!H:W,13,FALSE)&gt;0,VLOOKUP(C71,Code!H:W,16,FALSE)=0),"發股息了",AND(VLOOKUP(C71,Code!H:W,13,FALSE)&gt;0,VLOOKUP(C71,Code!H:W,16,FALSE)&gt;0),POWER((VLOOKUP(C71,Code!H:W,13,FALSE))/(VLOOKUP(C71,Code!H:W,16,FALSE)),1/(P71-1))-1)),"")</f>
        <v/>
      </c>
      <c r="L71" s="173" t="str">
        <f>IFERROR(VLOOKUP(C71,Code!H:W,13,FALSE)*4/VLOOKUP(C71,Code!H:W,12,FALSE),"")</f>
        <v/>
      </c>
      <c r="M71" s="172" t="str">
        <f t="shared" si="9"/>
        <v/>
      </c>
      <c r="N71" s="172" t="str">
        <f t="shared" si="10"/>
        <v/>
      </c>
      <c r="O71" s="172" t="str">
        <f t="shared" si="11"/>
        <v/>
      </c>
      <c r="P71" s="205">
        <f>IFERROR(YEARFRAC(VLOOKUP(C71,Code!H:W,11,FALSE),VLOOKUP(C71,Code!H:W,14,FALSE),3),"")</f>
        <v>0</v>
      </c>
      <c r="Q71" s="174">
        <v>44547</v>
      </c>
      <c r="R71" s="175" t="str">
        <f t="shared" ca="1" si="12"/>
        <v/>
      </c>
      <c r="S71" s="176">
        <f>IFERROR(VLOOKUP($C71,Code!$H:$Q,5,FALSE),"")</f>
        <v>0</v>
      </c>
      <c r="T71" s="177" t="str">
        <f t="shared" ca="1" si="13"/>
        <v/>
      </c>
      <c r="U71" s="178" t="str">
        <f t="shared" ca="1" si="14"/>
        <v/>
      </c>
      <c r="V71" s="179">
        <f>IFERROR(VLOOKUP($C71,Code!$H:$Q,6,FALSE),"")</f>
        <v>0</v>
      </c>
      <c r="W71" s="180" t="str">
        <f t="shared" ca="1" si="15"/>
        <v/>
      </c>
      <c r="X71" s="12"/>
      <c r="Y71" s="12"/>
      <c r="Z71" s="12"/>
      <c r="AA71" s="12"/>
      <c r="AB71" s="12"/>
    </row>
    <row r="72" spans="1:28" s="10" customFormat="1" ht="15" hidden="1">
      <c r="A72" s="9"/>
      <c r="B72" s="169" cm="1">
        <f t="array" ref="B72">_xlfn.IFS(OR(Code!R515&lt;&gt;Code!U515,Code!R515=""),0,Code!R515=Code!U515,1)</f>
        <v>0</v>
      </c>
      <c r="C72" s="193" t="str">
        <f>IF(Code!F515="","",Code!F515)</f>
        <v/>
      </c>
      <c r="D72" s="155" t="str">
        <f>IFERROR(VLOOKUP($C72,Code!$H:$K,2,FALSE),"")</f>
        <v/>
      </c>
      <c r="E72" s="156" t="str">
        <f>IFERROR(VLOOKUP($C72,Code!$H:$K,3,FALSE),"")</f>
        <v/>
      </c>
      <c r="F72" s="157" t="str">
        <f>IFERROR(VLOOKUP($C72,Code!$H:$K,4,FALSE),"")</f>
        <v/>
      </c>
      <c r="G72" s="170">
        <f>IFERROR(((VLOOKUP($C72,Code!$H:$Q,9,FALSE))+(VLOOKUP($C72,Code!$H:$Q,10,FALSE)))/2*0.5/(((VLOOKUP($C72,Code!$H:$Q,7,FALSE))+(VLOOKUP($C72,Code!$H:$Q,8,FALSE)))/2),0)</f>
        <v>0</v>
      </c>
      <c r="H72" s="171" t="str">
        <f t="shared" si="8"/>
        <v/>
      </c>
      <c r="I72" s="170">
        <f>IFERROR((VLOOKUP($C72,Code!$H:$Q,5,FALSE))/(((VLOOKUP($C72,Code!$H:$Q,7,FALSE))+(VLOOKUP($C72,Code!$H:$Q,8,FALSE)))/2)-1,0)</f>
        <v>0</v>
      </c>
      <c r="J72" s="204" t="str">
        <f>IFERROR(POWER((VLOOKUP(C72,Code!H:W,12,FALSE))/(VLOOKUP(C72,Code!H:W,15,FALSE)),1/(P72-1))-1,"")</f>
        <v/>
      </c>
      <c r="K72" s="172" t="str" cm="1">
        <f t="array" ref="K72">IFERROR(IF(C72="","",_xlfn.IFS(AND(VLOOKUP(C72,Code!H:W,13,FALSE)=0,VLOOKUP(C72,Code!H:W,16,FALSE)=0),"無股息",AND(VLOOKUP(C72,Code!H:W,13,FALSE)=0,VLOOKUP(C72,Code!H:W,16,FALSE)&gt;0),"股息沒了",AND(VLOOKUP(C72,Code!H:W,13,FALSE)&gt;0,VLOOKUP(C72,Code!H:W,16,FALSE)=0),"發股息了",AND(VLOOKUP(C72,Code!H:W,13,FALSE)&gt;0,VLOOKUP(C72,Code!H:W,16,FALSE)&gt;0),POWER((VLOOKUP(C72,Code!H:W,13,FALSE))/(VLOOKUP(C72,Code!H:W,16,FALSE)),1/(P72-1))-1)),"")</f>
        <v/>
      </c>
      <c r="L72" s="173" t="str">
        <f>IFERROR(VLOOKUP(C72,Code!H:W,13,FALSE)*4/VLOOKUP(C72,Code!H:W,12,FALSE),"")</f>
        <v/>
      </c>
      <c r="M72" s="172" t="str">
        <f t="shared" si="9"/>
        <v/>
      </c>
      <c r="N72" s="172" t="str">
        <f t="shared" si="10"/>
        <v/>
      </c>
      <c r="O72" s="172" t="str">
        <f t="shared" si="11"/>
        <v/>
      </c>
      <c r="P72" s="205">
        <f>IFERROR(YEARFRAC(VLOOKUP(C72,Code!H:W,11,FALSE),VLOOKUP(C72,Code!H:W,14,FALSE),3),"")</f>
        <v>0</v>
      </c>
      <c r="Q72" s="174">
        <v>44547</v>
      </c>
      <c r="R72" s="175" t="str">
        <f t="shared" ca="1" si="12"/>
        <v/>
      </c>
      <c r="S72" s="176">
        <f>IFERROR(VLOOKUP($C72,Code!$H:$Q,5,FALSE),"")</f>
        <v>0</v>
      </c>
      <c r="T72" s="177" t="str">
        <f t="shared" ca="1" si="13"/>
        <v/>
      </c>
      <c r="U72" s="178" t="str">
        <f t="shared" ca="1" si="14"/>
        <v/>
      </c>
      <c r="V72" s="179">
        <f>IFERROR(VLOOKUP($C72,Code!$H:$Q,6,FALSE),"")</f>
        <v>0</v>
      </c>
      <c r="W72" s="180" t="str">
        <f t="shared" ca="1" si="15"/>
        <v/>
      </c>
      <c r="X72" s="12"/>
      <c r="Y72" s="12"/>
      <c r="Z72" s="12"/>
      <c r="AA72" s="12"/>
      <c r="AB72" s="12"/>
    </row>
    <row r="73" spans="1:28" s="10" customFormat="1" ht="15" hidden="1">
      <c r="A73" s="9"/>
      <c r="B73" s="169" cm="1">
        <f t="array" ref="B73">_xlfn.IFS(OR(Code!R516&lt;&gt;Code!U516,Code!R516=""),0,Code!R516=Code!U516,1)</f>
        <v>0</v>
      </c>
      <c r="C73" s="193" t="str">
        <f>IF(Code!F516="","",Code!F516)</f>
        <v/>
      </c>
      <c r="D73" s="155" t="str">
        <f>IFERROR(VLOOKUP($C73,Code!$H:$K,2,FALSE),"")</f>
        <v/>
      </c>
      <c r="E73" s="156" t="str">
        <f>IFERROR(VLOOKUP($C73,Code!$H:$K,3,FALSE),"")</f>
        <v/>
      </c>
      <c r="F73" s="157" t="str">
        <f>IFERROR(VLOOKUP($C73,Code!$H:$K,4,FALSE),"")</f>
        <v/>
      </c>
      <c r="G73" s="170">
        <f>IFERROR(((VLOOKUP($C73,Code!$H:$Q,9,FALSE))+(VLOOKUP($C73,Code!$H:$Q,10,FALSE)))/2*0.5/(((VLOOKUP($C73,Code!$H:$Q,7,FALSE))+(VLOOKUP($C73,Code!$H:$Q,8,FALSE)))/2),0)</f>
        <v>0</v>
      </c>
      <c r="H73" s="171" t="str">
        <f t="shared" si="8"/>
        <v/>
      </c>
      <c r="I73" s="170">
        <f>IFERROR((VLOOKUP($C73,Code!$H:$Q,5,FALSE))/(((VLOOKUP($C73,Code!$H:$Q,7,FALSE))+(VLOOKUP($C73,Code!$H:$Q,8,FALSE)))/2)-1,0)</f>
        <v>0</v>
      </c>
      <c r="J73" s="204" t="str">
        <f>IFERROR(POWER((VLOOKUP(C73,Code!H:W,12,FALSE))/(VLOOKUP(C73,Code!H:W,15,FALSE)),1/(P73-1))-1,"")</f>
        <v/>
      </c>
      <c r="K73" s="172" t="str" cm="1">
        <f t="array" ref="K73">IFERROR(IF(C73="","",_xlfn.IFS(AND(VLOOKUP(C73,Code!H:W,13,FALSE)=0,VLOOKUP(C73,Code!H:W,16,FALSE)=0),"無股息",AND(VLOOKUP(C73,Code!H:W,13,FALSE)=0,VLOOKUP(C73,Code!H:W,16,FALSE)&gt;0),"股息沒了",AND(VLOOKUP(C73,Code!H:W,13,FALSE)&gt;0,VLOOKUP(C73,Code!H:W,16,FALSE)=0),"發股息了",AND(VLOOKUP(C73,Code!H:W,13,FALSE)&gt;0,VLOOKUP(C73,Code!H:W,16,FALSE)&gt;0),POWER((VLOOKUP(C73,Code!H:W,13,FALSE))/(VLOOKUP(C73,Code!H:W,16,FALSE)),1/(P73-1))-1)),"")</f>
        <v/>
      </c>
      <c r="L73" s="173" t="str">
        <f>IFERROR(VLOOKUP(C73,Code!H:W,13,FALSE)*4/VLOOKUP(C73,Code!H:W,12,FALSE),"")</f>
        <v/>
      </c>
      <c r="M73" s="172" t="str">
        <f t="shared" si="9"/>
        <v/>
      </c>
      <c r="N73" s="172" t="str">
        <f t="shared" si="10"/>
        <v/>
      </c>
      <c r="O73" s="172" t="str">
        <f t="shared" si="11"/>
        <v/>
      </c>
      <c r="P73" s="205">
        <f>IFERROR(YEARFRAC(VLOOKUP(C73,Code!H:W,11,FALSE),VLOOKUP(C73,Code!H:W,14,FALSE),3),"")</f>
        <v>0</v>
      </c>
      <c r="Q73" s="174">
        <v>44547</v>
      </c>
      <c r="R73" s="175" t="str">
        <f t="shared" ca="1" si="12"/>
        <v/>
      </c>
      <c r="S73" s="176">
        <f>IFERROR(VLOOKUP($C73,Code!$H:$Q,5,FALSE),"")</f>
        <v>0</v>
      </c>
      <c r="T73" s="177" t="str">
        <f t="shared" ca="1" si="13"/>
        <v/>
      </c>
      <c r="U73" s="178" t="str">
        <f t="shared" ca="1" si="14"/>
        <v/>
      </c>
      <c r="V73" s="179">
        <f>IFERROR(VLOOKUP($C73,Code!$H:$Q,6,FALSE),"")</f>
        <v>0</v>
      </c>
      <c r="W73" s="180" t="str">
        <f t="shared" ca="1" si="15"/>
        <v/>
      </c>
      <c r="X73" s="12"/>
      <c r="Y73" s="12"/>
      <c r="Z73" s="12"/>
      <c r="AA73" s="12"/>
      <c r="AB73" s="12"/>
    </row>
    <row r="74" spans="1:28" s="10" customFormat="1" ht="15" hidden="1">
      <c r="A74" s="9"/>
      <c r="B74" s="169" cm="1">
        <f t="array" ref="B74">_xlfn.IFS(OR(Code!R517&lt;&gt;Code!U517,Code!R517=""),0,Code!R517=Code!U517,1)</f>
        <v>0</v>
      </c>
      <c r="C74" s="193" t="str">
        <f>IF(Code!F517="","",Code!F517)</f>
        <v/>
      </c>
      <c r="D74" s="155" t="str">
        <f>IFERROR(VLOOKUP($C74,Code!$H:$K,2,FALSE),"")</f>
        <v/>
      </c>
      <c r="E74" s="156" t="str">
        <f>IFERROR(VLOOKUP($C74,Code!$H:$K,3,FALSE),"")</f>
        <v/>
      </c>
      <c r="F74" s="157" t="str">
        <f>IFERROR(VLOOKUP($C74,Code!$H:$K,4,FALSE),"")</f>
        <v/>
      </c>
      <c r="G74" s="170">
        <f>IFERROR(((VLOOKUP($C74,Code!$H:$Q,9,FALSE))+(VLOOKUP($C74,Code!$H:$Q,10,FALSE)))/2*0.5/(((VLOOKUP($C74,Code!$H:$Q,7,FALSE))+(VLOOKUP($C74,Code!$H:$Q,8,FALSE)))/2),0)</f>
        <v>0</v>
      </c>
      <c r="H74" s="171" t="str">
        <f t="shared" si="8"/>
        <v/>
      </c>
      <c r="I74" s="170">
        <f>IFERROR((VLOOKUP($C74,Code!$H:$Q,5,FALSE))/(((VLOOKUP($C74,Code!$H:$Q,7,FALSE))+(VLOOKUP($C74,Code!$H:$Q,8,FALSE)))/2)-1,0)</f>
        <v>0</v>
      </c>
      <c r="J74" s="204" t="str">
        <f>IFERROR(POWER((VLOOKUP(C74,Code!H:W,12,FALSE))/(VLOOKUP(C74,Code!H:W,15,FALSE)),1/(P74-1))-1,"")</f>
        <v/>
      </c>
      <c r="K74" s="172" t="str" cm="1">
        <f t="array" ref="K74">IFERROR(IF(C74="","",_xlfn.IFS(AND(VLOOKUP(C74,Code!H:W,13,FALSE)=0,VLOOKUP(C74,Code!H:W,16,FALSE)=0),"無股息",AND(VLOOKUP(C74,Code!H:W,13,FALSE)=0,VLOOKUP(C74,Code!H:W,16,FALSE)&gt;0),"股息沒了",AND(VLOOKUP(C74,Code!H:W,13,FALSE)&gt;0,VLOOKUP(C74,Code!H:W,16,FALSE)=0),"發股息了",AND(VLOOKUP(C74,Code!H:W,13,FALSE)&gt;0,VLOOKUP(C74,Code!H:W,16,FALSE)&gt;0),POWER((VLOOKUP(C74,Code!H:W,13,FALSE))/(VLOOKUP(C74,Code!H:W,16,FALSE)),1/(P74-1))-1)),"")</f>
        <v/>
      </c>
      <c r="L74" s="173" t="str">
        <f>IFERROR(VLOOKUP(C74,Code!H:W,13,FALSE)*4/VLOOKUP(C74,Code!H:W,12,FALSE),"")</f>
        <v/>
      </c>
      <c r="M74" s="172" t="str">
        <f t="shared" si="9"/>
        <v/>
      </c>
      <c r="N74" s="172" t="str">
        <f t="shared" si="10"/>
        <v/>
      </c>
      <c r="O74" s="172" t="str">
        <f t="shared" si="11"/>
        <v/>
      </c>
      <c r="P74" s="205">
        <f>IFERROR(YEARFRAC(VLOOKUP(C74,Code!H:W,11,FALSE),VLOOKUP(C74,Code!H:W,14,FALSE),3),"")</f>
        <v>0</v>
      </c>
      <c r="Q74" s="174">
        <v>44547</v>
      </c>
      <c r="R74" s="175" t="str">
        <f t="shared" ca="1" si="12"/>
        <v/>
      </c>
      <c r="S74" s="176">
        <f>IFERROR(VLOOKUP($C74,Code!$H:$Q,5,FALSE),"")</f>
        <v>0</v>
      </c>
      <c r="T74" s="177" t="str">
        <f t="shared" ca="1" si="13"/>
        <v/>
      </c>
      <c r="U74" s="178" t="str">
        <f t="shared" ca="1" si="14"/>
        <v/>
      </c>
      <c r="V74" s="179">
        <f>IFERROR(VLOOKUP($C74,Code!$H:$Q,6,FALSE),"")</f>
        <v>0</v>
      </c>
      <c r="W74" s="180" t="str">
        <f t="shared" ca="1" si="15"/>
        <v/>
      </c>
      <c r="X74" s="12"/>
      <c r="Y74" s="12"/>
      <c r="Z74" s="12"/>
      <c r="AA74" s="12"/>
      <c r="AB74" s="12"/>
    </row>
    <row r="75" spans="1:28" s="10" customFormat="1" ht="15" hidden="1">
      <c r="A75" s="9"/>
      <c r="B75" s="169" cm="1">
        <f t="array" ref="B75">_xlfn.IFS(OR(Code!R518&lt;&gt;Code!U518,Code!R518=""),0,Code!R518=Code!U518,1)</f>
        <v>0</v>
      </c>
      <c r="C75" s="193" t="str">
        <f>IF(Code!F518="","",Code!F518)</f>
        <v/>
      </c>
      <c r="D75" s="155" t="str">
        <f>IFERROR(VLOOKUP($C75,Code!$H:$K,2,FALSE),"")</f>
        <v/>
      </c>
      <c r="E75" s="156" t="str">
        <f>IFERROR(VLOOKUP($C75,Code!$H:$K,3,FALSE),"")</f>
        <v/>
      </c>
      <c r="F75" s="157" t="str">
        <f>IFERROR(VLOOKUP($C75,Code!$H:$K,4,FALSE),"")</f>
        <v/>
      </c>
      <c r="G75" s="170">
        <f>IFERROR(((VLOOKUP($C75,Code!$H:$Q,9,FALSE))+(VLOOKUP($C75,Code!$H:$Q,10,FALSE)))/2*0.5/(((VLOOKUP($C75,Code!$H:$Q,7,FALSE))+(VLOOKUP($C75,Code!$H:$Q,8,FALSE)))/2),0)</f>
        <v>0</v>
      </c>
      <c r="H75" s="171" t="str">
        <f t="shared" si="8"/>
        <v/>
      </c>
      <c r="I75" s="170">
        <f>IFERROR((VLOOKUP($C75,Code!$H:$Q,5,FALSE))/(((VLOOKUP($C75,Code!$H:$Q,7,FALSE))+(VLOOKUP($C75,Code!$H:$Q,8,FALSE)))/2)-1,0)</f>
        <v>0</v>
      </c>
      <c r="J75" s="204" t="str">
        <f>IFERROR(POWER((VLOOKUP(C75,Code!H:W,12,FALSE))/(VLOOKUP(C75,Code!H:W,15,FALSE)),1/(P75-1))-1,"")</f>
        <v/>
      </c>
      <c r="K75" s="172" t="str" cm="1">
        <f t="array" ref="K75">IFERROR(IF(C75="","",_xlfn.IFS(AND(VLOOKUP(C75,Code!H:W,13,FALSE)=0,VLOOKUP(C75,Code!H:W,16,FALSE)=0),"無股息",AND(VLOOKUP(C75,Code!H:W,13,FALSE)=0,VLOOKUP(C75,Code!H:W,16,FALSE)&gt;0),"股息沒了",AND(VLOOKUP(C75,Code!H:W,13,FALSE)&gt;0,VLOOKUP(C75,Code!H:W,16,FALSE)=0),"發股息了",AND(VLOOKUP(C75,Code!H:W,13,FALSE)&gt;0,VLOOKUP(C75,Code!H:W,16,FALSE)&gt;0),POWER((VLOOKUP(C75,Code!H:W,13,FALSE))/(VLOOKUP(C75,Code!H:W,16,FALSE)),1/(P75-1))-1)),"")</f>
        <v/>
      </c>
      <c r="L75" s="173" t="str">
        <f>IFERROR(VLOOKUP(C75,Code!H:W,13,FALSE)*4/VLOOKUP(C75,Code!H:W,12,FALSE),"")</f>
        <v/>
      </c>
      <c r="M75" s="172" t="str">
        <f t="shared" si="9"/>
        <v/>
      </c>
      <c r="N75" s="172" t="str">
        <f t="shared" si="10"/>
        <v/>
      </c>
      <c r="O75" s="172" t="str">
        <f t="shared" si="11"/>
        <v/>
      </c>
      <c r="P75" s="205">
        <f>IFERROR(YEARFRAC(VLOOKUP(C75,Code!H:W,11,FALSE),VLOOKUP(C75,Code!H:W,14,FALSE),3),"")</f>
        <v>0</v>
      </c>
      <c r="Q75" s="174">
        <v>44547</v>
      </c>
      <c r="R75" s="175" t="str">
        <f t="shared" ca="1" si="12"/>
        <v/>
      </c>
      <c r="S75" s="176">
        <f>IFERROR(VLOOKUP($C75,Code!$H:$Q,5,FALSE),"")</f>
        <v>0</v>
      </c>
      <c r="T75" s="177" t="str">
        <f t="shared" ca="1" si="13"/>
        <v/>
      </c>
      <c r="U75" s="178" t="str">
        <f t="shared" ca="1" si="14"/>
        <v/>
      </c>
      <c r="V75" s="179">
        <f>IFERROR(VLOOKUP($C75,Code!$H:$Q,6,FALSE),"")</f>
        <v>0</v>
      </c>
      <c r="W75" s="180" t="str">
        <f t="shared" ca="1" si="15"/>
        <v/>
      </c>
      <c r="X75" s="12"/>
      <c r="Y75" s="12"/>
      <c r="Z75" s="12"/>
      <c r="AA75" s="12"/>
      <c r="AB75" s="12"/>
    </row>
    <row r="76" spans="1:28" s="10" customFormat="1" ht="15" hidden="1">
      <c r="A76" s="9"/>
      <c r="B76" s="169" cm="1">
        <f t="array" ref="B76">_xlfn.IFS(OR(Code!R519&lt;&gt;Code!U519,Code!R519=""),0,Code!R519=Code!U519,1)</f>
        <v>0</v>
      </c>
      <c r="C76" s="193" t="str">
        <f>IF(Code!F519="","",Code!F519)</f>
        <v/>
      </c>
      <c r="D76" s="155" t="str">
        <f>IFERROR(VLOOKUP($C76,Code!$H:$K,2,FALSE),"")</f>
        <v/>
      </c>
      <c r="E76" s="156" t="str">
        <f>IFERROR(VLOOKUP($C76,Code!$H:$K,3,FALSE),"")</f>
        <v/>
      </c>
      <c r="F76" s="157" t="str">
        <f>IFERROR(VLOOKUP($C76,Code!$H:$K,4,FALSE),"")</f>
        <v/>
      </c>
      <c r="G76" s="170">
        <f>IFERROR(((VLOOKUP($C76,Code!$H:$Q,9,FALSE))+(VLOOKUP($C76,Code!$H:$Q,10,FALSE)))/2*0.5/(((VLOOKUP($C76,Code!$H:$Q,7,FALSE))+(VLOOKUP($C76,Code!$H:$Q,8,FALSE)))/2),0)</f>
        <v>0</v>
      </c>
      <c r="H76" s="171" t="str">
        <f t="shared" si="8"/>
        <v/>
      </c>
      <c r="I76" s="170">
        <f>IFERROR((VLOOKUP($C76,Code!$H:$Q,5,FALSE))/(((VLOOKUP($C76,Code!$H:$Q,7,FALSE))+(VLOOKUP($C76,Code!$H:$Q,8,FALSE)))/2)-1,0)</f>
        <v>0</v>
      </c>
      <c r="J76" s="204" t="str">
        <f>IFERROR(POWER((VLOOKUP(C76,Code!H:W,12,FALSE))/(VLOOKUP(C76,Code!H:W,15,FALSE)),1/(P76-1))-1,"")</f>
        <v/>
      </c>
      <c r="K76" s="172" t="str" cm="1">
        <f t="array" ref="K76">IFERROR(IF(C76="","",_xlfn.IFS(AND(VLOOKUP(C76,Code!H:W,13,FALSE)=0,VLOOKUP(C76,Code!H:W,16,FALSE)=0),"無股息",AND(VLOOKUP(C76,Code!H:W,13,FALSE)=0,VLOOKUP(C76,Code!H:W,16,FALSE)&gt;0),"股息沒了",AND(VLOOKUP(C76,Code!H:W,13,FALSE)&gt;0,VLOOKUP(C76,Code!H:W,16,FALSE)=0),"發股息了",AND(VLOOKUP(C76,Code!H:W,13,FALSE)&gt;0,VLOOKUP(C76,Code!H:W,16,FALSE)&gt;0),POWER((VLOOKUP(C76,Code!H:W,13,FALSE))/(VLOOKUP(C76,Code!H:W,16,FALSE)),1/(P76-1))-1)),"")</f>
        <v/>
      </c>
      <c r="L76" s="173" t="str">
        <f>IFERROR(VLOOKUP(C76,Code!H:W,13,FALSE)*4/VLOOKUP(C76,Code!H:W,12,FALSE),"")</f>
        <v/>
      </c>
      <c r="M76" s="172" t="str">
        <f t="shared" si="9"/>
        <v/>
      </c>
      <c r="N76" s="172" t="str">
        <f t="shared" si="10"/>
        <v/>
      </c>
      <c r="O76" s="172" t="str">
        <f t="shared" si="11"/>
        <v/>
      </c>
      <c r="P76" s="205">
        <f>IFERROR(YEARFRAC(VLOOKUP(C76,Code!H:W,11,FALSE),VLOOKUP(C76,Code!H:W,14,FALSE),3),"")</f>
        <v>0</v>
      </c>
      <c r="Q76" s="174">
        <v>44547</v>
      </c>
      <c r="R76" s="175" t="str">
        <f t="shared" ca="1" si="12"/>
        <v/>
      </c>
      <c r="S76" s="176">
        <f>IFERROR(VLOOKUP($C76,Code!$H:$Q,5,FALSE),"")</f>
        <v>0</v>
      </c>
      <c r="T76" s="177" t="str">
        <f t="shared" ca="1" si="13"/>
        <v/>
      </c>
      <c r="U76" s="178" t="str">
        <f t="shared" ca="1" si="14"/>
        <v/>
      </c>
      <c r="V76" s="179">
        <f>IFERROR(VLOOKUP($C76,Code!$H:$Q,6,FALSE),"")</f>
        <v>0</v>
      </c>
      <c r="W76" s="180" t="str">
        <f t="shared" ca="1" si="15"/>
        <v/>
      </c>
      <c r="X76" s="12"/>
      <c r="Y76" s="12"/>
      <c r="Z76" s="12"/>
      <c r="AA76" s="12"/>
      <c r="AB76" s="12"/>
    </row>
    <row r="77" spans="1:28" s="10" customFormat="1" ht="15" hidden="1">
      <c r="A77" s="9"/>
      <c r="B77" s="169" cm="1">
        <f t="array" ref="B77">_xlfn.IFS(OR(Code!R520&lt;&gt;Code!U520,Code!R520=""),0,Code!R520=Code!U520,1)</f>
        <v>0</v>
      </c>
      <c r="C77" s="193" t="str">
        <f>IF(Code!F520="","",Code!F520)</f>
        <v/>
      </c>
      <c r="D77" s="155" t="str">
        <f>IFERROR(VLOOKUP($C77,Code!$H:$K,2,FALSE),"")</f>
        <v/>
      </c>
      <c r="E77" s="156" t="str">
        <f>IFERROR(VLOOKUP($C77,Code!$H:$K,3,FALSE),"")</f>
        <v/>
      </c>
      <c r="F77" s="157" t="str">
        <f>IFERROR(VLOOKUP($C77,Code!$H:$K,4,FALSE),"")</f>
        <v/>
      </c>
      <c r="G77" s="170">
        <f>IFERROR(((VLOOKUP($C77,Code!$H:$Q,9,FALSE))+(VLOOKUP($C77,Code!$H:$Q,10,FALSE)))/2*0.5/(((VLOOKUP($C77,Code!$H:$Q,7,FALSE))+(VLOOKUP($C77,Code!$H:$Q,8,FALSE)))/2),0)</f>
        <v>0</v>
      </c>
      <c r="H77" s="171" t="str">
        <f t="shared" si="8"/>
        <v/>
      </c>
      <c r="I77" s="170">
        <f>IFERROR((VLOOKUP($C77,Code!$H:$Q,5,FALSE))/(((VLOOKUP($C77,Code!$H:$Q,7,FALSE))+(VLOOKUP($C77,Code!$H:$Q,8,FALSE)))/2)-1,0)</f>
        <v>0</v>
      </c>
      <c r="J77" s="204" t="str">
        <f>IFERROR(POWER((VLOOKUP(C77,Code!H:W,12,FALSE))/(VLOOKUP(C77,Code!H:W,15,FALSE)),1/(P77-1))-1,"")</f>
        <v/>
      </c>
      <c r="K77" s="172" t="str" cm="1">
        <f t="array" ref="K77">IFERROR(IF(C77="","",_xlfn.IFS(AND(VLOOKUP(C77,Code!H:W,13,FALSE)=0,VLOOKUP(C77,Code!H:W,16,FALSE)=0),"無股息",AND(VLOOKUP(C77,Code!H:W,13,FALSE)=0,VLOOKUP(C77,Code!H:W,16,FALSE)&gt;0),"股息沒了",AND(VLOOKUP(C77,Code!H:W,13,FALSE)&gt;0,VLOOKUP(C77,Code!H:W,16,FALSE)=0),"發股息了",AND(VLOOKUP(C77,Code!H:W,13,FALSE)&gt;0,VLOOKUP(C77,Code!H:W,16,FALSE)&gt;0),POWER((VLOOKUP(C77,Code!H:W,13,FALSE))/(VLOOKUP(C77,Code!H:W,16,FALSE)),1/(P77-1))-1)),"")</f>
        <v/>
      </c>
      <c r="L77" s="173" t="str">
        <f>IFERROR(VLOOKUP(C77,Code!H:W,13,FALSE)*4/VLOOKUP(C77,Code!H:W,12,FALSE),"")</f>
        <v/>
      </c>
      <c r="M77" s="172" t="str">
        <f t="shared" si="9"/>
        <v/>
      </c>
      <c r="N77" s="172" t="str">
        <f t="shared" si="10"/>
        <v/>
      </c>
      <c r="O77" s="172" t="str">
        <f t="shared" si="11"/>
        <v/>
      </c>
      <c r="P77" s="205">
        <f>IFERROR(YEARFRAC(VLOOKUP(C77,Code!H:W,11,FALSE),VLOOKUP(C77,Code!H:W,14,FALSE),3),"")</f>
        <v>0</v>
      </c>
      <c r="Q77" s="174">
        <v>44547</v>
      </c>
      <c r="R77" s="175" t="str">
        <f t="shared" ca="1" si="12"/>
        <v/>
      </c>
      <c r="S77" s="176">
        <f>IFERROR(VLOOKUP($C77,Code!$H:$Q,5,FALSE),"")</f>
        <v>0</v>
      </c>
      <c r="T77" s="177" t="str">
        <f t="shared" ca="1" si="13"/>
        <v/>
      </c>
      <c r="U77" s="178" t="str">
        <f t="shared" ca="1" si="14"/>
        <v/>
      </c>
      <c r="V77" s="179">
        <f>IFERROR(VLOOKUP($C77,Code!$H:$Q,6,FALSE),"")</f>
        <v>0</v>
      </c>
      <c r="W77" s="180" t="str">
        <f t="shared" ca="1" si="15"/>
        <v/>
      </c>
      <c r="X77" s="12"/>
      <c r="Y77" s="12"/>
      <c r="Z77" s="12"/>
      <c r="AA77" s="12"/>
      <c r="AB77" s="12"/>
    </row>
    <row r="78" spans="1:28" s="10" customFormat="1" ht="15">
      <c r="A78" s="9"/>
      <c r="B78" s="169" cm="1">
        <f t="array" ref="B78">_xlfn.IFS(OR(Code!R191&lt;&gt;Code!U191,Code!R191=""),0,Code!R191=Code!U191,1)</f>
        <v>0</v>
      </c>
      <c r="C78" s="193" t="str">
        <f>IF(Code!F191="","",Code!F191)</f>
        <v>FOX</v>
      </c>
      <c r="D78" s="155" t="str">
        <f>IFERROR(VLOOKUP($C78,Code!$H:$K,2,FALSE),"")</f>
        <v>XLC</v>
      </c>
      <c r="E78" s="156" t="str">
        <f>IFERROR(VLOOKUP($C78,Code!$H:$K,3,FALSE),"")</f>
        <v>廣播</v>
      </c>
      <c r="F78" s="157" t="str">
        <f>IFERROR(VLOOKUP($C78,Code!$H:$K,4,FALSE),"")</f>
        <v>.SPX</v>
      </c>
      <c r="G78" s="170">
        <f>IFERROR(((VLOOKUP($C78,Code!$H:$Q,9,FALSE))+(VLOOKUP($C78,Code!$H:$Q,10,FALSE)))/2*0.5/(((VLOOKUP($C78,Code!$H:$Q,7,FALSE))+(VLOOKUP($C78,Code!$H:$Q,8,FALSE)))/2),0)</f>
        <v>0</v>
      </c>
      <c r="H78" s="171" t="str">
        <f t="shared" si="8"/>
        <v/>
      </c>
      <c r="I78" s="170">
        <f>IFERROR((VLOOKUP($C78,Code!$H:$Q,5,FALSE))/(((VLOOKUP($C78,Code!$H:$Q,7,FALSE))+(VLOOKUP($C78,Code!$H:$Q,8,FALSE)))/2)-1,0)</f>
        <v>0</v>
      </c>
      <c r="J78" s="204">
        <f>IFERROR(POWER((VLOOKUP(C78,Code!H:W,12,FALSE))/(VLOOKUP(C78,Code!H:W,15,FALSE)),1/(P78-1))-1,"")</f>
        <v>8.4410164925655451E-2</v>
      </c>
      <c r="K78" s="172" cm="1">
        <f t="array" ref="K78">IFERROR(IF(C78="","",_xlfn.IFS(AND(VLOOKUP(C78,Code!H:W,13,FALSE)=0,VLOOKUP(C78,Code!H:W,16,FALSE)=0),"無股息",AND(VLOOKUP(C78,Code!H:W,13,FALSE)=0,VLOOKUP(C78,Code!H:W,16,FALSE)&gt;0),"股息沒了",AND(VLOOKUP(C78,Code!H:W,13,FALSE)&gt;0,VLOOKUP(C78,Code!H:W,16,FALSE)=0),"發股息了",AND(VLOOKUP(C78,Code!H:W,13,FALSE)&gt;0,VLOOKUP(C78,Code!H:W,16,FALSE)&gt;0),POWER((VLOOKUP(C78,Code!H:W,13,FALSE))/(VLOOKUP(C78,Code!H:W,16,FALSE)),1/(P78-1))-1)),"")</f>
        <v>0</v>
      </c>
      <c r="L78" s="173">
        <f>IFERROR(VLOOKUP(C78,Code!H:W,13,FALSE)*4/VLOOKUP(C78,Code!H:W,12,FALSE),"")</f>
        <v>2.4058576349855608E-2</v>
      </c>
      <c r="M78" s="172">
        <f t="shared" si="9"/>
        <v>8.4410164925655451E-2</v>
      </c>
      <c r="N78" s="172" t="str">
        <f t="shared" si="10"/>
        <v>-</v>
      </c>
      <c r="O78" s="172" t="str">
        <f t="shared" si="11"/>
        <v>-</v>
      </c>
      <c r="P78" s="205">
        <f>IFERROR(YEARFRAC(VLOOKUP(C78,Code!H:W,11,FALSE),VLOOKUP(C78,Code!H:W,14,FALSE),3),"")</f>
        <v>1.8136986301369864</v>
      </c>
      <c r="Q78" s="174">
        <v>44547</v>
      </c>
      <c r="R78" s="175" t="str">
        <f t="shared" ca="1" si="12"/>
        <v/>
      </c>
      <c r="S78" s="176" t="str">
        <f>IFERROR(VLOOKUP($C78,Code!$H:$Q,5,FALSE),"")</f>
        <v>N/A</v>
      </c>
      <c r="T78" s="177" t="str">
        <f t="shared" ca="1" si="13"/>
        <v/>
      </c>
      <c r="U78" s="178" t="str">
        <f t="shared" ca="1" si="14"/>
        <v/>
      </c>
      <c r="V78" s="179">
        <f>IFERROR(VLOOKUP($C78,Code!$H:$Q,6,FALSE),"")</f>
        <v>33.81</v>
      </c>
      <c r="W78" s="180" t="str">
        <f t="shared" ca="1" si="15"/>
        <v/>
      </c>
      <c r="X78" s="12"/>
      <c r="Y78" s="12"/>
      <c r="Z78" s="12"/>
      <c r="AA78" s="12"/>
      <c r="AB78" s="12"/>
    </row>
    <row r="79" spans="1:28" s="10" customFormat="1" ht="15" hidden="1">
      <c r="A79" s="9"/>
      <c r="B79" s="169" cm="1">
        <f t="array" ref="B79">_xlfn.IFS(OR(Code!R113&lt;&gt;Code!U113,Code!R113=""),0,Code!R113=Code!U113,1)</f>
        <v>0</v>
      </c>
      <c r="C79" s="193" t="str">
        <f>IF(Code!F113="","",Code!F113)</f>
        <v>CPB</v>
      </c>
      <c r="D79" s="155" t="str">
        <f>IFERROR(VLOOKUP($C79,Code!$H:$K,2,FALSE),"")</f>
        <v>XLP</v>
      </c>
      <c r="E79" s="156" t="str">
        <f>IFERROR(VLOOKUP($C79,Code!$H:$K,3,FALSE),"")</f>
        <v>包裝食品</v>
      </c>
      <c r="F79" s="157" t="str">
        <f>IFERROR(VLOOKUP($C79,Code!$H:$K,4,FALSE),"")</f>
        <v>.SPX</v>
      </c>
      <c r="G79" s="170">
        <f>IFERROR(((VLOOKUP($C79,Code!$H:$Q,9,FALSE))+(VLOOKUP($C79,Code!$H:$Q,10,FALSE)))/2*0.5/(((VLOOKUP($C79,Code!$H:$Q,7,FALSE))+(VLOOKUP($C79,Code!$H:$Q,8,FALSE)))/2),0)</f>
        <v>0.67380172060630894</v>
      </c>
      <c r="H79" s="171" t="str">
        <f t="shared" si="8"/>
        <v>L</v>
      </c>
      <c r="I79" s="170">
        <f>IFERROR((VLOOKUP($C79,Code!$H:$Q,5,FALSE))/(((VLOOKUP($C79,Code!$H:$Q,7,FALSE))+(VLOOKUP($C79,Code!$H:$Q,8,FALSE)))/2)-1,0)</f>
        <v>-2.4580090126996579E-3</v>
      </c>
      <c r="J79" s="204">
        <f>IFERROR(POWER((VLOOKUP(C79,Code!H:W,12,FALSE))/(VLOOKUP(C79,Code!H:W,15,FALSE)),1/(P79-1))-1,"")</f>
        <v>-1.029392652638228E-2</v>
      </c>
      <c r="K79" s="172" cm="1">
        <f t="array" ref="K79">IFERROR(IF(C79="","",_xlfn.IFS(AND(VLOOKUP(C79,Code!H:W,13,FALSE)=0,VLOOKUP(C79,Code!H:W,16,FALSE)=0),"無股息",AND(VLOOKUP(C79,Code!H:W,13,FALSE)=0,VLOOKUP(C79,Code!H:W,16,FALSE)&gt;0),"股息沒了",AND(VLOOKUP(C79,Code!H:W,13,FALSE)&gt;0,VLOOKUP(C79,Code!H:W,16,FALSE)=0),"發股息了",AND(VLOOKUP(C79,Code!H:W,13,FALSE)&gt;0,VLOOKUP(C79,Code!H:W,16,FALSE)&gt;0),POWER((VLOOKUP(C79,Code!H:W,13,FALSE))/(VLOOKUP(C79,Code!H:W,16,FALSE)),1/(P79-1))-1)),"")</f>
        <v>1.4860606514382146E-2</v>
      </c>
      <c r="L79" s="173">
        <f>IFERROR(VLOOKUP(C79,Code!H:W,13,FALSE)*4/VLOOKUP(C79,Code!H:W,12,FALSE),"")</f>
        <v>3.3102214947572907E-2</v>
      </c>
      <c r="M79" s="172">
        <f t="shared" si="9"/>
        <v>4.5666799879998665E-3</v>
      </c>
      <c r="N79" s="172" t="str">
        <f t="shared" si="10"/>
        <v>-</v>
      </c>
      <c r="O79" s="172" t="str">
        <f t="shared" si="11"/>
        <v>-</v>
      </c>
      <c r="P79" s="205">
        <f>IFERROR(YEARFRAC(VLOOKUP(C79,Code!H:W,11,FALSE),VLOOKUP(C79,Code!H:W,14,FALSE),3),"")</f>
        <v>4.7671232876712333</v>
      </c>
      <c r="Q79" s="174">
        <v>44547</v>
      </c>
      <c r="R79" s="175" t="str">
        <f t="shared" ca="1" si="12"/>
        <v/>
      </c>
      <c r="S79" s="176">
        <f>IFERROR(VLOOKUP($C79,Code!$H:$Q,5,FALSE),"")</f>
        <v>0.24349999999999999</v>
      </c>
      <c r="T79" s="177" t="str">
        <f t="shared" ca="1" si="13"/>
        <v/>
      </c>
      <c r="U79" s="178" t="str">
        <f t="shared" ca="1" si="14"/>
        <v/>
      </c>
      <c r="V79" s="179">
        <f>IFERROR(VLOOKUP($C79,Code!$H:$Q,6,FALSE),"")</f>
        <v>42.33</v>
      </c>
      <c r="W79" s="180" t="str">
        <f t="shared" ca="1" si="15"/>
        <v/>
      </c>
      <c r="X79" s="12"/>
      <c r="Y79" s="12"/>
      <c r="Z79" s="12"/>
      <c r="AA79" s="12"/>
      <c r="AB79" s="12"/>
    </row>
    <row r="80" spans="1:28" s="10" customFormat="1" ht="15" hidden="1">
      <c r="A80" s="9"/>
      <c r="B80" s="169" cm="1">
        <f t="array" ref="B80">_xlfn.IFS(OR(Code!R115&lt;&gt;Code!U115,Code!R115=""),0,Code!R115=Code!U115,1)</f>
        <v>1</v>
      </c>
      <c r="C80" s="193" t="str">
        <f>IF(Code!F115="","",Code!F115)</f>
        <v>CRL</v>
      </c>
      <c r="D80" s="155" t="str">
        <f>IFERROR(VLOOKUP($C80,Code!$H:$K,2,FALSE),"")</f>
        <v>XLV</v>
      </c>
      <c r="E80" s="156" t="str">
        <f>IFERROR(VLOOKUP($C80,Code!$H:$K,3,FALSE),"")</f>
        <v>診斷與研究</v>
      </c>
      <c r="F80" s="157" t="str">
        <f>IFERROR(VLOOKUP($C80,Code!$H:$K,4,FALSE),"")</f>
        <v>.SPX</v>
      </c>
      <c r="G80" s="170">
        <f>IFERROR(((VLOOKUP($C80,Code!$H:$Q,9,FALSE))+(VLOOKUP($C80,Code!$H:$Q,10,FALSE)))/2*0.5/(((VLOOKUP($C80,Code!$H:$Q,7,FALSE))+(VLOOKUP($C80,Code!$H:$Q,8,FALSE)))/2),0)</f>
        <v>0.66796585003711961</v>
      </c>
      <c r="H80" s="171" t="str">
        <f t="shared" si="8"/>
        <v>L</v>
      </c>
      <c r="I80" s="170">
        <f>IFERROR((VLOOKUP($C80,Code!$H:$Q,5,FALSE))/(((VLOOKUP($C80,Code!$H:$Q,7,FALSE))+(VLOOKUP($C80,Code!$H:$Q,8,FALSE)))/2)-1,0)</f>
        <v>-9.651076466221209E-3</v>
      </c>
      <c r="J80" s="204" t="str">
        <f>IFERROR(POWER((VLOOKUP(C80,Code!H:W,12,FALSE))/(VLOOKUP(C80,Code!H:W,15,FALSE)),1/(P80-1))-1,"")</f>
        <v/>
      </c>
      <c r="K80" s="172" t="str" cm="1">
        <f t="array" ref="K80">IFERROR(IF(C80="","",_xlfn.IFS(AND(VLOOKUP(C80,Code!H:W,13,FALSE)=0,VLOOKUP(C80,Code!H:W,16,FALSE)=0),"無股息",AND(VLOOKUP(C80,Code!H:W,13,FALSE)=0,VLOOKUP(C80,Code!H:W,16,FALSE)&gt;0),"股息沒了",AND(VLOOKUP(C80,Code!H:W,13,FALSE)&gt;0,VLOOKUP(C80,Code!H:W,16,FALSE)=0),"發股息了",AND(VLOOKUP(C80,Code!H:W,13,FALSE)&gt;0,VLOOKUP(C80,Code!H:W,16,FALSE)&gt;0),POWER((VLOOKUP(C80,Code!H:W,13,FALSE))/(VLOOKUP(C80,Code!H:W,16,FALSE)),1/(P80-1))-1)),"")</f>
        <v>無股息</v>
      </c>
      <c r="L80" s="173" t="str">
        <f>IFERROR(VLOOKUP(C80,Code!H:W,13,FALSE)*4/VLOOKUP(C80,Code!H:W,12,FALSE),"")</f>
        <v/>
      </c>
      <c r="M80" s="172" t="str">
        <f t="shared" si="9"/>
        <v/>
      </c>
      <c r="N80" s="172" t="str">
        <f t="shared" si="10"/>
        <v/>
      </c>
      <c r="O80" s="172" t="str">
        <f t="shared" si="11"/>
        <v/>
      </c>
      <c r="P80" s="205">
        <f>IFERROR(YEARFRAC(VLOOKUP(C80,Code!H:W,11,FALSE),VLOOKUP(C80,Code!H:W,14,FALSE),3),"")</f>
        <v>0</v>
      </c>
      <c r="Q80" s="174">
        <v>44547</v>
      </c>
      <c r="R80" s="175" t="str">
        <f t="shared" ca="1" si="12"/>
        <v/>
      </c>
      <c r="S80" s="176">
        <f>IFERROR(VLOOKUP($C80,Code!$H:$Q,5,FALSE),"")</f>
        <v>0.26679999999999998</v>
      </c>
      <c r="T80" s="177" t="str">
        <f t="shared" ca="1" si="13"/>
        <v/>
      </c>
      <c r="U80" s="178" t="str">
        <f t="shared" ca="1" si="14"/>
        <v/>
      </c>
      <c r="V80" s="179">
        <f>IFERROR(VLOOKUP($C80,Code!$H:$Q,6,FALSE),"")</f>
        <v>409.97</v>
      </c>
      <c r="W80" s="180" t="str">
        <f t="shared" ca="1" si="15"/>
        <v/>
      </c>
      <c r="X80" s="12"/>
      <c r="Y80" s="12"/>
      <c r="Z80" s="12"/>
      <c r="AA80" s="12"/>
      <c r="AB80" s="12"/>
    </row>
    <row r="81" spans="1:28" s="10" customFormat="1" ht="15" hidden="1">
      <c r="A81" s="9"/>
      <c r="B81" s="169" cm="1">
        <f t="array" ref="B81">_xlfn.IFS(OR(Code!R190&lt;&gt;Code!U190,Code!R190=""),0,Code!R190=Code!U190,1)</f>
        <v>0</v>
      </c>
      <c r="C81" s="193" t="str">
        <f>IF(Code!F190="","",Code!F190)</f>
        <v>FMC</v>
      </c>
      <c r="D81" s="155" t="str">
        <f>IFERROR(VLOOKUP($C81,Code!$H:$K,2,FALSE),"")</f>
        <v>XLB</v>
      </c>
      <c r="E81" s="156" t="str">
        <f>IFERROR(VLOOKUP($C81,Code!$H:$K,3,FALSE),"")</f>
        <v>農業投入</v>
      </c>
      <c r="F81" s="157" t="str">
        <f>IFERROR(VLOOKUP($C81,Code!$H:$K,4,FALSE),"")</f>
        <v>.SPX</v>
      </c>
      <c r="G81" s="170">
        <f>IFERROR(((VLOOKUP($C81,Code!$H:$Q,9,FALSE))+(VLOOKUP($C81,Code!$H:$Q,10,FALSE)))/2*0.5/(((VLOOKUP($C81,Code!$H:$Q,7,FALSE))+(VLOOKUP($C81,Code!$H:$Q,8,FALSE)))/2),0)</f>
        <v>0.58144542220557949</v>
      </c>
      <c r="H81" s="171" t="str">
        <f t="shared" si="8"/>
        <v>M</v>
      </c>
      <c r="I81" s="170">
        <f>IFERROR((VLOOKUP($C81,Code!$H:$Q,5,FALSE))/(((VLOOKUP($C81,Code!$H:$Q,7,FALSE))+(VLOOKUP($C81,Code!$H:$Q,8,FALSE)))/2)-1,0)</f>
        <v>-9.9232353491854886E-3</v>
      </c>
      <c r="J81" s="204">
        <f>IFERROR(POWER((VLOOKUP(C81,Code!H:W,12,FALSE))/(VLOOKUP(C81,Code!H:W,15,FALSE)),1/(P81-1))-1,"")</f>
        <v>0.3125628868934478</v>
      </c>
      <c r="K81" s="172" cm="1">
        <f t="array" ref="K81">IFERROR(IF(C81="","",_xlfn.IFS(AND(VLOOKUP(C81,Code!H:W,13,FALSE)=0,VLOOKUP(C81,Code!H:W,16,FALSE)=0),"無股息",AND(VLOOKUP(C81,Code!H:W,13,FALSE)=0,VLOOKUP(C81,Code!H:W,16,FALSE)&gt;0),"股息沒了",AND(VLOOKUP(C81,Code!H:W,13,FALSE)&gt;0,VLOOKUP(C81,Code!H:W,16,FALSE)=0),"發股息了",AND(VLOOKUP(C81,Code!H:W,13,FALSE)&gt;0,VLOOKUP(C81,Code!H:W,16,FALSE)&gt;0),POWER((VLOOKUP(C81,Code!H:W,13,FALSE))/(VLOOKUP(C81,Code!H:W,16,FALSE)),1/(P81-1))-1)),"")</f>
        <v>0.3804748574552459</v>
      </c>
      <c r="L81" s="173">
        <f>IFERROR(VLOOKUP(C81,Code!H:W,13,FALSE)*4/VLOOKUP(C81,Code!H:W,12,FALSE),"")</f>
        <v>1.760983235344761E-2</v>
      </c>
      <c r="M81" s="172">
        <f t="shared" si="9"/>
        <v>0.6930377443486937</v>
      </c>
      <c r="N81" s="172" t="str">
        <f t="shared" si="10"/>
        <v>-</v>
      </c>
      <c r="O81" s="172" t="str">
        <f t="shared" si="11"/>
        <v>Value</v>
      </c>
      <c r="P81" s="205">
        <f>IFERROR(YEARFRAC(VLOOKUP(C81,Code!H:W,11,FALSE),VLOOKUP(C81,Code!H:W,14,FALSE),3),"")</f>
        <v>4.7534246575342465</v>
      </c>
      <c r="Q81" s="174">
        <v>44547</v>
      </c>
      <c r="R81" s="175" t="str">
        <f t="shared" ca="1" si="12"/>
        <v/>
      </c>
      <c r="S81" s="176">
        <f>IFERROR(VLOOKUP($C81,Code!$H:$Q,5,FALSE),"")</f>
        <v>0.26440000000000002</v>
      </c>
      <c r="T81" s="177" t="str">
        <f t="shared" ca="1" si="13"/>
        <v/>
      </c>
      <c r="U81" s="178" t="str">
        <f t="shared" ca="1" si="14"/>
        <v/>
      </c>
      <c r="V81" s="179">
        <f>IFERROR(VLOOKUP($C81,Code!$H:$Q,6,FALSE),"")</f>
        <v>93.23</v>
      </c>
      <c r="W81" s="180" t="str">
        <f t="shared" ca="1" si="15"/>
        <v/>
      </c>
      <c r="X81" s="12"/>
      <c r="Y81" s="12"/>
      <c r="Z81" s="12"/>
      <c r="AA81" s="12"/>
      <c r="AB81" s="12"/>
    </row>
    <row r="82" spans="1:28" s="10" customFormat="1" ht="15" hidden="1">
      <c r="A82" s="9"/>
      <c r="B82" s="169" cm="1">
        <f t="array" ref="B82">_xlfn.IFS(OR(Code!R80&lt;&gt;Code!U80,Code!R80=""),0,Code!R80=Code!U80,1)</f>
        <v>0</v>
      </c>
      <c r="C82" s="193" t="str">
        <f>IF(Code!F80="","",Code!F80)</f>
        <v>CARR</v>
      </c>
      <c r="D82" s="155" t="str">
        <f>IFERROR(VLOOKUP($C82,Code!$H:$K,2,FALSE),"")</f>
        <v>XLI</v>
      </c>
      <c r="E82" s="156" t="str">
        <f>IFERROR(VLOOKUP($C82,Code!$H:$K,3,FALSE),"")</f>
        <v>建築產品和設備</v>
      </c>
      <c r="F82" s="157" t="str">
        <f>IFERROR(VLOOKUP($C82,Code!$H:$K,4,FALSE),"")</f>
        <v>.SPX</v>
      </c>
      <c r="G82" s="170">
        <f>IFERROR(((VLOOKUP($C82,Code!$H:$Q,9,FALSE))+(VLOOKUP($C82,Code!$H:$Q,10,FALSE)))/2*0.5/(((VLOOKUP($C82,Code!$H:$Q,7,FALSE))+(VLOOKUP($C82,Code!$H:$Q,8,FALSE)))/2),0)</f>
        <v>0.62663526949241233</v>
      </c>
      <c r="H82" s="171" t="str">
        <f t="shared" si="8"/>
        <v>L</v>
      </c>
      <c r="I82" s="170">
        <f>IFERROR((VLOOKUP($C82,Code!$H:$Q,5,FALSE))/(((VLOOKUP($C82,Code!$H:$Q,7,FALSE))+(VLOOKUP($C82,Code!$H:$Q,8,FALSE)))/2)-1,0)</f>
        <v>-1.2035583464154898E-2</v>
      </c>
      <c r="J82" s="204">
        <f>IFERROR(POWER((VLOOKUP(C82,Code!H:W,12,FALSE))/(VLOOKUP(C82,Code!H:W,15,FALSE)),1/(P82-1))-1,"")</f>
        <v>-1</v>
      </c>
      <c r="K82" s="172" cm="1">
        <f t="array" ref="K82">IFERROR(IF(C82="","",_xlfn.IFS(AND(VLOOKUP(C82,Code!H:W,13,FALSE)=0,VLOOKUP(C82,Code!H:W,16,FALSE)=0),"無股息",AND(VLOOKUP(C82,Code!H:W,13,FALSE)=0,VLOOKUP(C82,Code!H:W,16,FALSE)&gt;0),"股息沒了",AND(VLOOKUP(C82,Code!H:W,13,FALSE)&gt;0,VLOOKUP(C82,Code!H:W,16,FALSE)=0),"發股息了",AND(VLOOKUP(C82,Code!H:W,13,FALSE)&gt;0,VLOOKUP(C82,Code!H:W,16,FALSE)&gt;0),POWER((VLOOKUP(C82,Code!H:W,13,FALSE))/(VLOOKUP(C82,Code!H:W,16,FALSE)),1/(P82-1))-1)),"")</f>
        <v>-1</v>
      </c>
      <c r="L82" s="173">
        <f>IFERROR(VLOOKUP(C82,Code!H:W,13,FALSE)*4/VLOOKUP(C82,Code!H:W,12,FALSE),"")</f>
        <v>1.0412147850058085E-2</v>
      </c>
      <c r="M82" s="172">
        <f t="shared" si="9"/>
        <v>-2</v>
      </c>
      <c r="N82" s="172" t="str">
        <f t="shared" si="10"/>
        <v>-</v>
      </c>
      <c r="O82" s="172" t="str">
        <f t="shared" si="11"/>
        <v>-</v>
      </c>
      <c r="P82" s="205">
        <f>IFERROR(YEARFRAC(VLOOKUP(C82,Code!H:W,11,FALSE),VLOOKUP(C82,Code!H:W,14,FALSE),3),"")</f>
        <v>0.9945205479452055</v>
      </c>
      <c r="Q82" s="174">
        <v>44547</v>
      </c>
      <c r="R82" s="175" t="str">
        <f t="shared" ca="1" si="12"/>
        <v/>
      </c>
      <c r="S82" s="176">
        <f>IFERROR(VLOOKUP($C82,Code!$H:$Q,5,FALSE),"")</f>
        <v>0.28320000000000001</v>
      </c>
      <c r="T82" s="177" t="str">
        <f t="shared" ca="1" si="13"/>
        <v/>
      </c>
      <c r="U82" s="178" t="str">
        <f t="shared" ca="1" si="14"/>
        <v/>
      </c>
      <c r="V82" s="179">
        <f>IFERROR(VLOOKUP($C82,Code!$H:$Q,6,FALSE),"")</f>
        <v>56.13</v>
      </c>
      <c r="W82" s="180" t="str">
        <f t="shared" ca="1" si="15"/>
        <v/>
      </c>
      <c r="X82" s="12"/>
      <c r="Y82" s="12"/>
      <c r="Z82" s="12"/>
      <c r="AA82" s="12"/>
      <c r="AB82" s="12"/>
    </row>
    <row r="83" spans="1:28" s="10" customFormat="1" ht="15" hidden="1">
      <c r="A83" s="9"/>
      <c r="B83" s="169" cm="1">
        <f t="array" ref="B83">_xlfn.IFS(OR(Code!R212&lt;&gt;Code!U212,Code!R212=""),0,Code!R212=Code!U212,1)</f>
        <v>0</v>
      </c>
      <c r="C83" s="193" t="str">
        <f>IF(Code!F212="","",Code!F212)</f>
        <v>GWW</v>
      </c>
      <c r="D83" s="155" t="str">
        <f>IFERROR(VLOOKUP($C83,Code!$H:$K,2,FALSE),"")</f>
        <v>XLI</v>
      </c>
      <c r="E83" s="156" t="str">
        <f>IFERROR(VLOOKUP($C83,Code!$H:$K,3,FALSE),"")</f>
        <v>產業佈局</v>
      </c>
      <c r="F83" s="157" t="str">
        <f>IFERROR(VLOOKUP($C83,Code!$H:$K,4,FALSE),"")</f>
        <v>.SPX</v>
      </c>
      <c r="G83" s="170">
        <f>IFERROR(((VLOOKUP($C83,Code!$H:$Q,9,FALSE))+(VLOOKUP($C83,Code!$H:$Q,10,FALSE)))/2*0.5/(((VLOOKUP($C83,Code!$H:$Q,7,FALSE))+(VLOOKUP($C83,Code!$H:$Q,8,FALSE)))/2),0)</f>
        <v>0.68893254747871635</v>
      </c>
      <c r="H83" s="171" t="str">
        <f t="shared" si="8"/>
        <v>L</v>
      </c>
      <c r="I83" s="170">
        <f>IFERROR((VLOOKUP($C83,Code!$H:$Q,5,FALSE))/(((VLOOKUP($C83,Code!$H:$Q,7,FALSE))+(VLOOKUP($C83,Code!$H:$Q,8,FALSE)))/2)-1,0)</f>
        <v>-1.2442698100851413E-2</v>
      </c>
      <c r="J83" s="204">
        <f>IFERROR(POWER((VLOOKUP(C83,Code!H:W,12,FALSE))/(VLOOKUP(C83,Code!H:W,15,FALSE)),1/(P83-1))-1,"")</f>
        <v>0.27092208096166637</v>
      </c>
      <c r="K83" s="172" cm="1">
        <f t="array" ref="K83">IFERROR(IF(C83="","",_xlfn.IFS(AND(VLOOKUP(C83,Code!H:W,13,FALSE)=0,VLOOKUP(C83,Code!H:W,16,FALSE)=0),"無股息",AND(VLOOKUP(C83,Code!H:W,13,FALSE)=0,VLOOKUP(C83,Code!H:W,16,FALSE)&gt;0),"股息沒了",AND(VLOOKUP(C83,Code!H:W,13,FALSE)&gt;0,VLOOKUP(C83,Code!H:W,16,FALSE)=0),"發股息了",AND(VLOOKUP(C83,Code!H:W,13,FALSE)&gt;0,VLOOKUP(C83,Code!H:W,16,FALSE)&gt;0),POWER((VLOOKUP(C83,Code!H:W,13,FALSE))/(VLOOKUP(C83,Code!H:W,16,FALSE)),1/(P83-1))-1)),"")</f>
        <v>8.4566510081335089E-2</v>
      </c>
      <c r="L83" s="173">
        <f>IFERROR(VLOOKUP(C83,Code!H:W,13,FALSE)*4/VLOOKUP(C83,Code!H:W,12,FALSE),"")</f>
        <v>1.3916329774391206E-2</v>
      </c>
      <c r="M83" s="172">
        <f t="shared" si="9"/>
        <v>0.35548859104300146</v>
      </c>
      <c r="N83" s="172" t="str">
        <f t="shared" si="10"/>
        <v>-</v>
      </c>
      <c r="O83" s="172" t="str">
        <f t="shared" si="11"/>
        <v>-</v>
      </c>
      <c r="P83" s="205">
        <f>IFERROR(YEARFRAC(VLOOKUP(C83,Code!H:W,11,FALSE),VLOOKUP(C83,Code!H:W,14,FALSE),3),"")</f>
        <v>4.493150684931507</v>
      </c>
      <c r="Q83" s="174">
        <v>44547</v>
      </c>
      <c r="R83" s="175" t="str">
        <f t="shared" ca="1" si="12"/>
        <v/>
      </c>
      <c r="S83" s="176">
        <f>IFERROR(VLOOKUP($C83,Code!$H:$Q,5,FALSE),"")</f>
        <v>0.22620000000000001</v>
      </c>
      <c r="T83" s="177" t="str">
        <f t="shared" ca="1" si="13"/>
        <v/>
      </c>
      <c r="U83" s="178" t="str">
        <f t="shared" ca="1" si="14"/>
        <v/>
      </c>
      <c r="V83" s="179">
        <f>IFERROR(VLOOKUP($C83,Code!$H:$Q,6,FALSE),"")</f>
        <v>439.26</v>
      </c>
      <c r="W83" s="180" t="str">
        <f t="shared" ca="1" si="15"/>
        <v/>
      </c>
      <c r="X83" s="12"/>
      <c r="Y83" s="12"/>
      <c r="Z83" s="12"/>
      <c r="AA83" s="12"/>
      <c r="AB83" s="12"/>
    </row>
    <row r="84" spans="1:28" s="10" customFormat="1" ht="15" hidden="1">
      <c r="A84" s="9"/>
      <c r="B84" s="169" cm="1">
        <f t="array" ref="B84">_xlfn.IFS(OR(Code!R6&lt;&gt;Code!U6,Code!R6=""),0,Code!R6=Code!U6,1)</f>
        <v>0</v>
      </c>
      <c r="C84" s="193" t="str">
        <f>IF(Code!F6="","",Code!F6)</f>
        <v>AAP</v>
      </c>
      <c r="D84" s="155" t="str">
        <f>IFERROR(VLOOKUP($C84,Code!$H:$K,2,FALSE),"")</f>
        <v>XLY</v>
      </c>
      <c r="E84" s="156" t="str">
        <f>IFERROR(VLOOKUP($C84,Code!$H:$K,3,FALSE),"")</f>
        <v>專業零售</v>
      </c>
      <c r="F84" s="157" t="str">
        <f>IFERROR(VLOOKUP($C84,Code!$H:$K,4,FALSE),"")</f>
        <v>.SPX</v>
      </c>
      <c r="G84" s="170">
        <f>IFERROR(((VLOOKUP($C84,Code!$H:$Q,9,FALSE))+(VLOOKUP($C84,Code!$H:$Q,10,FALSE)))/2*0.5/(((VLOOKUP($C84,Code!$H:$Q,7,FALSE))+(VLOOKUP($C84,Code!$H:$Q,8,FALSE)))/2),0)</f>
        <v>0.63350168350168345</v>
      </c>
      <c r="H84" s="171" t="str">
        <f t="shared" si="8"/>
        <v>L</v>
      </c>
      <c r="I84" s="170">
        <f>IFERROR((VLOOKUP($C84,Code!$H:$Q,5,FALSE))/(((VLOOKUP($C84,Code!$H:$Q,7,FALSE))+(VLOOKUP($C84,Code!$H:$Q,8,FALSE)))/2)-1,0)</f>
        <v>-1.4478114478114534E-2</v>
      </c>
      <c r="J84" s="204">
        <f>IFERROR(POWER((VLOOKUP(C84,Code!H:W,12,FALSE))/(VLOOKUP(C84,Code!H:W,15,FALSE)),1/(P84-1))-1,"")</f>
        <v>8.4633650232590618E-2</v>
      </c>
      <c r="K84" s="172" cm="1">
        <f t="array" ref="K84">IFERROR(IF(C84="","",_xlfn.IFS(AND(VLOOKUP(C84,Code!H:W,13,FALSE)=0,VLOOKUP(C84,Code!H:W,16,FALSE)=0),"無股息",AND(VLOOKUP(C84,Code!H:W,13,FALSE)=0,VLOOKUP(C84,Code!H:W,16,FALSE)&gt;0),"股息沒了",AND(VLOOKUP(C84,Code!H:W,13,FALSE)&gt;0,VLOOKUP(C84,Code!H:W,16,FALSE)=0),"發股息了",AND(VLOOKUP(C84,Code!H:W,13,FALSE)&gt;0,VLOOKUP(C84,Code!H:W,16,FALSE)&gt;0),POWER((VLOOKUP(C84,Code!H:W,13,FALSE))/(VLOOKUP(C84,Code!H:W,16,FALSE)),1/(P84-1))-1)),"")</f>
        <v>1.1218831327167766</v>
      </c>
      <c r="L84" s="173">
        <f>IFERROR(VLOOKUP(C84,Code!H:W,13,FALSE)*4/VLOOKUP(C84,Code!H:W,12,FALSE),"")</f>
        <v>2.0577190249289206E-2</v>
      </c>
      <c r="M84" s="172">
        <f t="shared" si="9"/>
        <v>1.2065167829493673</v>
      </c>
      <c r="N84" s="172" t="str">
        <f t="shared" si="10"/>
        <v>-</v>
      </c>
      <c r="O84" s="172" t="str">
        <f t="shared" si="11"/>
        <v>Value</v>
      </c>
      <c r="P84" s="205">
        <f>IFERROR(YEARFRAC(VLOOKUP(C84,Code!H:W,11,FALSE),VLOOKUP(C84,Code!H:W,14,FALSE),3),"")</f>
        <v>4.7397260273972606</v>
      </c>
      <c r="Q84" s="174">
        <v>44547</v>
      </c>
      <c r="R84" s="175" t="str">
        <f t="shared" ca="1" si="12"/>
        <v/>
      </c>
      <c r="S84" s="176">
        <f>IFERROR(VLOOKUP($C84,Code!$H:$Q,5,FALSE),"")</f>
        <v>0.29270000000000002</v>
      </c>
      <c r="T84" s="177" t="str">
        <f t="shared" ca="1" si="13"/>
        <v/>
      </c>
      <c r="U84" s="178" t="str">
        <f t="shared" ca="1" si="14"/>
        <v/>
      </c>
      <c r="V84" s="179">
        <f>IFERROR(VLOOKUP($C84,Code!$H:$Q,6,FALSE),"")</f>
        <v>206.34</v>
      </c>
      <c r="W84" s="180" t="str">
        <f t="shared" ca="1" si="15"/>
        <v/>
      </c>
      <c r="X84" s="12"/>
      <c r="Y84" s="12"/>
      <c r="Z84" s="12"/>
      <c r="AA84" s="12"/>
      <c r="AB84" s="12"/>
    </row>
    <row r="85" spans="1:28" s="10" customFormat="1" ht="15" hidden="1">
      <c r="A85" s="9"/>
      <c r="B85" s="169" cm="1">
        <f t="array" ref="B85">_xlfn.IFS(OR(Code!R239&lt;&gt;Code!U239,Code!R239=""),0,Code!R239=Code!U239,1)</f>
        <v>1</v>
      </c>
      <c r="C85" s="193" t="str">
        <f>IF(Code!F239="","",Code!F239)</f>
        <v>INCY</v>
      </c>
      <c r="D85" s="155" t="str">
        <f>IFERROR(VLOOKUP($C85,Code!$H:$K,2,FALSE),"")</f>
        <v>XLV</v>
      </c>
      <c r="E85" s="156" t="str">
        <f>IFERROR(VLOOKUP($C85,Code!$H:$K,3,FALSE),"")</f>
        <v>生物技術</v>
      </c>
      <c r="F85" s="157" t="str">
        <f>IFERROR(VLOOKUP($C85,Code!$H:$K,4,FALSE),"")</f>
        <v>.SPX</v>
      </c>
      <c r="G85" s="170">
        <f>IFERROR(((VLOOKUP($C85,Code!$H:$Q,9,FALSE))+(VLOOKUP($C85,Code!$H:$Q,10,FALSE)))/2*0.5/(((VLOOKUP($C85,Code!$H:$Q,7,FALSE))+(VLOOKUP($C85,Code!$H:$Q,8,FALSE)))/2),0)</f>
        <v>0.65263316734570687</v>
      </c>
      <c r="H85" s="171" t="str">
        <f t="shared" si="8"/>
        <v>L</v>
      </c>
      <c r="I85" s="170">
        <f>IFERROR((VLOOKUP($C85,Code!$H:$Q,5,FALSE))/(((VLOOKUP($C85,Code!$H:$Q,7,FALSE))+(VLOOKUP($C85,Code!$H:$Q,8,FALSE)))/2)-1,0)</f>
        <v>-1.4938886373924931E-2</v>
      </c>
      <c r="J85" s="204" t="str">
        <f>IFERROR(POWER((VLOOKUP(C85,Code!H:W,12,FALSE))/(VLOOKUP(C85,Code!H:W,15,FALSE)),1/(P85-1))-1,"")</f>
        <v/>
      </c>
      <c r="K85" s="172" t="str" cm="1">
        <f t="array" ref="K85">IFERROR(IF(C85="","",_xlfn.IFS(AND(VLOOKUP(C85,Code!H:W,13,FALSE)=0,VLOOKUP(C85,Code!H:W,16,FALSE)=0),"無股息",AND(VLOOKUP(C85,Code!H:W,13,FALSE)=0,VLOOKUP(C85,Code!H:W,16,FALSE)&gt;0),"股息沒了",AND(VLOOKUP(C85,Code!H:W,13,FALSE)&gt;0,VLOOKUP(C85,Code!H:W,16,FALSE)=0),"發股息了",AND(VLOOKUP(C85,Code!H:W,13,FALSE)&gt;0,VLOOKUP(C85,Code!H:W,16,FALSE)&gt;0),POWER((VLOOKUP(C85,Code!H:W,13,FALSE))/(VLOOKUP(C85,Code!H:W,16,FALSE)),1/(P85-1))-1)),"")</f>
        <v>無股息</v>
      </c>
      <c r="L85" s="173" t="str">
        <f>IFERROR(VLOOKUP(C85,Code!H:W,13,FALSE)*4/VLOOKUP(C85,Code!H:W,12,FALSE),"")</f>
        <v/>
      </c>
      <c r="M85" s="172" t="str">
        <f t="shared" si="9"/>
        <v/>
      </c>
      <c r="N85" s="172" t="str">
        <f t="shared" si="10"/>
        <v/>
      </c>
      <c r="O85" s="172" t="str">
        <f t="shared" si="11"/>
        <v/>
      </c>
      <c r="P85" s="205">
        <f>IFERROR(YEARFRAC(VLOOKUP(C85,Code!H:W,11,FALSE),VLOOKUP(C85,Code!H:W,14,FALSE),3),"")</f>
        <v>0</v>
      </c>
      <c r="Q85" s="174">
        <v>44547</v>
      </c>
      <c r="R85" s="175" t="str">
        <f t="shared" ca="1" si="12"/>
        <v/>
      </c>
      <c r="S85" s="176">
        <f>IFERROR(VLOOKUP($C85,Code!$H:$Q,5,FALSE),"")</f>
        <v>0.32640000000000002</v>
      </c>
      <c r="T85" s="177" t="str">
        <f t="shared" ca="1" si="13"/>
        <v/>
      </c>
      <c r="U85" s="178" t="str">
        <f t="shared" ca="1" si="14"/>
        <v/>
      </c>
      <c r="V85" s="179">
        <f>IFERROR(VLOOKUP($C85,Code!$H:$Q,6,FALSE),"")</f>
        <v>76.92</v>
      </c>
      <c r="W85" s="180" t="str">
        <f t="shared" ca="1" si="15"/>
        <v/>
      </c>
      <c r="X85" s="12"/>
      <c r="Y85" s="12"/>
      <c r="Z85" s="12"/>
      <c r="AA85" s="12"/>
      <c r="AB85" s="12"/>
    </row>
    <row r="86" spans="1:28" s="10" customFormat="1" ht="15" hidden="1">
      <c r="A86" s="9"/>
      <c r="B86" s="169" cm="1">
        <f t="array" ref="B86">_xlfn.IFS(OR(Code!R166&lt;&gt;Code!U166,Code!R166=""),0,Code!R166=Code!U166,1)</f>
        <v>0</v>
      </c>
      <c r="C86" s="193" t="str">
        <f>IF(Code!F166="","",Code!F166)</f>
        <v>ES</v>
      </c>
      <c r="D86" s="155" t="str">
        <f>IFERROR(VLOOKUP($C86,Code!$H:$K,2,FALSE),"")</f>
        <v>XLU</v>
      </c>
      <c r="E86" s="156" t="str">
        <f>IFERROR(VLOOKUP($C86,Code!$H:$K,3,FALSE),"")</f>
        <v>公用事業—受監督的電力</v>
      </c>
      <c r="F86" s="157" t="str">
        <f>IFERROR(VLOOKUP($C86,Code!$H:$K,4,FALSE),"")</f>
        <v>.SPX</v>
      </c>
      <c r="G86" s="170">
        <f>IFERROR(((VLOOKUP($C86,Code!$H:$Q,9,FALSE))+(VLOOKUP($C86,Code!$H:$Q,10,FALSE)))/2*0.5/(((VLOOKUP($C86,Code!$H:$Q,7,FALSE))+(VLOOKUP($C86,Code!$H:$Q,8,FALSE)))/2),0)</f>
        <v>0.6057487579843861</v>
      </c>
      <c r="H86" s="171" t="str">
        <f t="shared" si="8"/>
        <v>L</v>
      </c>
      <c r="I86" s="170">
        <f>IFERROR((VLOOKUP($C86,Code!$H:$Q,5,FALSE))/(((VLOOKUP($C86,Code!$H:$Q,7,FALSE))+(VLOOKUP($C86,Code!$H:$Q,8,FALSE)))/2)-1,0)</f>
        <v>-1.7743080198722505E-2</v>
      </c>
      <c r="J86" s="204">
        <f>IFERROR(POWER((VLOOKUP(C86,Code!H:W,12,FALSE))/(VLOOKUP(C86,Code!H:W,15,FALSE)),1/(P86-1))-1,"")</f>
        <v>0.17038484060052239</v>
      </c>
      <c r="K86" s="172" cm="1">
        <f t="array" ref="K86">IFERROR(IF(C86="","",_xlfn.IFS(AND(VLOOKUP(C86,Code!H:W,13,FALSE)=0,VLOOKUP(C86,Code!H:W,16,FALSE)=0),"無股息",AND(VLOOKUP(C86,Code!H:W,13,FALSE)=0,VLOOKUP(C86,Code!H:W,16,FALSE)&gt;0),"股息沒了",AND(VLOOKUP(C86,Code!H:W,13,FALSE)&gt;0,VLOOKUP(C86,Code!H:W,16,FALSE)=0),"發股息了",AND(VLOOKUP(C86,Code!H:W,13,FALSE)&gt;0,VLOOKUP(C86,Code!H:W,16,FALSE)&gt;0),POWER((VLOOKUP(C86,Code!H:W,13,FALSE))/(VLOOKUP(C86,Code!H:W,16,FALSE)),1/(P86-1))-1)),"")</f>
        <v>8.6150548926612558E-2</v>
      </c>
      <c r="L86" s="173">
        <f>IFERROR(VLOOKUP(C86,Code!H:W,13,FALSE)*4/VLOOKUP(C86,Code!H:W,12,FALSE),"")</f>
        <v>2.8972972972972973E-2</v>
      </c>
      <c r="M86" s="172">
        <f t="shared" si="9"/>
        <v>0.25653538952713495</v>
      </c>
      <c r="N86" s="172" t="str">
        <f t="shared" si="10"/>
        <v>-</v>
      </c>
      <c r="O86" s="172" t="str">
        <f t="shared" si="11"/>
        <v>-</v>
      </c>
      <c r="P86" s="205">
        <f>IFERROR(YEARFRAC(VLOOKUP(C86,Code!H:W,11,FALSE),VLOOKUP(C86,Code!H:W,14,FALSE),3),"")</f>
        <v>4.6767123287671231</v>
      </c>
      <c r="Q86" s="174">
        <v>44547</v>
      </c>
      <c r="R86" s="175" t="str">
        <f t="shared" ca="1" si="12"/>
        <v/>
      </c>
      <c r="S86" s="176">
        <f>IFERROR(VLOOKUP($C86,Code!$H:$Q,5,FALSE),"")</f>
        <v>0.20760000000000001</v>
      </c>
      <c r="T86" s="177" t="str">
        <f t="shared" ca="1" si="13"/>
        <v/>
      </c>
      <c r="U86" s="178" t="str">
        <f t="shared" ca="1" si="14"/>
        <v/>
      </c>
      <c r="V86" s="179">
        <f>IFERROR(VLOOKUP($C86,Code!$H:$Q,6,FALSE),"")</f>
        <v>88.91</v>
      </c>
      <c r="W86" s="180" t="str">
        <f t="shared" ca="1" si="15"/>
        <v/>
      </c>
      <c r="X86" s="12"/>
      <c r="Y86" s="12"/>
      <c r="Z86" s="12"/>
      <c r="AA86" s="12"/>
      <c r="AB86" s="12"/>
    </row>
    <row r="87" spans="1:28" s="10" customFormat="1" ht="15" hidden="1">
      <c r="A87" s="9"/>
      <c r="B87" s="169" cm="1">
        <f t="array" ref="B87">_xlfn.IFS(OR(Code!R260&lt;&gt;Code!U260,Code!R260=""),0,Code!R260=Code!U260,1)</f>
        <v>0</v>
      </c>
      <c r="C87" s="193" t="str">
        <f>IF(Code!F260="","",Code!F260)</f>
        <v>K</v>
      </c>
      <c r="D87" s="155" t="str">
        <f>IFERROR(VLOOKUP($C87,Code!$H:$K,2,FALSE),"")</f>
        <v>XLP</v>
      </c>
      <c r="E87" s="156" t="str">
        <f>IFERROR(VLOOKUP($C87,Code!$H:$K,3,FALSE),"")</f>
        <v>包裝食品</v>
      </c>
      <c r="F87" s="157" t="str">
        <f>IFERROR(VLOOKUP($C87,Code!$H:$K,4,FALSE),"")</f>
        <v>.SPX</v>
      </c>
      <c r="G87" s="170">
        <f>IFERROR(((VLOOKUP($C87,Code!$H:$Q,9,FALSE))+(VLOOKUP($C87,Code!$H:$Q,10,FALSE)))/2*0.5/(((VLOOKUP($C87,Code!$H:$Q,7,FALSE))+(VLOOKUP($C87,Code!$H:$Q,8,FALSE)))/2),0)</f>
        <v>0.6682628358606012</v>
      </c>
      <c r="H87" s="171" t="str">
        <f t="shared" si="8"/>
        <v>L</v>
      </c>
      <c r="I87" s="170">
        <f>IFERROR((VLOOKUP($C87,Code!$H:$Q,5,FALSE))/(((VLOOKUP($C87,Code!$H:$Q,7,FALSE))+(VLOOKUP($C87,Code!$H:$Q,8,FALSE)))/2)-1,0)</f>
        <v>-1.8888002128225612E-2</v>
      </c>
      <c r="J87" s="204">
        <f>IFERROR(POWER((VLOOKUP(C87,Code!H:W,12,FALSE))/(VLOOKUP(C87,Code!H:W,15,FALSE)),1/(P87-1))-1,"")</f>
        <v>-1.5604840066696268E-2</v>
      </c>
      <c r="K87" s="172" cm="1">
        <f t="array" ref="K87">IFERROR(IF(C87="","",_xlfn.IFS(AND(VLOOKUP(C87,Code!H:W,13,FALSE)=0,VLOOKUP(C87,Code!H:W,16,FALSE)=0),"無股息",AND(VLOOKUP(C87,Code!H:W,13,FALSE)=0,VLOOKUP(C87,Code!H:W,16,FALSE)&gt;0),"股息沒了",AND(VLOOKUP(C87,Code!H:W,13,FALSE)&gt;0,VLOOKUP(C87,Code!H:W,16,FALSE)=0),"發股息了",AND(VLOOKUP(C87,Code!H:W,13,FALSE)&gt;0,VLOOKUP(C87,Code!H:W,16,FALSE)&gt;0),POWER((VLOOKUP(C87,Code!H:W,13,FALSE))/(VLOOKUP(C87,Code!H:W,16,FALSE)),1/(P87-1))-1)),"")</f>
        <v>2.9586319138483974E-2</v>
      </c>
      <c r="L87" s="173">
        <f>IFERROR(VLOOKUP(C87,Code!H:W,13,FALSE)*4/VLOOKUP(C87,Code!H:W,12,FALSE),"")</f>
        <v>3.5425256919781857E-2</v>
      </c>
      <c r="M87" s="172">
        <f t="shared" si="9"/>
        <v>1.3981479071787706E-2</v>
      </c>
      <c r="N87" s="172" t="str">
        <f t="shared" si="10"/>
        <v>-</v>
      </c>
      <c r="O87" s="172" t="str">
        <f t="shared" si="11"/>
        <v>-</v>
      </c>
      <c r="P87" s="205">
        <f>IFERROR(YEARFRAC(VLOOKUP(C87,Code!H:W,11,FALSE),VLOOKUP(C87,Code!H:W,14,FALSE),3),"")</f>
        <v>4.7452054794520544</v>
      </c>
      <c r="Q87" s="174">
        <v>44547</v>
      </c>
      <c r="R87" s="175" t="str">
        <f t="shared" ca="1" si="12"/>
        <v/>
      </c>
      <c r="S87" s="176">
        <f>IFERROR(VLOOKUP($C87,Code!$H:$Q,5,FALSE),"")</f>
        <v>0.18440000000000001</v>
      </c>
      <c r="T87" s="177" t="str">
        <f t="shared" ca="1" si="13"/>
        <v/>
      </c>
      <c r="U87" s="178" t="str">
        <f t="shared" ca="1" si="14"/>
        <v/>
      </c>
      <c r="V87" s="179">
        <f>IFERROR(VLOOKUP($C87,Code!$H:$Q,6,FALSE),"")</f>
        <v>63.11</v>
      </c>
      <c r="W87" s="180" t="str">
        <f t="shared" ca="1" si="15"/>
        <v/>
      </c>
      <c r="X87" s="12"/>
      <c r="Y87" s="12"/>
      <c r="Z87" s="12"/>
      <c r="AA87" s="12"/>
      <c r="AB87" s="12"/>
    </row>
    <row r="88" spans="1:28" s="10" customFormat="1" ht="15" hidden="1">
      <c r="A88" s="9"/>
      <c r="B88" s="169" cm="1">
        <f t="array" ref="B88">_xlfn.IFS(OR(Code!R149&lt;&gt;Code!U149,Code!R149=""),0,Code!R149=Code!U149,1)</f>
        <v>1</v>
      </c>
      <c r="C88" s="193" t="str">
        <f>IF(Code!F149="","",Code!F149)</f>
        <v>DVA</v>
      </c>
      <c r="D88" s="155" t="str">
        <f>IFERROR(VLOOKUP($C88,Code!$H:$K,2,FALSE),"")</f>
        <v>XLV</v>
      </c>
      <c r="E88" s="156" t="str">
        <f>IFERROR(VLOOKUP($C88,Code!$H:$K,3,FALSE),"")</f>
        <v>醫療設施</v>
      </c>
      <c r="F88" s="157" t="str">
        <f>IFERROR(VLOOKUP($C88,Code!$H:$K,4,FALSE),"")</f>
        <v>.SPX</v>
      </c>
      <c r="G88" s="170">
        <f>IFERROR(((VLOOKUP($C88,Code!$H:$Q,9,FALSE))+(VLOOKUP($C88,Code!$H:$Q,10,FALSE)))/2*0.5/(((VLOOKUP($C88,Code!$H:$Q,7,FALSE))+(VLOOKUP($C88,Code!$H:$Q,8,FALSE)))/2),0)</f>
        <v>0.73030538805679834</v>
      </c>
      <c r="H88" s="171" t="str">
        <f t="shared" si="8"/>
        <v>XL</v>
      </c>
      <c r="I88" s="170">
        <f>IFERROR((VLOOKUP($C88,Code!$H:$Q,5,FALSE))/(((VLOOKUP($C88,Code!$H:$Q,7,FALSE))+(VLOOKUP($C88,Code!$H:$Q,8,FALSE)))/2)-1,0)</f>
        <v>-2.1591130130324876E-2</v>
      </c>
      <c r="J88" s="204" t="str">
        <f>IFERROR(POWER((VLOOKUP(C88,Code!H:W,12,FALSE))/(VLOOKUP(C88,Code!H:W,15,FALSE)),1/(P88-1))-1,"")</f>
        <v/>
      </c>
      <c r="K88" s="172" t="str" cm="1">
        <f t="array" ref="K88">IFERROR(IF(C88="","",_xlfn.IFS(AND(VLOOKUP(C88,Code!H:W,13,FALSE)=0,VLOOKUP(C88,Code!H:W,16,FALSE)=0),"無股息",AND(VLOOKUP(C88,Code!H:W,13,FALSE)=0,VLOOKUP(C88,Code!H:W,16,FALSE)&gt;0),"股息沒了",AND(VLOOKUP(C88,Code!H:W,13,FALSE)&gt;0,VLOOKUP(C88,Code!H:W,16,FALSE)=0),"發股息了",AND(VLOOKUP(C88,Code!H:W,13,FALSE)&gt;0,VLOOKUP(C88,Code!H:W,16,FALSE)&gt;0),POWER((VLOOKUP(C88,Code!H:W,13,FALSE))/(VLOOKUP(C88,Code!H:W,16,FALSE)),1/(P88-1))-1)),"")</f>
        <v>無股息</v>
      </c>
      <c r="L88" s="173" t="str">
        <f>IFERROR(VLOOKUP(C88,Code!H:W,13,FALSE)*4/VLOOKUP(C88,Code!H:W,12,FALSE),"")</f>
        <v/>
      </c>
      <c r="M88" s="172" t="str">
        <f t="shared" si="9"/>
        <v/>
      </c>
      <c r="N88" s="172" t="str">
        <f t="shared" si="10"/>
        <v/>
      </c>
      <c r="O88" s="172" t="str">
        <f t="shared" si="11"/>
        <v/>
      </c>
      <c r="P88" s="205">
        <f>IFERROR(YEARFRAC(VLOOKUP(C88,Code!H:W,11,FALSE),VLOOKUP(C88,Code!H:W,14,FALSE),3),"")</f>
        <v>0</v>
      </c>
      <c r="Q88" s="174">
        <v>44547</v>
      </c>
      <c r="R88" s="175" t="str">
        <f t="shared" ca="1" si="12"/>
        <v/>
      </c>
      <c r="S88" s="176">
        <f>IFERROR(VLOOKUP($C88,Code!$H:$Q,5,FALSE),"")</f>
        <v>0.2515</v>
      </c>
      <c r="T88" s="177" t="str">
        <f t="shared" ca="1" si="13"/>
        <v/>
      </c>
      <c r="U88" s="178" t="str">
        <f t="shared" ca="1" si="14"/>
        <v/>
      </c>
      <c r="V88" s="179">
        <f>IFERROR(VLOOKUP($C88,Code!$H:$Q,6,FALSE),"")</f>
        <v>130.13</v>
      </c>
      <c r="W88" s="180" t="str">
        <f t="shared" ca="1" si="15"/>
        <v/>
      </c>
      <c r="X88" s="12"/>
      <c r="Y88" s="12"/>
      <c r="Z88" s="12"/>
      <c r="AA88" s="12"/>
      <c r="AB88" s="12"/>
    </row>
    <row r="89" spans="1:28" s="10" customFormat="1" ht="15" hidden="1">
      <c r="A89" s="9"/>
      <c r="B89" s="169" cm="1">
        <f t="array" ref="B89">_xlfn.IFS(OR(Code!R352&lt;&gt;Code!U352,Code!R352=""),0,Code!R352=Code!U352,1)</f>
        <v>1</v>
      </c>
      <c r="C89" s="193" t="str">
        <f>IF(Code!F352="","",Code!F352)</f>
        <v>OGN</v>
      </c>
      <c r="D89" s="155" t="str">
        <f>IFERROR(VLOOKUP($C89,Code!$H:$K,2,FALSE),"")</f>
        <v>XLV</v>
      </c>
      <c r="E89" s="156" t="str">
        <f>IFERROR(VLOOKUP($C89,Code!$H:$K,3,FALSE),"")</f>
        <v>藥品製造商— 常規</v>
      </c>
      <c r="F89" s="157" t="str">
        <f>IFERROR(VLOOKUP($C89,Code!$H:$K,4,FALSE),"")</f>
        <v>.SPX</v>
      </c>
      <c r="G89" s="170">
        <f>IFERROR(((VLOOKUP($C89,Code!$H:$Q,9,FALSE))+(VLOOKUP($C89,Code!$H:$Q,10,FALSE)))/2*0.5/(((VLOOKUP($C89,Code!$H:$Q,7,FALSE))+(VLOOKUP($C89,Code!$H:$Q,8,FALSE)))/2),0)</f>
        <v>0.48570544554455436</v>
      </c>
      <c r="H89" s="171" t="str">
        <f t="shared" si="8"/>
        <v>S</v>
      </c>
      <c r="I89" s="170">
        <f>IFERROR((VLOOKUP($C89,Code!$H:$Q,5,FALSE))/(((VLOOKUP($C89,Code!$H:$Q,7,FALSE))+(VLOOKUP($C89,Code!$H:$Q,8,FALSE)))/2)-1,0)</f>
        <v>-2.2524752475247656E-2</v>
      </c>
      <c r="J89" s="204" t="str">
        <f>IFERROR(POWER((VLOOKUP(C89,Code!H:W,12,FALSE))/(VLOOKUP(C89,Code!H:W,15,FALSE)),1/(P89-1))-1,"")</f>
        <v/>
      </c>
      <c r="K89" s="172" t="str" cm="1">
        <f t="array" ref="K89">IFERROR(IF(C89="","",_xlfn.IFS(AND(VLOOKUP(C89,Code!H:W,13,FALSE)=0,VLOOKUP(C89,Code!H:W,16,FALSE)=0),"無股息",AND(VLOOKUP(C89,Code!H:W,13,FALSE)=0,VLOOKUP(C89,Code!H:W,16,FALSE)&gt;0),"股息沒了",AND(VLOOKUP(C89,Code!H:W,13,FALSE)&gt;0,VLOOKUP(C89,Code!H:W,16,FALSE)=0),"發股息了",AND(VLOOKUP(C89,Code!H:W,13,FALSE)&gt;0,VLOOKUP(C89,Code!H:W,16,FALSE)&gt;0),POWER((VLOOKUP(C89,Code!H:W,13,FALSE))/(VLOOKUP(C89,Code!H:W,16,FALSE)),1/(P89-1))-1)),"")</f>
        <v>無股息</v>
      </c>
      <c r="L89" s="173" t="str">
        <f>IFERROR(VLOOKUP(C89,Code!H:W,13,FALSE)*4/VLOOKUP(C89,Code!H:W,12,FALSE),"")</f>
        <v/>
      </c>
      <c r="M89" s="172" t="str">
        <f t="shared" si="9"/>
        <v/>
      </c>
      <c r="N89" s="172" t="str">
        <f t="shared" si="10"/>
        <v/>
      </c>
      <c r="O89" s="172" t="str">
        <f t="shared" si="11"/>
        <v/>
      </c>
      <c r="P89" s="205">
        <f>IFERROR(YEARFRAC(VLOOKUP(C89,Code!H:W,11,FALSE),VLOOKUP(C89,Code!H:W,14,FALSE),3),"")</f>
        <v>0</v>
      </c>
      <c r="Q89" s="174">
        <v>44547</v>
      </c>
      <c r="R89" s="175" t="str">
        <f t="shared" ca="1" si="12"/>
        <v/>
      </c>
      <c r="S89" s="176">
        <f>IFERROR(VLOOKUP($C89,Code!$H:$Q,5,FALSE),"")</f>
        <v>0.39489999999999997</v>
      </c>
      <c r="T89" s="177" t="str">
        <f t="shared" ca="1" si="13"/>
        <v/>
      </c>
      <c r="U89" s="178" t="str">
        <f t="shared" ca="1" si="14"/>
        <v/>
      </c>
      <c r="V89" s="179">
        <f>IFERROR(VLOOKUP($C89,Code!$H:$Q,6,FALSE),"")</f>
        <v>29.56</v>
      </c>
      <c r="W89" s="180" t="str">
        <f t="shared" ca="1" si="15"/>
        <v/>
      </c>
      <c r="X89" s="12"/>
      <c r="Y89" s="12"/>
      <c r="Z89" s="12"/>
      <c r="AA89" s="12"/>
      <c r="AB89" s="12"/>
    </row>
    <row r="90" spans="1:28" s="10" customFormat="1" ht="15" hidden="1">
      <c r="A90" s="9"/>
      <c r="B90" s="169" cm="1">
        <f t="array" ref="B90">_xlfn.IFS(OR(Code!R355&lt;&gt;Code!U355,Code!R355=""),0,Code!R355=Code!U355,1)</f>
        <v>0</v>
      </c>
      <c r="C90" s="193" t="str">
        <f>IF(Code!F355="","",Code!F355)</f>
        <v>ORCL</v>
      </c>
      <c r="D90" s="155" t="str">
        <f>IFERROR(VLOOKUP($C90,Code!$H:$K,2,FALSE),"")</f>
        <v>XLK</v>
      </c>
      <c r="E90" s="156" t="str">
        <f>IFERROR(VLOOKUP($C90,Code!$H:$K,3,FALSE),"")</f>
        <v>軟件基礎設施</v>
      </c>
      <c r="F90" s="157" t="str">
        <f>IFERROR(VLOOKUP($C90,Code!$H:$K,4,FALSE),"")</f>
        <v>.SPX</v>
      </c>
      <c r="G90" s="170">
        <f>IFERROR(((VLOOKUP($C90,Code!$H:$Q,9,FALSE))+(VLOOKUP($C90,Code!$H:$Q,10,FALSE)))/2*0.5/(((VLOOKUP($C90,Code!$H:$Q,7,FALSE))+(VLOOKUP($C90,Code!$H:$Q,8,FALSE)))/2),0)</f>
        <v>0.63112275750856683</v>
      </c>
      <c r="H90" s="171" t="str">
        <f t="shared" si="8"/>
        <v>L</v>
      </c>
      <c r="I90" s="170">
        <f>IFERROR((VLOOKUP($C90,Code!$H:$Q,5,FALSE))/(((VLOOKUP($C90,Code!$H:$Q,7,FALSE))+(VLOOKUP($C90,Code!$H:$Q,8,FALSE)))/2)-1,0)</f>
        <v>-2.3987099375125887E-2</v>
      </c>
      <c r="J90" s="204">
        <f>IFERROR(POWER((VLOOKUP(C90,Code!H:W,12,FALSE))/(VLOOKUP(C90,Code!H:W,15,FALSE)),1/(P90-1))-1,"")</f>
        <v>0.27046640324195725</v>
      </c>
      <c r="K90" s="172" cm="1">
        <f t="array" ref="K90">IFERROR(IF(C90="","",_xlfn.IFS(AND(VLOOKUP(C90,Code!H:W,13,FALSE)=0,VLOOKUP(C90,Code!H:W,16,FALSE)=0),"無股息",AND(VLOOKUP(C90,Code!H:W,13,FALSE)=0,VLOOKUP(C90,Code!H:W,16,FALSE)&gt;0),"股息沒了",AND(VLOOKUP(C90,Code!H:W,13,FALSE)&gt;0,VLOOKUP(C90,Code!H:W,16,FALSE)=0),"發股息了",AND(VLOOKUP(C90,Code!H:W,13,FALSE)&gt;0,VLOOKUP(C90,Code!H:W,16,FALSE)&gt;0),POWER((VLOOKUP(C90,Code!H:W,13,FALSE))/(VLOOKUP(C90,Code!H:W,16,FALSE)),1/(P90-1))-1)),"")</f>
        <v>0.2226063625023107</v>
      </c>
      <c r="L90" s="173">
        <f>IFERROR(VLOOKUP(C90,Code!H:W,13,FALSE)*4/VLOOKUP(C90,Code!H:W,12,FALSE),"")</f>
        <v>1.4499320544850102E-2</v>
      </c>
      <c r="M90" s="172">
        <f t="shared" si="9"/>
        <v>0.49307276574426795</v>
      </c>
      <c r="N90" s="172" t="str">
        <f t="shared" si="10"/>
        <v>-</v>
      </c>
      <c r="O90" s="172" t="str">
        <f t="shared" si="11"/>
        <v>Value</v>
      </c>
      <c r="P90" s="205">
        <f>IFERROR(YEARFRAC(VLOOKUP(C90,Code!H:W,11,FALSE),VLOOKUP(C90,Code!H:W,14,FALSE),3),"")</f>
        <v>4.7698630136986298</v>
      </c>
      <c r="Q90" s="174">
        <v>44547</v>
      </c>
      <c r="R90" s="175" t="str">
        <f t="shared" ca="1" si="12"/>
        <v/>
      </c>
      <c r="S90" s="176">
        <f>IFERROR(VLOOKUP($C90,Code!$H:$Q,5,FALSE),"")</f>
        <v>0.24210000000000001</v>
      </c>
      <c r="T90" s="177" t="str">
        <f t="shared" ca="1" si="13"/>
        <v/>
      </c>
      <c r="U90" s="178" t="str">
        <f t="shared" ca="1" si="14"/>
        <v/>
      </c>
      <c r="V90" s="179">
        <f>IFERROR(VLOOKUP($C90,Code!$H:$Q,6,FALSE),"")</f>
        <v>89.43</v>
      </c>
      <c r="W90" s="180" t="str">
        <f t="shared" ca="1" si="15"/>
        <v/>
      </c>
      <c r="X90" s="12"/>
      <c r="Y90" s="12"/>
      <c r="Z90" s="12"/>
      <c r="AA90" s="12"/>
      <c r="AB90" s="12"/>
    </row>
    <row r="91" spans="1:28" s="10" customFormat="1" ht="15">
      <c r="A91" s="9"/>
      <c r="B91" s="169" cm="1">
        <f t="array" ref="B91">_xlfn.IFS(OR(Code!R374&lt;&gt;Code!U374,Code!R374=""),0,Code!R374=Code!U374,1)</f>
        <v>0</v>
      </c>
      <c r="C91" s="193" t="str">
        <f>IF(Code!F374="","",Code!F374)</f>
        <v>PKI</v>
      </c>
      <c r="D91" s="155" t="str">
        <f>IFERROR(VLOOKUP($C91,Code!$H:$K,2,FALSE),"")</f>
        <v>XLV</v>
      </c>
      <c r="E91" s="156" t="str">
        <f>IFERROR(VLOOKUP($C91,Code!$H:$K,3,FALSE),"")</f>
        <v>診斷與研究</v>
      </c>
      <c r="F91" s="157" t="str">
        <f>IFERROR(VLOOKUP($C91,Code!$H:$K,4,FALSE),"")</f>
        <v>.SPX</v>
      </c>
      <c r="G91" s="170">
        <f>IFERROR(((VLOOKUP($C91,Code!$H:$Q,9,FALSE))+(VLOOKUP($C91,Code!$H:$Q,10,FALSE)))/2*0.5/(((VLOOKUP($C91,Code!$H:$Q,7,FALSE))+(VLOOKUP($C91,Code!$H:$Q,8,FALSE)))/2),0)</f>
        <v>0.67977433479285942</v>
      </c>
      <c r="H91" s="171" t="str">
        <f t="shared" si="8"/>
        <v>L</v>
      </c>
      <c r="I91" s="170">
        <f>IFERROR((VLOOKUP($C91,Code!$H:$Q,5,FALSE))/(((VLOOKUP($C91,Code!$H:$Q,7,FALSE))+(VLOOKUP($C91,Code!$H:$Q,8,FALSE)))/2)-1,0)</f>
        <v>-2.559784439205115E-2</v>
      </c>
      <c r="J91" s="204">
        <f>IFERROR(POWER((VLOOKUP(C91,Code!H:W,12,FALSE))/(VLOOKUP(C91,Code!H:W,15,FALSE)),1/(P91-1))-1,"")</f>
        <v>0.33248613966650598</v>
      </c>
      <c r="K91" s="172" cm="1">
        <f t="array" ref="K91">IFERROR(IF(C91="","",_xlfn.IFS(AND(VLOOKUP(C91,Code!H:W,13,FALSE)=0,VLOOKUP(C91,Code!H:W,16,FALSE)=0),"無股息",AND(VLOOKUP(C91,Code!H:W,13,FALSE)=0,VLOOKUP(C91,Code!H:W,16,FALSE)&gt;0),"股息沒了",AND(VLOOKUP(C91,Code!H:W,13,FALSE)&gt;0,VLOOKUP(C91,Code!H:W,16,FALSE)=0),"發股息了",AND(VLOOKUP(C91,Code!H:W,13,FALSE)&gt;0,VLOOKUP(C91,Code!H:W,16,FALSE)&gt;0),POWER((VLOOKUP(C91,Code!H:W,13,FALSE))/(VLOOKUP(C91,Code!H:W,16,FALSE)),1/(P91-1))-1)),"")</f>
        <v>0</v>
      </c>
      <c r="L91" s="173">
        <f>IFERROR(VLOOKUP(C91,Code!H:W,13,FALSE)*4/VLOOKUP(C91,Code!H:W,12,FALSE),"")</f>
        <v>1.8280342322075553E-3</v>
      </c>
      <c r="M91" s="172">
        <f t="shared" si="9"/>
        <v>0.33248613966650598</v>
      </c>
      <c r="N91" s="172" t="str">
        <f t="shared" si="10"/>
        <v>-</v>
      </c>
      <c r="O91" s="172" t="str">
        <f t="shared" si="11"/>
        <v>-</v>
      </c>
      <c r="P91" s="205">
        <f>IFERROR(YEARFRAC(VLOOKUP(C91,Code!H:W,11,FALSE),VLOOKUP(C91,Code!H:W,14,FALSE),3),"")</f>
        <v>4.7589041095890412</v>
      </c>
      <c r="Q91" s="174">
        <v>44547</v>
      </c>
      <c r="R91" s="175" t="str">
        <f t="shared" ca="1" si="12"/>
        <v/>
      </c>
      <c r="S91" s="176">
        <f>IFERROR(VLOOKUP($C91,Code!$H:$Q,5,FALSE),"")</f>
        <v>0.2893</v>
      </c>
      <c r="T91" s="177" t="str">
        <f t="shared" ca="1" si="13"/>
        <v/>
      </c>
      <c r="U91" s="178" t="str">
        <f t="shared" ca="1" si="14"/>
        <v/>
      </c>
      <c r="V91" s="179">
        <f>IFERROR(VLOOKUP($C91,Code!$H:$Q,6,FALSE),"")</f>
        <v>187.05</v>
      </c>
      <c r="W91" s="180" t="str">
        <f t="shared" ca="1" si="15"/>
        <v/>
      </c>
      <c r="X91" s="12"/>
      <c r="Y91" s="12"/>
      <c r="Z91" s="12"/>
      <c r="AA91" s="12"/>
      <c r="AB91" s="12"/>
    </row>
    <row r="92" spans="1:28" s="10" customFormat="1" ht="15" hidden="1">
      <c r="A92" s="9"/>
      <c r="B92" s="169" cm="1">
        <f t="array" ref="B92">_xlfn.IFS(OR(Code!R357&lt;&gt;Code!U357,Code!R357=""),0,Code!R357=Code!U357,1)</f>
        <v>0</v>
      </c>
      <c r="C92" s="193" t="str">
        <f>IF(Code!F357="","",Code!F357)</f>
        <v>OTIS</v>
      </c>
      <c r="D92" s="155" t="str">
        <f>IFERROR(VLOOKUP($C92,Code!$H:$K,2,FALSE),"")</f>
        <v>XLI</v>
      </c>
      <c r="E92" s="156" t="str">
        <f>IFERROR(VLOOKUP($C92,Code!$H:$K,3,FALSE),"")</f>
        <v>特種工業機械</v>
      </c>
      <c r="F92" s="157" t="str">
        <f>IFERROR(VLOOKUP($C92,Code!$H:$K,4,FALSE),"")</f>
        <v>.SPX</v>
      </c>
      <c r="G92" s="170">
        <f>IFERROR(((VLOOKUP($C92,Code!$H:$Q,9,FALSE))+(VLOOKUP($C92,Code!$H:$Q,10,FALSE)))/2*0.5/(((VLOOKUP($C92,Code!$H:$Q,7,FALSE))+(VLOOKUP($C92,Code!$H:$Q,8,FALSE)))/2),0)</f>
        <v>0.71320037986704654</v>
      </c>
      <c r="H92" s="171" t="str">
        <f t="shared" si="8"/>
        <v>XL</v>
      </c>
      <c r="I92" s="170">
        <f>IFERROR((VLOOKUP($C92,Code!$H:$Q,5,FALSE))/(((VLOOKUP($C92,Code!$H:$Q,7,FALSE))+(VLOOKUP($C92,Code!$H:$Q,8,FALSE)))/2)-1,0)</f>
        <v>-2.6115859449192813E-2</v>
      </c>
      <c r="J92" s="204">
        <f>IFERROR(POWER((VLOOKUP(C92,Code!H:W,12,FALSE))/(VLOOKUP(C92,Code!H:W,15,FALSE)),1/(P92-1))-1,"")</f>
        <v>-1</v>
      </c>
      <c r="K92" s="172" cm="1">
        <f t="array" ref="K92">IFERROR(IF(C92="","",_xlfn.IFS(AND(VLOOKUP(C92,Code!H:W,13,FALSE)=0,VLOOKUP(C92,Code!H:W,16,FALSE)=0),"無股息",AND(VLOOKUP(C92,Code!H:W,13,FALSE)=0,VLOOKUP(C92,Code!H:W,16,FALSE)&gt;0),"股息沒了",AND(VLOOKUP(C92,Code!H:W,13,FALSE)&gt;0,VLOOKUP(C92,Code!H:W,16,FALSE)=0),"發股息了",AND(VLOOKUP(C92,Code!H:W,13,FALSE)&gt;0,VLOOKUP(C92,Code!H:W,16,FALSE)&gt;0),POWER((VLOOKUP(C92,Code!H:W,13,FALSE))/(VLOOKUP(C92,Code!H:W,16,FALSE)),1/(P92-1))-1)),"")</f>
        <v>-1</v>
      </c>
      <c r="L92" s="173">
        <f>IFERROR(VLOOKUP(C92,Code!H:W,13,FALSE)*4/VLOOKUP(C92,Code!H:W,12,FALSE),"")</f>
        <v>1.2409513862795173E-2</v>
      </c>
      <c r="M92" s="172">
        <f t="shared" si="9"/>
        <v>-2</v>
      </c>
      <c r="N92" s="172" t="str">
        <f t="shared" si="10"/>
        <v>-</v>
      </c>
      <c r="O92" s="172" t="str">
        <f t="shared" si="11"/>
        <v>-</v>
      </c>
      <c r="P92" s="205">
        <f>IFERROR(YEARFRAC(VLOOKUP(C92,Code!H:W,11,FALSE),VLOOKUP(C92,Code!H:W,14,FALSE),3),"")</f>
        <v>0.99726027397260275</v>
      </c>
      <c r="Q92" s="174">
        <v>44547</v>
      </c>
      <c r="R92" s="175" t="str">
        <f t="shared" ca="1" si="12"/>
        <v/>
      </c>
      <c r="S92" s="176">
        <f>IFERROR(VLOOKUP($C92,Code!$H:$Q,5,FALSE),"")</f>
        <v>0.2051</v>
      </c>
      <c r="T92" s="177" t="str">
        <f t="shared" ca="1" si="13"/>
        <v/>
      </c>
      <c r="U92" s="178" t="str">
        <f t="shared" ca="1" si="14"/>
        <v/>
      </c>
      <c r="V92" s="179">
        <f>IFERROR(VLOOKUP($C92,Code!$H:$Q,6,FALSE),"")</f>
        <v>90.27</v>
      </c>
      <c r="W92" s="180" t="str">
        <f t="shared" ca="1" si="15"/>
        <v/>
      </c>
      <c r="X92" s="12"/>
      <c r="Y92" s="12"/>
      <c r="Z92" s="12"/>
      <c r="AA92" s="12"/>
      <c r="AB92" s="12"/>
    </row>
    <row r="93" spans="1:28" s="10" customFormat="1" ht="15" hidden="1">
      <c r="A93" s="9"/>
      <c r="B93" s="169" cm="1">
        <f t="array" ref="B93">_xlfn.IFS(OR(Code!R432&lt;&gt;Code!U432,Code!R432=""),0,Code!R432=Code!U432,1)</f>
        <v>0</v>
      </c>
      <c r="C93" s="193" t="str">
        <f>IF(Code!F432="","",Code!F432)</f>
        <v>T</v>
      </c>
      <c r="D93" s="155" t="str">
        <f>IFERROR(VLOOKUP($C93,Code!$H:$K,2,FALSE),"")</f>
        <v>XLC</v>
      </c>
      <c r="E93" s="156" t="str">
        <f>IFERROR(VLOOKUP($C93,Code!$H:$K,3,FALSE),"")</f>
        <v>電信業務</v>
      </c>
      <c r="F93" s="157" t="str">
        <f>IFERROR(VLOOKUP($C93,Code!$H:$K,4,FALSE),"")</f>
        <v>.SPX</v>
      </c>
      <c r="G93" s="170">
        <f>IFERROR(((VLOOKUP($C93,Code!$H:$Q,9,FALSE))+(VLOOKUP($C93,Code!$H:$Q,10,FALSE)))/2*0.5/(((VLOOKUP($C93,Code!$H:$Q,7,FALSE))+(VLOOKUP($C93,Code!$H:$Q,8,FALSE)))/2),0)</f>
        <v>0.58797297297297302</v>
      </c>
      <c r="H93" s="171" t="str">
        <f t="shared" si="8"/>
        <v>M</v>
      </c>
      <c r="I93" s="170">
        <f>IFERROR((VLOOKUP($C93,Code!$H:$Q,5,FALSE))/(((VLOOKUP($C93,Code!$H:$Q,7,FALSE))+(VLOOKUP($C93,Code!$H:$Q,8,FALSE)))/2)-1,0)</f>
        <v>-2.8108108108108154E-2</v>
      </c>
      <c r="J93" s="204">
        <f>IFERROR(POWER((VLOOKUP(C93,Code!H:W,12,FALSE))/(VLOOKUP(C93,Code!H:W,15,FALSE)),1/(P93-1))-1,"")</f>
        <v>-1.1348697277386854E-2</v>
      </c>
      <c r="K93" s="172" cm="1">
        <f t="array" ref="K93">IFERROR(IF(C93="","",_xlfn.IFS(AND(VLOOKUP(C93,Code!H:W,13,FALSE)=0,VLOOKUP(C93,Code!H:W,16,FALSE)=0),"無股息",AND(VLOOKUP(C93,Code!H:W,13,FALSE)=0,VLOOKUP(C93,Code!H:W,16,FALSE)&gt;0),"股息沒了",AND(VLOOKUP(C93,Code!H:W,13,FALSE)&gt;0,VLOOKUP(C93,Code!H:W,16,FALSE)=0),"發股息了",AND(VLOOKUP(C93,Code!H:W,13,FALSE)&gt;0,VLOOKUP(C93,Code!H:W,16,FALSE)&gt;0),POWER((VLOOKUP(C93,Code!H:W,13,FALSE))/(VLOOKUP(C93,Code!H:W,16,FALSE)),1/(P93-1))-1)),"")</f>
        <v>2.1522499085171898E-2</v>
      </c>
      <c r="L93" s="173">
        <f>IFERROR(VLOOKUP(C93,Code!H:W,13,FALSE)*4/VLOOKUP(C93,Code!H:W,12,FALSE),"")</f>
        <v>7.381121282734604E-2</v>
      </c>
      <c r="M93" s="172">
        <f t="shared" si="9"/>
        <v>1.0173801807785043E-2</v>
      </c>
      <c r="N93" s="172" t="str">
        <f t="shared" si="10"/>
        <v>-</v>
      </c>
      <c r="O93" s="172" t="str">
        <f t="shared" si="11"/>
        <v>-</v>
      </c>
      <c r="P93" s="205">
        <f>IFERROR(YEARFRAC(VLOOKUP(C93,Code!H:W,11,FALSE),VLOOKUP(C93,Code!H:W,14,FALSE),3),"")</f>
        <v>4.7589041095890412</v>
      </c>
      <c r="Q93" s="174">
        <v>44547</v>
      </c>
      <c r="R93" s="175" t="str">
        <f t="shared" ca="1" si="12"/>
        <v/>
      </c>
      <c r="S93" s="176">
        <f>IFERROR(VLOOKUP($C93,Code!$H:$Q,5,FALSE),"")</f>
        <v>0.17979999999999999</v>
      </c>
      <c r="T93" s="177" t="str">
        <f t="shared" ca="1" si="13"/>
        <v/>
      </c>
      <c r="U93" s="178" t="str">
        <f t="shared" ca="1" si="14"/>
        <v/>
      </c>
      <c r="V93" s="179">
        <f>IFERROR(VLOOKUP($C93,Code!$H:$Q,6,FALSE),"")</f>
        <v>27.99</v>
      </c>
      <c r="W93" s="180" t="str">
        <f t="shared" ca="1" si="15"/>
        <v/>
      </c>
      <c r="X93" s="12"/>
      <c r="Y93" s="12"/>
      <c r="Z93" s="12"/>
      <c r="AA93" s="12"/>
      <c r="AB93" s="12"/>
    </row>
    <row r="94" spans="1:28" s="10" customFormat="1" ht="15" hidden="1">
      <c r="A94" s="9"/>
      <c r="B94" s="169" cm="1">
        <f t="array" ref="B94">_xlfn.IFS(OR(Code!R285&lt;&gt;Code!U285,Code!R285=""),0,Code!R285=Code!U285,1)</f>
        <v>0</v>
      </c>
      <c r="C94" s="193" t="str">
        <f>IF(Code!F285="","",Code!F285)</f>
        <v>LOW</v>
      </c>
      <c r="D94" s="155" t="str">
        <f>IFERROR(VLOOKUP($C94,Code!$H:$K,2,FALSE),"")</f>
        <v>XLY</v>
      </c>
      <c r="E94" s="156" t="str">
        <f>IFERROR(VLOOKUP($C94,Code!$H:$K,3,FALSE),"")</f>
        <v>家居裝修零售</v>
      </c>
      <c r="F94" s="157" t="str">
        <f>IFERROR(VLOOKUP($C94,Code!$H:$K,4,FALSE),"")</f>
        <v>.SPX</v>
      </c>
      <c r="G94" s="170">
        <f>IFERROR(((VLOOKUP($C94,Code!$H:$Q,9,FALSE))+(VLOOKUP($C94,Code!$H:$Q,10,FALSE)))/2*0.5/(((VLOOKUP($C94,Code!$H:$Q,7,FALSE))+(VLOOKUP($C94,Code!$H:$Q,8,FALSE)))/2),0)</f>
        <v>0.55890554200069709</v>
      </c>
      <c r="H94" s="171" t="str">
        <f t="shared" si="8"/>
        <v>M</v>
      </c>
      <c r="I94" s="170">
        <f>IFERROR((VLOOKUP($C94,Code!$H:$Q,5,FALSE))/(((VLOOKUP($C94,Code!$H:$Q,7,FALSE))+(VLOOKUP($C94,Code!$H:$Q,8,FALSE)))/2)-1,0)</f>
        <v>-2.8232833739979091E-2</v>
      </c>
      <c r="J94" s="204">
        <f>IFERROR(POWER((VLOOKUP(C94,Code!H:W,12,FALSE))/(VLOOKUP(C94,Code!H:W,15,FALSE)),1/(P94-1))-1,"")</f>
        <v>0.34214154190971802</v>
      </c>
      <c r="K94" s="172" cm="1">
        <f t="array" ref="K94">IFERROR(IF(C94="","",_xlfn.IFS(AND(VLOOKUP(C94,Code!H:W,13,FALSE)=0,VLOOKUP(C94,Code!H:W,16,FALSE)=0),"無股息",AND(VLOOKUP(C94,Code!H:W,13,FALSE)=0,VLOOKUP(C94,Code!H:W,16,FALSE)&gt;0),"股息沒了",AND(VLOOKUP(C94,Code!H:W,13,FALSE)&gt;0,VLOOKUP(C94,Code!H:W,16,FALSE)=0),"發股息了",AND(VLOOKUP(C94,Code!H:W,13,FALSE)&gt;0,VLOOKUP(C94,Code!H:W,16,FALSE)&gt;0),POWER((VLOOKUP(C94,Code!H:W,13,FALSE))/(VLOOKUP(C94,Code!H:W,16,FALSE)),1/(P94-1))-1)),"")</f>
        <v>0.24598380434950329</v>
      </c>
      <c r="L94" s="173">
        <f>IFERROR(VLOOKUP(C94,Code!H:W,13,FALSE)*4/VLOOKUP(C94,Code!H:W,12,FALSE),"")</f>
        <v>1.6485497861717893E-2</v>
      </c>
      <c r="M94" s="172">
        <f t="shared" si="9"/>
        <v>0.5881253462592213</v>
      </c>
      <c r="N94" s="172" t="str">
        <f t="shared" si="10"/>
        <v>-</v>
      </c>
      <c r="O94" s="172" t="str">
        <f t="shared" si="11"/>
        <v>Value</v>
      </c>
      <c r="P94" s="205">
        <f>IFERROR(YEARFRAC(VLOOKUP(C94,Code!H:W,11,FALSE),VLOOKUP(C94,Code!H:W,14,FALSE),3),"")</f>
        <v>4.7589041095890412</v>
      </c>
      <c r="Q94" s="174">
        <v>44547</v>
      </c>
      <c r="R94" s="175" t="str">
        <f t="shared" ca="1" si="12"/>
        <v/>
      </c>
      <c r="S94" s="176">
        <f>IFERROR(VLOOKUP($C94,Code!$H:$Q,5,FALSE),"")</f>
        <v>0.27879999999999999</v>
      </c>
      <c r="T94" s="177" t="str">
        <f t="shared" ca="1" si="13"/>
        <v/>
      </c>
      <c r="U94" s="178" t="str">
        <f t="shared" ca="1" si="14"/>
        <v/>
      </c>
      <c r="V94" s="179">
        <f>IFERROR(VLOOKUP($C94,Code!$H:$Q,6,FALSE),"")</f>
        <v>190.68</v>
      </c>
      <c r="W94" s="180" t="str">
        <f t="shared" ca="1" si="15"/>
        <v/>
      </c>
      <c r="X94" s="12"/>
      <c r="Y94" s="12"/>
      <c r="Z94" s="12"/>
      <c r="AA94" s="12"/>
      <c r="AB94" s="12"/>
    </row>
    <row r="95" spans="1:28" s="10" customFormat="1" ht="15" hidden="1">
      <c r="A95" s="9"/>
      <c r="B95" s="169" cm="1">
        <f t="array" ref="B95">_xlfn.IFS(OR(Code!R186&lt;&gt;Code!U186,Code!R186=""),0,Code!R186=Code!U186,1)</f>
        <v>0</v>
      </c>
      <c r="C95" s="193" t="str">
        <f>IF(Code!F186="","",Code!F186)</f>
        <v>FIS</v>
      </c>
      <c r="D95" s="155" t="str">
        <f>IFERROR(VLOOKUP($C95,Code!$H:$K,2,FALSE),"")</f>
        <v>XLK</v>
      </c>
      <c r="E95" s="156" t="str">
        <f>IFERROR(VLOOKUP($C95,Code!$H:$K,3,FALSE),"")</f>
        <v>信息技術處</v>
      </c>
      <c r="F95" s="157" t="str">
        <f>IFERROR(VLOOKUP($C95,Code!$H:$K,4,FALSE),"")</f>
        <v>.SPX</v>
      </c>
      <c r="G95" s="170">
        <f>IFERROR(((VLOOKUP($C95,Code!$H:$Q,9,FALSE))+(VLOOKUP($C95,Code!$H:$Q,10,FALSE)))/2*0.5/(((VLOOKUP($C95,Code!$H:$Q,7,FALSE))+(VLOOKUP($C95,Code!$H:$Q,8,FALSE)))/2),0)</f>
        <v>0.57655093910073973</v>
      </c>
      <c r="H95" s="171" t="str">
        <f t="shared" si="8"/>
        <v>M</v>
      </c>
      <c r="I95" s="170">
        <f>IFERROR((VLOOKUP($C95,Code!$H:$Q,5,FALSE))/(((VLOOKUP($C95,Code!$H:$Q,7,FALSE))+(VLOOKUP($C95,Code!$H:$Q,8,FALSE)))/2)-1,0)</f>
        <v>-2.8267880857522298E-2</v>
      </c>
      <c r="J95" s="204">
        <f>IFERROR(POWER((VLOOKUP(C95,Code!H:W,12,FALSE))/(VLOOKUP(C95,Code!H:W,15,FALSE)),1/(P95-1))-1,"")</f>
        <v>0.20686847286334786</v>
      </c>
      <c r="K95" s="172" cm="1">
        <f t="array" ref="K95">IFERROR(IF(C95="","",_xlfn.IFS(AND(VLOOKUP(C95,Code!H:W,13,FALSE)=0,VLOOKUP(C95,Code!H:W,16,FALSE)=0),"無股息",AND(VLOOKUP(C95,Code!H:W,13,FALSE)=0,VLOOKUP(C95,Code!H:W,16,FALSE)&gt;0),"股息沒了",AND(VLOOKUP(C95,Code!H:W,13,FALSE)&gt;0,VLOOKUP(C95,Code!H:W,16,FALSE)=0),"發股息了",AND(VLOOKUP(C95,Code!H:W,13,FALSE)&gt;0,VLOOKUP(C95,Code!H:W,16,FALSE)&gt;0),POWER((VLOOKUP(C95,Code!H:W,13,FALSE))/(VLOOKUP(C95,Code!H:W,16,FALSE)),1/(P95-1))-1)),"")</f>
        <v>0.11451693943685703</v>
      </c>
      <c r="L95" s="173">
        <f>IFERROR(VLOOKUP(C95,Code!H:W,13,FALSE)*4/VLOOKUP(C95,Code!H:W,12,FALSE),"")</f>
        <v>1.0730499020532334E-2</v>
      </c>
      <c r="M95" s="172">
        <f t="shared" si="9"/>
        <v>0.3213854123002049</v>
      </c>
      <c r="N95" s="172" t="str">
        <f t="shared" si="10"/>
        <v>-</v>
      </c>
      <c r="O95" s="172" t="str">
        <f t="shared" si="11"/>
        <v>-</v>
      </c>
      <c r="P95" s="205">
        <f>IFERROR(YEARFRAC(VLOOKUP(C95,Code!H:W,11,FALSE),VLOOKUP(C95,Code!H:W,14,FALSE),3),"")</f>
        <v>4.7397260273972606</v>
      </c>
      <c r="Q95" s="174">
        <v>44547</v>
      </c>
      <c r="R95" s="175" t="str">
        <f t="shared" ca="1" si="12"/>
        <v/>
      </c>
      <c r="S95" s="176">
        <f>IFERROR(VLOOKUP($C95,Code!$H:$Q,5,FALSE),"")</f>
        <v>0.25609999999999999</v>
      </c>
      <c r="T95" s="177" t="str">
        <f t="shared" ca="1" si="13"/>
        <v/>
      </c>
      <c r="U95" s="178" t="str">
        <f t="shared" ca="1" si="14"/>
        <v/>
      </c>
      <c r="V95" s="179">
        <f>IFERROR(VLOOKUP($C95,Code!$H:$Q,6,FALSE),"")</f>
        <v>129.74</v>
      </c>
      <c r="W95" s="180" t="str">
        <f t="shared" ca="1" si="15"/>
        <v/>
      </c>
      <c r="X95" s="12"/>
      <c r="Y95" s="12"/>
      <c r="Z95" s="12"/>
      <c r="AA95" s="12"/>
      <c r="AB95" s="12"/>
    </row>
    <row r="96" spans="1:28" s="10" customFormat="1" ht="15" hidden="1">
      <c r="A96" s="9"/>
      <c r="B96" s="169" cm="1">
        <f t="array" ref="B96">_xlfn.IFS(OR(Code!R242&lt;&gt;Code!U242,Code!R242=""),0,Code!R242=Code!U242,1)</f>
        <v>0</v>
      </c>
      <c r="C96" s="193" t="str">
        <f>IF(Code!F242="","",Code!F242)</f>
        <v>INTU</v>
      </c>
      <c r="D96" s="155" t="str">
        <f>IFERROR(VLOOKUP($C96,Code!$H:$K,2,FALSE),"")</f>
        <v>XLK</v>
      </c>
      <c r="E96" s="156" t="str">
        <f>IFERROR(VLOOKUP($C96,Code!$H:$K,3,FALSE),"")</f>
        <v>軟件-應用</v>
      </c>
      <c r="F96" s="157" t="str">
        <f>IFERROR(VLOOKUP($C96,Code!$H:$K,4,FALSE),"")</f>
        <v>.SPX</v>
      </c>
      <c r="G96" s="170">
        <f>IFERROR(((VLOOKUP($C96,Code!$H:$Q,9,FALSE))+(VLOOKUP($C96,Code!$H:$Q,10,FALSE)))/2*0.5/(((VLOOKUP($C96,Code!$H:$Q,7,FALSE))+(VLOOKUP($C96,Code!$H:$Q,8,FALSE)))/2),0)</f>
        <v>0.61339031339031336</v>
      </c>
      <c r="H96" s="171" t="str">
        <f t="shared" si="8"/>
        <v>L</v>
      </c>
      <c r="I96" s="170">
        <f>IFERROR((VLOOKUP($C96,Code!$H:$Q,5,FALSE))/(((VLOOKUP($C96,Code!$H:$Q,7,FALSE))+(VLOOKUP($C96,Code!$H:$Q,8,FALSE)))/2)-1,0)</f>
        <v>-2.8300094966761447E-2</v>
      </c>
      <c r="J96" s="204">
        <f>IFERROR(POWER((VLOOKUP(C96,Code!H:W,12,FALSE))/(VLOOKUP(C96,Code!H:W,15,FALSE)),1/(P96-1))-1,"")</f>
        <v>0.51968403940080776</v>
      </c>
      <c r="K96" s="172" cm="1">
        <f t="array" ref="K96">IFERROR(IF(C96="","",_xlfn.IFS(AND(VLOOKUP(C96,Code!H:W,13,FALSE)=0,VLOOKUP(C96,Code!H:W,16,FALSE)=0),"無股息",AND(VLOOKUP(C96,Code!H:W,13,FALSE)=0,VLOOKUP(C96,Code!H:W,16,FALSE)&gt;0),"股息沒了",AND(VLOOKUP(C96,Code!H:W,13,FALSE)&gt;0,VLOOKUP(C96,Code!H:W,16,FALSE)=0),"發股息了",AND(VLOOKUP(C96,Code!H:W,13,FALSE)&gt;0,VLOOKUP(C96,Code!H:W,16,FALSE)&gt;0),POWER((VLOOKUP(C96,Code!H:W,13,FALSE))/(VLOOKUP(C96,Code!H:W,16,FALSE)),1/(P96-1))-1)),"")</f>
        <v>0.15780450845896454</v>
      </c>
      <c r="L96" s="173">
        <f>IFERROR(VLOOKUP(C96,Code!H:W,13,FALSE)*4/VLOOKUP(C96,Code!H:W,12,FALSE),"")</f>
        <v>4.6831901936791034E-3</v>
      </c>
      <c r="M96" s="172">
        <f t="shared" si="9"/>
        <v>0.67748854785977231</v>
      </c>
      <c r="N96" s="172" t="str">
        <f t="shared" si="10"/>
        <v>-</v>
      </c>
      <c r="O96" s="172" t="str">
        <f t="shared" si="11"/>
        <v>Value</v>
      </c>
      <c r="P96" s="205">
        <f>IFERROR(YEARFRAC(VLOOKUP(C96,Code!H:W,11,FALSE),VLOOKUP(C96,Code!H:W,14,FALSE),3),"")</f>
        <v>4.7616438356164386</v>
      </c>
      <c r="Q96" s="174">
        <v>44547</v>
      </c>
      <c r="R96" s="175" t="str">
        <f t="shared" ca="1" si="12"/>
        <v/>
      </c>
      <c r="S96" s="176">
        <f>IFERROR(VLOOKUP($C96,Code!$H:$Q,5,FALSE),"")</f>
        <v>0.25580000000000003</v>
      </c>
      <c r="T96" s="177" t="str">
        <f t="shared" ca="1" si="13"/>
        <v/>
      </c>
      <c r="U96" s="178" t="str">
        <f t="shared" ca="1" si="14"/>
        <v/>
      </c>
      <c r="V96" s="179">
        <f>IFERROR(VLOOKUP($C96,Code!$H:$Q,6,FALSE),"")</f>
        <v>538.01</v>
      </c>
      <c r="W96" s="180" t="str">
        <f t="shared" ca="1" si="15"/>
        <v/>
      </c>
      <c r="X96" s="12"/>
      <c r="Y96" s="12"/>
      <c r="Z96" s="12"/>
      <c r="AA96" s="12"/>
      <c r="AB96" s="12"/>
    </row>
    <row r="97" spans="1:28" s="10" customFormat="1" ht="15" hidden="1">
      <c r="A97" s="9"/>
      <c r="B97" s="169" cm="1">
        <f t="array" ref="B97">_xlfn.IFS(OR(Code!R462&lt;&gt;Code!U462,Code!R462=""),0,Code!R462=Code!U462,1)</f>
        <v>1</v>
      </c>
      <c r="C97" s="193" t="str">
        <f>IF(Code!F462="","",Code!F462)</f>
        <v>ULTA</v>
      </c>
      <c r="D97" s="155" t="str">
        <f>IFERROR(VLOOKUP($C97,Code!$H:$K,2,FALSE),"")</f>
        <v>XLY</v>
      </c>
      <c r="E97" s="156" t="str">
        <f>IFERROR(VLOOKUP($C97,Code!$H:$K,3,FALSE),"")</f>
        <v>專業零售</v>
      </c>
      <c r="F97" s="157" t="str">
        <f>IFERROR(VLOOKUP($C97,Code!$H:$K,4,FALSE),"")</f>
        <v>.SPX</v>
      </c>
      <c r="G97" s="170">
        <f>IFERROR(((VLOOKUP($C97,Code!$H:$Q,9,FALSE))+(VLOOKUP($C97,Code!$H:$Q,10,FALSE)))/2*0.5/(((VLOOKUP($C97,Code!$H:$Q,7,FALSE))+(VLOOKUP($C97,Code!$H:$Q,8,FALSE)))/2),0)</f>
        <v>0.53294991612748621</v>
      </c>
      <c r="H97" s="171" t="str">
        <f t="shared" si="8"/>
        <v>M</v>
      </c>
      <c r="I97" s="170">
        <f>IFERROR((VLOOKUP($C97,Code!$H:$Q,5,FALSE))/(((VLOOKUP($C97,Code!$H:$Q,7,FALSE))+(VLOOKUP($C97,Code!$H:$Q,8,FALSE)))/2)-1,0)</f>
        <v>-2.9235561945842314E-2</v>
      </c>
      <c r="J97" s="204" t="str">
        <f>IFERROR(POWER((VLOOKUP(C97,Code!H:W,12,FALSE))/(VLOOKUP(C97,Code!H:W,15,FALSE)),1/(P97-1))-1,"")</f>
        <v/>
      </c>
      <c r="K97" s="172" t="str" cm="1">
        <f t="array" ref="K97">IFERROR(IF(C97="","",_xlfn.IFS(AND(VLOOKUP(C97,Code!H:W,13,FALSE)=0,VLOOKUP(C97,Code!H:W,16,FALSE)=0),"無股息",AND(VLOOKUP(C97,Code!H:W,13,FALSE)=0,VLOOKUP(C97,Code!H:W,16,FALSE)&gt;0),"股息沒了",AND(VLOOKUP(C97,Code!H:W,13,FALSE)&gt;0,VLOOKUP(C97,Code!H:W,16,FALSE)=0),"發股息了",AND(VLOOKUP(C97,Code!H:W,13,FALSE)&gt;0,VLOOKUP(C97,Code!H:W,16,FALSE)&gt;0),POWER((VLOOKUP(C97,Code!H:W,13,FALSE))/(VLOOKUP(C97,Code!H:W,16,FALSE)),1/(P97-1))-1)),"")</f>
        <v>無股息</v>
      </c>
      <c r="L97" s="173" t="str">
        <f>IFERROR(VLOOKUP(C97,Code!H:W,13,FALSE)*4/VLOOKUP(C97,Code!H:W,12,FALSE),"")</f>
        <v/>
      </c>
      <c r="M97" s="172" t="str">
        <f t="shared" si="9"/>
        <v/>
      </c>
      <c r="N97" s="172" t="str">
        <f t="shared" si="10"/>
        <v/>
      </c>
      <c r="O97" s="172" t="str">
        <f t="shared" si="11"/>
        <v/>
      </c>
      <c r="P97" s="205">
        <f>IFERROR(YEARFRAC(VLOOKUP(C97,Code!H:W,11,FALSE),VLOOKUP(C97,Code!H:W,14,FALSE),3),"")</f>
        <v>0</v>
      </c>
      <c r="Q97" s="174">
        <v>44547</v>
      </c>
      <c r="R97" s="175" t="str">
        <f t="shared" ca="1" si="12"/>
        <v/>
      </c>
      <c r="S97" s="176">
        <f>IFERROR(VLOOKUP($C97,Code!$H:$Q,5,FALSE),"")</f>
        <v>0.40510000000000002</v>
      </c>
      <c r="T97" s="177" t="str">
        <f t="shared" ca="1" si="13"/>
        <v/>
      </c>
      <c r="U97" s="178" t="str">
        <f t="shared" ca="1" si="14"/>
        <v/>
      </c>
      <c r="V97" s="179">
        <f>IFERROR(VLOOKUP($C97,Code!$H:$Q,6,FALSE),"")</f>
        <v>351.65</v>
      </c>
      <c r="W97" s="180" t="str">
        <f t="shared" ca="1" si="15"/>
        <v/>
      </c>
      <c r="X97" s="12"/>
      <c r="Y97" s="12"/>
      <c r="Z97" s="12"/>
      <c r="AA97" s="12"/>
      <c r="AB97" s="12"/>
    </row>
    <row r="98" spans="1:28" s="10" customFormat="1" ht="15" hidden="1">
      <c r="A98" s="9"/>
      <c r="B98" s="169" cm="1">
        <f t="array" ref="B98">_xlfn.IFS(OR(Code!R29&lt;&gt;Code!U29,Code!R29=""),0,Code!R29=Code!U29,1)</f>
        <v>0</v>
      </c>
      <c r="C98" s="193" t="str">
        <f>IF(Code!F29="","",Code!F29)</f>
        <v>ALL</v>
      </c>
      <c r="D98" s="155" t="str">
        <f>IFERROR(VLOOKUP($C98,Code!$H:$K,2,FALSE),"")</f>
        <v>XLF</v>
      </c>
      <c r="E98" s="156" t="str">
        <f>IFERROR(VLOOKUP($C98,Code!$H:$K,3,FALSE),"")</f>
        <v>保險-財產及意外事故</v>
      </c>
      <c r="F98" s="157" t="str">
        <f>IFERROR(VLOOKUP($C98,Code!$H:$K,4,FALSE),"")</f>
        <v>.SPX</v>
      </c>
      <c r="G98" s="170">
        <f>IFERROR(((VLOOKUP($C98,Code!$H:$Q,9,FALSE))+(VLOOKUP($C98,Code!$H:$Q,10,FALSE)))/2*0.5/(((VLOOKUP($C98,Code!$H:$Q,7,FALSE))+(VLOOKUP($C98,Code!$H:$Q,8,FALSE)))/2),0)</f>
        <v>0.58371484630477433</v>
      </c>
      <c r="H98" s="171" t="str">
        <f t="shared" si="8"/>
        <v>M</v>
      </c>
      <c r="I98" s="170">
        <f>IFERROR((VLOOKUP($C98,Code!$H:$Q,5,FALSE))/(((VLOOKUP($C98,Code!$H:$Q,7,FALSE))+(VLOOKUP($C98,Code!$H:$Q,8,FALSE)))/2)-1,0)</f>
        <v>-3.1175059952038287E-2</v>
      </c>
      <c r="J98" s="204">
        <f>IFERROR(POWER((VLOOKUP(C98,Code!H:W,12,FALSE))/(VLOOKUP(C98,Code!H:W,15,FALSE)),1/(P98-1))-1,"")</f>
        <v>0.2301506381066063</v>
      </c>
      <c r="K98" s="172" cm="1">
        <f t="array" ref="K98">IFERROR(IF(C98="","",_xlfn.IFS(AND(VLOOKUP(C98,Code!H:W,13,FALSE)=0,VLOOKUP(C98,Code!H:W,16,FALSE)=0),"無股息",AND(VLOOKUP(C98,Code!H:W,13,FALSE)=0,VLOOKUP(C98,Code!H:W,16,FALSE)&gt;0),"股息沒了",AND(VLOOKUP(C98,Code!H:W,13,FALSE)&gt;0,VLOOKUP(C98,Code!H:W,16,FALSE)=0),"發股息了",AND(VLOOKUP(C98,Code!H:W,13,FALSE)&gt;0,VLOOKUP(C98,Code!H:W,16,FALSE)&gt;0),POWER((VLOOKUP(C98,Code!H:W,13,FALSE))/(VLOOKUP(C98,Code!H:W,16,FALSE)),1/(P98-1))-1)),"")</f>
        <v>0.26938960419148605</v>
      </c>
      <c r="L98" s="173">
        <f>IFERROR(VLOOKUP(C98,Code!H:W,13,FALSE)*4/VLOOKUP(C98,Code!H:W,12,FALSE),"")</f>
        <v>2.3778072292799608E-2</v>
      </c>
      <c r="M98" s="172">
        <f t="shared" si="9"/>
        <v>0.49954024229809235</v>
      </c>
      <c r="N98" s="172" t="str">
        <f t="shared" si="10"/>
        <v>-</v>
      </c>
      <c r="O98" s="172" t="str">
        <f t="shared" si="11"/>
        <v>Value</v>
      </c>
      <c r="P98" s="205">
        <f>IFERROR(YEARFRAC(VLOOKUP(C98,Code!H:W,11,FALSE),VLOOKUP(C98,Code!H:W,14,FALSE),3),"")</f>
        <v>4.7643835616438359</v>
      </c>
      <c r="Q98" s="174">
        <v>44547</v>
      </c>
      <c r="R98" s="175" t="str">
        <f t="shared" ca="1" si="12"/>
        <v/>
      </c>
      <c r="S98" s="176">
        <f>IFERROR(VLOOKUP($C98,Code!$H:$Q,5,FALSE),"")</f>
        <v>0.22220000000000001</v>
      </c>
      <c r="T98" s="177" t="str">
        <f t="shared" ca="1" si="13"/>
        <v/>
      </c>
      <c r="U98" s="178" t="str">
        <f t="shared" ca="1" si="14"/>
        <v/>
      </c>
      <c r="V98" s="179">
        <f>IFERROR(VLOOKUP($C98,Code!$H:$Q,6,FALSE),"")</f>
        <v>127.93</v>
      </c>
      <c r="W98" s="180" t="str">
        <f t="shared" ca="1" si="15"/>
        <v/>
      </c>
      <c r="X98" s="12"/>
      <c r="Y98" s="12"/>
      <c r="Z98" s="12"/>
      <c r="AA98" s="12"/>
      <c r="AB98" s="12"/>
    </row>
    <row r="99" spans="1:28" s="10" customFormat="1" ht="15" hidden="1">
      <c r="A99" s="9"/>
      <c r="B99" s="169" cm="1">
        <f t="array" ref="B99">_xlfn.IFS(OR(Code!R59&lt;&gt;Code!U59,Code!R59=""),0,Code!R59=Code!U59,1)</f>
        <v>0</v>
      </c>
      <c r="C99" s="193" t="str">
        <f>IF(Code!F59="","",Code!F59)</f>
        <v>BAX</v>
      </c>
      <c r="D99" s="155" t="str">
        <f>IFERROR(VLOOKUP($C99,Code!$H:$K,2,FALSE),"")</f>
        <v>XLV</v>
      </c>
      <c r="E99" s="156" t="str">
        <f>IFERROR(VLOOKUP($C99,Code!$H:$K,3,FALSE),"")</f>
        <v>醫療器械及用品</v>
      </c>
      <c r="F99" s="157" t="str">
        <f>IFERROR(VLOOKUP($C99,Code!$H:$K,4,FALSE),"")</f>
        <v>.SPX</v>
      </c>
      <c r="G99" s="170">
        <f>IFERROR(((VLOOKUP($C99,Code!$H:$Q,9,FALSE))+(VLOOKUP($C99,Code!$H:$Q,10,FALSE)))/2*0.5/(((VLOOKUP($C99,Code!$H:$Q,7,FALSE))+(VLOOKUP($C99,Code!$H:$Q,8,FALSE)))/2),0)</f>
        <v>0.67281801299907151</v>
      </c>
      <c r="H99" s="171" t="str">
        <f t="shared" si="8"/>
        <v>L</v>
      </c>
      <c r="I99" s="170">
        <f>IFERROR((VLOOKUP($C99,Code!$H:$Q,5,FALSE))/(((VLOOKUP($C99,Code!$H:$Q,7,FALSE))+(VLOOKUP($C99,Code!$H:$Q,8,FALSE)))/2)-1,0)</f>
        <v>-3.2033426183844083E-2</v>
      </c>
      <c r="J99" s="204">
        <f>IFERROR(POWER((VLOOKUP(C99,Code!H:W,12,FALSE))/(VLOOKUP(C99,Code!H:W,15,FALSE)),1/(P99-1))-1,"")</f>
        <v>0.17638561581176582</v>
      </c>
      <c r="K99" s="172" cm="1">
        <f t="array" ref="K99">IFERROR(IF(C99="","",_xlfn.IFS(AND(VLOOKUP(C99,Code!H:W,13,FALSE)=0,VLOOKUP(C99,Code!H:W,16,FALSE)=0),"無股息",AND(VLOOKUP(C99,Code!H:W,13,FALSE)=0,VLOOKUP(C99,Code!H:W,16,FALSE)&gt;0),"股息沒了",AND(VLOOKUP(C99,Code!H:W,13,FALSE)&gt;0,VLOOKUP(C99,Code!H:W,16,FALSE)=0),"發股息了",AND(VLOOKUP(C99,Code!H:W,13,FALSE)&gt;0,VLOOKUP(C99,Code!H:W,16,FALSE)&gt;0),POWER((VLOOKUP(C99,Code!H:W,13,FALSE))/(VLOOKUP(C99,Code!H:W,16,FALSE)),1/(P99-1))-1)),"")</f>
        <v>0.22644128719615653</v>
      </c>
      <c r="L99" s="173">
        <f>IFERROR(VLOOKUP(C99,Code!H:W,13,FALSE)*4/VLOOKUP(C99,Code!H:W,12,FALSE),"")</f>
        <v>1.3710368056401306E-2</v>
      </c>
      <c r="M99" s="172">
        <f t="shared" si="9"/>
        <v>0.40282690300792234</v>
      </c>
      <c r="N99" s="172" t="str">
        <f t="shared" si="10"/>
        <v>-</v>
      </c>
      <c r="O99" s="172" t="str">
        <f t="shared" si="11"/>
        <v>Value</v>
      </c>
      <c r="P99" s="205">
        <f>IFERROR(YEARFRAC(VLOOKUP(C99,Code!H:W,11,FALSE),VLOOKUP(C99,Code!H:W,14,FALSE),3),"")</f>
        <v>4.7589041095890412</v>
      </c>
      <c r="Q99" s="174">
        <v>44547</v>
      </c>
      <c r="R99" s="175" t="str">
        <f t="shared" ca="1" si="12"/>
        <v/>
      </c>
      <c r="S99" s="176">
        <f>IFERROR(VLOOKUP($C99,Code!$H:$Q,5,FALSE),"")</f>
        <v>0.20849999999999999</v>
      </c>
      <c r="T99" s="177" t="str">
        <f t="shared" ca="1" si="13"/>
        <v/>
      </c>
      <c r="U99" s="178" t="str">
        <f t="shared" ca="1" si="14"/>
        <v/>
      </c>
      <c r="V99" s="179">
        <f>IFERROR(VLOOKUP($C99,Code!$H:$Q,6,FALSE),"")</f>
        <v>74.459999999999994</v>
      </c>
      <c r="W99" s="180" t="str">
        <f t="shared" ca="1" si="15"/>
        <v/>
      </c>
      <c r="X99" s="12"/>
      <c r="Y99" s="12"/>
      <c r="Z99" s="12"/>
      <c r="AA99" s="12"/>
      <c r="AB99" s="12"/>
    </row>
    <row r="100" spans="1:28" s="10" customFormat="1" ht="15" hidden="1">
      <c r="A100" s="9"/>
      <c r="B100" s="169" cm="1">
        <f t="array" ref="B100">_xlfn.IFS(OR(Code!R208&lt;&gt;Code!U208,Code!R208=""),0,Code!R208=Code!U208,1)</f>
        <v>0</v>
      </c>
      <c r="C100" s="193" t="str">
        <f>IF(Code!F208="","",Code!F208)</f>
        <v>GPN</v>
      </c>
      <c r="D100" s="155" t="str">
        <f>IFERROR(VLOOKUP($C100,Code!$H:$K,2,FALSE),"")</f>
        <v>XLK</v>
      </c>
      <c r="E100" s="156" t="str">
        <f>IFERROR(VLOOKUP($C100,Code!$H:$K,3,FALSE),"")</f>
        <v>專業商業服務</v>
      </c>
      <c r="F100" s="157" t="str">
        <f>IFERROR(VLOOKUP($C100,Code!$H:$K,4,FALSE),"")</f>
        <v>.SPX</v>
      </c>
      <c r="G100" s="170">
        <f>IFERROR(((VLOOKUP($C100,Code!$H:$Q,9,FALSE))+(VLOOKUP($C100,Code!$H:$Q,10,FALSE)))/2*0.5/(((VLOOKUP($C100,Code!$H:$Q,7,FALSE))+(VLOOKUP($C100,Code!$H:$Q,8,FALSE)))/2),0)</f>
        <v>0.55178297218904626</v>
      </c>
      <c r="H100" s="171" t="str">
        <f t="shared" si="8"/>
        <v>M</v>
      </c>
      <c r="I100" s="170">
        <f>IFERROR((VLOOKUP($C100,Code!$H:$Q,5,FALSE))/(((VLOOKUP($C100,Code!$H:$Q,7,FALSE))+(VLOOKUP($C100,Code!$H:$Q,8,FALSE)))/2)-1,0)</f>
        <v>-3.4635727691520346E-2</v>
      </c>
      <c r="J100" s="204">
        <f>IFERROR(POWER((VLOOKUP(C100,Code!H:W,12,FALSE))/(VLOOKUP(C100,Code!H:W,15,FALSE)),1/(P100-1))-1,"")</f>
        <v>0.28128768179157326</v>
      </c>
      <c r="K100" s="172" cm="1">
        <f t="array" ref="K100">IFERROR(IF(C100="","",_xlfn.IFS(AND(VLOOKUP(C100,Code!H:W,13,FALSE)=0,VLOOKUP(C100,Code!H:W,16,FALSE)=0),"無股息",AND(VLOOKUP(C100,Code!H:W,13,FALSE)=0,VLOOKUP(C100,Code!H:W,16,FALSE)&gt;0),"股息沒了",AND(VLOOKUP(C100,Code!H:W,13,FALSE)&gt;0,VLOOKUP(C100,Code!H:W,16,FALSE)=0),"發股息了",AND(VLOOKUP(C100,Code!H:W,13,FALSE)&gt;0,VLOOKUP(C100,Code!H:W,16,FALSE)&gt;0),POWER((VLOOKUP(C100,Code!H:W,13,FALSE))/(VLOOKUP(C100,Code!H:W,16,FALSE)),1/(P100-1))-1)),"")</f>
        <v>1.1693541264446177</v>
      </c>
      <c r="L100" s="173">
        <f>IFERROR(VLOOKUP(C100,Code!H:W,13,FALSE)*4/VLOOKUP(C100,Code!H:W,12,FALSE),"")</f>
        <v>4.0694944824514441E-3</v>
      </c>
      <c r="M100" s="172">
        <f t="shared" si="9"/>
        <v>1.4506418082361909</v>
      </c>
      <c r="N100" s="172" t="str">
        <f t="shared" si="10"/>
        <v>-</v>
      </c>
      <c r="O100" s="172" t="str">
        <f t="shared" si="11"/>
        <v>Value</v>
      </c>
      <c r="P100" s="205">
        <f>IFERROR(YEARFRAC(VLOOKUP(C100,Code!H:W,11,FALSE),VLOOKUP(C100,Code!H:W,14,FALSE),3),"")</f>
        <v>4.8356164383561646</v>
      </c>
      <c r="Q100" s="174">
        <v>44547</v>
      </c>
      <c r="R100" s="175" t="str">
        <f t="shared" ca="1" si="12"/>
        <v/>
      </c>
      <c r="S100" s="176">
        <f>IFERROR(VLOOKUP($C100,Code!$H:$Q,5,FALSE),"")</f>
        <v>0.28289999999999998</v>
      </c>
      <c r="T100" s="177" t="str">
        <f t="shared" ca="1" si="13"/>
        <v/>
      </c>
      <c r="U100" s="178" t="str">
        <f t="shared" ca="1" si="14"/>
        <v/>
      </c>
      <c r="V100" s="179">
        <f>IFERROR(VLOOKUP($C100,Code!$H:$Q,6,FALSE),"")</f>
        <v>170.3</v>
      </c>
      <c r="W100" s="180" t="str">
        <f t="shared" ca="1" si="15"/>
        <v/>
      </c>
      <c r="X100" s="12"/>
      <c r="Y100" s="12"/>
      <c r="Z100" s="12"/>
      <c r="AA100" s="12"/>
      <c r="AB100" s="12"/>
    </row>
    <row r="101" spans="1:28" s="10" customFormat="1" ht="15" hidden="1">
      <c r="A101" s="9"/>
      <c r="B101" s="169" cm="1">
        <f t="array" ref="B101">_xlfn.IFS(OR(Code!R415&lt;&gt;Code!U415,Code!R415=""),0,Code!R415=Code!U415,1)</f>
        <v>0</v>
      </c>
      <c r="C101" s="193" t="str">
        <f>IF(Code!F415="","",Code!F415)</f>
        <v>SJM</v>
      </c>
      <c r="D101" s="155" t="str">
        <f>IFERROR(VLOOKUP($C101,Code!$H:$K,2,FALSE),"")</f>
        <v>XLP</v>
      </c>
      <c r="E101" s="156" t="str">
        <f>IFERROR(VLOOKUP($C101,Code!$H:$K,3,FALSE),"")</f>
        <v>包裝食品</v>
      </c>
      <c r="F101" s="157" t="str">
        <f>IFERROR(VLOOKUP($C101,Code!$H:$K,4,FALSE),"")</f>
        <v>.SPX</v>
      </c>
      <c r="G101" s="170">
        <f>IFERROR(((VLOOKUP($C101,Code!$H:$Q,9,FALSE))+(VLOOKUP($C101,Code!$H:$Q,10,FALSE)))/2*0.5/(((VLOOKUP($C101,Code!$H:$Q,7,FALSE))+(VLOOKUP($C101,Code!$H:$Q,8,FALSE)))/2),0)</f>
        <v>0.60636142625607781</v>
      </c>
      <c r="H101" s="171" t="str">
        <f t="shared" si="8"/>
        <v>L</v>
      </c>
      <c r="I101" s="170">
        <f>IFERROR((VLOOKUP($C101,Code!$H:$Q,5,FALSE))/(((VLOOKUP($C101,Code!$H:$Q,7,FALSE))+(VLOOKUP($C101,Code!$H:$Q,8,FALSE)))/2)-1,0)</f>
        <v>-3.7277147487844386E-2</v>
      </c>
      <c r="J101" s="204">
        <f>IFERROR(POWER((VLOOKUP(C101,Code!H:W,12,FALSE))/(VLOOKUP(C101,Code!H:W,15,FALSE)),1/(P101-1))-1,"")</f>
        <v>3.5305824305047473E-3</v>
      </c>
      <c r="K101" s="172" cm="1">
        <f t="array" ref="K101">IFERROR(IF(C101="","",_xlfn.IFS(AND(VLOOKUP(C101,Code!H:W,13,FALSE)=0,VLOOKUP(C101,Code!H:W,16,FALSE)=0),"無股息",AND(VLOOKUP(C101,Code!H:W,13,FALSE)=0,VLOOKUP(C101,Code!H:W,16,FALSE)&gt;0),"股息沒了",AND(VLOOKUP(C101,Code!H:W,13,FALSE)&gt;0,VLOOKUP(C101,Code!H:W,16,FALSE)=0),"發股息了",AND(VLOOKUP(C101,Code!H:W,13,FALSE)&gt;0,VLOOKUP(C101,Code!H:W,16,FALSE)&gt;0),POWER((VLOOKUP(C101,Code!H:W,13,FALSE))/(VLOOKUP(C101,Code!H:W,16,FALSE)),1/(P101-1))-1)),"")</f>
        <v>4.9699478975567812E-2</v>
      </c>
      <c r="L101" s="173">
        <f>IFERROR(VLOOKUP(C101,Code!H:W,13,FALSE)*4/VLOOKUP(C101,Code!H:W,12,FALSE),"")</f>
        <v>2.6433658385084866E-2</v>
      </c>
      <c r="M101" s="172">
        <f t="shared" si="9"/>
        <v>5.323006140607256E-2</v>
      </c>
      <c r="N101" s="172" t="str">
        <f t="shared" si="10"/>
        <v>-</v>
      </c>
      <c r="O101" s="172" t="str">
        <f t="shared" si="11"/>
        <v>-</v>
      </c>
      <c r="P101" s="205">
        <f>IFERROR(YEARFRAC(VLOOKUP(C101,Code!H:W,11,FALSE),VLOOKUP(C101,Code!H:W,14,FALSE),3),"")</f>
        <v>4.7589041095890412</v>
      </c>
      <c r="Q101" s="174">
        <v>44547</v>
      </c>
      <c r="R101" s="175" t="str">
        <f t="shared" ca="1" si="12"/>
        <v/>
      </c>
      <c r="S101" s="176">
        <f>IFERROR(VLOOKUP($C101,Code!$H:$Q,5,FALSE),"")</f>
        <v>0.23760000000000001</v>
      </c>
      <c r="T101" s="177" t="str">
        <f t="shared" ca="1" si="13"/>
        <v/>
      </c>
      <c r="U101" s="178" t="str">
        <f t="shared" ca="1" si="14"/>
        <v/>
      </c>
      <c r="V101" s="179">
        <f>IFERROR(VLOOKUP($C101,Code!$H:$Q,6,FALSE),"")</f>
        <v>128.61000000000001</v>
      </c>
      <c r="W101" s="180" t="str">
        <f t="shared" ca="1" si="15"/>
        <v/>
      </c>
      <c r="X101" s="12"/>
      <c r="Y101" s="12"/>
      <c r="Z101" s="12"/>
      <c r="AA101" s="12"/>
      <c r="AB101" s="12"/>
    </row>
    <row r="102" spans="1:28" s="10" customFormat="1" ht="15" hidden="1">
      <c r="A102" s="9"/>
      <c r="B102" s="169" cm="1">
        <f t="array" ref="B102">_xlfn.IFS(OR(Code!R117&lt;&gt;Code!U117,Code!R117=""),0,Code!R117=Code!U117,1)</f>
        <v>0</v>
      </c>
      <c r="C102" s="193" t="str">
        <f>IF(Code!F117="","",Code!F117)</f>
        <v>CSCO</v>
      </c>
      <c r="D102" s="155" t="str">
        <f>IFERROR(VLOOKUP($C102,Code!$H:$K,2,FALSE),"")</f>
        <v>XLK</v>
      </c>
      <c r="E102" s="156" t="str">
        <f>IFERROR(VLOOKUP($C102,Code!$H:$K,3,FALSE),"")</f>
        <v>通信設備</v>
      </c>
      <c r="F102" s="157" t="str">
        <f>IFERROR(VLOOKUP($C102,Code!$H:$K,4,FALSE),"")</f>
        <v>.SPX</v>
      </c>
      <c r="G102" s="170">
        <f>IFERROR(((VLOOKUP($C102,Code!$H:$Q,9,FALSE))+(VLOOKUP($C102,Code!$H:$Q,10,FALSE)))/2*0.5/(((VLOOKUP($C102,Code!$H:$Q,7,FALSE))+(VLOOKUP($C102,Code!$H:$Q,8,FALSE)))/2),0)</f>
        <v>0.59505886894421933</v>
      </c>
      <c r="H102" s="171" t="str">
        <f t="shared" si="8"/>
        <v>M</v>
      </c>
      <c r="I102" s="170">
        <f>IFERROR((VLOOKUP($C102,Code!$H:$Q,5,FALSE))/(((VLOOKUP($C102,Code!$H:$Q,7,FALSE))+(VLOOKUP($C102,Code!$H:$Q,8,FALSE)))/2)-1,0)</f>
        <v>-4.3427909669947917E-2</v>
      </c>
      <c r="J102" s="204">
        <f>IFERROR(POWER((VLOOKUP(C102,Code!H:W,12,FALSE))/(VLOOKUP(C102,Code!H:W,15,FALSE)),1/(P102-1))-1,"")</f>
        <v>0.19871866805911553</v>
      </c>
      <c r="K102" s="172" cm="1">
        <f t="array" ref="K102">IFERROR(IF(C102="","",_xlfn.IFS(AND(VLOOKUP(C102,Code!H:W,13,FALSE)=0,VLOOKUP(C102,Code!H:W,16,FALSE)=0),"無股息",AND(VLOOKUP(C102,Code!H:W,13,FALSE)=0,VLOOKUP(C102,Code!H:W,16,FALSE)&gt;0),"股息沒了",AND(VLOOKUP(C102,Code!H:W,13,FALSE)&gt;0,VLOOKUP(C102,Code!H:W,16,FALSE)=0),"發股息了",AND(VLOOKUP(C102,Code!H:W,13,FALSE)&gt;0,VLOOKUP(C102,Code!H:W,16,FALSE)&gt;0),POWER((VLOOKUP(C102,Code!H:W,13,FALSE))/(VLOOKUP(C102,Code!H:W,16,FALSE)),1/(P102-1))-1)),"")</f>
        <v>9.8710568717524705E-2</v>
      </c>
      <c r="L102" s="173">
        <f>IFERROR(VLOOKUP(C102,Code!H:W,13,FALSE)*4/VLOOKUP(C102,Code!H:W,12,FALSE),"")</f>
        <v>2.7642883352487591E-2</v>
      </c>
      <c r="M102" s="172">
        <f t="shared" si="9"/>
        <v>0.29742923677664024</v>
      </c>
      <c r="N102" s="172" t="str">
        <f t="shared" si="10"/>
        <v>-</v>
      </c>
      <c r="O102" s="172" t="str">
        <f t="shared" si="11"/>
        <v>-</v>
      </c>
      <c r="P102" s="205">
        <f>IFERROR(YEARFRAC(VLOOKUP(C102,Code!H:W,11,FALSE),VLOOKUP(C102,Code!H:W,14,FALSE),3),"")</f>
        <v>4.7479452054794518</v>
      </c>
      <c r="Q102" s="174">
        <v>44547</v>
      </c>
      <c r="R102" s="175" t="str">
        <f t="shared" ca="1" si="12"/>
        <v/>
      </c>
      <c r="S102" s="176">
        <f>IFERROR(VLOOKUP($C102,Code!$H:$Q,5,FALSE),"")</f>
        <v>0.24779999999999999</v>
      </c>
      <c r="T102" s="177" t="str">
        <f t="shared" ca="1" si="13"/>
        <v/>
      </c>
      <c r="U102" s="178" t="str">
        <f t="shared" ca="1" si="14"/>
        <v/>
      </c>
      <c r="V102" s="179">
        <f>IFERROR(VLOOKUP($C102,Code!$H:$Q,6,FALSE),"")</f>
        <v>55.57</v>
      </c>
      <c r="W102" s="180" t="str">
        <f t="shared" ca="1" si="15"/>
        <v/>
      </c>
      <c r="X102" s="12"/>
      <c r="Y102" s="12"/>
      <c r="Z102" s="12"/>
      <c r="AA102" s="12"/>
      <c r="AB102" s="12"/>
    </row>
    <row r="103" spans="1:28" s="10" customFormat="1" ht="15" hidden="1">
      <c r="A103" s="9"/>
      <c r="B103" s="169" cm="1">
        <f t="array" ref="B103">_xlfn.IFS(OR(Code!R118&lt;&gt;Code!U118,Code!R118=""),0,Code!R118=Code!U118,1)</f>
        <v>0</v>
      </c>
      <c r="C103" s="193" t="str">
        <f>IF(Code!F118="","",Code!F118)</f>
        <v>CSX</v>
      </c>
      <c r="D103" s="155" t="str">
        <f>IFERROR(VLOOKUP($C103,Code!$H:$K,2,FALSE),"")</f>
        <v>XLI</v>
      </c>
      <c r="E103" s="156" t="str">
        <f>IFERROR(VLOOKUP($C103,Code!$H:$K,3,FALSE),"")</f>
        <v>鐵路</v>
      </c>
      <c r="F103" s="157" t="str">
        <f>IFERROR(VLOOKUP($C103,Code!$H:$K,4,FALSE),"")</f>
        <v>.SPX</v>
      </c>
      <c r="G103" s="170">
        <f>IFERROR(((VLOOKUP($C103,Code!$H:$Q,9,FALSE))+(VLOOKUP($C103,Code!$H:$Q,10,FALSE)))/2*0.5/(((VLOOKUP($C103,Code!$H:$Q,7,FALSE))+(VLOOKUP($C103,Code!$H:$Q,8,FALSE)))/2),0)</f>
        <v>0.63786473648495801</v>
      </c>
      <c r="H103" s="171" t="str">
        <f t="shared" si="8"/>
        <v>L</v>
      </c>
      <c r="I103" s="170">
        <f>IFERROR((VLOOKUP($C103,Code!$H:$Q,5,FALSE))/(((VLOOKUP($C103,Code!$H:$Q,7,FALSE))+(VLOOKUP($C103,Code!$H:$Q,8,FALSE)))/2)-1,0)</f>
        <v>-4.4107667948428131E-2</v>
      </c>
      <c r="J103" s="204">
        <f>IFERROR(POWER((VLOOKUP(C103,Code!H:W,12,FALSE))/(VLOOKUP(C103,Code!H:W,15,FALSE)),1/(P103-1))-1,"")</f>
        <v>0.39299508378479908</v>
      </c>
      <c r="K103" s="172" t="str" cm="1">
        <f t="array" ref="K103">IFERROR(IF(C103="","",_xlfn.IFS(AND(VLOOKUP(C103,Code!H:W,13,FALSE)=0,VLOOKUP(C103,Code!H:W,16,FALSE)=0),"無股息",AND(VLOOKUP(C103,Code!H:W,13,FALSE)=0,VLOOKUP(C103,Code!H:W,16,FALSE)&gt;0),"股息沒了",AND(VLOOKUP(C103,Code!H:W,13,FALSE)&gt;0,VLOOKUP(C103,Code!H:W,16,FALSE)=0),"發股息了",AND(VLOOKUP(C103,Code!H:W,13,FALSE)&gt;0,VLOOKUP(C103,Code!H:W,16,FALSE)&gt;0),POWER((VLOOKUP(C103,Code!H:W,13,FALSE))/(VLOOKUP(C103,Code!H:W,16,FALSE)),1/(P103-1))-1)),"")</f>
        <v>股息沒了</v>
      </c>
      <c r="L103" s="173">
        <f>IFERROR(VLOOKUP(C103,Code!H:W,13,FALSE)*4/VLOOKUP(C103,Code!H:W,12,FALSE),"")</f>
        <v>0</v>
      </c>
      <c r="M103" s="172">
        <f t="shared" si="9"/>
        <v>0.39299508378479908</v>
      </c>
      <c r="N103" s="172" t="str">
        <f t="shared" si="10"/>
        <v>-</v>
      </c>
      <c r="O103" s="172" t="str">
        <f t="shared" si="11"/>
        <v/>
      </c>
      <c r="P103" s="205">
        <f>IFERROR(YEARFRAC(VLOOKUP(C103,Code!H:W,11,FALSE),VLOOKUP(C103,Code!H:W,14,FALSE),3),"")</f>
        <v>4.8356164383561646</v>
      </c>
      <c r="Q103" s="174">
        <v>44547</v>
      </c>
      <c r="R103" s="175" t="str">
        <f t="shared" ca="1" si="12"/>
        <v/>
      </c>
      <c r="S103" s="176">
        <f>IFERROR(VLOOKUP($C103,Code!$H:$Q,5,FALSE),"")</f>
        <v>0.21129999999999999</v>
      </c>
      <c r="T103" s="177" t="str">
        <f t="shared" ca="1" si="13"/>
        <v/>
      </c>
      <c r="U103" s="178" t="str">
        <f t="shared" ca="1" si="14"/>
        <v/>
      </c>
      <c r="V103" s="179">
        <f>IFERROR(VLOOKUP($C103,Code!$H:$Q,6,FALSE),"")</f>
        <v>32.15</v>
      </c>
      <c r="W103" s="180" t="str">
        <f t="shared" ca="1" si="15"/>
        <v/>
      </c>
      <c r="X103" s="12"/>
      <c r="Y103" s="12"/>
      <c r="Z103" s="12"/>
      <c r="AA103" s="12"/>
      <c r="AB103" s="12"/>
    </row>
    <row r="104" spans="1:28" s="10" customFormat="1" ht="15" hidden="1">
      <c r="A104" s="9"/>
      <c r="B104" s="169" cm="1">
        <f t="array" ref="B104">_xlfn.IFS(OR(Code!R422&lt;&gt;Code!U422,Code!R422=""),0,Code!R422=Code!U422,1)</f>
        <v>0</v>
      </c>
      <c r="C104" s="193" t="str">
        <f>IF(Code!F422="","",Code!F422)</f>
        <v>SRE</v>
      </c>
      <c r="D104" s="155" t="str">
        <f>IFERROR(VLOOKUP($C104,Code!$H:$K,2,FALSE),"")</f>
        <v>XLU</v>
      </c>
      <c r="E104" s="156" t="str">
        <f>IFERROR(VLOOKUP($C104,Code!$H:$K,3,FALSE),"")</f>
        <v>公用事業-多樣化</v>
      </c>
      <c r="F104" s="157" t="str">
        <f>IFERROR(VLOOKUP($C104,Code!$H:$K,4,FALSE),"")</f>
        <v>.SPX</v>
      </c>
      <c r="G104" s="170">
        <f>IFERROR(((VLOOKUP($C104,Code!$H:$Q,9,FALSE))+(VLOOKUP($C104,Code!$H:$Q,10,FALSE)))/2*0.5/(((VLOOKUP($C104,Code!$H:$Q,7,FALSE))+(VLOOKUP($C104,Code!$H:$Q,8,FALSE)))/2),0)</f>
        <v>0.64847775175644029</v>
      </c>
      <c r="H104" s="171" t="str">
        <f t="shared" si="8"/>
        <v>L</v>
      </c>
      <c r="I104" s="170">
        <f>IFERROR((VLOOKUP($C104,Code!$H:$Q,5,FALSE))/(((VLOOKUP($C104,Code!$H:$Q,7,FALSE))+(VLOOKUP($C104,Code!$H:$Q,8,FALSE)))/2)-1,0)</f>
        <v>-4.496487119437953E-2</v>
      </c>
      <c r="J104" s="204">
        <f>IFERROR(POWER((VLOOKUP(C104,Code!H:W,12,FALSE))/(VLOOKUP(C104,Code!H:W,15,FALSE)),1/(P104-1))-1,"")</f>
        <v>9.9942181160423083E-2</v>
      </c>
      <c r="K104" s="172" cm="1">
        <f t="array" ref="K104">IFERROR(IF(C104="","",_xlfn.IFS(AND(VLOOKUP(C104,Code!H:W,13,FALSE)=0,VLOOKUP(C104,Code!H:W,16,FALSE)=0),"無股息",AND(VLOOKUP(C104,Code!H:W,13,FALSE)=0,VLOOKUP(C104,Code!H:W,16,FALSE)&gt;0),"股息沒了",AND(VLOOKUP(C104,Code!H:W,13,FALSE)&gt;0,VLOOKUP(C104,Code!H:W,16,FALSE)=0),"發股息了",AND(VLOOKUP(C104,Code!H:W,13,FALSE)&gt;0,VLOOKUP(C104,Code!H:W,16,FALSE)&gt;0),POWER((VLOOKUP(C104,Code!H:W,13,FALSE))/(VLOOKUP(C104,Code!H:W,16,FALSE)),1/(P104-1))-1)),"")</f>
        <v>0.10482363297626995</v>
      </c>
      <c r="L104" s="173">
        <f>IFERROR(VLOOKUP(C104,Code!H:W,13,FALSE)*4/VLOOKUP(C104,Code!H:W,12,FALSE),"")</f>
        <v>3.2990928702770761E-2</v>
      </c>
      <c r="M104" s="172">
        <f t="shared" si="9"/>
        <v>0.20476581413669304</v>
      </c>
      <c r="N104" s="172" t="str">
        <f t="shared" si="10"/>
        <v>Venture</v>
      </c>
      <c r="O104" s="172" t="str">
        <f t="shared" si="11"/>
        <v>-</v>
      </c>
      <c r="P104" s="205">
        <f>IFERROR(YEARFRAC(VLOOKUP(C104,Code!H:W,11,FALSE),VLOOKUP(C104,Code!H:W,14,FALSE),3),"")</f>
        <v>4.7753424657534245</v>
      </c>
      <c r="Q104" s="174">
        <v>44547</v>
      </c>
      <c r="R104" s="175" t="str">
        <f t="shared" ca="1" si="12"/>
        <v/>
      </c>
      <c r="S104" s="176">
        <f>IFERROR(VLOOKUP($C104,Code!$H:$Q,5,FALSE),"")</f>
        <v>0.2039</v>
      </c>
      <c r="T104" s="177" t="str">
        <f t="shared" ca="1" si="13"/>
        <v/>
      </c>
      <c r="U104" s="178" t="str">
        <f t="shared" ca="1" si="14"/>
        <v/>
      </c>
      <c r="V104" s="179">
        <f>IFERROR(VLOOKUP($C104,Code!$H:$Q,6,FALSE),"")</f>
        <v>132.99</v>
      </c>
      <c r="W104" s="180" t="str">
        <f t="shared" ca="1" si="15"/>
        <v/>
      </c>
      <c r="X104" s="12"/>
      <c r="Y104" s="12"/>
      <c r="Z104" s="12"/>
      <c r="AA104" s="12"/>
      <c r="AB104" s="12"/>
    </row>
    <row r="105" spans="1:28" s="10" customFormat="1" ht="15" hidden="1">
      <c r="A105" s="9"/>
      <c r="B105" s="169" cm="1">
        <f t="array" ref="B105">_xlfn.IFS(OR(Code!R385&lt;&gt;Code!U385,Code!R385=""),0,Code!R385=Code!U385,1)</f>
        <v>0</v>
      </c>
      <c r="C105" s="193" t="str">
        <f>IF(Code!F385="","",Code!F385)</f>
        <v>PSA</v>
      </c>
      <c r="D105" s="155" t="str">
        <f>IFERROR(VLOOKUP($C105,Code!$H:$K,2,FALSE),"")</f>
        <v>XLRE</v>
      </c>
      <c r="E105" s="156" t="str">
        <f>IFERROR(VLOOKUP($C105,Code!$H:$K,3,FALSE),"")</f>
        <v>REIT-工業</v>
      </c>
      <c r="F105" s="157" t="str">
        <f>IFERROR(VLOOKUP($C105,Code!$H:$K,4,FALSE),"")</f>
        <v>.SPX</v>
      </c>
      <c r="G105" s="170">
        <f>IFERROR(((VLOOKUP($C105,Code!$H:$Q,9,FALSE))+(VLOOKUP($C105,Code!$H:$Q,10,FALSE)))/2*0.5/(((VLOOKUP($C105,Code!$H:$Q,7,FALSE))+(VLOOKUP($C105,Code!$H:$Q,8,FALSE)))/2),0)</f>
        <v>0.66735590591884197</v>
      </c>
      <c r="H105" s="171" t="str">
        <f t="shared" si="8"/>
        <v>L</v>
      </c>
      <c r="I105" s="170">
        <f>IFERROR((VLOOKUP($C105,Code!$H:$Q,5,FALSE))/(((VLOOKUP($C105,Code!$H:$Q,7,FALSE))+(VLOOKUP($C105,Code!$H:$Q,8,FALSE)))/2)-1,0)</f>
        <v>-4.5231325924011356E-2</v>
      </c>
      <c r="J105" s="204">
        <f>IFERROR(POWER((VLOOKUP(C105,Code!H:W,12,FALSE))/(VLOOKUP(C105,Code!H:W,15,FALSE)),1/(P105-1))-1,"")</f>
        <v>0.13339092129933228</v>
      </c>
      <c r="K105" s="172" cm="1">
        <f t="array" ref="K105">IFERROR(IF(C105="","",_xlfn.IFS(AND(VLOOKUP(C105,Code!H:W,13,FALSE)=0,VLOOKUP(C105,Code!H:W,16,FALSE)=0),"無股息",AND(VLOOKUP(C105,Code!H:W,13,FALSE)=0,VLOOKUP(C105,Code!H:W,16,FALSE)&gt;0),"股息沒了",AND(VLOOKUP(C105,Code!H:W,13,FALSE)&gt;0,VLOOKUP(C105,Code!H:W,16,FALSE)=0),"發股息了",AND(VLOOKUP(C105,Code!H:W,13,FALSE)&gt;0,VLOOKUP(C105,Code!H:W,16,FALSE)&gt;0),POWER((VLOOKUP(C105,Code!H:W,13,FALSE))/(VLOOKUP(C105,Code!H:W,16,FALSE)),1/(P105-1))-1)),"")</f>
        <v>2.8447134157986609E-2</v>
      </c>
      <c r="L105" s="173">
        <f>IFERROR(VLOOKUP(C105,Code!H:W,13,FALSE)*4/VLOOKUP(C105,Code!H:W,12,FALSE),"")</f>
        <v>2.7152699546612608E-2</v>
      </c>
      <c r="M105" s="172">
        <f t="shared" si="9"/>
        <v>0.16183805545731889</v>
      </c>
      <c r="N105" s="172" t="str">
        <f t="shared" si="10"/>
        <v>-</v>
      </c>
      <c r="O105" s="172" t="str">
        <f t="shared" si="11"/>
        <v>-</v>
      </c>
      <c r="P105" s="205">
        <f>IFERROR(YEARFRAC(VLOOKUP(C105,Code!H:W,11,FALSE),VLOOKUP(C105,Code!H:W,14,FALSE),3),"")</f>
        <v>4.7561643835616438</v>
      </c>
      <c r="Q105" s="174">
        <v>44547</v>
      </c>
      <c r="R105" s="175" t="str">
        <f t="shared" ca="1" si="12"/>
        <v/>
      </c>
      <c r="S105" s="176">
        <f>IFERROR(VLOOKUP($C105,Code!$H:$Q,5,FALSE),"")</f>
        <v>0.1847</v>
      </c>
      <c r="T105" s="177" t="str">
        <f t="shared" ca="1" si="13"/>
        <v/>
      </c>
      <c r="U105" s="178" t="str">
        <f t="shared" ca="1" si="14"/>
        <v/>
      </c>
      <c r="V105" s="179">
        <f>IFERROR(VLOOKUP($C105,Code!$H:$Q,6,FALSE),"")</f>
        <v>308.25</v>
      </c>
      <c r="W105" s="180" t="str">
        <f t="shared" ca="1" si="15"/>
        <v/>
      </c>
      <c r="X105" s="12"/>
      <c r="Y105" s="12"/>
      <c r="Z105" s="12"/>
      <c r="AA105" s="12"/>
      <c r="AB105" s="12"/>
    </row>
    <row r="106" spans="1:28" s="10" customFormat="1" ht="15" hidden="1">
      <c r="A106" s="9"/>
      <c r="B106" s="169" cm="1">
        <f t="array" ref="B106">_xlfn.IFS(OR(Code!R93&lt;&gt;Code!U93,Code!R93=""),0,Code!R93=Code!U93,1)</f>
        <v>0</v>
      </c>
      <c r="C106" s="193" t="str">
        <f>IF(Code!F93="","",Code!F93)</f>
        <v>CHD</v>
      </c>
      <c r="D106" s="155" t="str">
        <f>IFERROR(VLOOKUP($C106,Code!$H:$K,2,FALSE),"")</f>
        <v>XLP</v>
      </c>
      <c r="E106" s="156" t="str">
        <f>IFERROR(VLOOKUP($C106,Code!$H:$K,3,FALSE),"")</f>
        <v>家庭及個人產品</v>
      </c>
      <c r="F106" s="157" t="str">
        <f>IFERROR(VLOOKUP($C106,Code!$H:$K,4,FALSE),"")</f>
        <v>.SPX</v>
      </c>
      <c r="G106" s="170">
        <f>IFERROR(((VLOOKUP($C106,Code!$H:$Q,9,FALSE))+(VLOOKUP($C106,Code!$H:$Q,10,FALSE)))/2*0.5/(((VLOOKUP($C106,Code!$H:$Q,7,FALSE))+(VLOOKUP($C106,Code!$H:$Q,8,FALSE)))/2),0)</f>
        <v>0.62888735314443667</v>
      </c>
      <c r="H106" s="171" t="str">
        <f t="shared" si="8"/>
        <v>L</v>
      </c>
      <c r="I106" s="170">
        <f>IFERROR((VLOOKUP($C106,Code!$H:$Q,5,FALSE))/(((VLOOKUP($C106,Code!$H:$Q,7,FALSE))+(VLOOKUP($C106,Code!$H:$Q,8,FALSE)))/2)-1,0)</f>
        <v>-4.5841971895876577E-2</v>
      </c>
      <c r="J106" s="204">
        <f>IFERROR(POWER((VLOOKUP(C106,Code!H:W,12,FALSE))/(VLOOKUP(C106,Code!H:W,15,FALSE)),1/(P106-1))-1,"")</f>
        <v>0.18450669264698605</v>
      </c>
      <c r="K106" s="172" cm="1">
        <f t="array" ref="K106">IFERROR(IF(C106="","",_xlfn.IFS(AND(VLOOKUP(C106,Code!H:W,13,FALSE)=0,VLOOKUP(C106,Code!H:W,16,FALSE)=0),"無股息",AND(VLOOKUP(C106,Code!H:W,13,FALSE)=0,VLOOKUP(C106,Code!H:W,16,FALSE)&gt;0),"股息沒了",AND(VLOOKUP(C106,Code!H:W,13,FALSE)&gt;0,VLOOKUP(C106,Code!H:W,16,FALSE)=0),"發股息了",AND(VLOOKUP(C106,Code!H:W,13,FALSE)&gt;0,VLOOKUP(C106,Code!H:W,16,FALSE)&gt;0),POWER((VLOOKUP(C106,Code!H:W,13,FALSE))/(VLOOKUP(C106,Code!H:W,16,FALSE)),1/(P106-1))-1)),"")</f>
        <v>9.8951556192653056E-2</v>
      </c>
      <c r="L106" s="173">
        <f>IFERROR(VLOOKUP(C106,Code!H:W,13,FALSE)*4/VLOOKUP(C106,Code!H:W,12,FALSE),"")</f>
        <v>1.1416967587639491E-2</v>
      </c>
      <c r="M106" s="172">
        <f t="shared" si="9"/>
        <v>0.2834582488396391</v>
      </c>
      <c r="N106" s="172" t="str">
        <f t="shared" si="10"/>
        <v>-</v>
      </c>
      <c r="O106" s="172" t="str">
        <f t="shared" si="11"/>
        <v>-</v>
      </c>
      <c r="P106" s="205">
        <f>IFERROR(YEARFRAC(VLOOKUP(C106,Code!H:W,11,FALSE),VLOOKUP(C106,Code!H:W,14,FALSE),3),"")</f>
        <v>4.7561643835616438</v>
      </c>
      <c r="Q106" s="174">
        <v>44547</v>
      </c>
      <c r="R106" s="175" t="str">
        <f t="shared" ca="1" si="12"/>
        <v/>
      </c>
      <c r="S106" s="176">
        <f>IFERROR(VLOOKUP($C106,Code!$H:$Q,5,FALSE),"")</f>
        <v>0.20710000000000001</v>
      </c>
      <c r="T106" s="177" t="str">
        <f t="shared" ca="1" si="13"/>
        <v/>
      </c>
      <c r="U106" s="178" t="str">
        <f t="shared" ca="1" si="14"/>
        <v/>
      </c>
      <c r="V106" s="179">
        <f>IFERROR(VLOOKUP($C106,Code!$H:$Q,6,FALSE),"")</f>
        <v>83.72</v>
      </c>
      <c r="W106" s="180" t="str">
        <f t="shared" ca="1" si="15"/>
        <v/>
      </c>
      <c r="X106" s="12"/>
      <c r="Y106" s="12"/>
      <c r="Z106" s="12"/>
      <c r="AA106" s="12"/>
      <c r="AB106" s="12"/>
    </row>
    <row r="107" spans="1:28" s="10" customFormat="1" ht="15" hidden="1">
      <c r="A107" s="9"/>
      <c r="B107" s="169" cm="1">
        <f t="array" ref="B107">_xlfn.IFS(OR(Code!R56&lt;&gt;Code!U56,Code!R56=""),0,Code!R56=Code!U56,1)</f>
        <v>1</v>
      </c>
      <c r="C107" s="193" t="str">
        <f>IF(Code!F56="","",Code!F56)</f>
        <v>AZO</v>
      </c>
      <c r="D107" s="155" t="str">
        <f>IFERROR(VLOOKUP($C107,Code!$H:$K,2,FALSE),"")</f>
        <v>XLY</v>
      </c>
      <c r="E107" s="156" t="str">
        <f>IFERROR(VLOOKUP($C107,Code!$H:$K,3,FALSE),"")</f>
        <v>專業零售</v>
      </c>
      <c r="F107" s="157" t="str">
        <f>IFERROR(VLOOKUP($C107,Code!$H:$K,4,FALSE),"")</f>
        <v>.SPX</v>
      </c>
      <c r="G107" s="170">
        <f>IFERROR(((VLOOKUP($C107,Code!$H:$Q,9,FALSE))+(VLOOKUP($C107,Code!$H:$Q,10,FALSE)))/2*0.5/(((VLOOKUP($C107,Code!$H:$Q,7,FALSE))+(VLOOKUP($C107,Code!$H:$Q,8,FALSE)))/2),0)</f>
        <v>0.6337246531483457</v>
      </c>
      <c r="H107" s="171" t="str">
        <f t="shared" si="8"/>
        <v>L</v>
      </c>
      <c r="I107" s="170">
        <f>IFERROR((VLOOKUP($C107,Code!$H:$Q,5,FALSE))/(((VLOOKUP($C107,Code!$H:$Q,7,FALSE))+(VLOOKUP($C107,Code!$H:$Q,8,FALSE)))/2)-1,0)</f>
        <v>-4.5891141942369318E-2</v>
      </c>
      <c r="J107" s="204" t="str">
        <f>IFERROR(POWER((VLOOKUP(C107,Code!H:W,12,FALSE))/(VLOOKUP(C107,Code!H:W,15,FALSE)),1/(P107-1))-1,"")</f>
        <v/>
      </c>
      <c r="K107" s="172" t="str" cm="1">
        <f t="array" ref="K107">IFERROR(IF(C107="","",_xlfn.IFS(AND(VLOOKUP(C107,Code!H:W,13,FALSE)=0,VLOOKUP(C107,Code!H:W,16,FALSE)=0),"無股息",AND(VLOOKUP(C107,Code!H:W,13,FALSE)=0,VLOOKUP(C107,Code!H:W,16,FALSE)&gt;0),"股息沒了",AND(VLOOKUP(C107,Code!H:W,13,FALSE)&gt;0,VLOOKUP(C107,Code!H:W,16,FALSE)=0),"發股息了",AND(VLOOKUP(C107,Code!H:W,13,FALSE)&gt;0,VLOOKUP(C107,Code!H:W,16,FALSE)&gt;0),POWER((VLOOKUP(C107,Code!H:W,13,FALSE))/(VLOOKUP(C107,Code!H:W,16,FALSE)),1/(P107-1))-1)),"")</f>
        <v>無股息</v>
      </c>
      <c r="L107" s="173" t="str">
        <f>IFERROR(VLOOKUP(C107,Code!H:W,13,FALSE)*4/VLOOKUP(C107,Code!H:W,12,FALSE),"")</f>
        <v/>
      </c>
      <c r="M107" s="172" t="str">
        <f t="shared" si="9"/>
        <v/>
      </c>
      <c r="N107" s="172" t="str">
        <f t="shared" si="10"/>
        <v/>
      </c>
      <c r="O107" s="172" t="str">
        <f t="shared" si="11"/>
        <v/>
      </c>
      <c r="P107" s="205">
        <f>IFERROR(YEARFRAC(VLOOKUP(C107,Code!H:W,11,FALSE),VLOOKUP(C107,Code!H:W,14,FALSE),3),"")</f>
        <v>0</v>
      </c>
      <c r="Q107" s="174">
        <v>44547</v>
      </c>
      <c r="R107" s="175" t="str">
        <f t="shared" ca="1" si="12"/>
        <v/>
      </c>
      <c r="S107" s="176">
        <f>IFERROR(VLOOKUP($C107,Code!$H:$Q,5,FALSE),"")</f>
        <v>0.2235</v>
      </c>
      <c r="T107" s="177" t="str">
        <f t="shared" ca="1" si="13"/>
        <v/>
      </c>
      <c r="U107" s="178" t="str">
        <f t="shared" ca="1" si="14"/>
        <v/>
      </c>
      <c r="V107" s="179">
        <f>IFERROR(VLOOKUP($C107,Code!$H:$Q,6,FALSE),"")</f>
        <v>1639.61</v>
      </c>
      <c r="W107" s="180" t="str">
        <f t="shared" ca="1" si="15"/>
        <v/>
      </c>
      <c r="X107" s="12"/>
      <c r="Y107" s="12"/>
      <c r="Z107" s="12"/>
      <c r="AA107" s="12"/>
      <c r="AB107" s="12"/>
    </row>
    <row r="108" spans="1:28" s="10" customFormat="1" ht="15" hidden="1">
      <c r="A108" s="9"/>
      <c r="B108" s="169" cm="1">
        <f t="array" ref="B108">_xlfn.IFS(OR(Code!R104&lt;&gt;Code!U104,Code!R104=""),0,Code!R104=Code!U104,1)</f>
        <v>0</v>
      </c>
      <c r="C108" s="193" t="str">
        <f>IF(Code!F104="","",Code!F104)</f>
        <v>CMI</v>
      </c>
      <c r="D108" s="155" t="str">
        <f>IFERROR(VLOOKUP($C108,Code!$H:$K,2,FALSE),"")</f>
        <v>XLI</v>
      </c>
      <c r="E108" s="156" t="str">
        <f>IFERROR(VLOOKUP($C108,Code!$H:$K,3,FALSE),"")</f>
        <v>特種工業機械</v>
      </c>
      <c r="F108" s="157" t="str">
        <f>IFERROR(VLOOKUP($C108,Code!$H:$K,4,FALSE),"")</f>
        <v>.SPX</v>
      </c>
      <c r="G108" s="170">
        <f>IFERROR(((VLOOKUP($C108,Code!$H:$Q,9,FALSE))+(VLOOKUP($C108,Code!$H:$Q,10,FALSE)))/2*0.5/(((VLOOKUP($C108,Code!$H:$Q,7,FALSE))+(VLOOKUP($C108,Code!$H:$Q,8,FALSE)))/2),0)</f>
        <v>0.64582055998365018</v>
      </c>
      <c r="H108" s="171" t="str">
        <f t="shared" si="8"/>
        <v>L</v>
      </c>
      <c r="I108" s="170">
        <f>IFERROR((VLOOKUP($C108,Code!$H:$Q,5,FALSE))/(((VLOOKUP($C108,Code!$H:$Q,7,FALSE))+(VLOOKUP($C108,Code!$H:$Q,8,FALSE)))/2)-1,0)</f>
        <v>-4.5984058859595223E-2</v>
      </c>
      <c r="J108" s="204">
        <f>IFERROR(POWER((VLOOKUP(C108,Code!H:W,12,FALSE))/(VLOOKUP(C108,Code!H:W,15,FALSE)),1/(P108-1))-1,"")</f>
        <v>0.24958178287317478</v>
      </c>
      <c r="K108" s="172" cm="1">
        <f t="array" ref="K108">IFERROR(IF(C108="","",_xlfn.IFS(AND(VLOOKUP(C108,Code!H:W,13,FALSE)=0,VLOOKUP(C108,Code!H:W,16,FALSE)=0),"無股息",AND(VLOOKUP(C108,Code!H:W,13,FALSE)=0,VLOOKUP(C108,Code!H:W,16,FALSE)&gt;0),"股息沒了",AND(VLOOKUP(C108,Code!H:W,13,FALSE)&gt;0,VLOOKUP(C108,Code!H:W,16,FALSE)=0),"發股息了",AND(VLOOKUP(C108,Code!H:W,13,FALSE)&gt;0,VLOOKUP(C108,Code!H:W,16,FALSE)&gt;0),POWER((VLOOKUP(C108,Code!H:W,13,FALSE))/(VLOOKUP(C108,Code!H:W,16,FALSE)),1/(P108-1))-1)),"")</f>
        <v>7.6077692676251418E-2</v>
      </c>
      <c r="L108" s="173">
        <f>IFERROR(VLOOKUP(C108,Code!H:W,13,FALSE)*4/VLOOKUP(C108,Code!H:W,12,FALSE),"")</f>
        <v>2.1162362498528237E-2</v>
      </c>
      <c r="M108" s="172">
        <f t="shared" si="9"/>
        <v>0.3256594755494262</v>
      </c>
      <c r="N108" s="172" t="str">
        <f t="shared" si="10"/>
        <v>-</v>
      </c>
      <c r="O108" s="172" t="str">
        <f t="shared" si="11"/>
        <v>-</v>
      </c>
      <c r="P108" s="205">
        <f>IFERROR(YEARFRAC(VLOOKUP(C108,Code!H:W,11,FALSE),VLOOKUP(C108,Code!H:W,14,FALSE),3),"")</f>
        <v>4.7561643835616438</v>
      </c>
      <c r="Q108" s="174">
        <v>44547</v>
      </c>
      <c r="R108" s="175" t="str">
        <f t="shared" ca="1" si="12"/>
        <v/>
      </c>
      <c r="S108" s="176">
        <f>IFERROR(VLOOKUP($C108,Code!$H:$Q,5,FALSE),"")</f>
        <v>0.2334</v>
      </c>
      <c r="T108" s="177" t="str">
        <f t="shared" ca="1" si="13"/>
        <v/>
      </c>
      <c r="U108" s="178" t="str">
        <f t="shared" ca="1" si="14"/>
        <v/>
      </c>
      <c r="V108" s="179">
        <f>IFERROR(VLOOKUP($C108,Code!$H:$Q,6,FALSE),"")</f>
        <v>228.27</v>
      </c>
      <c r="W108" s="180" t="str">
        <f t="shared" ca="1" si="15"/>
        <v/>
      </c>
      <c r="X108" s="12"/>
      <c r="Y108" s="12"/>
      <c r="Z108" s="12"/>
      <c r="AA108" s="12"/>
      <c r="AB108" s="12"/>
    </row>
    <row r="109" spans="1:28" s="10" customFormat="1" ht="15" hidden="1">
      <c r="A109" s="9"/>
      <c r="B109" s="169" cm="1">
        <f t="array" ref="B109">_xlfn.IFS(OR(Code!R296&lt;&gt;Code!U296,Code!R296=""),0,Code!R296=Code!U296,1)</f>
        <v>0</v>
      </c>
      <c r="C109" s="193" t="str">
        <f>IF(Code!F296="","",Code!F296)</f>
        <v>MAS</v>
      </c>
      <c r="D109" s="155" t="str">
        <f>IFERROR(VLOOKUP($C109,Code!$H:$K,2,FALSE),"")</f>
        <v>XLI</v>
      </c>
      <c r="E109" s="156" t="str">
        <f>IFERROR(VLOOKUP($C109,Code!$H:$K,3,FALSE),"")</f>
        <v>建築產品和設備</v>
      </c>
      <c r="F109" s="157" t="str">
        <f>IFERROR(VLOOKUP($C109,Code!$H:$K,4,FALSE),"")</f>
        <v>.SPX</v>
      </c>
      <c r="G109" s="170">
        <f>IFERROR(((VLOOKUP($C109,Code!$H:$Q,9,FALSE))+(VLOOKUP($C109,Code!$H:$Q,10,FALSE)))/2*0.5/(((VLOOKUP($C109,Code!$H:$Q,7,FALSE))+(VLOOKUP($C109,Code!$H:$Q,8,FALSE)))/2),0)</f>
        <v>0.66110411418975645</v>
      </c>
      <c r="H109" s="171" t="str">
        <f t="shared" si="8"/>
        <v>L</v>
      </c>
      <c r="I109" s="170">
        <f>IFERROR((VLOOKUP($C109,Code!$H:$Q,5,FALSE))/(((VLOOKUP($C109,Code!$H:$Q,7,FALSE))+(VLOOKUP($C109,Code!$H:$Q,8,FALSE)))/2)-1,0)</f>
        <v>-4.7439126784214913E-2</v>
      </c>
      <c r="J109" s="204">
        <f>IFERROR(POWER((VLOOKUP(C109,Code!H:W,12,FALSE))/(VLOOKUP(C109,Code!H:W,15,FALSE)),1/(P109-1))-1,"")</f>
        <v>0.19388555789520545</v>
      </c>
      <c r="K109" s="172" cm="1">
        <f t="array" ref="K109">IFERROR(IF(C109="","",_xlfn.IFS(AND(VLOOKUP(C109,Code!H:W,13,FALSE)=0,VLOOKUP(C109,Code!H:W,16,FALSE)=0),"無股息",AND(VLOOKUP(C109,Code!H:W,13,FALSE)=0,VLOOKUP(C109,Code!H:W,16,FALSE)&gt;0),"股息沒了",AND(VLOOKUP(C109,Code!H:W,13,FALSE)&gt;0,VLOOKUP(C109,Code!H:W,16,FALSE)=0),"發股息了",AND(VLOOKUP(C109,Code!H:W,13,FALSE)&gt;0,VLOOKUP(C109,Code!H:W,16,FALSE)&gt;0),POWER((VLOOKUP(C109,Code!H:W,13,FALSE))/(VLOOKUP(C109,Code!H:W,16,FALSE)),1/(P109-1))-1)),"")</f>
        <v>0.26582369138889228</v>
      </c>
      <c r="L109" s="173">
        <f>IFERROR(VLOOKUP(C109,Code!H:W,13,FALSE)*4/VLOOKUP(C109,Code!H:W,12,FALSE),"")</f>
        <v>1.5544897982872414E-2</v>
      </c>
      <c r="M109" s="172">
        <f t="shared" si="9"/>
        <v>0.45970924928409773</v>
      </c>
      <c r="N109" s="172" t="str">
        <f t="shared" si="10"/>
        <v>-</v>
      </c>
      <c r="O109" s="172" t="str">
        <f t="shared" si="11"/>
        <v>Value</v>
      </c>
      <c r="P109" s="205">
        <f>IFERROR(YEARFRAC(VLOOKUP(C109,Code!H:W,11,FALSE),VLOOKUP(C109,Code!H:W,14,FALSE),3),"")</f>
        <v>4.624657534246575</v>
      </c>
      <c r="Q109" s="174">
        <v>44547</v>
      </c>
      <c r="R109" s="175" t="str">
        <f t="shared" ca="1" si="12"/>
        <v/>
      </c>
      <c r="S109" s="176">
        <f>IFERROR(VLOOKUP($C109,Code!$H:$Q,5,FALSE),"")</f>
        <v>0.22689999999999999</v>
      </c>
      <c r="T109" s="177" t="str">
        <f t="shared" ca="1" si="13"/>
        <v/>
      </c>
      <c r="U109" s="178" t="str">
        <f t="shared" ca="1" si="14"/>
        <v/>
      </c>
      <c r="V109" s="179">
        <f>IFERROR(VLOOKUP($C109,Code!$H:$Q,6,FALSE),"")</f>
        <v>60.49</v>
      </c>
      <c r="W109" s="180" t="str">
        <f t="shared" ca="1" si="15"/>
        <v/>
      </c>
      <c r="X109" s="12"/>
      <c r="Y109" s="12"/>
      <c r="Z109" s="12"/>
      <c r="AA109" s="12"/>
      <c r="AB109" s="12"/>
    </row>
    <row r="110" spans="1:28" s="10" customFormat="1" ht="15" hidden="1">
      <c r="A110" s="9"/>
      <c r="B110" s="169" cm="1">
        <f t="array" ref="B110">_xlfn.IFS(OR(Code!R173&lt;&gt;Code!U173,Code!R173=""),0,Code!R173=Code!U173,1)</f>
        <v>0</v>
      </c>
      <c r="C110" s="193" t="str">
        <f>IF(Code!F173="","",Code!F173)</f>
        <v>EXC</v>
      </c>
      <c r="D110" s="155" t="str">
        <f>IFERROR(VLOOKUP($C110,Code!$H:$K,2,FALSE),"")</f>
        <v>XLU</v>
      </c>
      <c r="E110" s="156" t="str">
        <f>IFERROR(VLOOKUP($C110,Code!$H:$K,3,FALSE),"")</f>
        <v>公用事業-多樣化</v>
      </c>
      <c r="F110" s="157" t="str">
        <f>IFERROR(VLOOKUP($C110,Code!$H:$K,4,FALSE),"")</f>
        <v>.SPX</v>
      </c>
      <c r="G110" s="170">
        <f>IFERROR(((VLOOKUP($C110,Code!$H:$Q,9,FALSE))+(VLOOKUP($C110,Code!$H:$Q,10,FALSE)))/2*0.5/(((VLOOKUP($C110,Code!$H:$Q,7,FALSE))+(VLOOKUP($C110,Code!$H:$Q,8,FALSE)))/2),0)</f>
        <v>0.71766683911019136</v>
      </c>
      <c r="H110" s="171" t="str">
        <f t="shared" si="8"/>
        <v>XL</v>
      </c>
      <c r="I110" s="170">
        <f>IFERROR((VLOOKUP($C110,Code!$H:$Q,5,FALSE))/(((VLOOKUP($C110,Code!$H:$Q,7,FALSE))+(VLOOKUP($C110,Code!$H:$Q,8,FALSE)))/2)-1,0)</f>
        <v>-4.8111743404035234E-2</v>
      </c>
      <c r="J110" s="204">
        <f>IFERROR(POWER((VLOOKUP(C110,Code!H:W,12,FALSE))/(VLOOKUP(C110,Code!H:W,15,FALSE)),1/(P110-1))-1,"")</f>
        <v>0.11525114095906974</v>
      </c>
      <c r="K110" s="172" cm="1">
        <f t="array" ref="K110">IFERROR(IF(C110="","",_xlfn.IFS(AND(VLOOKUP(C110,Code!H:W,13,FALSE)=0,VLOOKUP(C110,Code!H:W,16,FALSE)=0),"無股息",AND(VLOOKUP(C110,Code!H:W,13,FALSE)=0,VLOOKUP(C110,Code!H:W,16,FALSE)&gt;0),"股息沒了",AND(VLOOKUP(C110,Code!H:W,13,FALSE)&gt;0,VLOOKUP(C110,Code!H:W,16,FALSE)=0),"發股息了",AND(VLOOKUP(C110,Code!H:W,13,FALSE)&gt;0,VLOOKUP(C110,Code!H:W,16,FALSE)&gt;0),POWER((VLOOKUP(C110,Code!H:W,13,FALSE))/(VLOOKUP(C110,Code!H:W,16,FALSE)),1/(P110-1))-1)),"")</f>
        <v>5.076054980064959E-2</v>
      </c>
      <c r="L110" s="173">
        <f>IFERROR(VLOOKUP(C110,Code!H:W,13,FALSE)*4/VLOOKUP(C110,Code!H:W,12,FALSE),"")</f>
        <v>3.449673508812845E-2</v>
      </c>
      <c r="M110" s="172">
        <f t="shared" si="9"/>
        <v>0.16601169075971933</v>
      </c>
      <c r="N110" s="172" t="str">
        <f t="shared" si="10"/>
        <v>-</v>
      </c>
      <c r="O110" s="172" t="str">
        <f t="shared" si="11"/>
        <v>-</v>
      </c>
      <c r="P110" s="205">
        <f>IFERROR(YEARFRAC(VLOOKUP(C110,Code!H:W,11,FALSE),VLOOKUP(C110,Code!H:W,14,FALSE),3),"")</f>
        <v>4.7561643835616438</v>
      </c>
      <c r="Q110" s="174">
        <v>44547</v>
      </c>
      <c r="R110" s="175" t="str">
        <f t="shared" ca="1" si="12"/>
        <v/>
      </c>
      <c r="S110" s="176">
        <f>IFERROR(VLOOKUP($C110,Code!$H:$Q,5,FALSE),"")</f>
        <v>0.184</v>
      </c>
      <c r="T110" s="177" t="str">
        <f t="shared" ca="1" si="13"/>
        <v/>
      </c>
      <c r="U110" s="178" t="str">
        <f t="shared" ca="1" si="14"/>
        <v/>
      </c>
      <c r="V110" s="179">
        <f>IFERROR(VLOOKUP($C110,Code!$H:$Q,6,FALSE),"")</f>
        <v>47.59</v>
      </c>
      <c r="W110" s="180" t="str">
        <f t="shared" ca="1" si="15"/>
        <v/>
      </c>
      <c r="X110" s="12"/>
      <c r="Y110" s="12"/>
      <c r="Z110" s="12"/>
      <c r="AA110" s="12"/>
      <c r="AB110" s="12"/>
    </row>
    <row r="111" spans="1:28" s="10" customFormat="1" ht="15" hidden="1">
      <c r="A111" s="9"/>
      <c r="B111" s="169" cm="1">
        <f t="array" ref="B111">_xlfn.IFS(OR(Code!R156&lt;&gt;Code!U156,Code!R156=""),0,Code!R156=Code!U156,1)</f>
        <v>0</v>
      </c>
      <c r="C111" s="193" t="str">
        <f>IF(Code!F156="","",Code!F156)</f>
        <v>ED</v>
      </c>
      <c r="D111" s="155" t="str">
        <f>IFERROR(VLOOKUP($C111,Code!$H:$K,2,FALSE),"")</f>
        <v>XLU</v>
      </c>
      <c r="E111" s="156" t="str">
        <f>IFERROR(VLOOKUP($C111,Code!$H:$K,3,FALSE),"")</f>
        <v>公用事業—受監督的電力</v>
      </c>
      <c r="F111" s="157" t="str">
        <f>IFERROR(VLOOKUP($C111,Code!$H:$K,4,FALSE),"")</f>
        <v>.SPX</v>
      </c>
      <c r="G111" s="170">
        <f>IFERROR(((VLOOKUP($C111,Code!$H:$Q,9,FALSE))+(VLOOKUP($C111,Code!$H:$Q,10,FALSE)))/2*0.5/(((VLOOKUP($C111,Code!$H:$Q,7,FALSE))+(VLOOKUP($C111,Code!$H:$Q,8,FALSE)))/2),0)</f>
        <v>0.56944099378881996</v>
      </c>
      <c r="H111" s="171" t="str">
        <f t="shared" si="8"/>
        <v>M</v>
      </c>
      <c r="I111" s="170">
        <f>IFERROR((VLOOKUP($C111,Code!$H:$Q,5,FALSE))/(((VLOOKUP($C111,Code!$H:$Q,7,FALSE))+(VLOOKUP($C111,Code!$H:$Q,8,FALSE)))/2)-1,0)</f>
        <v>-4.9440993788819831E-2</v>
      </c>
      <c r="J111" s="204">
        <f>IFERROR(POWER((VLOOKUP(C111,Code!H:W,12,FALSE))/(VLOOKUP(C111,Code!H:W,15,FALSE)),1/(P111-1))-1,"")</f>
        <v>5.303215533120631E-2</v>
      </c>
      <c r="K111" s="172" cm="1">
        <f t="array" ref="K111">IFERROR(IF(C111="","",_xlfn.IFS(AND(VLOOKUP(C111,Code!H:W,13,FALSE)=0,VLOOKUP(C111,Code!H:W,16,FALSE)=0),"無股息",AND(VLOOKUP(C111,Code!H:W,13,FALSE)=0,VLOOKUP(C111,Code!H:W,16,FALSE)&gt;0),"股息沒了",AND(VLOOKUP(C111,Code!H:W,13,FALSE)&gt;0,VLOOKUP(C111,Code!H:W,16,FALSE)=0),"發股息了",AND(VLOOKUP(C111,Code!H:W,13,FALSE)&gt;0,VLOOKUP(C111,Code!H:W,16,FALSE)&gt;0),POWER((VLOOKUP(C111,Code!H:W,13,FALSE))/(VLOOKUP(C111,Code!H:W,16,FALSE)),1/(P111-1))-1)),"")</f>
        <v>3.9490602298765776E-2</v>
      </c>
      <c r="L111" s="173">
        <f>IFERROR(VLOOKUP(C111,Code!H:W,13,FALSE)*4/VLOOKUP(C111,Code!H:W,12,FALSE),"")</f>
        <v>3.9876512544191181E-2</v>
      </c>
      <c r="M111" s="172">
        <f t="shared" si="9"/>
        <v>9.2522757629972086E-2</v>
      </c>
      <c r="N111" s="172" t="str">
        <f t="shared" si="10"/>
        <v>-</v>
      </c>
      <c r="O111" s="172" t="str">
        <f t="shared" si="11"/>
        <v>-</v>
      </c>
      <c r="P111" s="205">
        <f>IFERROR(YEARFRAC(VLOOKUP(C111,Code!H:W,11,FALSE),VLOOKUP(C111,Code!H:W,14,FALSE),3),"")</f>
        <v>4.7589041095890412</v>
      </c>
      <c r="Q111" s="174">
        <v>44547</v>
      </c>
      <c r="R111" s="175" t="str">
        <f t="shared" ca="1" si="12"/>
        <v/>
      </c>
      <c r="S111" s="176">
        <f>IFERROR(VLOOKUP($C111,Code!$H:$Q,5,FALSE),"")</f>
        <v>0.1913</v>
      </c>
      <c r="T111" s="177" t="str">
        <f t="shared" ca="1" si="13"/>
        <v/>
      </c>
      <c r="U111" s="178" t="str">
        <f t="shared" ca="1" si="14"/>
        <v/>
      </c>
      <c r="V111" s="179">
        <f>IFERROR(VLOOKUP($C111,Code!$H:$Q,6,FALSE),"")</f>
        <v>76.09</v>
      </c>
      <c r="W111" s="180" t="str">
        <f t="shared" ca="1" si="15"/>
        <v/>
      </c>
      <c r="X111" s="12"/>
      <c r="Y111" s="12"/>
      <c r="Z111" s="12"/>
      <c r="AA111" s="12"/>
      <c r="AB111" s="12"/>
    </row>
    <row r="112" spans="1:28" s="10" customFormat="1" ht="15" hidden="1">
      <c r="A112" s="9"/>
      <c r="B112" s="169" cm="1">
        <f t="array" ref="B112">_xlfn.IFS(OR(Code!R446&lt;&gt;Code!U446,Code!R446=""),0,Code!R446=Code!U446,1)</f>
        <v>0</v>
      </c>
      <c r="C112" s="193" t="str">
        <f>IF(Code!F446="","",Code!F446)</f>
        <v>TROW</v>
      </c>
      <c r="D112" s="155" t="str">
        <f>IFERROR(VLOOKUP($C112,Code!$H:$K,2,FALSE),"")</f>
        <v>XLF</v>
      </c>
      <c r="E112" s="156" t="str">
        <f>IFERROR(VLOOKUP($C112,Code!$H:$K,3,FALSE),"")</f>
        <v>資產管理</v>
      </c>
      <c r="F112" s="157" t="str">
        <f>IFERROR(VLOOKUP($C112,Code!$H:$K,4,FALSE),"")</f>
        <v>.SPX</v>
      </c>
      <c r="G112" s="170">
        <f>IFERROR(((VLOOKUP($C112,Code!$H:$Q,9,FALSE))+(VLOOKUP($C112,Code!$H:$Q,10,FALSE)))/2*0.5/(((VLOOKUP($C112,Code!$H:$Q,7,FALSE))+(VLOOKUP($C112,Code!$H:$Q,8,FALSE)))/2),0)</f>
        <v>0.59796334012219954</v>
      </c>
      <c r="H112" s="171" t="str">
        <f t="shared" si="8"/>
        <v>M</v>
      </c>
      <c r="I112" s="170">
        <f>IFERROR((VLOOKUP($C112,Code!$H:$Q,5,FALSE))/(((VLOOKUP($C112,Code!$H:$Q,7,FALSE))+(VLOOKUP($C112,Code!$H:$Q,8,FALSE)))/2)-1,0)</f>
        <v>-5.0916496945010103E-2</v>
      </c>
      <c r="J112" s="204">
        <f>IFERROR(POWER((VLOOKUP(C112,Code!H:W,12,FALSE))/(VLOOKUP(C112,Code!H:W,15,FALSE)),1/(P112-1))-1,"")</f>
        <v>0.37699669767572708</v>
      </c>
      <c r="K112" s="172" cm="1">
        <f t="array" ref="K112">IFERROR(IF(C112="","",_xlfn.IFS(AND(VLOOKUP(C112,Code!H:W,13,FALSE)=0,VLOOKUP(C112,Code!H:W,16,FALSE)=0),"無股息",AND(VLOOKUP(C112,Code!H:W,13,FALSE)=0,VLOOKUP(C112,Code!H:W,16,FALSE)&gt;0),"股息沒了",AND(VLOOKUP(C112,Code!H:W,13,FALSE)&gt;0,VLOOKUP(C112,Code!H:W,16,FALSE)=0),"發股息了",AND(VLOOKUP(C112,Code!H:W,13,FALSE)&gt;0,VLOOKUP(C112,Code!H:W,16,FALSE)&gt;0),POWER((VLOOKUP(C112,Code!H:W,13,FALSE))/(VLOOKUP(C112,Code!H:W,16,FALSE)),1/(P112-1))-1)),"")</f>
        <v>0.57389235492417612</v>
      </c>
      <c r="L112" s="173">
        <f>IFERROR(VLOOKUP(C112,Code!H:W,13,FALSE)*4/VLOOKUP(C112,Code!H:W,12,FALSE),"")</f>
        <v>6.1494311968500436E-2</v>
      </c>
      <c r="M112" s="172">
        <f t="shared" si="9"/>
        <v>0.9508890525999032</v>
      </c>
      <c r="N112" s="172" t="str">
        <f t="shared" si="10"/>
        <v>Venture</v>
      </c>
      <c r="O112" s="172" t="str">
        <f t="shared" si="11"/>
        <v>-</v>
      </c>
      <c r="P112" s="205">
        <f>IFERROR(YEARFRAC(VLOOKUP(C112,Code!H:W,11,FALSE),VLOOKUP(C112,Code!H:W,14,FALSE),3),"")</f>
        <v>4.7808219178082192</v>
      </c>
      <c r="Q112" s="174">
        <v>44547</v>
      </c>
      <c r="R112" s="175" t="str">
        <f t="shared" ca="1" si="12"/>
        <v/>
      </c>
      <c r="S112" s="176">
        <f>IFERROR(VLOOKUP($C112,Code!$H:$Q,5,FALSE),"")</f>
        <v>0.23300000000000001</v>
      </c>
      <c r="T112" s="177" t="str">
        <f t="shared" ca="1" si="13"/>
        <v/>
      </c>
      <c r="U112" s="178" t="str">
        <f t="shared" ca="1" si="14"/>
        <v/>
      </c>
      <c r="V112" s="179">
        <f>IFERROR(VLOOKUP($C112,Code!$H:$Q,6,FALSE),"")</f>
        <v>212.27</v>
      </c>
      <c r="W112" s="180" t="str">
        <f t="shared" ca="1" si="15"/>
        <v/>
      </c>
      <c r="X112" s="12"/>
      <c r="Y112" s="12"/>
      <c r="Z112" s="12"/>
      <c r="AA112" s="12"/>
      <c r="AB112" s="12"/>
    </row>
    <row r="113" spans="1:28" s="10" customFormat="1" ht="15" hidden="1">
      <c r="A113" s="9"/>
      <c r="B113" s="169" cm="1">
        <f t="array" ref="B113">_xlfn.IFS(OR(Code!R482&lt;&gt;Code!U482,Code!R482=""),0,Code!R482=Code!U482,1)</f>
        <v>1</v>
      </c>
      <c r="C113" s="193" t="str">
        <f>IF(Code!F482="","",Code!F482)</f>
        <v>WAT</v>
      </c>
      <c r="D113" s="155" t="str">
        <f>IFERROR(VLOOKUP($C113,Code!$H:$K,2,FALSE),"")</f>
        <v>XLV</v>
      </c>
      <c r="E113" s="156" t="str">
        <f>IFERROR(VLOOKUP($C113,Code!$H:$K,3,FALSE),"")</f>
        <v>診斷與研究</v>
      </c>
      <c r="F113" s="157" t="str">
        <f>IFERROR(VLOOKUP($C113,Code!$H:$K,4,FALSE),"")</f>
        <v>.SPX</v>
      </c>
      <c r="G113" s="170">
        <f>IFERROR(((VLOOKUP($C113,Code!$H:$Q,9,FALSE))+(VLOOKUP($C113,Code!$H:$Q,10,FALSE)))/2*0.5/(((VLOOKUP($C113,Code!$H:$Q,7,FALSE))+(VLOOKUP($C113,Code!$H:$Q,8,FALSE)))/2),0)</f>
        <v>0.58351370851370854</v>
      </c>
      <c r="H113" s="171" t="str">
        <f t="shared" si="8"/>
        <v>M</v>
      </c>
      <c r="I113" s="170">
        <f>IFERROR((VLOOKUP($C113,Code!$H:$Q,5,FALSE))/(((VLOOKUP($C113,Code!$H:$Q,7,FALSE))+(VLOOKUP($C113,Code!$H:$Q,8,FALSE)))/2)-1,0)</f>
        <v>-5.1226551226551176E-2</v>
      </c>
      <c r="J113" s="204" t="str">
        <f>IFERROR(POWER((VLOOKUP(C113,Code!H:W,12,FALSE))/(VLOOKUP(C113,Code!H:W,15,FALSE)),1/(P113-1))-1,"")</f>
        <v/>
      </c>
      <c r="K113" s="172" t="str" cm="1">
        <f t="array" ref="K113">IFERROR(IF(C113="","",_xlfn.IFS(AND(VLOOKUP(C113,Code!H:W,13,FALSE)=0,VLOOKUP(C113,Code!H:W,16,FALSE)=0),"無股息",AND(VLOOKUP(C113,Code!H:W,13,FALSE)=0,VLOOKUP(C113,Code!H:W,16,FALSE)&gt;0),"股息沒了",AND(VLOOKUP(C113,Code!H:W,13,FALSE)&gt;0,VLOOKUP(C113,Code!H:W,16,FALSE)=0),"發股息了",AND(VLOOKUP(C113,Code!H:W,13,FALSE)&gt;0,VLOOKUP(C113,Code!H:W,16,FALSE)&gt;0),POWER((VLOOKUP(C113,Code!H:W,13,FALSE))/(VLOOKUP(C113,Code!H:W,16,FALSE)),1/(P113-1))-1)),"")</f>
        <v>無股息</v>
      </c>
      <c r="L113" s="173" t="str">
        <f>IFERROR(VLOOKUP(C113,Code!H:W,13,FALSE)*4/VLOOKUP(C113,Code!H:W,12,FALSE),"")</f>
        <v/>
      </c>
      <c r="M113" s="172" t="str">
        <f t="shared" si="9"/>
        <v/>
      </c>
      <c r="N113" s="172" t="str">
        <f t="shared" si="10"/>
        <v/>
      </c>
      <c r="O113" s="172" t="str">
        <f t="shared" si="11"/>
        <v/>
      </c>
      <c r="P113" s="205">
        <f>IFERROR(YEARFRAC(VLOOKUP(C113,Code!H:W,11,FALSE),VLOOKUP(C113,Code!H:W,14,FALSE),3),"")</f>
        <v>0</v>
      </c>
      <c r="Q113" s="174">
        <v>44547</v>
      </c>
      <c r="R113" s="175" t="str">
        <f t="shared" ca="1" si="12"/>
        <v/>
      </c>
      <c r="S113" s="176">
        <f>IFERROR(VLOOKUP($C113,Code!$H:$Q,5,FALSE),"")</f>
        <v>0.26300000000000001</v>
      </c>
      <c r="T113" s="177" t="str">
        <f t="shared" ca="1" si="13"/>
        <v/>
      </c>
      <c r="U113" s="178" t="str">
        <f t="shared" ca="1" si="14"/>
        <v/>
      </c>
      <c r="V113" s="179">
        <f>IFERROR(VLOOKUP($C113,Code!$H:$Q,6,FALSE),"")</f>
        <v>397.34</v>
      </c>
      <c r="W113" s="180" t="str">
        <f t="shared" ca="1" si="15"/>
        <v/>
      </c>
      <c r="X113" s="12"/>
      <c r="Y113" s="12"/>
      <c r="Z113" s="12"/>
      <c r="AA113" s="12"/>
      <c r="AB113" s="12"/>
    </row>
    <row r="114" spans="1:28" s="10" customFormat="1" ht="15" hidden="1">
      <c r="A114" s="9"/>
      <c r="B114" s="169" cm="1">
        <f t="array" ref="B114">_xlfn.IFS(OR(Code!R490&lt;&gt;Code!U490,Code!R490=""),0,Code!R490=Code!U490,1)</f>
        <v>0</v>
      </c>
      <c r="C114" s="193" t="str">
        <f>IF(Code!F490="","",Code!F490)</f>
        <v>WM</v>
      </c>
      <c r="D114" s="155" t="str">
        <f>IFERROR(VLOOKUP($C114,Code!$H:$K,2,FALSE),"")</f>
        <v>XLI</v>
      </c>
      <c r="E114" s="156" t="str">
        <f>IFERROR(VLOOKUP($C114,Code!$H:$K,3,FALSE),"")</f>
        <v>廢物管理</v>
      </c>
      <c r="F114" s="157" t="str">
        <f>IFERROR(VLOOKUP($C114,Code!$H:$K,4,FALSE),"")</f>
        <v>.SPX</v>
      </c>
      <c r="G114" s="170">
        <f>IFERROR(((VLOOKUP($C114,Code!$H:$Q,9,FALSE))+(VLOOKUP($C114,Code!$H:$Q,10,FALSE)))/2*0.5/(((VLOOKUP($C114,Code!$H:$Q,7,FALSE))+(VLOOKUP($C114,Code!$H:$Q,8,FALSE)))/2),0)</f>
        <v>0.67609797297297303</v>
      </c>
      <c r="H114" s="171" t="str">
        <f t="shared" si="8"/>
        <v>L</v>
      </c>
      <c r="I114" s="170">
        <f>IFERROR((VLOOKUP($C114,Code!$H:$Q,5,FALSE))/(((VLOOKUP($C114,Code!$H:$Q,7,FALSE))+(VLOOKUP($C114,Code!$H:$Q,8,FALSE)))/2)-1,0)</f>
        <v>-5.2364864864864691E-2</v>
      </c>
      <c r="J114" s="204">
        <f>IFERROR(POWER((VLOOKUP(C114,Code!H:W,12,FALSE))/(VLOOKUP(C114,Code!H:W,15,FALSE)),1/(P114-1))-1,"")</f>
        <v>0.26559363863823049</v>
      </c>
      <c r="K114" s="172" cm="1">
        <f t="array" ref="K114">IFERROR(IF(C114="","",_xlfn.IFS(AND(VLOOKUP(C114,Code!H:W,13,FALSE)=0,VLOOKUP(C114,Code!H:W,16,FALSE)=0),"無股息",AND(VLOOKUP(C114,Code!H:W,13,FALSE)=0,VLOOKUP(C114,Code!H:W,16,FALSE)&gt;0),"股息沒了",AND(VLOOKUP(C114,Code!H:W,13,FALSE)&gt;0,VLOOKUP(C114,Code!H:W,16,FALSE)=0),"發股息了",AND(VLOOKUP(C114,Code!H:W,13,FALSE)&gt;0,VLOOKUP(C114,Code!H:W,16,FALSE)&gt;0),POWER((VLOOKUP(C114,Code!H:W,13,FALSE))/(VLOOKUP(C114,Code!H:W,16,FALSE)),1/(P114-1))-1)),"")</f>
        <v>9.4653501965722642E-2</v>
      </c>
      <c r="L114" s="173">
        <f>IFERROR(VLOOKUP(C114,Code!H:W,13,FALSE)*4/VLOOKUP(C114,Code!H:W,12,FALSE),"")</f>
        <v>1.6360790795579089E-2</v>
      </c>
      <c r="M114" s="172">
        <f t="shared" si="9"/>
        <v>0.36024714060395313</v>
      </c>
      <c r="N114" s="172" t="str">
        <f t="shared" si="10"/>
        <v>-</v>
      </c>
      <c r="O114" s="172" t="str">
        <f t="shared" si="11"/>
        <v>-</v>
      </c>
      <c r="P114" s="205">
        <f>IFERROR(YEARFRAC(VLOOKUP(C114,Code!H:W,11,FALSE),VLOOKUP(C114,Code!H:W,14,FALSE),3),"")</f>
        <v>4.7397260273972606</v>
      </c>
      <c r="Q114" s="174">
        <v>44547</v>
      </c>
      <c r="R114" s="175" t="str">
        <f t="shared" ca="1" si="12"/>
        <v/>
      </c>
      <c r="S114" s="176">
        <f>IFERROR(VLOOKUP($C114,Code!$H:$Q,5,FALSE),"")</f>
        <v>0.16830000000000001</v>
      </c>
      <c r="T114" s="177" t="str">
        <f t="shared" ca="1" si="13"/>
        <v/>
      </c>
      <c r="U114" s="178" t="str">
        <f t="shared" ca="1" si="14"/>
        <v/>
      </c>
      <c r="V114" s="179">
        <f>IFERROR(VLOOKUP($C114,Code!$H:$Q,6,FALSE),"")</f>
        <v>148.33000000000001</v>
      </c>
      <c r="W114" s="180" t="str">
        <f t="shared" ca="1" si="15"/>
        <v/>
      </c>
      <c r="X114" s="12"/>
      <c r="Y114" s="12"/>
      <c r="Z114" s="12"/>
      <c r="AA114" s="12"/>
      <c r="AB114" s="12"/>
    </row>
    <row r="115" spans="1:28" s="10" customFormat="1" ht="15">
      <c r="A115" s="9"/>
      <c r="B115" s="169" cm="1">
        <f t="array" ref="B115">_xlfn.IFS(OR(Code!R177&lt;&gt;Code!U177,Code!R177=""),0,Code!R177=Code!U177,1)</f>
        <v>0</v>
      </c>
      <c r="C115" s="193" t="str">
        <f>IF(Code!F177="","",Code!F177)</f>
        <v>F</v>
      </c>
      <c r="D115" s="155" t="str">
        <f>IFERROR(VLOOKUP($C115,Code!$H:$K,2,FALSE),"")</f>
        <v>XLY</v>
      </c>
      <c r="E115" s="156" t="str">
        <f>IFERROR(VLOOKUP($C115,Code!$H:$K,3,FALSE),"")</f>
        <v>汽車製造商</v>
      </c>
      <c r="F115" s="157" t="str">
        <f>IFERROR(VLOOKUP($C115,Code!$H:$K,4,FALSE),"")</f>
        <v>.SPX</v>
      </c>
      <c r="G115" s="170">
        <f>IFERROR(((VLOOKUP($C115,Code!$H:$Q,9,FALSE))+(VLOOKUP($C115,Code!$H:$Q,10,FALSE)))/2*0.5/(((VLOOKUP($C115,Code!$H:$Q,7,FALSE))+(VLOOKUP($C115,Code!$H:$Q,8,FALSE)))/2),0)</f>
        <v>0.68409118764554488</v>
      </c>
      <c r="H115" s="171" t="str">
        <f t="shared" si="8"/>
        <v>L</v>
      </c>
      <c r="I115" s="170">
        <f>IFERROR((VLOOKUP($C115,Code!$H:$Q,5,FALSE))/(((VLOOKUP($C115,Code!$H:$Q,7,FALSE))+(VLOOKUP($C115,Code!$H:$Q,8,FALSE)))/2)-1,0)</f>
        <v>-5.2825101115332673E-2</v>
      </c>
      <c r="J115" s="204">
        <f>IFERROR(POWER((VLOOKUP(C115,Code!H:W,12,FALSE))/(VLOOKUP(C115,Code!H:W,15,FALSE)),1/(P115-1))-1,"")</f>
        <v>-3.7179024893170487E-2</v>
      </c>
      <c r="K115" s="172" cm="1">
        <f t="array" ref="K115">IFERROR(IF(C115="","",_xlfn.IFS(AND(VLOOKUP(C115,Code!H:W,13,FALSE)=0,VLOOKUP(C115,Code!H:W,16,FALSE)=0),"無股息",AND(VLOOKUP(C115,Code!H:W,13,FALSE)=0,VLOOKUP(C115,Code!H:W,16,FALSE)&gt;0),"股息沒了",AND(VLOOKUP(C115,Code!H:W,13,FALSE)&gt;0,VLOOKUP(C115,Code!H:W,16,FALSE)=0),"發股息了",AND(VLOOKUP(C115,Code!H:W,13,FALSE)&gt;0,VLOOKUP(C115,Code!H:W,16,FALSE)&gt;0),POWER((VLOOKUP(C115,Code!H:W,13,FALSE))/(VLOOKUP(C115,Code!H:W,16,FALSE)),1/(P115-1))-1)),"")</f>
        <v>0</v>
      </c>
      <c r="L115" s="173">
        <f>IFERROR(VLOOKUP(C115,Code!H:W,13,FALSE)*4/VLOOKUP(C115,Code!H:W,12,FALSE),"")</f>
        <v>6.7720092917590194E-2</v>
      </c>
      <c r="M115" s="172">
        <f t="shared" si="9"/>
        <v>-3.7179024893170487E-2</v>
      </c>
      <c r="N115" s="172" t="str">
        <f t="shared" si="10"/>
        <v>-</v>
      </c>
      <c r="O115" s="172" t="str">
        <f t="shared" si="11"/>
        <v>-</v>
      </c>
      <c r="P115" s="205">
        <f>IFERROR(YEARFRAC(VLOOKUP(C115,Code!H:W,11,FALSE),VLOOKUP(C115,Code!H:W,14,FALSE),3),"")</f>
        <v>3.2630136986301368</v>
      </c>
      <c r="Q115" s="174">
        <v>44547</v>
      </c>
      <c r="R115" s="175" t="str">
        <f t="shared" ca="1" si="12"/>
        <v/>
      </c>
      <c r="S115" s="176">
        <f>IFERROR(VLOOKUP($C115,Code!$H:$Q,5,FALSE),"")</f>
        <v>0.38640000000000002</v>
      </c>
      <c r="T115" s="177" t="str">
        <f t="shared" ca="1" si="13"/>
        <v/>
      </c>
      <c r="U115" s="178" t="str">
        <f t="shared" ca="1" si="14"/>
        <v/>
      </c>
      <c r="V115" s="179">
        <f>IFERROR(VLOOKUP($C115,Code!$H:$Q,6,FALSE),"")</f>
        <v>13.88</v>
      </c>
      <c r="W115" s="180" t="str">
        <f t="shared" ca="1" si="15"/>
        <v/>
      </c>
      <c r="X115" s="12"/>
      <c r="Y115" s="12"/>
      <c r="Z115" s="12"/>
      <c r="AA115" s="12"/>
      <c r="AB115" s="12"/>
    </row>
    <row r="116" spans="1:28" s="10" customFormat="1" ht="15" hidden="1">
      <c r="A116" s="9"/>
      <c r="B116" s="169" cm="1">
        <f t="array" ref="B116">_xlfn.IFS(OR(Code!R436&lt;&gt;Code!U436,Code!R436=""),0,Code!R436=Code!U436,1)</f>
        <v>0</v>
      </c>
      <c r="C116" s="193" t="str">
        <f>IF(Code!F436="","",Code!F436)</f>
        <v>TEL</v>
      </c>
      <c r="D116" s="155" t="str">
        <f>IFERROR(VLOOKUP($C116,Code!$H:$K,2,FALSE),"")</f>
        <v>XLK</v>
      </c>
      <c r="E116" s="156" t="str">
        <f>IFERROR(VLOOKUP($C116,Code!$H:$K,3,FALSE),"")</f>
        <v>電子元件</v>
      </c>
      <c r="F116" s="157" t="str">
        <f>IFERROR(VLOOKUP($C116,Code!$H:$K,4,FALSE),"")</f>
        <v>.SPX</v>
      </c>
      <c r="G116" s="170">
        <f>IFERROR(((VLOOKUP($C116,Code!$H:$Q,9,FALSE))+(VLOOKUP($C116,Code!$H:$Q,10,FALSE)))/2*0.5/(((VLOOKUP($C116,Code!$H:$Q,7,FALSE))+(VLOOKUP($C116,Code!$H:$Q,8,FALSE)))/2),0)</f>
        <v>0.62119437939110078</v>
      </c>
      <c r="H116" s="171" t="str">
        <f t="shared" si="8"/>
        <v>L</v>
      </c>
      <c r="I116" s="170">
        <f>IFERROR((VLOOKUP($C116,Code!$H:$Q,5,FALSE))/(((VLOOKUP($C116,Code!$H:$Q,7,FALSE))+(VLOOKUP($C116,Code!$H:$Q,8,FALSE)))/2)-1,0)</f>
        <v>-5.4254488680718138E-2</v>
      </c>
      <c r="J116" s="204">
        <f>IFERROR(POWER((VLOOKUP(C116,Code!H:W,12,FALSE))/(VLOOKUP(C116,Code!H:W,15,FALSE)),1/(P116-1))-1,"")</f>
        <v>0.25262786921031299</v>
      </c>
      <c r="K116" s="172" cm="1">
        <f t="array" ref="K116">IFERROR(IF(C116="","",_xlfn.IFS(AND(VLOOKUP(C116,Code!H:W,13,FALSE)=0,VLOOKUP(C116,Code!H:W,16,FALSE)=0),"無股息",AND(VLOOKUP(C116,Code!H:W,13,FALSE)=0,VLOOKUP(C116,Code!H:W,16,FALSE)&gt;0),"股息沒了",AND(VLOOKUP(C116,Code!H:W,13,FALSE)&gt;0,VLOOKUP(C116,Code!H:W,16,FALSE)=0),"發股息了",AND(VLOOKUP(C116,Code!H:W,13,FALSE)&gt;0,VLOOKUP(C116,Code!H:W,16,FALSE)&gt;0),POWER((VLOOKUP(C116,Code!H:W,13,FALSE))/(VLOOKUP(C116,Code!H:W,16,FALSE)),1/(P116-1))-1)),"")</f>
        <v>8.3845408996505055E-2</v>
      </c>
      <c r="L116" s="173">
        <f>IFERROR(VLOOKUP(C116,Code!H:W,13,FALSE)*4/VLOOKUP(C116,Code!H:W,12,FALSE),"")</f>
        <v>1.4981273408239701E-2</v>
      </c>
      <c r="M116" s="172">
        <f t="shared" si="9"/>
        <v>0.33647327820681805</v>
      </c>
      <c r="N116" s="172" t="str">
        <f t="shared" si="10"/>
        <v>-</v>
      </c>
      <c r="O116" s="172" t="str">
        <f t="shared" si="11"/>
        <v>-</v>
      </c>
      <c r="P116" s="205">
        <f>IFERROR(YEARFRAC(VLOOKUP(C116,Code!H:W,11,FALSE),VLOOKUP(C116,Code!H:W,14,FALSE),3),"")</f>
        <v>4.7397260273972606</v>
      </c>
      <c r="Q116" s="174">
        <v>44547</v>
      </c>
      <c r="R116" s="175" t="str">
        <f t="shared" ca="1" si="12"/>
        <v/>
      </c>
      <c r="S116" s="176">
        <f>IFERROR(VLOOKUP($C116,Code!$H:$Q,5,FALSE),"")</f>
        <v>0.24229999999999999</v>
      </c>
      <c r="T116" s="177" t="str">
        <f t="shared" ca="1" si="13"/>
        <v/>
      </c>
      <c r="U116" s="178" t="str">
        <f t="shared" ca="1" si="14"/>
        <v/>
      </c>
      <c r="V116" s="179">
        <f>IFERROR(VLOOKUP($C116,Code!$H:$Q,6,FALSE),"")</f>
        <v>148.52000000000001</v>
      </c>
      <c r="W116" s="180" t="str">
        <f t="shared" ca="1" si="15"/>
        <v/>
      </c>
      <c r="X116" s="12"/>
      <c r="Y116" s="12"/>
      <c r="Z116" s="12"/>
      <c r="AA116" s="12"/>
      <c r="AB116" s="12"/>
    </row>
    <row r="117" spans="1:28" s="10" customFormat="1" ht="15" hidden="1">
      <c r="A117" s="9"/>
      <c r="B117" s="169" cm="1">
        <f t="array" ref="B117">_xlfn.IFS(OR(Code!R495&lt;&gt;Code!U495,Code!R495=""),0,Code!R495=Code!U495,1)</f>
        <v>0</v>
      </c>
      <c r="C117" s="193" t="str">
        <f>IF(Code!F495="","",Code!F495)</f>
        <v>WST</v>
      </c>
      <c r="D117" s="155" t="str">
        <f>IFERROR(VLOOKUP($C117,Code!$H:$K,2,FALSE),"")</f>
        <v>XLV</v>
      </c>
      <c r="E117" s="156" t="str">
        <f>IFERROR(VLOOKUP($C117,Code!$H:$K,3,FALSE),"")</f>
        <v>醫療器械及用品</v>
      </c>
      <c r="F117" s="157" t="str">
        <f>IFERROR(VLOOKUP($C117,Code!$H:$K,4,FALSE),"")</f>
        <v>.SPX</v>
      </c>
      <c r="G117" s="170">
        <f>IFERROR(((VLOOKUP($C117,Code!$H:$Q,9,FALSE))+(VLOOKUP($C117,Code!$H:$Q,10,FALSE)))/2*0.5/(((VLOOKUP($C117,Code!$H:$Q,7,FALSE))+(VLOOKUP($C117,Code!$H:$Q,8,FALSE)))/2),0)</f>
        <v>0.67091126144050928</v>
      </c>
      <c r="H117" s="171" t="str">
        <f t="shared" si="8"/>
        <v>L</v>
      </c>
      <c r="I117" s="170">
        <f>IFERROR((VLOOKUP($C117,Code!$H:$Q,5,FALSE))/(((VLOOKUP($C117,Code!$H:$Q,7,FALSE))+(VLOOKUP($C117,Code!$H:$Q,8,FALSE)))/2)-1,0)</f>
        <v>-5.4516514126542015E-2</v>
      </c>
      <c r="J117" s="204">
        <f>IFERROR(POWER((VLOOKUP(C117,Code!H:W,12,FALSE))/(VLOOKUP(C117,Code!H:W,15,FALSE)),1/(P117-1))-1,"")</f>
        <v>0.55405098851926304</v>
      </c>
      <c r="K117" s="172" cm="1">
        <f t="array" ref="K117">IFERROR(IF(C117="","",_xlfn.IFS(AND(VLOOKUP(C117,Code!H:W,13,FALSE)=0,VLOOKUP(C117,Code!H:W,16,FALSE)=0),"無股息",AND(VLOOKUP(C117,Code!H:W,13,FALSE)=0,VLOOKUP(C117,Code!H:W,16,FALSE)&gt;0),"股息沒了",AND(VLOOKUP(C117,Code!H:W,13,FALSE)&gt;0,VLOOKUP(C117,Code!H:W,16,FALSE)=0),"發股息了",AND(VLOOKUP(C117,Code!H:W,13,FALSE)&gt;0,VLOOKUP(C117,Code!H:W,16,FALSE)&gt;0),POWER((VLOOKUP(C117,Code!H:W,13,FALSE))/(VLOOKUP(C117,Code!H:W,16,FALSE)),1/(P117-1))-1)),"")</f>
        <v>7.3975953061759414E-2</v>
      </c>
      <c r="L117" s="173">
        <f>IFERROR(VLOOKUP(C117,Code!H:W,13,FALSE)*4/VLOOKUP(C117,Code!H:W,12,FALSE),"")</f>
        <v>1.8245726892202026E-3</v>
      </c>
      <c r="M117" s="172">
        <f t="shared" si="9"/>
        <v>0.62802694158102246</v>
      </c>
      <c r="N117" s="172" t="str">
        <f t="shared" si="10"/>
        <v>-</v>
      </c>
      <c r="O117" s="172" t="str">
        <f t="shared" si="11"/>
        <v>-</v>
      </c>
      <c r="P117" s="205">
        <f>IFERROR(YEARFRAC(VLOOKUP(C117,Code!H:W,11,FALSE),VLOOKUP(C117,Code!H:W,14,FALSE),3),"")</f>
        <v>4.7589041095890412</v>
      </c>
      <c r="Q117" s="174">
        <v>44547</v>
      </c>
      <c r="R117" s="175" t="str">
        <f t="shared" ca="1" si="12"/>
        <v/>
      </c>
      <c r="S117" s="176">
        <f>IFERROR(VLOOKUP($C117,Code!$H:$Q,5,FALSE),"")</f>
        <v>0.23760000000000001</v>
      </c>
      <c r="T117" s="177" t="str">
        <f t="shared" ca="1" si="13"/>
        <v/>
      </c>
      <c r="U117" s="178" t="str">
        <f t="shared" ca="1" si="14"/>
        <v/>
      </c>
      <c r="V117" s="179">
        <f>IFERROR(VLOOKUP($C117,Code!$H:$Q,6,FALSE),"")</f>
        <v>425.66</v>
      </c>
      <c r="W117" s="180" t="str">
        <f t="shared" ca="1" si="15"/>
        <v/>
      </c>
      <c r="X117" s="12"/>
      <c r="Y117" s="12"/>
      <c r="Z117" s="12"/>
      <c r="AA117" s="12"/>
      <c r="AB117" s="12"/>
    </row>
    <row r="118" spans="1:28" s="10" customFormat="1" ht="15" hidden="1">
      <c r="A118" s="9"/>
      <c r="B118" s="169" cm="1">
        <f t="array" ref="B118">_xlfn.IFS(OR(Code!R107&lt;&gt;Code!U107,Code!R107=""),0,Code!R107=Code!U107,1)</f>
        <v>0</v>
      </c>
      <c r="C118" s="193" t="str">
        <f>IF(Code!F107="","",Code!F107)</f>
        <v>CNP</v>
      </c>
      <c r="D118" s="155" t="str">
        <f>IFERROR(VLOOKUP($C118,Code!$H:$K,2,FALSE),"")</f>
        <v>XLU</v>
      </c>
      <c r="E118" s="156" t="str">
        <f>IFERROR(VLOOKUP($C118,Code!$H:$K,3,FALSE),"")</f>
        <v>公用事業—受監督的電力</v>
      </c>
      <c r="F118" s="157" t="str">
        <f>IFERROR(VLOOKUP($C118,Code!$H:$K,4,FALSE),"")</f>
        <v>.SPX</v>
      </c>
      <c r="G118" s="170">
        <f>IFERROR(((VLOOKUP($C118,Code!$H:$Q,9,FALSE))+(VLOOKUP($C118,Code!$H:$Q,10,FALSE)))/2*0.5/(((VLOOKUP($C118,Code!$H:$Q,7,FALSE))+(VLOOKUP($C118,Code!$H:$Q,8,FALSE)))/2),0)</f>
        <v>0.58353376503237753</v>
      </c>
      <c r="H118" s="171" t="str">
        <f t="shared" si="8"/>
        <v>M</v>
      </c>
      <c r="I118" s="170">
        <f>IFERROR((VLOOKUP($C118,Code!$H:$Q,5,FALSE))/(((VLOOKUP($C118,Code!$H:$Q,7,FALSE))+(VLOOKUP($C118,Code!$H:$Q,8,FALSE)))/2)-1,0)</f>
        <v>-5.6429232192414358E-2</v>
      </c>
      <c r="J118" s="204">
        <f>IFERROR(POWER((VLOOKUP(C118,Code!H:W,12,FALSE))/(VLOOKUP(C118,Code!H:W,15,FALSE)),1/(P118-1))-1,"")</f>
        <v>7.1271534112954171E-2</v>
      </c>
      <c r="K118" s="172" cm="1">
        <f t="array" ref="K118">IFERROR(IF(C118="","",_xlfn.IFS(AND(VLOOKUP(C118,Code!H:W,13,FALSE)=0,VLOOKUP(C118,Code!H:W,16,FALSE)=0),"無股息",AND(VLOOKUP(C118,Code!H:W,13,FALSE)=0,VLOOKUP(C118,Code!H:W,16,FALSE)&gt;0),"股息沒了",AND(VLOOKUP(C118,Code!H:W,13,FALSE)&gt;0,VLOOKUP(C118,Code!H:W,16,FALSE)=0),"發股息了",AND(VLOOKUP(C118,Code!H:W,13,FALSE)&gt;0,VLOOKUP(C118,Code!H:W,16,FALSE)&gt;0),POWER((VLOOKUP(C118,Code!H:W,13,FALSE))/(VLOOKUP(C118,Code!H:W,16,FALSE)),1/(P118-1))-1)),"")</f>
        <v>-0.11903574850345366</v>
      </c>
      <c r="L118" s="173">
        <f>IFERROR(VLOOKUP(C118,Code!H:W,13,FALSE)*4/VLOOKUP(C118,Code!H:W,12,FALSE),"")</f>
        <v>2.6143791338548966E-2</v>
      </c>
      <c r="M118" s="172">
        <f t="shared" si="9"/>
        <v>-4.7764214390499493E-2</v>
      </c>
      <c r="N118" s="172" t="str">
        <f t="shared" si="10"/>
        <v>-</v>
      </c>
      <c r="O118" s="172" t="str">
        <f t="shared" si="11"/>
        <v>-</v>
      </c>
      <c r="P118" s="205">
        <f>IFERROR(YEARFRAC(VLOOKUP(C118,Code!H:W,11,FALSE),VLOOKUP(C118,Code!H:W,14,FALSE),3),"")</f>
        <v>4.7698630136986298</v>
      </c>
      <c r="Q118" s="174">
        <v>44547</v>
      </c>
      <c r="R118" s="175" t="str">
        <f t="shared" ca="1" si="12"/>
        <v/>
      </c>
      <c r="S118" s="176">
        <f>IFERROR(VLOOKUP($C118,Code!$H:$Q,5,FALSE),"")</f>
        <v>0.255</v>
      </c>
      <c r="T118" s="177" t="str">
        <f t="shared" ca="1" si="13"/>
        <v/>
      </c>
      <c r="U118" s="178" t="str">
        <f t="shared" ca="1" si="14"/>
        <v/>
      </c>
      <c r="V118" s="179">
        <f>IFERROR(VLOOKUP($C118,Code!$H:$Q,6,FALSE),"")</f>
        <v>26.7</v>
      </c>
      <c r="W118" s="180" t="str">
        <f t="shared" ca="1" si="15"/>
        <v/>
      </c>
      <c r="X118" s="12"/>
      <c r="Y118" s="12"/>
      <c r="Z118" s="12"/>
      <c r="AA118" s="12"/>
      <c r="AB118" s="12"/>
    </row>
    <row r="119" spans="1:28" s="10" customFormat="1" ht="15" hidden="1">
      <c r="A119" s="9"/>
      <c r="B119" s="169" cm="1">
        <f t="array" ref="B119">_xlfn.IFS(OR(Code!R360&lt;&gt;Code!U360,Code!R360=""),0,Code!R360=Code!U360,1)</f>
        <v>0</v>
      </c>
      <c r="C119" s="193" t="str">
        <f>IF(Code!F360="","",Code!F360)</f>
        <v>PAYX</v>
      </c>
      <c r="D119" s="155" t="str">
        <f>IFERROR(VLOOKUP($C119,Code!$H:$K,2,FALSE),"")</f>
        <v>XLK</v>
      </c>
      <c r="E119" s="156" t="str">
        <f>IFERROR(VLOOKUP($C119,Code!$H:$K,3,FALSE),"")</f>
        <v>人員配置和就業服務</v>
      </c>
      <c r="F119" s="157" t="str">
        <f>IFERROR(VLOOKUP($C119,Code!$H:$K,4,FALSE),"")</f>
        <v>.SPX</v>
      </c>
      <c r="G119" s="170">
        <f>IFERROR(((VLOOKUP($C119,Code!$H:$Q,9,FALSE))+(VLOOKUP($C119,Code!$H:$Q,10,FALSE)))/2*0.5/(((VLOOKUP($C119,Code!$H:$Q,7,FALSE))+(VLOOKUP($C119,Code!$H:$Q,8,FALSE)))/2),0)</f>
        <v>0.66715722344861417</v>
      </c>
      <c r="H119" s="171" t="str">
        <f t="shared" si="8"/>
        <v>L</v>
      </c>
      <c r="I119" s="170">
        <f>IFERROR((VLOOKUP($C119,Code!$H:$Q,5,FALSE))/(((VLOOKUP($C119,Code!$H:$Q,7,FALSE))+(VLOOKUP($C119,Code!$H:$Q,8,FALSE)))/2)-1,0)</f>
        <v>-5.6659308314937484E-2</v>
      </c>
      <c r="J119" s="204">
        <f>IFERROR(POWER((VLOOKUP(C119,Code!H:W,12,FALSE))/(VLOOKUP(C119,Code!H:W,15,FALSE)),1/(P119-1))-1,"")</f>
        <v>0.26187048305146687</v>
      </c>
      <c r="K119" s="172" cm="1">
        <f t="array" ref="K119">IFERROR(IF(C119="","",_xlfn.IFS(AND(VLOOKUP(C119,Code!H:W,13,FALSE)=0,VLOOKUP(C119,Code!H:W,16,FALSE)=0),"無股息",AND(VLOOKUP(C119,Code!H:W,13,FALSE)=0,VLOOKUP(C119,Code!H:W,16,FALSE)&gt;0),"股息沒了",AND(VLOOKUP(C119,Code!H:W,13,FALSE)&gt;0,VLOOKUP(C119,Code!H:W,16,FALSE)=0),"發股息了",AND(VLOOKUP(C119,Code!H:W,13,FALSE)&gt;0,VLOOKUP(C119,Code!H:W,16,FALSE)&gt;0),POWER((VLOOKUP(C119,Code!H:W,13,FALSE))/(VLOOKUP(C119,Code!H:W,16,FALSE)),1/(P119-1))-1)),"")</f>
        <v>0.10088261216052574</v>
      </c>
      <c r="L119" s="173">
        <f>IFERROR(VLOOKUP(C119,Code!H:W,13,FALSE)*4/VLOOKUP(C119,Code!H:W,12,FALSE),"")</f>
        <v>2.3194517721651819E-2</v>
      </c>
      <c r="M119" s="172">
        <f t="shared" si="9"/>
        <v>0.36275309521199262</v>
      </c>
      <c r="N119" s="172" t="str">
        <f t="shared" si="10"/>
        <v>-</v>
      </c>
      <c r="O119" s="172" t="str">
        <f t="shared" si="11"/>
        <v>-</v>
      </c>
      <c r="P119" s="205">
        <f>IFERROR(YEARFRAC(VLOOKUP(C119,Code!H:W,11,FALSE),VLOOKUP(C119,Code!H:W,14,FALSE),3),"")</f>
        <v>4.7561643835616438</v>
      </c>
      <c r="Q119" s="174">
        <v>44547</v>
      </c>
      <c r="R119" s="175" t="str">
        <f t="shared" ca="1" si="12"/>
        <v/>
      </c>
      <c r="S119" s="176">
        <f>IFERROR(VLOOKUP($C119,Code!$H:$Q,5,FALSE),"")</f>
        <v>0.1923</v>
      </c>
      <c r="T119" s="177" t="str">
        <f t="shared" ca="1" si="13"/>
        <v/>
      </c>
      <c r="U119" s="178" t="str">
        <f t="shared" ca="1" si="14"/>
        <v/>
      </c>
      <c r="V119" s="179">
        <f>IFERROR(VLOOKUP($C119,Code!$H:$Q,6,FALSE),"")</f>
        <v>114.94</v>
      </c>
      <c r="W119" s="180" t="str">
        <f t="shared" ca="1" si="15"/>
        <v/>
      </c>
      <c r="X119" s="12"/>
      <c r="Y119" s="12"/>
      <c r="Z119" s="12"/>
      <c r="AA119" s="12"/>
      <c r="AB119" s="12"/>
    </row>
    <row r="120" spans="1:28" s="10" customFormat="1" ht="15" hidden="1">
      <c r="A120" s="9"/>
      <c r="B120" s="169" cm="1">
        <f t="array" ref="B120">_xlfn.IFS(OR(Code!R414&lt;&gt;Code!U414,Code!R414=""),0,Code!R414=Code!U414,1)</f>
        <v>1</v>
      </c>
      <c r="C120" s="193" t="str">
        <f>IF(Code!F414="","",Code!F414)</f>
        <v>SIVB</v>
      </c>
      <c r="D120" s="155" t="str">
        <f>IFERROR(VLOOKUP($C120,Code!$H:$K,2,FALSE),"")</f>
        <v>XLF</v>
      </c>
      <c r="E120" s="156" t="str">
        <f>IFERROR(VLOOKUP($C120,Code!$H:$K,3,FALSE),"")</f>
        <v>銀行-區域</v>
      </c>
      <c r="F120" s="157" t="str">
        <f>IFERROR(VLOOKUP($C120,Code!$H:$K,4,FALSE),"")</f>
        <v>.SPX</v>
      </c>
      <c r="G120" s="170">
        <f>IFERROR(((VLOOKUP($C120,Code!$H:$Q,9,FALSE))+(VLOOKUP($C120,Code!$H:$Q,10,FALSE)))/2*0.5/(((VLOOKUP($C120,Code!$H:$Q,7,FALSE))+(VLOOKUP($C120,Code!$H:$Q,8,FALSE)))/2),0)</f>
        <v>0.56075210426282929</v>
      </c>
      <c r="H120" s="171" t="str">
        <f t="shared" si="8"/>
        <v>M</v>
      </c>
      <c r="I120" s="170">
        <f>IFERROR((VLOOKUP($C120,Code!$H:$Q,5,FALSE))/(((VLOOKUP($C120,Code!$H:$Q,7,FALSE))+(VLOOKUP($C120,Code!$H:$Q,8,FALSE)))/2)-1,0)</f>
        <v>-5.7290252511539408E-2</v>
      </c>
      <c r="J120" s="204" t="str">
        <f>IFERROR(POWER((VLOOKUP(C120,Code!H:W,12,FALSE))/(VLOOKUP(C120,Code!H:W,15,FALSE)),1/(P120-1))-1,"")</f>
        <v/>
      </c>
      <c r="K120" s="172" t="str" cm="1">
        <f t="array" ref="K120">IFERROR(IF(C120="","",_xlfn.IFS(AND(VLOOKUP(C120,Code!H:W,13,FALSE)=0,VLOOKUP(C120,Code!H:W,16,FALSE)=0),"無股息",AND(VLOOKUP(C120,Code!H:W,13,FALSE)=0,VLOOKUP(C120,Code!H:W,16,FALSE)&gt;0),"股息沒了",AND(VLOOKUP(C120,Code!H:W,13,FALSE)&gt;0,VLOOKUP(C120,Code!H:W,16,FALSE)=0),"發股息了",AND(VLOOKUP(C120,Code!H:W,13,FALSE)&gt;0,VLOOKUP(C120,Code!H:W,16,FALSE)&gt;0),POWER((VLOOKUP(C120,Code!H:W,13,FALSE))/(VLOOKUP(C120,Code!H:W,16,FALSE)),1/(P120-1))-1)),"")</f>
        <v>無股息</v>
      </c>
      <c r="L120" s="173" t="str">
        <f>IFERROR(VLOOKUP(C120,Code!H:W,13,FALSE)*4/VLOOKUP(C120,Code!H:W,12,FALSE),"")</f>
        <v/>
      </c>
      <c r="M120" s="172" t="str">
        <f t="shared" si="9"/>
        <v/>
      </c>
      <c r="N120" s="172" t="str">
        <f t="shared" si="10"/>
        <v/>
      </c>
      <c r="O120" s="172" t="str">
        <f t="shared" si="11"/>
        <v/>
      </c>
      <c r="P120" s="205">
        <f>IFERROR(YEARFRAC(VLOOKUP(C120,Code!H:W,11,FALSE),VLOOKUP(C120,Code!H:W,14,FALSE),3),"")</f>
        <v>0</v>
      </c>
      <c r="Q120" s="174">
        <v>44547</v>
      </c>
      <c r="R120" s="175" t="str">
        <f t="shared" ca="1" si="12"/>
        <v/>
      </c>
      <c r="S120" s="176">
        <f>IFERROR(VLOOKUP($C120,Code!$H:$Q,5,FALSE),"")</f>
        <v>0.34720000000000001</v>
      </c>
      <c r="T120" s="177" t="str">
        <f t="shared" ca="1" si="13"/>
        <v/>
      </c>
      <c r="U120" s="178" t="str">
        <f t="shared" ca="1" si="14"/>
        <v/>
      </c>
      <c r="V120" s="179">
        <f>IFERROR(VLOOKUP($C120,Code!$H:$Q,6,FALSE),"")</f>
        <v>569.29</v>
      </c>
      <c r="W120" s="180" t="str">
        <f t="shared" ca="1" si="15"/>
        <v/>
      </c>
      <c r="X120" s="12"/>
      <c r="Y120" s="12"/>
      <c r="Z120" s="12"/>
      <c r="AA120" s="12"/>
      <c r="AB120" s="12"/>
    </row>
    <row r="121" spans="1:28" s="10" customFormat="1" ht="15" hidden="1">
      <c r="A121" s="9"/>
      <c r="B121" s="169" cm="1">
        <f t="array" ref="B121">_xlfn.IFS(OR(Code!R452&lt;&gt;Code!U452,Code!R452=""),0,Code!R452=Code!U452,1)</f>
        <v>1</v>
      </c>
      <c r="C121" s="193" t="str">
        <f>IF(Code!F452="","",Code!F452)</f>
        <v>TTWO</v>
      </c>
      <c r="D121" s="155" t="str">
        <f>IFERROR(VLOOKUP($C121,Code!$H:$K,2,FALSE),"")</f>
        <v>XLC</v>
      </c>
      <c r="E121" s="156" t="str">
        <f>IFERROR(VLOOKUP($C121,Code!$H:$K,3,FALSE),"")</f>
        <v>電子游戲與多媒體</v>
      </c>
      <c r="F121" s="157" t="str">
        <f>IFERROR(VLOOKUP($C121,Code!$H:$K,4,FALSE),"")</f>
        <v>.SPX</v>
      </c>
      <c r="G121" s="170">
        <f>IFERROR(((VLOOKUP($C121,Code!$H:$Q,9,FALSE))+(VLOOKUP($C121,Code!$H:$Q,10,FALSE)))/2*0.5/(((VLOOKUP($C121,Code!$H:$Q,7,FALSE))+(VLOOKUP($C121,Code!$H:$Q,8,FALSE)))/2),0)</f>
        <v>0.60471589978712958</v>
      </c>
      <c r="H121" s="171" t="str">
        <f t="shared" si="8"/>
        <v>L</v>
      </c>
      <c r="I121" s="170">
        <f>IFERROR((VLOOKUP($C121,Code!$H:$Q,5,FALSE))/(((VLOOKUP($C121,Code!$H:$Q,7,FALSE))+(VLOOKUP($C121,Code!$H:$Q,8,FALSE)))/2)-1,0)</f>
        <v>-6.0422466022597043E-2</v>
      </c>
      <c r="J121" s="204" t="str">
        <f>IFERROR(POWER((VLOOKUP(C121,Code!H:W,12,FALSE))/(VLOOKUP(C121,Code!H:W,15,FALSE)),1/(P121-1))-1,"")</f>
        <v/>
      </c>
      <c r="K121" s="172" t="str" cm="1">
        <f t="array" ref="K121">IFERROR(IF(C121="","",_xlfn.IFS(AND(VLOOKUP(C121,Code!H:W,13,FALSE)=0,VLOOKUP(C121,Code!H:W,16,FALSE)=0),"無股息",AND(VLOOKUP(C121,Code!H:W,13,FALSE)=0,VLOOKUP(C121,Code!H:W,16,FALSE)&gt;0),"股息沒了",AND(VLOOKUP(C121,Code!H:W,13,FALSE)&gt;0,VLOOKUP(C121,Code!H:W,16,FALSE)=0),"發股息了",AND(VLOOKUP(C121,Code!H:W,13,FALSE)&gt;0,VLOOKUP(C121,Code!H:W,16,FALSE)&gt;0),POWER((VLOOKUP(C121,Code!H:W,13,FALSE))/(VLOOKUP(C121,Code!H:W,16,FALSE)),1/(P121-1))-1)),"")</f>
        <v>無股息</v>
      </c>
      <c r="L121" s="173" t="str">
        <f>IFERROR(VLOOKUP(C121,Code!H:W,13,FALSE)*4/VLOOKUP(C121,Code!H:W,12,FALSE),"")</f>
        <v/>
      </c>
      <c r="M121" s="172" t="str">
        <f t="shared" si="9"/>
        <v/>
      </c>
      <c r="N121" s="172" t="str">
        <f t="shared" si="10"/>
        <v/>
      </c>
      <c r="O121" s="172" t="str">
        <f t="shared" si="11"/>
        <v/>
      </c>
      <c r="P121" s="205">
        <f>IFERROR(YEARFRAC(VLOOKUP(C121,Code!H:W,11,FALSE),VLOOKUP(C121,Code!H:W,14,FALSE),3),"")</f>
        <v>0</v>
      </c>
      <c r="Q121" s="174">
        <v>44547</v>
      </c>
      <c r="R121" s="175" t="str">
        <f t="shared" ca="1" si="12"/>
        <v/>
      </c>
      <c r="S121" s="176">
        <f>IFERROR(VLOOKUP($C121,Code!$H:$Q,5,FALSE),"")</f>
        <v>0.28689999999999999</v>
      </c>
      <c r="T121" s="177" t="str">
        <f t="shared" ca="1" si="13"/>
        <v/>
      </c>
      <c r="U121" s="178" t="str">
        <f t="shared" ca="1" si="14"/>
        <v/>
      </c>
      <c r="V121" s="179">
        <f>IFERROR(VLOOKUP($C121,Code!$H:$Q,6,FALSE),"")</f>
        <v>156.78</v>
      </c>
      <c r="W121" s="180" t="str">
        <f t="shared" ca="1" si="15"/>
        <v/>
      </c>
      <c r="X121" s="12"/>
      <c r="Y121" s="12"/>
      <c r="Z121" s="12"/>
      <c r="AA121" s="12"/>
      <c r="AB121" s="12"/>
    </row>
    <row r="122" spans="1:28" s="10" customFormat="1" ht="15" hidden="1">
      <c r="A122" s="9"/>
      <c r="B122" s="169" cm="1">
        <f t="array" ref="B122">_xlfn.IFS(OR(Code!R309&lt;&gt;Code!U309,Code!R309=""),0,Code!R309=Code!U309,1)</f>
        <v>0</v>
      </c>
      <c r="C122" s="193" t="str">
        <f>IF(Code!F309="","",Code!F309)</f>
        <v>MMC</v>
      </c>
      <c r="D122" s="155" t="str">
        <f>IFERROR(VLOOKUP($C122,Code!$H:$K,2,FALSE),"")</f>
        <v>XLF</v>
      </c>
      <c r="E122" s="156" t="str">
        <f>IFERROR(VLOOKUP($C122,Code!$H:$K,3,FALSE),"")</f>
        <v>保險經紀</v>
      </c>
      <c r="F122" s="157" t="str">
        <f>IFERROR(VLOOKUP($C122,Code!$H:$K,4,FALSE),"")</f>
        <v>.SPX</v>
      </c>
      <c r="G122" s="170">
        <f>IFERROR(((VLOOKUP($C122,Code!$H:$Q,9,FALSE))+(VLOOKUP($C122,Code!$H:$Q,10,FALSE)))/2*0.5/(((VLOOKUP($C122,Code!$H:$Q,7,FALSE))+(VLOOKUP($C122,Code!$H:$Q,8,FALSE)))/2),0)</f>
        <v>0.69446715726355956</v>
      </c>
      <c r="H122" s="171" t="str">
        <f t="shared" si="8"/>
        <v>L</v>
      </c>
      <c r="I122" s="170">
        <f>IFERROR((VLOOKUP($C122,Code!$H:$Q,5,FALSE))/(((VLOOKUP($C122,Code!$H:$Q,7,FALSE))+(VLOOKUP($C122,Code!$H:$Q,8,FALSE)))/2)-1,0)</f>
        <v>-6.1869719269555756E-2</v>
      </c>
      <c r="J122" s="204">
        <f>IFERROR(POWER((VLOOKUP(C122,Code!H:W,12,FALSE))/(VLOOKUP(C122,Code!H:W,15,FALSE)),1/(P122-1))-1,"")</f>
        <v>0.2549247772233465</v>
      </c>
      <c r="K122" s="172" cm="1">
        <f t="array" ref="K122">IFERROR(IF(C122="","",_xlfn.IFS(AND(VLOOKUP(C122,Code!H:W,13,FALSE)=0,VLOOKUP(C122,Code!H:W,16,FALSE)=0),"無股息",AND(VLOOKUP(C122,Code!H:W,13,FALSE)=0,VLOOKUP(C122,Code!H:W,16,FALSE)&gt;0),"股息沒了",AND(VLOOKUP(C122,Code!H:W,13,FALSE)&gt;0,VLOOKUP(C122,Code!H:W,16,FALSE)=0),"發股息了",AND(VLOOKUP(C122,Code!H:W,13,FALSE)&gt;0,VLOOKUP(C122,Code!H:W,16,FALSE)&gt;0),POWER((VLOOKUP(C122,Code!H:W,13,FALSE))/(VLOOKUP(C122,Code!H:W,16,FALSE)),1/(P122-1))-1)),"")</f>
        <v>0.12631583778879252</v>
      </c>
      <c r="L122" s="173">
        <f>IFERROR(VLOOKUP(C122,Code!H:W,13,FALSE)*4/VLOOKUP(C122,Code!H:W,12,FALSE),"")</f>
        <v>1.4780026930251745E-2</v>
      </c>
      <c r="M122" s="172">
        <f t="shared" si="9"/>
        <v>0.38124061501213902</v>
      </c>
      <c r="N122" s="172" t="str">
        <f t="shared" si="10"/>
        <v>-</v>
      </c>
      <c r="O122" s="172" t="str">
        <f t="shared" si="11"/>
        <v>-</v>
      </c>
      <c r="P122" s="205">
        <f>IFERROR(YEARFRAC(VLOOKUP(C122,Code!H:W,11,FALSE),VLOOKUP(C122,Code!H:W,14,FALSE),3),"")</f>
        <v>4.8109589041095893</v>
      </c>
      <c r="Q122" s="174">
        <v>44547</v>
      </c>
      <c r="R122" s="175" t="str">
        <f t="shared" ca="1" si="12"/>
        <v/>
      </c>
      <c r="S122" s="176">
        <f>IFERROR(VLOOKUP($C122,Code!$H:$Q,5,FALSE),"")</f>
        <v>0.1721</v>
      </c>
      <c r="T122" s="177" t="str">
        <f t="shared" ca="1" si="13"/>
        <v/>
      </c>
      <c r="U122" s="178" t="str">
        <f t="shared" ca="1" si="14"/>
        <v/>
      </c>
      <c r="V122" s="179">
        <f>IFERROR(VLOOKUP($C122,Code!$H:$Q,6,FALSE),"")</f>
        <v>151.54</v>
      </c>
      <c r="W122" s="180" t="str">
        <f t="shared" ca="1" si="15"/>
        <v/>
      </c>
      <c r="X122" s="12"/>
      <c r="Y122" s="12"/>
      <c r="Z122" s="12"/>
      <c r="AA122" s="12"/>
      <c r="AB122" s="12"/>
    </row>
    <row r="123" spans="1:28" s="10" customFormat="1" ht="15" hidden="1">
      <c r="A123" s="9"/>
      <c r="B123" s="169" cm="1">
        <f t="array" ref="B123">_xlfn.IFS(OR(Code!R130&lt;&gt;Code!U130,Code!R130=""),0,Code!R130=Code!U130,1)</f>
        <v>0</v>
      </c>
      <c r="C123" s="193" t="str">
        <f>IF(Code!F130="","",Code!F130)</f>
        <v>DE</v>
      </c>
      <c r="D123" s="155" t="str">
        <f>IFERROR(VLOOKUP($C123,Code!$H:$K,2,FALSE),"")</f>
        <v>XLI</v>
      </c>
      <c r="E123" s="156" t="str">
        <f>IFERROR(VLOOKUP($C123,Code!$H:$K,3,FALSE),"")</f>
        <v>農重工程機械</v>
      </c>
      <c r="F123" s="157" t="str">
        <f>IFERROR(VLOOKUP($C123,Code!$H:$K,4,FALSE),"")</f>
        <v>.SPX</v>
      </c>
      <c r="G123" s="170">
        <f>IFERROR(((VLOOKUP($C123,Code!$H:$Q,9,FALSE))+(VLOOKUP($C123,Code!$H:$Q,10,FALSE)))/2*0.5/(((VLOOKUP($C123,Code!$H:$Q,7,FALSE))+(VLOOKUP($C123,Code!$H:$Q,8,FALSE)))/2),0)</f>
        <v>0.51739269187809156</v>
      </c>
      <c r="H123" s="171" t="str">
        <f t="shared" si="8"/>
        <v>M</v>
      </c>
      <c r="I123" s="170">
        <f>IFERROR((VLOOKUP($C123,Code!$H:$Q,5,FALSE))/(((VLOOKUP($C123,Code!$H:$Q,7,FALSE))+(VLOOKUP($C123,Code!$H:$Q,8,FALSE)))/2)-1,0)</f>
        <v>-6.3985958193713111E-2</v>
      </c>
      <c r="J123" s="204">
        <f>IFERROR(POWER((VLOOKUP(C123,Code!H:W,12,FALSE))/(VLOOKUP(C123,Code!H:W,15,FALSE)),1/(P123-1))-1,"")</f>
        <v>0.49404838914555493</v>
      </c>
      <c r="K123" s="172" cm="1">
        <f t="array" ref="K123">IFERROR(IF(C123="","",_xlfn.IFS(AND(VLOOKUP(C123,Code!H:W,13,FALSE)=0,VLOOKUP(C123,Code!H:W,16,FALSE)=0),"無股息",AND(VLOOKUP(C123,Code!H:W,13,FALSE)=0,VLOOKUP(C123,Code!H:W,16,FALSE)&gt;0),"股息沒了",AND(VLOOKUP(C123,Code!H:W,13,FALSE)&gt;0,VLOOKUP(C123,Code!H:W,16,FALSE)=0),"發股息了",AND(VLOOKUP(C123,Code!H:W,13,FALSE)&gt;0,VLOOKUP(C123,Code!H:W,16,FALSE)&gt;0),POWER((VLOOKUP(C123,Code!H:W,13,FALSE))/(VLOOKUP(C123,Code!H:W,16,FALSE)),1/(P123-1))-1)),"")</f>
        <v>0.11407601528361733</v>
      </c>
      <c r="L123" s="173">
        <f>IFERROR(VLOOKUP(C123,Code!H:W,13,FALSE)*4/VLOOKUP(C123,Code!H:W,12,FALSE),"")</f>
        <v>1.0317255826572209E-2</v>
      </c>
      <c r="M123" s="172">
        <f t="shared" si="9"/>
        <v>0.60812440442917226</v>
      </c>
      <c r="N123" s="172" t="str">
        <f t="shared" si="10"/>
        <v>-</v>
      </c>
      <c r="O123" s="172" t="str">
        <f t="shared" si="11"/>
        <v>-</v>
      </c>
      <c r="P123" s="205">
        <f>IFERROR(YEARFRAC(VLOOKUP(C123,Code!H:W,11,FALSE),VLOOKUP(C123,Code!H:W,14,FALSE),3),"")</f>
        <v>4.7534246575342465</v>
      </c>
      <c r="Q123" s="174">
        <v>44547</v>
      </c>
      <c r="R123" s="175" t="str">
        <f t="shared" ca="1" si="12"/>
        <v/>
      </c>
      <c r="S123" s="176">
        <f>IFERROR(VLOOKUP($C123,Code!$H:$Q,5,FALSE),"")</f>
        <v>0.29330000000000001</v>
      </c>
      <c r="T123" s="177" t="str">
        <f t="shared" ca="1" si="13"/>
        <v/>
      </c>
      <c r="U123" s="178" t="str">
        <f t="shared" ca="1" si="14"/>
        <v/>
      </c>
      <c r="V123" s="179">
        <f>IFERROR(VLOOKUP($C123,Code!$H:$Q,6,FALSE),"")</f>
        <v>364.32</v>
      </c>
      <c r="W123" s="180" t="str">
        <f t="shared" ca="1" si="15"/>
        <v/>
      </c>
      <c r="X123" s="12"/>
      <c r="Y123" s="12"/>
      <c r="Z123" s="12"/>
      <c r="AA123" s="12"/>
      <c r="AB123" s="12"/>
    </row>
    <row r="124" spans="1:28" s="10" customFormat="1" ht="15" hidden="1">
      <c r="A124" s="9"/>
      <c r="B124" s="169" cm="1">
        <f t="array" ref="B124">_xlfn.IFS(OR(Code!R316&lt;&gt;Code!U316,Code!R316=""),0,Code!R316=Code!U316,1)</f>
        <v>0</v>
      </c>
      <c r="C124" s="193" t="str">
        <f>IF(Code!F316="","",Code!F316)</f>
        <v>MRK</v>
      </c>
      <c r="D124" s="155" t="str">
        <f>IFERROR(VLOOKUP($C124,Code!$H:$K,2,FALSE),"")</f>
        <v>XLV</v>
      </c>
      <c r="E124" s="156" t="str">
        <f>IFERROR(VLOOKUP($C124,Code!$H:$K,3,FALSE),"")</f>
        <v>藥品製造商— 常規</v>
      </c>
      <c r="F124" s="157" t="str">
        <f>IFERROR(VLOOKUP($C124,Code!$H:$K,4,FALSE),"")</f>
        <v>.SPX</v>
      </c>
      <c r="G124" s="170">
        <f>IFERROR(((VLOOKUP($C124,Code!$H:$Q,9,FALSE))+(VLOOKUP($C124,Code!$H:$Q,10,FALSE)))/2*0.5/(((VLOOKUP($C124,Code!$H:$Q,7,FALSE))+(VLOOKUP($C124,Code!$H:$Q,8,FALSE)))/2),0)</f>
        <v>0.66143373159210894</v>
      </c>
      <c r="H124" s="171" t="str">
        <f t="shared" si="8"/>
        <v>L</v>
      </c>
      <c r="I124" s="170">
        <f>IFERROR((VLOOKUP($C124,Code!$H:$Q,5,FALSE))/(((VLOOKUP($C124,Code!$H:$Q,7,FALSE))+(VLOOKUP($C124,Code!$H:$Q,8,FALSE)))/2)-1,0)</f>
        <v>-6.5851625451514351E-2</v>
      </c>
      <c r="J124" s="204">
        <f>IFERROR(POWER((VLOOKUP(C124,Code!H:W,12,FALSE))/(VLOOKUP(C124,Code!H:W,15,FALSE)),1/(P124-1))-1,"")</f>
        <v>0.10942359859214612</v>
      </c>
      <c r="K124" s="172" cm="1">
        <f t="array" ref="K124">IFERROR(IF(C124="","",_xlfn.IFS(AND(VLOOKUP(C124,Code!H:W,13,FALSE)=0,VLOOKUP(C124,Code!H:W,16,FALSE)=0),"無股息",AND(VLOOKUP(C124,Code!H:W,13,FALSE)=0,VLOOKUP(C124,Code!H:W,16,FALSE)&gt;0),"股息沒了",AND(VLOOKUP(C124,Code!H:W,13,FALSE)&gt;0,VLOOKUP(C124,Code!H:W,16,FALSE)=0),"發股息了",AND(VLOOKUP(C124,Code!H:W,13,FALSE)&gt;0,VLOOKUP(C124,Code!H:W,16,FALSE)&gt;0),POWER((VLOOKUP(C124,Code!H:W,13,FALSE))/(VLOOKUP(C124,Code!H:W,16,FALSE)),1/(P124-1))-1)),"")</f>
        <v>0.11027289845464927</v>
      </c>
      <c r="L124" s="173">
        <f>IFERROR(VLOOKUP(C124,Code!H:W,13,FALSE)*4/VLOOKUP(C124,Code!H:W,12,FALSE),"")</f>
        <v>3.4459908617141134E-2</v>
      </c>
      <c r="M124" s="172">
        <f t="shared" si="9"/>
        <v>0.21969649704679539</v>
      </c>
      <c r="N124" s="172" t="str">
        <f t="shared" si="10"/>
        <v>Venture</v>
      </c>
      <c r="O124" s="172" t="str">
        <f t="shared" si="11"/>
        <v>-</v>
      </c>
      <c r="P124" s="205">
        <f>IFERROR(YEARFRAC(VLOOKUP(C124,Code!H:W,11,FALSE),VLOOKUP(C124,Code!H:W,14,FALSE),3),"")</f>
        <v>4.7534246575342465</v>
      </c>
      <c r="Q124" s="174">
        <v>44547</v>
      </c>
      <c r="R124" s="175" t="str">
        <f t="shared" ca="1" si="12"/>
        <v/>
      </c>
      <c r="S124" s="176">
        <f>IFERROR(VLOOKUP($C124,Code!$H:$Q,5,FALSE),"")</f>
        <v>0.1681</v>
      </c>
      <c r="T124" s="177" t="str">
        <f t="shared" ca="1" si="13"/>
        <v/>
      </c>
      <c r="U124" s="178" t="str">
        <f t="shared" ca="1" si="14"/>
        <v/>
      </c>
      <c r="V124" s="179">
        <f>IFERROR(VLOOKUP($C124,Code!$H:$Q,6,FALSE),"")</f>
        <v>75.22</v>
      </c>
      <c r="W124" s="180" t="str">
        <f t="shared" ca="1" si="15"/>
        <v/>
      </c>
      <c r="X124" s="12"/>
      <c r="Y124" s="12"/>
      <c r="Z124" s="12"/>
      <c r="AA124" s="12"/>
      <c r="AB124" s="12"/>
    </row>
    <row r="125" spans="1:28" s="10" customFormat="1" ht="15" hidden="1">
      <c r="A125" s="9"/>
      <c r="B125" s="169" cm="1">
        <f t="array" ref="B125">_xlfn.IFS(OR(Code!R332&lt;&gt;Code!U332,Code!R332=""),0,Code!R332=Code!U332,1)</f>
        <v>0</v>
      </c>
      <c r="C125" s="193" t="str">
        <f>IF(Code!F332="","",Code!F332)</f>
        <v>NI</v>
      </c>
      <c r="D125" s="155" t="str">
        <f>IFERROR(VLOOKUP($C125,Code!$H:$K,2,FALSE),"")</f>
        <v>XLU</v>
      </c>
      <c r="E125" s="156" t="str">
        <f>IFERROR(VLOOKUP($C125,Code!$H:$K,3,FALSE),"")</f>
        <v>公用事業-管制氣體</v>
      </c>
      <c r="F125" s="157" t="str">
        <f>IFERROR(VLOOKUP($C125,Code!$H:$K,4,FALSE),"")</f>
        <v>.SPX</v>
      </c>
      <c r="G125" s="170">
        <f>IFERROR(((VLOOKUP($C125,Code!$H:$Q,9,FALSE))+(VLOOKUP($C125,Code!$H:$Q,10,FALSE)))/2*0.5/(((VLOOKUP($C125,Code!$H:$Q,7,FALSE))+(VLOOKUP($C125,Code!$H:$Q,8,FALSE)))/2),0)</f>
        <v>0.70076319694721223</v>
      </c>
      <c r="H125" s="171" t="str">
        <f t="shared" si="8"/>
        <v>XL</v>
      </c>
      <c r="I125" s="170">
        <f>IFERROR((VLOOKUP($C125,Code!$H:$Q,5,FALSE))/(((VLOOKUP($C125,Code!$H:$Q,7,FALSE))+(VLOOKUP($C125,Code!$H:$Q,8,FALSE)))/2)-1,0)</f>
        <v>-6.6355734577061676E-2</v>
      </c>
      <c r="J125" s="204">
        <f>IFERROR(POWER((VLOOKUP(C125,Code!H:W,12,FALSE))/(VLOOKUP(C125,Code!H:W,15,FALSE)),1/(P125-1))-1,"")</f>
        <v>7.2403245635127567E-2</v>
      </c>
      <c r="K125" s="172" cm="1">
        <f t="array" ref="K125">IFERROR(IF(C125="","",_xlfn.IFS(AND(VLOOKUP(C125,Code!H:W,13,FALSE)=0,VLOOKUP(C125,Code!H:W,16,FALSE)=0),"無股息",AND(VLOOKUP(C125,Code!H:W,13,FALSE)=0,VLOOKUP(C125,Code!H:W,16,FALSE)&gt;0),"股息沒了",AND(VLOOKUP(C125,Code!H:W,13,FALSE)&gt;0,VLOOKUP(C125,Code!H:W,16,FALSE)=0),"發股息了",AND(VLOOKUP(C125,Code!H:W,13,FALSE)&gt;0,VLOOKUP(C125,Code!H:W,16,FALSE)&gt;0),POWER((VLOOKUP(C125,Code!H:W,13,FALSE))/(VLOOKUP(C125,Code!H:W,16,FALSE)),1/(P125-1))-1)),"")</f>
        <v>7.9598614775020726E-2</v>
      </c>
      <c r="L125" s="173">
        <f>IFERROR(VLOOKUP(C125,Code!H:W,13,FALSE)*4/VLOOKUP(C125,Code!H:W,12,FALSE),"")</f>
        <v>3.4920633863399705E-2</v>
      </c>
      <c r="M125" s="172">
        <f t="shared" si="9"/>
        <v>0.15200186041014829</v>
      </c>
      <c r="N125" s="172" t="str">
        <f t="shared" si="10"/>
        <v>-</v>
      </c>
      <c r="O125" s="172" t="str">
        <f t="shared" si="11"/>
        <v>-</v>
      </c>
      <c r="P125" s="205">
        <f>IFERROR(YEARFRAC(VLOOKUP(C125,Code!H:W,11,FALSE),VLOOKUP(C125,Code!H:W,14,FALSE),3),"")</f>
        <v>4.7561643835616438</v>
      </c>
      <c r="Q125" s="174">
        <v>44547</v>
      </c>
      <c r="R125" s="175" t="str">
        <f t="shared" ca="1" si="12"/>
        <v/>
      </c>
      <c r="S125" s="176">
        <f>IFERROR(VLOOKUP($C125,Code!$H:$Q,5,FALSE),"")</f>
        <v>0.22020000000000001</v>
      </c>
      <c r="T125" s="177" t="str">
        <f t="shared" ca="1" si="13"/>
        <v/>
      </c>
      <c r="U125" s="178" t="str">
        <f t="shared" ca="1" si="14"/>
        <v/>
      </c>
      <c r="V125" s="179">
        <f>IFERROR(VLOOKUP($C125,Code!$H:$Q,6,FALSE),"")</f>
        <v>25.6</v>
      </c>
      <c r="W125" s="180" t="str">
        <f t="shared" ca="1" si="15"/>
        <v/>
      </c>
      <c r="X125" s="12"/>
      <c r="Y125" s="12"/>
      <c r="Z125" s="12"/>
      <c r="AA125" s="12"/>
      <c r="AB125" s="12"/>
    </row>
    <row r="126" spans="1:28" s="10" customFormat="1" ht="15" hidden="1">
      <c r="A126" s="9"/>
      <c r="B126" s="169" cm="1">
        <f t="array" ref="B126">_xlfn.IFS(OR(Code!R187&lt;&gt;Code!U187,Code!R187=""),0,Code!R187=Code!U187,1)</f>
        <v>1</v>
      </c>
      <c r="C126" s="193" t="str">
        <f>IF(Code!F187="","",Code!F187)</f>
        <v>FISV</v>
      </c>
      <c r="D126" s="155" t="str">
        <f>IFERROR(VLOOKUP($C126,Code!$H:$K,2,FALSE),"")</f>
        <v>XLK</v>
      </c>
      <c r="E126" s="156" t="str">
        <f>IFERROR(VLOOKUP($C126,Code!$H:$K,3,FALSE),"")</f>
        <v>信息技術處</v>
      </c>
      <c r="F126" s="157" t="str">
        <f>IFERROR(VLOOKUP($C126,Code!$H:$K,4,FALSE),"")</f>
        <v>.SPX</v>
      </c>
      <c r="G126" s="170">
        <f>IFERROR(((VLOOKUP($C126,Code!$H:$Q,9,FALSE))+(VLOOKUP($C126,Code!$H:$Q,10,FALSE)))/2*0.5/(((VLOOKUP($C126,Code!$H:$Q,7,FALSE))+(VLOOKUP($C126,Code!$H:$Q,8,FALSE)))/2),0)</f>
        <v>0.61117647058823521</v>
      </c>
      <c r="H126" s="171" t="str">
        <f t="shared" si="8"/>
        <v>L</v>
      </c>
      <c r="I126" s="170">
        <f>IFERROR((VLOOKUP($C126,Code!$H:$Q,5,FALSE))/(((VLOOKUP($C126,Code!$H:$Q,7,FALSE))+(VLOOKUP($C126,Code!$H:$Q,8,FALSE)))/2)-1,0)</f>
        <v>-6.7843137254901986E-2</v>
      </c>
      <c r="J126" s="204">
        <f>IFERROR(POWER((VLOOKUP(C126,Code!H:W,12,FALSE))/(VLOOKUP(C126,Code!H:W,15,FALSE)),1/(P126-1))-1,"")</f>
        <v>0</v>
      </c>
      <c r="K126" s="172" t="str" cm="1">
        <f t="array" ref="K126">IFERROR(IF(C126="","",_xlfn.IFS(AND(VLOOKUP(C126,Code!H:W,13,FALSE)=0,VLOOKUP(C126,Code!H:W,16,FALSE)=0),"無股息",AND(VLOOKUP(C126,Code!H:W,13,FALSE)=0,VLOOKUP(C126,Code!H:W,16,FALSE)&gt;0),"股息沒了",AND(VLOOKUP(C126,Code!H:W,13,FALSE)&gt;0,VLOOKUP(C126,Code!H:W,16,FALSE)=0),"發股息了",AND(VLOOKUP(C126,Code!H:W,13,FALSE)&gt;0,VLOOKUP(C126,Code!H:W,16,FALSE)&gt;0),POWER((VLOOKUP(C126,Code!H:W,13,FALSE))/(VLOOKUP(C126,Code!H:W,16,FALSE)),1/(P126-1))-1)),"")</f>
        <v>無股息</v>
      </c>
      <c r="L126" s="173">
        <f>IFERROR(VLOOKUP(C126,Code!H:W,13,FALSE)*4/VLOOKUP(C126,Code!H:W,12,FALSE),"")</f>
        <v>0</v>
      </c>
      <c r="M126" s="172" t="str">
        <f t="shared" si="9"/>
        <v/>
      </c>
      <c r="N126" s="172" t="str">
        <f t="shared" si="10"/>
        <v>-</v>
      </c>
      <c r="O126" s="172" t="str">
        <f t="shared" si="11"/>
        <v/>
      </c>
      <c r="P126" s="205">
        <f>IFERROR(YEARFRAC(VLOOKUP(C126,Code!H:W,11,FALSE),VLOOKUP(C126,Code!H:W,14,FALSE),3),"")</f>
        <v>0</v>
      </c>
      <c r="Q126" s="174">
        <v>44547</v>
      </c>
      <c r="R126" s="175" t="str">
        <f t="shared" ca="1" si="12"/>
        <v/>
      </c>
      <c r="S126" s="176">
        <f>IFERROR(VLOOKUP($C126,Code!$H:$Q,5,FALSE),"")</f>
        <v>0.23769999999999999</v>
      </c>
      <c r="T126" s="177" t="str">
        <f t="shared" ca="1" si="13"/>
        <v/>
      </c>
      <c r="U126" s="178" t="str">
        <f t="shared" ca="1" si="14"/>
        <v/>
      </c>
      <c r="V126" s="179">
        <f>IFERROR(VLOOKUP($C126,Code!$H:$Q,6,FALSE),"")</f>
        <v>109.64</v>
      </c>
      <c r="W126" s="180" t="str">
        <f t="shared" ca="1" si="15"/>
        <v/>
      </c>
      <c r="X126" s="12"/>
      <c r="Y126" s="12"/>
      <c r="Z126" s="12"/>
      <c r="AA126" s="12"/>
      <c r="AB126" s="12"/>
    </row>
    <row r="127" spans="1:28" s="10" customFormat="1" ht="15" hidden="1">
      <c r="A127" s="9"/>
      <c r="B127" s="169" cm="1">
        <f t="array" ref="B127">_xlfn.IFS(OR(Code!R328&lt;&gt;Code!U328,Code!R328=""),0,Code!R328=Code!U328,1)</f>
        <v>0</v>
      </c>
      <c r="C127" s="193" t="str">
        <f>IF(Code!F328="","",Code!F328)</f>
        <v>NDAQ</v>
      </c>
      <c r="D127" s="155" t="str">
        <f>IFERROR(VLOOKUP($C127,Code!$H:$K,2,FALSE),"")</f>
        <v>XLF</v>
      </c>
      <c r="E127" s="156" t="str">
        <f>IFERROR(VLOOKUP($C127,Code!$H:$K,3,FALSE),"")</f>
        <v>金融數據與證券交易所</v>
      </c>
      <c r="F127" s="157" t="str">
        <f>IFERROR(VLOOKUP($C127,Code!$H:$K,4,FALSE),"")</f>
        <v>.SPX</v>
      </c>
      <c r="G127" s="170">
        <f>IFERROR(((VLOOKUP($C127,Code!$H:$Q,9,FALSE))+(VLOOKUP($C127,Code!$H:$Q,10,FALSE)))/2*0.5/(((VLOOKUP($C127,Code!$H:$Q,7,FALSE))+(VLOOKUP($C127,Code!$H:$Q,8,FALSE)))/2),0)</f>
        <v>0.65023956194387422</v>
      </c>
      <c r="H127" s="171" t="str">
        <f t="shared" si="8"/>
        <v>L</v>
      </c>
      <c r="I127" s="170">
        <f>IFERROR((VLOOKUP($C127,Code!$H:$Q,5,FALSE))/(((VLOOKUP($C127,Code!$H:$Q,7,FALSE))+(VLOOKUP($C127,Code!$H:$Q,8,FALSE)))/2)-1,0)</f>
        <v>-6.8218115446041505E-2</v>
      </c>
      <c r="J127" s="204">
        <f>IFERROR(POWER((VLOOKUP(C127,Code!H:W,12,FALSE))/(VLOOKUP(C127,Code!H:W,15,FALSE)),1/(P127-1))-1,"")</f>
        <v>0.30044389998800791</v>
      </c>
      <c r="K127" s="172" cm="1">
        <f t="array" ref="K127">IFERROR(IF(C127="","",_xlfn.IFS(AND(VLOOKUP(C127,Code!H:W,13,FALSE)=0,VLOOKUP(C127,Code!H:W,16,FALSE)=0),"無股息",AND(VLOOKUP(C127,Code!H:W,13,FALSE)=0,VLOOKUP(C127,Code!H:W,16,FALSE)&gt;0),"股息沒了",AND(VLOOKUP(C127,Code!H:W,13,FALSE)&gt;0,VLOOKUP(C127,Code!H:W,16,FALSE)=0),"發股息了",AND(VLOOKUP(C127,Code!H:W,13,FALSE)&gt;0,VLOOKUP(C127,Code!H:W,16,FALSE)&gt;0),POWER((VLOOKUP(C127,Code!H:W,13,FALSE))/(VLOOKUP(C127,Code!H:W,16,FALSE)),1/(P127-1))-1)),"")</f>
        <v>0.15017737580363444</v>
      </c>
      <c r="L127" s="173">
        <f>IFERROR(VLOOKUP(C127,Code!H:W,13,FALSE)*4/VLOOKUP(C127,Code!H:W,12,FALSE),"")</f>
        <v>1.2829650701885307E-2</v>
      </c>
      <c r="M127" s="172">
        <f t="shared" si="9"/>
        <v>0.45062127579164235</v>
      </c>
      <c r="N127" s="172" t="str">
        <f t="shared" si="10"/>
        <v>-</v>
      </c>
      <c r="O127" s="172" t="str">
        <f t="shared" si="11"/>
        <v>Value</v>
      </c>
      <c r="P127" s="205">
        <f>IFERROR(YEARFRAC(VLOOKUP(C127,Code!H:W,11,FALSE),VLOOKUP(C127,Code!H:W,14,FALSE),3),"")</f>
        <v>4.7397260273972606</v>
      </c>
      <c r="Q127" s="174">
        <v>44547</v>
      </c>
      <c r="R127" s="175" t="str">
        <f t="shared" ca="1" si="12"/>
        <v/>
      </c>
      <c r="S127" s="176">
        <f>IFERROR(VLOOKUP($C127,Code!$H:$Q,5,FALSE),"")</f>
        <v>0.20419999999999999</v>
      </c>
      <c r="T127" s="177" t="str">
        <f t="shared" ca="1" si="13"/>
        <v/>
      </c>
      <c r="U127" s="178" t="str">
        <f t="shared" ca="1" si="14"/>
        <v/>
      </c>
      <c r="V127" s="179">
        <f>IFERROR(VLOOKUP($C127,Code!$H:$Q,6,FALSE),"")</f>
        <v>188.68</v>
      </c>
      <c r="W127" s="180" t="str">
        <f t="shared" ca="1" si="15"/>
        <v/>
      </c>
      <c r="X127" s="12"/>
      <c r="Y127" s="12"/>
      <c r="Z127" s="12"/>
      <c r="AA127" s="12"/>
      <c r="AB127" s="12"/>
    </row>
    <row r="128" spans="1:28" s="10" customFormat="1" ht="15" hidden="1">
      <c r="A128" s="9"/>
      <c r="B128" s="169" cm="1">
        <f t="array" ref="B128">_xlfn.IFS(OR(Code!R46&lt;&gt;Code!U46,Code!R46=""),0,Code!R46=Code!U46,1)</f>
        <v>0</v>
      </c>
      <c r="C128" s="193" t="str">
        <f>IF(Code!F46="","",Code!F46)</f>
        <v>APH</v>
      </c>
      <c r="D128" s="155" t="str">
        <f>IFERROR(VLOOKUP($C128,Code!$H:$K,2,FALSE),"")</f>
        <v>XLK</v>
      </c>
      <c r="E128" s="156" t="str">
        <f>IFERROR(VLOOKUP($C128,Code!$H:$K,3,FALSE),"")</f>
        <v>電子元件</v>
      </c>
      <c r="F128" s="157" t="str">
        <f>IFERROR(VLOOKUP($C128,Code!$H:$K,4,FALSE),"")</f>
        <v>.SPX</v>
      </c>
      <c r="G128" s="170">
        <f>IFERROR(((VLOOKUP($C128,Code!$H:$Q,9,FALSE))+(VLOOKUP($C128,Code!$H:$Q,10,FALSE)))/2*0.5/(((VLOOKUP($C128,Code!$H:$Q,7,FALSE))+(VLOOKUP($C128,Code!$H:$Q,8,FALSE)))/2),0)</f>
        <v>0.6654203489689553</v>
      </c>
      <c r="H128" s="171" t="str">
        <f t="shared" si="8"/>
        <v>L</v>
      </c>
      <c r="I128" s="170">
        <f>IFERROR((VLOOKUP($C128,Code!$H:$Q,5,FALSE))/(((VLOOKUP($C128,Code!$H:$Q,7,FALSE))+(VLOOKUP($C128,Code!$H:$Q,8,FALSE)))/2)-1,0)</f>
        <v>-6.9113981418536197E-2</v>
      </c>
      <c r="J128" s="204">
        <f>IFERROR(POWER((VLOOKUP(C128,Code!H:W,12,FALSE))/(VLOOKUP(C128,Code!H:W,15,FALSE)),1/(P128-1))-1,"")</f>
        <v>0.24468840228802069</v>
      </c>
      <c r="K128" s="172" cm="1">
        <f t="array" ref="K128">IFERROR(IF(C128="","",_xlfn.IFS(AND(VLOOKUP(C128,Code!H:W,13,FALSE)=0,VLOOKUP(C128,Code!H:W,16,FALSE)=0),"無股息",AND(VLOOKUP(C128,Code!H:W,13,FALSE)=0,VLOOKUP(C128,Code!H:W,16,FALSE)&gt;0),"股息沒了",AND(VLOOKUP(C128,Code!H:W,13,FALSE)&gt;0,VLOOKUP(C128,Code!H:W,16,FALSE)=0),"發股息了",AND(VLOOKUP(C128,Code!H:W,13,FALSE)&gt;0,VLOOKUP(C128,Code!H:W,16,FALSE)&gt;0),POWER((VLOOKUP(C128,Code!H:W,13,FALSE))/(VLOOKUP(C128,Code!H:W,16,FALSE)),1/(P128-1))-1)),"")</f>
        <v>0.21224538751945432</v>
      </c>
      <c r="L128" s="173">
        <f>IFERROR(VLOOKUP(C128,Code!H:W,13,FALSE)*4/VLOOKUP(C128,Code!H:W,12,FALSE),"")</f>
        <v>8.6528421686193051E-3</v>
      </c>
      <c r="M128" s="172">
        <f t="shared" si="9"/>
        <v>0.45693378980747501</v>
      </c>
      <c r="N128" s="172" t="str">
        <f t="shared" si="10"/>
        <v>-</v>
      </c>
      <c r="O128" s="172" t="str">
        <f t="shared" si="11"/>
        <v>Value</v>
      </c>
      <c r="P128" s="205">
        <f>IFERROR(YEARFRAC(VLOOKUP(C128,Code!H:W,11,FALSE),VLOOKUP(C128,Code!H:W,14,FALSE),3),"")</f>
        <v>4.7835616438356166</v>
      </c>
      <c r="Q128" s="174">
        <v>44547</v>
      </c>
      <c r="R128" s="175" t="str">
        <f t="shared" ca="1" si="12"/>
        <v/>
      </c>
      <c r="S128" s="176">
        <f>IFERROR(VLOOKUP($C128,Code!$H:$Q,5,FALSE),"")</f>
        <v>0.2054</v>
      </c>
      <c r="T128" s="177" t="str">
        <f t="shared" ca="1" si="13"/>
        <v/>
      </c>
      <c r="U128" s="178" t="str">
        <f t="shared" ca="1" si="14"/>
        <v/>
      </c>
      <c r="V128" s="179">
        <f>IFERROR(VLOOKUP($C128,Code!$H:$Q,6,FALSE),"")</f>
        <v>73.680000000000007</v>
      </c>
      <c r="W128" s="180" t="str">
        <f t="shared" ca="1" si="15"/>
        <v/>
      </c>
      <c r="X128" s="12"/>
      <c r="Y128" s="12"/>
      <c r="Z128" s="12"/>
      <c r="AA128" s="12"/>
      <c r="AB128" s="12"/>
    </row>
    <row r="129" spans="1:28" s="10" customFormat="1" ht="15">
      <c r="A129" s="9"/>
      <c r="B129" s="169" cm="1">
        <f t="array" ref="B129">_xlfn.IFS(OR(Code!R153&lt;&gt;Code!U153,Code!R153=""),0,Code!R153=Code!U153,1)</f>
        <v>0</v>
      </c>
      <c r="C129" s="193" t="str">
        <f>IF(Code!F153="","",Code!F153)</f>
        <v>EA</v>
      </c>
      <c r="D129" s="155" t="str">
        <f>IFERROR(VLOOKUP($C129,Code!$H:$K,2,FALSE),"")</f>
        <v>XLC</v>
      </c>
      <c r="E129" s="156" t="str">
        <f>IFERROR(VLOOKUP($C129,Code!$H:$K,3,FALSE),"")</f>
        <v>電子游戲與多媒體</v>
      </c>
      <c r="F129" s="157" t="str">
        <f>IFERROR(VLOOKUP($C129,Code!$H:$K,4,FALSE),"")</f>
        <v>.SPX</v>
      </c>
      <c r="G129" s="170">
        <f>IFERROR(((VLOOKUP($C129,Code!$H:$Q,9,FALSE))+(VLOOKUP($C129,Code!$H:$Q,10,FALSE)))/2*0.5/(((VLOOKUP($C129,Code!$H:$Q,7,FALSE))+(VLOOKUP($C129,Code!$H:$Q,8,FALSE)))/2),0)</f>
        <v>0.63737103553687435</v>
      </c>
      <c r="H129" s="171" t="str">
        <f t="shared" si="8"/>
        <v>L</v>
      </c>
      <c r="I129" s="170">
        <f>IFERROR((VLOOKUP($C129,Code!$H:$Q,5,FALSE))/(((VLOOKUP($C129,Code!$H:$Q,7,FALSE))+(VLOOKUP($C129,Code!$H:$Q,8,FALSE)))/2)-1,0)</f>
        <v>-6.9545280855941916E-2</v>
      </c>
      <c r="J129" s="204">
        <f>IFERROR(POWER((VLOOKUP(C129,Code!H:W,12,FALSE))/(VLOOKUP(C129,Code!H:W,15,FALSE)),1/(P129-1))-1,"")</f>
        <v>-0.21837118281430434</v>
      </c>
      <c r="K129" s="172" cm="1">
        <f t="array" ref="K129">IFERROR(IF(C129="","",_xlfn.IFS(AND(VLOOKUP(C129,Code!H:W,13,FALSE)=0,VLOOKUP(C129,Code!H:W,16,FALSE)=0),"無股息",AND(VLOOKUP(C129,Code!H:W,13,FALSE)=0,VLOOKUP(C129,Code!H:W,16,FALSE)&gt;0),"股息沒了",AND(VLOOKUP(C129,Code!H:W,13,FALSE)&gt;0,VLOOKUP(C129,Code!H:W,16,FALSE)=0),"發股息了",AND(VLOOKUP(C129,Code!H:W,13,FALSE)&gt;0,VLOOKUP(C129,Code!H:W,16,FALSE)&gt;0),POWER((VLOOKUP(C129,Code!H:W,13,FALSE))/(VLOOKUP(C129,Code!H:W,16,FALSE)),1/(P129-1))-1)),"")</f>
        <v>0</v>
      </c>
      <c r="L129" s="173">
        <f>IFERROR(VLOOKUP(C129,Code!H:W,13,FALSE)*4/VLOOKUP(C129,Code!H:W,12,FALSE),"")</f>
        <v>4.7347167742566266E-3</v>
      </c>
      <c r="M129" s="172">
        <f t="shared" si="9"/>
        <v>-0.21837118281430434</v>
      </c>
      <c r="N129" s="172" t="str">
        <f t="shared" si="10"/>
        <v>-</v>
      </c>
      <c r="O129" s="172" t="str">
        <f t="shared" si="11"/>
        <v>-</v>
      </c>
      <c r="P129" s="205">
        <f>IFERROR(YEARFRAC(VLOOKUP(C129,Code!H:W,11,FALSE),VLOOKUP(C129,Code!H:W,14,FALSE),3),"")</f>
        <v>0.49863013698630138</v>
      </c>
      <c r="Q129" s="174">
        <v>44547</v>
      </c>
      <c r="R129" s="175" t="str">
        <f t="shared" ca="1" si="12"/>
        <v/>
      </c>
      <c r="S129" s="176">
        <f>IFERROR(VLOOKUP($C129,Code!$H:$Q,5,FALSE),"")</f>
        <v>0.24349999999999999</v>
      </c>
      <c r="T129" s="177" t="str">
        <f t="shared" ca="1" si="13"/>
        <v/>
      </c>
      <c r="U129" s="178" t="str">
        <f t="shared" ca="1" si="14"/>
        <v/>
      </c>
      <c r="V129" s="179">
        <f>IFERROR(VLOOKUP($C129,Code!$H:$Q,6,FALSE),"")</f>
        <v>135.9</v>
      </c>
      <c r="W129" s="180" t="str">
        <f t="shared" ca="1" si="15"/>
        <v/>
      </c>
      <c r="X129" s="12"/>
      <c r="Y129" s="12"/>
      <c r="Z129" s="12"/>
      <c r="AA129" s="12"/>
      <c r="AB129" s="12"/>
    </row>
    <row r="130" spans="1:28" s="10" customFormat="1" ht="15" hidden="1">
      <c r="A130" s="9"/>
      <c r="B130" s="169" cm="1">
        <f t="array" ref="B130">_xlfn.IFS(OR(Code!R317&lt;&gt;Code!U317,Code!R317=""),0,Code!R317=Code!U317,1)</f>
        <v>1</v>
      </c>
      <c r="C130" s="193" t="str">
        <f>IF(Code!F317="","",Code!F317)</f>
        <v>MRNA</v>
      </c>
      <c r="D130" s="155" t="str">
        <f>IFERROR(VLOOKUP($C130,Code!$H:$K,2,FALSE),"")</f>
        <v>XLV</v>
      </c>
      <c r="E130" s="156" t="str">
        <f>IFERROR(VLOOKUP($C130,Code!$H:$K,3,FALSE),"")</f>
        <v>生物技術</v>
      </c>
      <c r="F130" s="157" t="str">
        <f>IFERROR(VLOOKUP($C130,Code!$H:$K,4,FALSE),"")</f>
        <v>.SPX</v>
      </c>
      <c r="G130" s="170">
        <f>IFERROR(((VLOOKUP($C130,Code!$H:$Q,9,FALSE))+(VLOOKUP($C130,Code!$H:$Q,10,FALSE)))/2*0.5/(((VLOOKUP($C130,Code!$H:$Q,7,FALSE))+(VLOOKUP($C130,Code!$H:$Q,8,FALSE)))/2),0)</f>
        <v>0.58887236518815467</v>
      </c>
      <c r="H130" s="171" t="str">
        <f t="shared" si="8"/>
        <v>M</v>
      </c>
      <c r="I130" s="170">
        <f>IFERROR((VLOOKUP($C130,Code!$H:$Q,5,FALSE))/(((VLOOKUP($C130,Code!$H:$Q,7,FALSE))+(VLOOKUP($C130,Code!$H:$Q,8,FALSE)))/2)-1,0)</f>
        <v>-0.22850122850122845</v>
      </c>
      <c r="J130" s="204" t="str">
        <f>IFERROR(POWER((VLOOKUP(C130,Code!H:W,12,FALSE))/(VLOOKUP(C130,Code!H:W,15,FALSE)),1/(P130-1))-1,"")</f>
        <v/>
      </c>
      <c r="K130" s="172" t="str" cm="1">
        <f t="array" ref="K130">IFERROR(IF(C130="","",_xlfn.IFS(AND(VLOOKUP(C130,Code!H:W,13,FALSE)=0,VLOOKUP(C130,Code!H:W,16,FALSE)=0),"無股息",AND(VLOOKUP(C130,Code!H:W,13,FALSE)=0,VLOOKUP(C130,Code!H:W,16,FALSE)&gt;0),"股息沒了",AND(VLOOKUP(C130,Code!H:W,13,FALSE)&gt;0,VLOOKUP(C130,Code!H:W,16,FALSE)=0),"發股息了",AND(VLOOKUP(C130,Code!H:W,13,FALSE)&gt;0,VLOOKUP(C130,Code!H:W,16,FALSE)&gt;0),POWER((VLOOKUP(C130,Code!H:W,13,FALSE))/(VLOOKUP(C130,Code!H:W,16,FALSE)),1/(P130-1))-1)),"")</f>
        <v>無股息</v>
      </c>
      <c r="L130" s="173" t="str">
        <f>IFERROR(VLOOKUP(C130,Code!H:W,13,FALSE)*4/VLOOKUP(C130,Code!H:W,12,FALSE),"")</f>
        <v/>
      </c>
      <c r="M130" s="172" t="str">
        <f t="shared" si="9"/>
        <v/>
      </c>
      <c r="N130" s="172" t="str">
        <f t="shared" si="10"/>
        <v/>
      </c>
      <c r="O130" s="172" t="str">
        <f t="shared" si="11"/>
        <v/>
      </c>
      <c r="P130" s="205">
        <f>IFERROR(YEARFRAC(VLOOKUP(C130,Code!H:W,11,FALSE),VLOOKUP(C130,Code!H:W,14,FALSE),3),"")</f>
        <v>0</v>
      </c>
      <c r="Q130" s="174">
        <v>44547</v>
      </c>
      <c r="R130" s="175" t="str">
        <f t="shared" ca="1" si="12"/>
        <v/>
      </c>
      <c r="S130" s="176">
        <f>IFERROR(VLOOKUP($C130,Code!$H:$Q,5,FALSE),"")</f>
        <v>0.59660000000000002</v>
      </c>
      <c r="T130" s="177" t="str">
        <f t="shared" ca="1" si="13"/>
        <v/>
      </c>
      <c r="U130" s="178" t="str">
        <f t="shared" ca="1" si="14"/>
        <v/>
      </c>
      <c r="V130" s="179">
        <f>IFERROR(VLOOKUP($C130,Code!$H:$Q,6,FALSE),"")</f>
        <v>440.65</v>
      </c>
      <c r="W130" s="180" t="str">
        <f t="shared" ca="1" si="15"/>
        <v/>
      </c>
      <c r="X130" s="12"/>
      <c r="Y130" s="12"/>
      <c r="Z130" s="12"/>
      <c r="AA130" s="12"/>
      <c r="AB130" s="12"/>
    </row>
    <row r="131" spans="1:28" s="10" customFormat="1" ht="15" hidden="1">
      <c r="A131" s="9"/>
      <c r="B131" s="169" cm="1">
        <f t="array" ref="B131">_xlfn.IFS(OR(Code!R238&lt;&gt;Code!U238,Code!R238=""),0,Code!R238=Code!U238,1)</f>
        <v>1</v>
      </c>
      <c r="C131" s="193" t="str">
        <f>IF(Code!F238="","",Code!F238)</f>
        <v>ILMN</v>
      </c>
      <c r="D131" s="155" t="str">
        <f>IFERROR(VLOOKUP($C131,Code!$H:$K,2,FALSE),"")</f>
        <v>XLV</v>
      </c>
      <c r="E131" s="156" t="str">
        <f>IFERROR(VLOOKUP($C131,Code!$H:$K,3,FALSE),"")</f>
        <v>診斷與研究</v>
      </c>
      <c r="F131" s="157" t="str">
        <f>IFERROR(VLOOKUP($C131,Code!$H:$K,4,FALSE),"")</f>
        <v>.SPX</v>
      </c>
      <c r="G131" s="170">
        <f>IFERROR(((VLOOKUP($C131,Code!$H:$Q,9,FALSE))+(VLOOKUP($C131,Code!$H:$Q,10,FALSE)))/2*0.5/(((VLOOKUP($C131,Code!$H:$Q,7,FALSE))+(VLOOKUP($C131,Code!$H:$Q,8,FALSE)))/2),0)</f>
        <v>0.55854771258395641</v>
      </c>
      <c r="H131" s="171" t="str">
        <f t="shared" si="8"/>
        <v>M</v>
      </c>
      <c r="I131" s="170">
        <f>IFERROR((VLOOKUP($C131,Code!$H:$Q,5,FALSE))/(((VLOOKUP($C131,Code!$H:$Q,7,FALSE))+(VLOOKUP($C131,Code!$H:$Q,8,FALSE)))/2)-1,0)</f>
        <v>-7.2360917500950528E-2</v>
      </c>
      <c r="J131" s="204" t="str">
        <f>IFERROR(POWER((VLOOKUP(C131,Code!H:W,12,FALSE))/(VLOOKUP(C131,Code!H:W,15,FALSE)),1/(P131-1))-1,"")</f>
        <v/>
      </c>
      <c r="K131" s="172" t="str" cm="1">
        <f t="array" ref="K131">IFERROR(IF(C131="","",_xlfn.IFS(AND(VLOOKUP(C131,Code!H:W,13,FALSE)=0,VLOOKUP(C131,Code!H:W,16,FALSE)=0),"無股息",AND(VLOOKUP(C131,Code!H:W,13,FALSE)=0,VLOOKUP(C131,Code!H:W,16,FALSE)&gt;0),"股息沒了",AND(VLOOKUP(C131,Code!H:W,13,FALSE)&gt;0,VLOOKUP(C131,Code!H:W,16,FALSE)=0),"發股息了",AND(VLOOKUP(C131,Code!H:W,13,FALSE)&gt;0,VLOOKUP(C131,Code!H:W,16,FALSE)&gt;0),POWER((VLOOKUP(C131,Code!H:W,13,FALSE))/(VLOOKUP(C131,Code!H:W,16,FALSE)),1/(P131-1))-1)),"")</f>
        <v>無股息</v>
      </c>
      <c r="L131" s="173" t="str">
        <f>IFERROR(VLOOKUP(C131,Code!H:W,13,FALSE)*4/VLOOKUP(C131,Code!H:W,12,FALSE),"")</f>
        <v/>
      </c>
      <c r="M131" s="172" t="str">
        <f t="shared" si="9"/>
        <v/>
      </c>
      <c r="N131" s="172" t="str">
        <f t="shared" si="10"/>
        <v/>
      </c>
      <c r="O131" s="172" t="str">
        <f t="shared" si="11"/>
        <v/>
      </c>
      <c r="P131" s="205">
        <f>IFERROR(YEARFRAC(VLOOKUP(C131,Code!H:W,11,FALSE),VLOOKUP(C131,Code!H:W,14,FALSE),3),"")</f>
        <v>0</v>
      </c>
      <c r="Q131" s="174">
        <v>44547</v>
      </c>
      <c r="R131" s="175" t="str">
        <f t="shared" ca="1" si="12"/>
        <v/>
      </c>
      <c r="S131" s="176">
        <f>IFERROR(VLOOKUP($C131,Code!$H:$Q,5,FALSE),"")</f>
        <v>0.36599999999999999</v>
      </c>
      <c r="T131" s="177" t="str">
        <f t="shared" ca="1" si="13"/>
        <v/>
      </c>
      <c r="U131" s="178" t="str">
        <f t="shared" ca="1" si="14"/>
        <v/>
      </c>
      <c r="V131" s="179">
        <f>IFERROR(VLOOKUP($C131,Code!$H:$Q,6,FALSE),"")</f>
        <v>515.67999999999995</v>
      </c>
      <c r="W131" s="180" t="str">
        <f t="shared" ca="1" si="15"/>
        <v/>
      </c>
      <c r="X131" s="12"/>
      <c r="Y131" s="12"/>
      <c r="Z131" s="12"/>
      <c r="AA131" s="12"/>
      <c r="AB131" s="12"/>
    </row>
    <row r="132" spans="1:28" s="10" customFormat="1" ht="15" hidden="1">
      <c r="A132" s="9"/>
      <c r="B132" s="169" cm="1">
        <f t="array" ref="B132">_xlfn.IFS(OR(Code!R476&lt;&gt;Code!U476,Code!R476=""),0,Code!R476=Code!U476,1)</f>
        <v>1</v>
      </c>
      <c r="C132" s="193" t="str">
        <f>IF(Code!F476="","",Code!F476)</f>
        <v>VRSN</v>
      </c>
      <c r="D132" s="155" t="str">
        <f>IFERROR(VLOOKUP($C132,Code!$H:$K,2,FALSE),"")</f>
        <v>XLK</v>
      </c>
      <c r="E132" s="156" t="str">
        <f>IFERROR(VLOOKUP($C132,Code!$H:$K,3,FALSE),"")</f>
        <v>軟件基礎設施</v>
      </c>
      <c r="F132" s="157" t="str">
        <f>IFERROR(VLOOKUP($C132,Code!$H:$K,4,FALSE),"")</f>
        <v>.SPX</v>
      </c>
      <c r="G132" s="170">
        <f>IFERROR(((VLOOKUP($C132,Code!$H:$Q,9,FALSE))+(VLOOKUP($C132,Code!$H:$Q,10,FALSE)))/2*0.5/(((VLOOKUP($C132,Code!$H:$Q,7,FALSE))+(VLOOKUP($C132,Code!$H:$Q,8,FALSE)))/2),0)</f>
        <v>0.63571587619683811</v>
      </c>
      <c r="H132" s="171" t="str">
        <f t="shared" ref="H132:H195" si="16">IFERROR(IF(G132&gt;9E+306,"",IF(G132&gt;70%,"XL",IF(G132&gt;60%,"L",IF(G132&gt;50%,"M",IF(G132&gt;0%,"S",""))))),"")</f>
        <v>L</v>
      </c>
      <c r="I132" s="170">
        <f>IFERROR((VLOOKUP($C132,Code!$H:$Q,5,FALSE))/(((VLOOKUP($C132,Code!$H:$Q,7,FALSE))+(VLOOKUP($C132,Code!$H:$Q,8,FALSE)))/2)-1,0)</f>
        <v>-7.2366956134491178E-2</v>
      </c>
      <c r="J132" s="204" t="str">
        <f>IFERROR(POWER((VLOOKUP(C132,Code!H:W,12,FALSE))/(VLOOKUP(C132,Code!H:W,15,FALSE)),1/(P132-1))-1,"")</f>
        <v/>
      </c>
      <c r="K132" s="172" t="str" cm="1">
        <f t="array" ref="K132">IFERROR(IF(C132="","",_xlfn.IFS(AND(VLOOKUP(C132,Code!H:W,13,FALSE)=0,VLOOKUP(C132,Code!H:W,16,FALSE)=0),"無股息",AND(VLOOKUP(C132,Code!H:W,13,FALSE)=0,VLOOKUP(C132,Code!H:W,16,FALSE)&gt;0),"股息沒了",AND(VLOOKUP(C132,Code!H:W,13,FALSE)&gt;0,VLOOKUP(C132,Code!H:W,16,FALSE)=0),"發股息了",AND(VLOOKUP(C132,Code!H:W,13,FALSE)&gt;0,VLOOKUP(C132,Code!H:W,16,FALSE)&gt;0),POWER((VLOOKUP(C132,Code!H:W,13,FALSE))/(VLOOKUP(C132,Code!H:W,16,FALSE)),1/(P132-1))-1)),"")</f>
        <v>無股息</v>
      </c>
      <c r="L132" s="173" t="str">
        <f>IFERROR(VLOOKUP(C132,Code!H:W,13,FALSE)*4/VLOOKUP(C132,Code!H:W,12,FALSE),"")</f>
        <v/>
      </c>
      <c r="M132" s="172" t="str">
        <f t="shared" ref="M132:M195" si="17">IF(SUM(J132:K132)=0,"",SUM(J132:K132))</f>
        <v/>
      </c>
      <c r="N132" s="172" t="str">
        <f t="shared" ref="N132:N195" si="18">IFERROR(IF(L132&gt;3%,IF((K132+L132)&gt;12%,"Venture","-"),"-"),"")</f>
        <v/>
      </c>
      <c r="O132" s="172" t="str">
        <f t="shared" ref="O132:O195" si="19">IFERROR(IF(OR(L132&lt;3%,L132=""),IF((K132+L132)&gt;15%,"Value","-"),"-"),"")</f>
        <v/>
      </c>
      <c r="P132" s="205">
        <f>IFERROR(YEARFRAC(VLOOKUP(C132,Code!H:W,11,FALSE),VLOOKUP(C132,Code!H:W,14,FALSE),3),"")</f>
        <v>0</v>
      </c>
      <c r="Q132" s="174">
        <v>44547</v>
      </c>
      <c r="R132" s="175" t="str">
        <f t="shared" ref="R132:R195" ca="1" si="20">IFERROR(IF(OR(_xlfn.DAYS(Q132,TODAY())+1&lt;0,C132=0),"",_xlfn.DAYS(Q132,TODAY())+1),"")</f>
        <v/>
      </c>
      <c r="S132" s="176">
        <f>IFERROR(VLOOKUP($C132,Code!$H:$Q,5,FALSE),"")</f>
        <v>0.20830000000000001</v>
      </c>
      <c r="T132" s="177" t="str">
        <f t="shared" ref="T132:T195" ca="1" si="21">IFERROR(IF(V132*S132*SQRT(R132/365)=0,"",V132*S132*SQRT(R132/365)),"")</f>
        <v/>
      </c>
      <c r="U132" s="178" t="str">
        <f t="shared" ref="U132:U195" ca="1" si="22">IFERROR(V132-T132,"")</f>
        <v/>
      </c>
      <c r="V132" s="179">
        <f>IFERROR(VLOOKUP($C132,Code!$H:$Q,6,FALSE),"")</f>
        <v>214.87</v>
      </c>
      <c r="W132" s="180" t="str">
        <f t="shared" ref="W132:W195" ca="1" si="23">IFERROR(V132+T132,"")</f>
        <v/>
      </c>
      <c r="X132" s="12"/>
      <c r="Y132" s="12"/>
      <c r="Z132" s="12"/>
      <c r="AA132" s="12"/>
      <c r="AB132" s="12"/>
    </row>
    <row r="133" spans="1:28" s="10" customFormat="1" ht="15" hidden="1">
      <c r="A133" s="9"/>
      <c r="B133" s="169" cm="1">
        <f t="array" ref="B133">_xlfn.IFS(OR(Code!R89&lt;&gt;Code!U89,Code!R89=""),0,Code!R89=Code!U89,1)</f>
        <v>0</v>
      </c>
      <c r="C133" s="193" t="str">
        <f>IF(Code!F89="","",Code!F89)</f>
        <v>CE</v>
      </c>
      <c r="D133" s="155" t="str">
        <f>IFERROR(VLOOKUP($C133,Code!$H:$K,2,FALSE),"")</f>
        <v>XLB</v>
      </c>
      <c r="E133" s="156" t="str">
        <f>IFERROR(VLOOKUP($C133,Code!$H:$K,3,FALSE),"")</f>
        <v>化學品</v>
      </c>
      <c r="F133" s="157" t="str">
        <f>IFERROR(VLOOKUP($C133,Code!$H:$K,4,FALSE),"")</f>
        <v>.SPX</v>
      </c>
      <c r="G133" s="170">
        <f>IFERROR(((VLOOKUP($C133,Code!$H:$Q,9,FALSE))+(VLOOKUP($C133,Code!$H:$Q,10,FALSE)))/2*0.5/(((VLOOKUP($C133,Code!$H:$Q,7,FALSE))+(VLOOKUP($C133,Code!$H:$Q,8,FALSE)))/2),0)</f>
        <v>0.59888482313991986</v>
      </c>
      <c r="H133" s="171" t="str">
        <f t="shared" si="16"/>
        <v>M</v>
      </c>
      <c r="I133" s="170">
        <f>IFERROR((VLOOKUP($C133,Code!$H:$Q,5,FALSE))/(((VLOOKUP($C133,Code!$H:$Q,7,FALSE))+(VLOOKUP($C133,Code!$H:$Q,8,FALSE)))/2)-1,0)</f>
        <v>-7.3009235058372424E-2</v>
      </c>
      <c r="J133" s="204">
        <f>IFERROR(POWER((VLOOKUP(C133,Code!H:W,12,FALSE))/(VLOOKUP(C133,Code!H:W,15,FALSE)),1/(P133-1))-1,"")</f>
        <v>0.25725695567191931</v>
      </c>
      <c r="K133" s="172" cm="1">
        <f t="array" ref="K133">IFERROR(IF(C133="","",_xlfn.IFS(AND(VLOOKUP(C133,Code!H:W,13,FALSE)=0,VLOOKUP(C133,Code!H:W,16,FALSE)=0),"無股息",AND(VLOOKUP(C133,Code!H:W,13,FALSE)=0,VLOOKUP(C133,Code!H:W,16,FALSE)&gt;0),"股息沒了",AND(VLOOKUP(C133,Code!H:W,13,FALSE)&gt;0,VLOOKUP(C133,Code!H:W,16,FALSE)=0),"發股息了",AND(VLOOKUP(C133,Code!H:W,13,FALSE)&gt;0,VLOOKUP(C133,Code!H:W,16,FALSE)&gt;0),POWER((VLOOKUP(C133,Code!H:W,13,FALSE))/(VLOOKUP(C133,Code!H:W,16,FALSE)),1/(P133-1))-1)),"")</f>
        <v>0.18537944525151606</v>
      </c>
      <c r="L133" s="173">
        <f>IFERROR(VLOOKUP(C133,Code!H:W,13,FALSE)*4/VLOOKUP(C133,Code!H:W,12,FALSE),"")</f>
        <v>1.779988249104612E-2</v>
      </c>
      <c r="M133" s="172">
        <f t="shared" si="17"/>
        <v>0.44263640092343537</v>
      </c>
      <c r="N133" s="172" t="str">
        <f t="shared" si="18"/>
        <v>-</v>
      </c>
      <c r="O133" s="172" t="str">
        <f t="shared" si="19"/>
        <v>Value</v>
      </c>
      <c r="P133" s="205">
        <f>IFERROR(YEARFRAC(VLOOKUP(C133,Code!H:W,11,FALSE),VLOOKUP(C133,Code!H:W,14,FALSE),3),"")</f>
        <v>4.7397260273972606</v>
      </c>
      <c r="Q133" s="174">
        <v>44547</v>
      </c>
      <c r="R133" s="175" t="str">
        <f t="shared" ca="1" si="20"/>
        <v/>
      </c>
      <c r="S133" s="176">
        <f>IFERROR(VLOOKUP($C133,Code!$H:$Q,5,FALSE),"")</f>
        <v>0.26600000000000001</v>
      </c>
      <c r="T133" s="177" t="str">
        <f t="shared" ca="1" si="21"/>
        <v/>
      </c>
      <c r="U133" s="178" t="str">
        <f t="shared" ca="1" si="22"/>
        <v/>
      </c>
      <c r="V133" s="179">
        <f>IFERROR(VLOOKUP($C133,Code!$H:$Q,6,FALSE),"")</f>
        <v>153.05000000000001</v>
      </c>
      <c r="W133" s="180" t="str">
        <f t="shared" ca="1" si="23"/>
        <v/>
      </c>
      <c r="X133" s="12"/>
      <c r="Y133" s="12"/>
      <c r="Z133" s="12"/>
      <c r="AA133" s="12"/>
      <c r="AB133" s="12"/>
    </row>
    <row r="134" spans="1:28" s="10" customFormat="1" ht="15" hidden="1">
      <c r="A134" s="9"/>
      <c r="B134" s="169" cm="1">
        <f t="array" ref="B134">_xlfn.IFS(OR(Code!R85&lt;&gt;Code!U85,Code!R85=""),0,Code!R85=Code!U85,1)</f>
        <v>0</v>
      </c>
      <c r="C134" s="193" t="str">
        <f>IF(Code!F85="","",Code!F85)</f>
        <v>CCI</v>
      </c>
      <c r="D134" s="155" t="str">
        <f>IFERROR(VLOOKUP($C134,Code!$H:$K,2,FALSE),"")</f>
        <v>XLRE</v>
      </c>
      <c r="E134" s="156" t="str">
        <f>IFERROR(VLOOKUP($C134,Code!$H:$K,3,FALSE),"")</f>
        <v>REIT-專業</v>
      </c>
      <c r="F134" s="157" t="str">
        <f>IFERROR(VLOOKUP($C134,Code!$H:$K,4,FALSE),"")</f>
        <v>.SPX</v>
      </c>
      <c r="G134" s="170">
        <f>IFERROR(((VLOOKUP($C134,Code!$H:$Q,9,FALSE))+(VLOOKUP($C134,Code!$H:$Q,10,FALSE)))/2*0.5/(((VLOOKUP($C134,Code!$H:$Q,7,FALSE))+(VLOOKUP($C134,Code!$H:$Q,8,FALSE)))/2),0)</f>
        <v>0.62177477694719074</v>
      </c>
      <c r="H134" s="171" t="str">
        <f t="shared" si="16"/>
        <v>L</v>
      </c>
      <c r="I134" s="170">
        <f>IFERROR((VLOOKUP($C134,Code!$H:$Q,5,FALSE))/(((VLOOKUP($C134,Code!$H:$Q,7,FALSE))+(VLOOKUP($C134,Code!$H:$Q,8,FALSE)))/2)-1,0)</f>
        <v>-7.3064866168314424E-2</v>
      </c>
      <c r="J134" s="204">
        <f>IFERROR(POWER((VLOOKUP(C134,Code!H:W,12,FALSE))/(VLOOKUP(C134,Code!H:W,15,FALSE)),1/(P134-1))-1,"")</f>
        <v>0.27987529365377983</v>
      </c>
      <c r="K134" s="172" cm="1">
        <f t="array" ref="K134">IFERROR(IF(C134="","",_xlfn.IFS(AND(VLOOKUP(C134,Code!H:W,13,FALSE)=0,VLOOKUP(C134,Code!H:W,16,FALSE)=0),"無股息",AND(VLOOKUP(C134,Code!H:W,13,FALSE)=0,VLOOKUP(C134,Code!H:W,16,FALSE)&gt;0),"股息沒了",AND(VLOOKUP(C134,Code!H:W,13,FALSE)&gt;0,VLOOKUP(C134,Code!H:W,16,FALSE)=0),"發股息了",AND(VLOOKUP(C134,Code!H:W,13,FALSE)&gt;0,VLOOKUP(C134,Code!H:W,16,FALSE)&gt;0),POWER((VLOOKUP(C134,Code!H:W,13,FALSE))/(VLOOKUP(C134,Code!H:W,16,FALSE)),1/(P134-1))-1)),"")</f>
        <v>0.11498888532234841</v>
      </c>
      <c r="L134" s="173">
        <f>IFERROR(VLOOKUP(C134,Code!H:W,13,FALSE)*4/VLOOKUP(C134,Code!H:W,12,FALSE),"")</f>
        <v>2.7374704642632395E-2</v>
      </c>
      <c r="M134" s="172">
        <f t="shared" si="17"/>
        <v>0.39486417897612824</v>
      </c>
      <c r="N134" s="172" t="str">
        <f t="shared" si="18"/>
        <v>-</v>
      </c>
      <c r="O134" s="172" t="str">
        <f t="shared" si="19"/>
        <v>-</v>
      </c>
      <c r="P134" s="205">
        <f>IFERROR(YEARFRAC(VLOOKUP(C134,Code!H:W,11,FALSE),VLOOKUP(C134,Code!H:W,14,FALSE),3),"")</f>
        <v>4.7424657534246579</v>
      </c>
      <c r="Q134" s="174">
        <v>44547</v>
      </c>
      <c r="R134" s="175" t="str">
        <f t="shared" ca="1" si="20"/>
        <v/>
      </c>
      <c r="S134" s="176">
        <f>IFERROR(VLOOKUP($C134,Code!$H:$Q,5,FALSE),"")</f>
        <v>0.19220000000000001</v>
      </c>
      <c r="T134" s="177" t="str">
        <f t="shared" ca="1" si="21"/>
        <v/>
      </c>
      <c r="U134" s="178" t="str">
        <f t="shared" ca="1" si="22"/>
        <v/>
      </c>
      <c r="V134" s="179">
        <f>IFERROR(VLOOKUP($C134,Code!$H:$Q,6,FALSE),"")</f>
        <v>194.46</v>
      </c>
      <c r="W134" s="180" t="str">
        <f t="shared" ca="1" si="23"/>
        <v/>
      </c>
      <c r="X134" s="12"/>
      <c r="Y134" s="12"/>
      <c r="Z134" s="12"/>
      <c r="AA134" s="12"/>
      <c r="AB134" s="12"/>
    </row>
    <row r="135" spans="1:28" s="10" customFormat="1" ht="15" hidden="1">
      <c r="A135" s="9"/>
      <c r="B135" s="169" cm="1">
        <f t="array" ref="B135">_xlfn.IFS(OR(Code!R341&lt;&gt;Code!U341,Code!R341=""),0,Code!R341=Code!U341,1)</f>
        <v>0</v>
      </c>
      <c r="C135" s="193" t="str">
        <f>IF(Code!F341="","",Code!F341)</f>
        <v>NTAP</v>
      </c>
      <c r="D135" s="155" t="str">
        <f>IFERROR(VLOOKUP($C135,Code!$H:$K,2,FALSE),"")</f>
        <v>XLK</v>
      </c>
      <c r="E135" s="156" t="str">
        <f>IFERROR(VLOOKUP($C135,Code!$H:$K,3,FALSE),"")</f>
        <v>計算機硬件</v>
      </c>
      <c r="F135" s="157" t="str">
        <f>IFERROR(VLOOKUP($C135,Code!$H:$K,4,FALSE),"")</f>
        <v>.SPX</v>
      </c>
      <c r="G135" s="170">
        <f>IFERROR(((VLOOKUP($C135,Code!$H:$Q,9,FALSE))+(VLOOKUP($C135,Code!$H:$Q,10,FALSE)))/2*0.5/(((VLOOKUP($C135,Code!$H:$Q,7,FALSE))+(VLOOKUP($C135,Code!$H:$Q,8,FALSE)))/2),0)</f>
        <v>0.52671658839954305</v>
      </c>
      <c r="H135" s="171" t="str">
        <f t="shared" si="16"/>
        <v>M</v>
      </c>
      <c r="I135" s="170">
        <f>IFERROR((VLOOKUP($C135,Code!$H:$Q,5,FALSE))/(((VLOOKUP($C135,Code!$H:$Q,7,FALSE))+(VLOOKUP($C135,Code!$H:$Q,8,FALSE)))/2)-1,0)</f>
        <v>-7.3486483056225516E-2</v>
      </c>
      <c r="J135" s="204">
        <f>IFERROR(POWER((VLOOKUP(C135,Code!H:W,12,FALSE))/(VLOOKUP(C135,Code!H:W,15,FALSE)),1/(P135-1))-1,"")</f>
        <v>0.29630202167964392</v>
      </c>
      <c r="K135" s="172" cm="1">
        <f t="array" ref="K135">IFERROR(IF(C135="","",_xlfn.IFS(AND(VLOOKUP(C135,Code!H:W,13,FALSE)=0,VLOOKUP(C135,Code!H:W,16,FALSE)=0),"無股息",AND(VLOOKUP(C135,Code!H:W,13,FALSE)=0,VLOOKUP(C135,Code!H:W,16,FALSE)&gt;0),"股息沒了",AND(VLOOKUP(C135,Code!H:W,13,FALSE)&gt;0,VLOOKUP(C135,Code!H:W,16,FALSE)=0),"發股息了",AND(VLOOKUP(C135,Code!H:W,13,FALSE)&gt;0,VLOOKUP(C135,Code!H:W,16,FALSE)&gt;0),POWER((VLOOKUP(C135,Code!H:W,13,FALSE))/(VLOOKUP(C135,Code!H:W,16,FALSE)),1/(P135-1))-1)),"")</f>
        <v>0.29357693925145356</v>
      </c>
      <c r="L135" s="173">
        <f>IFERROR(VLOOKUP(C135,Code!H:W,13,FALSE)*4/VLOOKUP(C135,Code!H:W,12,FALSE),"")</f>
        <v>2.4506800453893363E-2</v>
      </c>
      <c r="M135" s="172">
        <f t="shared" si="17"/>
        <v>0.58987896093109748</v>
      </c>
      <c r="N135" s="172" t="str">
        <f t="shared" si="18"/>
        <v>-</v>
      </c>
      <c r="O135" s="172" t="str">
        <f t="shared" si="19"/>
        <v>Value</v>
      </c>
      <c r="P135" s="205">
        <f>IFERROR(YEARFRAC(VLOOKUP(C135,Code!H:W,11,FALSE),VLOOKUP(C135,Code!H:W,14,FALSE),3),"")</f>
        <v>4.7589041095890412</v>
      </c>
      <c r="Q135" s="174">
        <v>44547</v>
      </c>
      <c r="R135" s="175" t="str">
        <f t="shared" ca="1" si="20"/>
        <v/>
      </c>
      <c r="S135" s="176">
        <f>IFERROR(VLOOKUP($C135,Code!$H:$Q,5,FALSE),"")</f>
        <v>0.36499999999999999</v>
      </c>
      <c r="T135" s="177" t="str">
        <f t="shared" ca="1" si="21"/>
        <v/>
      </c>
      <c r="U135" s="178" t="str">
        <f t="shared" ca="1" si="22"/>
        <v/>
      </c>
      <c r="V135" s="179">
        <f>IFERROR(VLOOKUP($C135,Code!$H:$Q,6,FALSE),"")</f>
        <v>81.48</v>
      </c>
      <c r="W135" s="180" t="str">
        <f t="shared" ca="1" si="23"/>
        <v/>
      </c>
      <c r="X135" s="12"/>
      <c r="Y135" s="12"/>
      <c r="Z135" s="12"/>
      <c r="AA135" s="12"/>
      <c r="AB135" s="12"/>
    </row>
    <row r="136" spans="1:28" s="10" customFormat="1" ht="15" hidden="1">
      <c r="A136" s="9"/>
      <c r="B136" s="169" cm="1">
        <f t="array" ref="B136">_xlfn.IFS(OR(Code!R121&lt;&gt;Code!U121,Code!R121=""),0,Code!R121=Code!U121,1)</f>
        <v>0</v>
      </c>
      <c r="C136" s="193" t="str">
        <f>IF(Code!F121="","",Code!F121)</f>
        <v>CTSH</v>
      </c>
      <c r="D136" s="155" t="str">
        <f>IFERROR(VLOOKUP($C136,Code!$H:$K,2,FALSE),"")</f>
        <v>XLK</v>
      </c>
      <c r="E136" s="156" t="str">
        <f>IFERROR(VLOOKUP($C136,Code!$H:$K,3,FALSE),"")</f>
        <v>信息技術處</v>
      </c>
      <c r="F136" s="157" t="str">
        <f>IFERROR(VLOOKUP($C136,Code!$H:$K,4,FALSE),"")</f>
        <v>.SPX</v>
      </c>
      <c r="G136" s="170">
        <f>IFERROR(((VLOOKUP($C136,Code!$H:$Q,9,FALSE))+(VLOOKUP($C136,Code!$H:$Q,10,FALSE)))/2*0.5/(((VLOOKUP($C136,Code!$H:$Q,7,FALSE))+(VLOOKUP($C136,Code!$H:$Q,8,FALSE)))/2),0)</f>
        <v>0.71397529734675191</v>
      </c>
      <c r="H136" s="171" t="str">
        <f t="shared" si="16"/>
        <v>XL</v>
      </c>
      <c r="I136" s="170">
        <f>IFERROR((VLOOKUP($C136,Code!$H:$Q,5,FALSE))/(((VLOOKUP($C136,Code!$H:$Q,7,FALSE))+(VLOOKUP($C136,Code!$H:$Q,8,FALSE)))/2)-1,0)</f>
        <v>-7.3650503202195794E-2</v>
      </c>
      <c r="J136" s="204">
        <f>IFERROR(POWER((VLOOKUP(C136,Code!H:W,12,FALSE))/(VLOOKUP(C136,Code!H:W,15,FALSE)),1/(P136-1))-1,"")</f>
        <v>4.474465542981787E-2</v>
      </c>
      <c r="K136" s="172" cm="1">
        <f t="array" ref="K136">IFERROR(IF(C136="","",_xlfn.IFS(AND(VLOOKUP(C136,Code!H:W,13,FALSE)=0,VLOOKUP(C136,Code!H:W,16,FALSE)=0),"無股息",AND(VLOOKUP(C136,Code!H:W,13,FALSE)=0,VLOOKUP(C136,Code!H:W,16,FALSE)&gt;0),"股息沒了",AND(VLOOKUP(C136,Code!H:W,13,FALSE)&gt;0,VLOOKUP(C136,Code!H:W,16,FALSE)=0),"發股息了",AND(VLOOKUP(C136,Code!H:W,13,FALSE)&gt;0,VLOOKUP(C136,Code!H:W,16,FALSE)&gt;0),POWER((VLOOKUP(C136,Code!H:W,13,FALSE))/(VLOOKUP(C136,Code!H:W,16,FALSE)),1/(P136-1))-1)),"")</f>
        <v>0.16927306849758184</v>
      </c>
      <c r="L136" s="173">
        <f>IFERROR(VLOOKUP(C136,Code!H:W,13,FALSE)*4/VLOOKUP(C136,Code!H:W,12,FALSE),"")</f>
        <v>1.3570823140944391E-2</v>
      </c>
      <c r="M136" s="172">
        <f t="shared" si="17"/>
        <v>0.21401772392739971</v>
      </c>
      <c r="N136" s="172" t="str">
        <f t="shared" si="18"/>
        <v>-</v>
      </c>
      <c r="O136" s="172" t="str">
        <f t="shared" si="19"/>
        <v>Value</v>
      </c>
      <c r="P136" s="205">
        <f>IFERROR(YEARFRAC(VLOOKUP(C136,Code!H:W,11,FALSE),VLOOKUP(C136,Code!H:W,14,FALSE),3),"")</f>
        <v>4.0054794520547947</v>
      </c>
      <c r="Q136" s="174">
        <v>44547</v>
      </c>
      <c r="R136" s="175" t="str">
        <f t="shared" ca="1" si="20"/>
        <v/>
      </c>
      <c r="S136" s="176">
        <f>IFERROR(VLOOKUP($C136,Code!$H:$Q,5,FALSE),"")</f>
        <v>0.20250000000000001</v>
      </c>
      <c r="T136" s="177" t="str">
        <f t="shared" ca="1" si="21"/>
        <v/>
      </c>
      <c r="U136" s="178" t="str">
        <f t="shared" ca="1" si="22"/>
        <v/>
      </c>
      <c r="V136" s="179">
        <f>IFERROR(VLOOKUP($C136,Code!$H:$Q,6,FALSE),"")</f>
        <v>73.28</v>
      </c>
      <c r="W136" s="180" t="str">
        <f t="shared" ca="1" si="23"/>
        <v/>
      </c>
      <c r="X136" s="12"/>
      <c r="Y136" s="12"/>
      <c r="Z136" s="12"/>
      <c r="AA136" s="12"/>
      <c r="AB136" s="12"/>
    </row>
    <row r="137" spans="1:28" s="10" customFormat="1" ht="15" hidden="1">
      <c r="A137" s="9"/>
      <c r="B137" s="169" cm="1">
        <f t="array" ref="B137">_xlfn.IFS(OR(Code!R10&lt;&gt;Code!U10,Code!R10=""),0,Code!R10=Code!U10,1)</f>
        <v>1</v>
      </c>
      <c r="C137" s="193" t="str">
        <f>IF(Code!F10="","",Code!F10)</f>
        <v>ABMD</v>
      </c>
      <c r="D137" s="155" t="str">
        <f>IFERROR(VLOOKUP($C137,Code!$H:$K,2,FALSE),"")</f>
        <v>XLV</v>
      </c>
      <c r="E137" s="156" t="str">
        <f>IFERROR(VLOOKUP($C137,Code!$H:$K,3,FALSE),"")</f>
        <v>醫療設備</v>
      </c>
      <c r="F137" s="157" t="str">
        <f>IFERROR(VLOOKUP($C137,Code!$H:$K,4,FALSE),"")</f>
        <v>.SPX</v>
      </c>
      <c r="G137" s="170">
        <f>IFERROR(((VLOOKUP($C137,Code!$H:$Q,9,FALSE))+(VLOOKUP($C137,Code!$H:$Q,10,FALSE)))/2*0.5/(((VLOOKUP($C137,Code!$H:$Q,7,FALSE))+(VLOOKUP($C137,Code!$H:$Q,8,FALSE)))/2),0)</f>
        <v>0.68809952038369293</v>
      </c>
      <c r="H137" s="171" t="str">
        <f t="shared" si="16"/>
        <v>L</v>
      </c>
      <c r="I137" s="170">
        <f>IFERROR((VLOOKUP($C137,Code!$H:$Q,5,FALSE))/(((VLOOKUP($C137,Code!$H:$Q,7,FALSE))+(VLOOKUP($C137,Code!$H:$Q,8,FALSE)))/2)-1,0)</f>
        <v>-7.4040767386091111E-2</v>
      </c>
      <c r="J137" s="204" t="str">
        <f>IFERROR(POWER((VLOOKUP(C137,Code!H:W,12,FALSE))/(VLOOKUP(C137,Code!H:W,15,FALSE)),1/(P137-1))-1,"")</f>
        <v/>
      </c>
      <c r="K137" s="172" t="str" cm="1">
        <f t="array" ref="K137">IFERROR(IF(C137="","",_xlfn.IFS(AND(VLOOKUP(C137,Code!H:W,13,FALSE)=0,VLOOKUP(C137,Code!H:W,16,FALSE)=0),"無股息",AND(VLOOKUP(C137,Code!H:W,13,FALSE)=0,VLOOKUP(C137,Code!H:W,16,FALSE)&gt;0),"股息沒了",AND(VLOOKUP(C137,Code!H:W,13,FALSE)&gt;0,VLOOKUP(C137,Code!H:W,16,FALSE)=0),"發股息了",AND(VLOOKUP(C137,Code!H:W,13,FALSE)&gt;0,VLOOKUP(C137,Code!H:W,16,FALSE)&gt;0),POWER((VLOOKUP(C137,Code!H:W,13,FALSE))/(VLOOKUP(C137,Code!H:W,16,FALSE)),1/(P137-1))-1)),"")</f>
        <v>無股息</v>
      </c>
      <c r="L137" s="173" t="str">
        <f>IFERROR(VLOOKUP(C137,Code!H:W,13,FALSE)*4/VLOOKUP(C137,Code!H:W,12,FALSE),"")</f>
        <v/>
      </c>
      <c r="M137" s="172" t="str">
        <f t="shared" si="17"/>
        <v/>
      </c>
      <c r="N137" s="172" t="str">
        <f t="shared" si="18"/>
        <v/>
      </c>
      <c r="O137" s="172" t="str">
        <f t="shared" si="19"/>
        <v/>
      </c>
      <c r="P137" s="205">
        <f>IFERROR(YEARFRAC(VLOOKUP(C137,Code!H:W,11,FALSE),VLOOKUP(C137,Code!H:W,14,FALSE),3),"")</f>
        <v>0</v>
      </c>
      <c r="Q137" s="174">
        <v>44547</v>
      </c>
      <c r="R137" s="175" t="str">
        <f t="shared" ca="1" si="20"/>
        <v/>
      </c>
      <c r="S137" s="176">
        <f>IFERROR(VLOOKUP($C137,Code!$H:$Q,5,FALSE),"")</f>
        <v>0.30890000000000001</v>
      </c>
      <c r="T137" s="177" t="str">
        <f t="shared" ca="1" si="21"/>
        <v/>
      </c>
      <c r="U137" s="178" t="str">
        <f t="shared" ca="1" si="22"/>
        <v/>
      </c>
      <c r="V137" s="179">
        <f>IFERROR(VLOOKUP($C137,Code!$H:$Q,6,FALSE),"")</f>
        <v>348.86</v>
      </c>
      <c r="W137" s="180" t="str">
        <f t="shared" ca="1" si="23"/>
        <v/>
      </c>
      <c r="X137" s="12"/>
      <c r="Y137" s="12"/>
      <c r="Z137" s="12"/>
      <c r="AA137" s="12"/>
      <c r="AB137" s="12"/>
    </row>
    <row r="138" spans="1:28" s="10" customFormat="1" ht="15" hidden="1">
      <c r="A138" s="9"/>
      <c r="B138" s="169" cm="1">
        <f t="array" ref="B138">_xlfn.IFS(OR(Code!R145&lt;&gt;Code!U145,Code!R145=""),0,Code!R145=Code!U145,1)</f>
        <v>0</v>
      </c>
      <c r="C138" s="193" t="str">
        <f>IF(Code!F145="","",Code!F145)</f>
        <v>DRE</v>
      </c>
      <c r="D138" s="155" t="str">
        <f>IFERROR(VLOOKUP($C138,Code!$H:$K,2,FALSE),"")</f>
        <v>XLRE</v>
      </c>
      <c r="E138" s="156" t="str">
        <f>IFERROR(VLOOKUP($C138,Code!$H:$K,3,FALSE),"")</f>
        <v>REIT-工業</v>
      </c>
      <c r="F138" s="157" t="str">
        <f>IFERROR(VLOOKUP($C138,Code!$H:$K,4,FALSE),"")</f>
        <v>.SPX</v>
      </c>
      <c r="G138" s="170">
        <f>IFERROR(((VLOOKUP($C138,Code!$H:$Q,9,FALSE))+(VLOOKUP($C138,Code!$H:$Q,10,FALSE)))/2*0.5/(((VLOOKUP($C138,Code!$H:$Q,7,FALSE))+(VLOOKUP($C138,Code!$H:$Q,8,FALSE)))/2),0)</f>
        <v>0.86816907986921998</v>
      </c>
      <c r="H138" s="171" t="str">
        <f t="shared" si="16"/>
        <v>XL</v>
      </c>
      <c r="I138" s="170">
        <f>IFERROR((VLOOKUP($C138,Code!$H:$Q,5,FALSE))/(((VLOOKUP($C138,Code!$H:$Q,7,FALSE))+(VLOOKUP($C138,Code!$H:$Q,8,FALSE)))/2)-1,0)</f>
        <v>-7.4264362447454602E-2</v>
      </c>
      <c r="J138" s="204">
        <f>IFERROR(POWER((VLOOKUP(C138,Code!H:W,12,FALSE))/(VLOOKUP(C138,Code!H:W,15,FALSE)),1/(P138-1))-1,"")</f>
        <v>0.17951665688216978</v>
      </c>
      <c r="K138" s="172" cm="1">
        <f t="array" ref="K138">IFERROR(IF(C138="","",_xlfn.IFS(AND(VLOOKUP(C138,Code!H:W,13,FALSE)=0,VLOOKUP(C138,Code!H:W,16,FALSE)=0),"無股息",AND(VLOOKUP(C138,Code!H:W,13,FALSE)=0,VLOOKUP(C138,Code!H:W,16,FALSE)&gt;0),"股息沒了",AND(VLOOKUP(C138,Code!H:W,13,FALSE)&gt;0,VLOOKUP(C138,Code!H:W,16,FALSE)=0),"發股息了",AND(VLOOKUP(C138,Code!H:W,13,FALSE)&gt;0,VLOOKUP(C138,Code!H:W,16,FALSE)&gt;0),POWER((VLOOKUP(C138,Code!H:W,13,FALSE))/(VLOOKUP(C138,Code!H:W,16,FALSE)),1/(P138-1))-1)),"")</f>
        <v>9.7239015921562588E-2</v>
      </c>
      <c r="L138" s="173">
        <f>IFERROR(VLOOKUP(C138,Code!H:W,13,FALSE)*4/VLOOKUP(C138,Code!H:W,12,FALSE),"")</f>
        <v>2.2890484034216882E-2</v>
      </c>
      <c r="M138" s="172">
        <f t="shared" si="17"/>
        <v>0.27675567280373237</v>
      </c>
      <c r="N138" s="172" t="str">
        <f t="shared" si="18"/>
        <v>-</v>
      </c>
      <c r="O138" s="172" t="str">
        <f t="shared" si="19"/>
        <v>-</v>
      </c>
      <c r="P138" s="205">
        <f>IFERROR(YEARFRAC(VLOOKUP(C138,Code!H:W,11,FALSE),VLOOKUP(C138,Code!H:W,14,FALSE),3),"")</f>
        <v>4.7534246575342465</v>
      </c>
      <c r="Q138" s="174">
        <v>44547</v>
      </c>
      <c r="R138" s="175" t="str">
        <f t="shared" ca="1" si="20"/>
        <v/>
      </c>
      <c r="S138" s="176">
        <f>IFERROR(VLOOKUP($C138,Code!$H:$Q,5,FALSE),"")</f>
        <v>0.19819999999999999</v>
      </c>
      <c r="T138" s="177" t="str">
        <f t="shared" ca="1" si="21"/>
        <v/>
      </c>
      <c r="U138" s="178" t="str">
        <f t="shared" ca="1" si="22"/>
        <v/>
      </c>
      <c r="V138" s="179">
        <f>IFERROR(VLOOKUP($C138,Code!$H:$Q,6,FALSE),"")</f>
        <v>50.98</v>
      </c>
      <c r="W138" s="180" t="str">
        <f t="shared" ca="1" si="23"/>
        <v/>
      </c>
      <c r="X138" s="12"/>
      <c r="Y138" s="12"/>
      <c r="Z138" s="12"/>
      <c r="AA138" s="12"/>
      <c r="AB138" s="12"/>
    </row>
    <row r="139" spans="1:28" s="10" customFormat="1" ht="15" hidden="1">
      <c r="A139" s="9"/>
      <c r="B139" s="169" cm="1">
        <f t="array" ref="B139">_xlfn.IFS(OR(Code!R133&lt;&gt;Code!U133,Code!R133=""),0,Code!R133=Code!U133,1)</f>
        <v>0</v>
      </c>
      <c r="C139" s="193" t="str">
        <f>IF(Code!F133="","",Code!F133)</f>
        <v>DGX</v>
      </c>
      <c r="D139" s="155" t="str">
        <f>IFERROR(VLOOKUP($C139,Code!$H:$K,2,FALSE),"")</f>
        <v>XLV</v>
      </c>
      <c r="E139" s="156" t="str">
        <f>IFERROR(VLOOKUP($C139,Code!$H:$K,3,FALSE),"")</f>
        <v>診斷與研究</v>
      </c>
      <c r="F139" s="157" t="str">
        <f>IFERROR(VLOOKUP($C139,Code!$H:$K,4,FALSE),"")</f>
        <v>.SPX</v>
      </c>
      <c r="G139" s="170">
        <f>IFERROR(((VLOOKUP($C139,Code!$H:$Q,9,FALSE))+(VLOOKUP($C139,Code!$H:$Q,10,FALSE)))/2*0.5/(((VLOOKUP($C139,Code!$H:$Q,7,FALSE))+(VLOOKUP($C139,Code!$H:$Q,8,FALSE)))/2),0)</f>
        <v>0.63450357781753119</v>
      </c>
      <c r="H139" s="171" t="str">
        <f t="shared" si="16"/>
        <v>L</v>
      </c>
      <c r="I139" s="170">
        <f>IFERROR((VLOOKUP($C139,Code!$H:$Q,5,FALSE))/(((VLOOKUP($C139,Code!$H:$Q,7,FALSE))+(VLOOKUP($C139,Code!$H:$Q,8,FALSE)))/2)-1,0)</f>
        <v>-7.5581395348837233E-2</v>
      </c>
      <c r="J139" s="204">
        <f>IFERROR(POWER((VLOOKUP(C139,Code!H:W,12,FALSE))/(VLOOKUP(C139,Code!H:W,15,FALSE)),1/(P139-1))-1,"")</f>
        <v>0.15757895854795989</v>
      </c>
      <c r="K139" s="172" cm="1">
        <f t="array" ref="K139">IFERROR(IF(C139="","",_xlfn.IFS(AND(VLOOKUP(C139,Code!H:W,13,FALSE)=0,VLOOKUP(C139,Code!H:W,16,FALSE)=0),"無股息",AND(VLOOKUP(C139,Code!H:W,13,FALSE)=0,VLOOKUP(C139,Code!H:W,16,FALSE)&gt;0),"股息沒了",AND(VLOOKUP(C139,Code!H:W,13,FALSE)&gt;0,VLOOKUP(C139,Code!H:W,16,FALSE)=0),"發股息了",AND(VLOOKUP(C139,Code!H:W,13,FALSE)&gt;0,VLOOKUP(C139,Code!H:W,16,FALSE)&gt;0),POWER((VLOOKUP(C139,Code!H:W,13,FALSE))/(VLOOKUP(C139,Code!H:W,16,FALSE)),1/(P139-1))-1)),"")</f>
        <v>0.12337411982158852</v>
      </c>
      <c r="L139" s="173">
        <f>IFERROR(VLOOKUP(C139,Code!H:W,13,FALSE)*4/VLOOKUP(C139,Code!H:W,12,FALSE),"")</f>
        <v>1.8582345835760541E-2</v>
      </c>
      <c r="M139" s="172">
        <f t="shared" si="17"/>
        <v>0.28095307836954841</v>
      </c>
      <c r="N139" s="172" t="str">
        <f t="shared" si="18"/>
        <v>-</v>
      </c>
      <c r="O139" s="172" t="str">
        <f t="shared" si="19"/>
        <v>-</v>
      </c>
      <c r="P139" s="205">
        <f>IFERROR(YEARFRAC(VLOOKUP(C139,Code!H:W,11,FALSE),VLOOKUP(C139,Code!H:W,14,FALSE),3),"")</f>
        <v>4.7671232876712333</v>
      </c>
      <c r="Q139" s="174">
        <v>44547</v>
      </c>
      <c r="R139" s="175" t="str">
        <f t="shared" ca="1" si="20"/>
        <v/>
      </c>
      <c r="S139" s="176">
        <f>IFERROR(VLOOKUP($C139,Code!$H:$Q,5,FALSE),"")</f>
        <v>0.20669999999999999</v>
      </c>
      <c r="T139" s="177" t="str">
        <f t="shared" ca="1" si="21"/>
        <v/>
      </c>
      <c r="U139" s="178" t="str">
        <f t="shared" ca="1" si="22"/>
        <v/>
      </c>
      <c r="V139" s="179">
        <f>IFERROR(VLOOKUP($C139,Code!$H:$Q,6,FALSE),"")</f>
        <v>147.38</v>
      </c>
      <c r="W139" s="180" t="str">
        <f t="shared" ca="1" si="23"/>
        <v/>
      </c>
      <c r="X139" s="12"/>
      <c r="Y139" s="12"/>
      <c r="Z139" s="12"/>
      <c r="AA139" s="12"/>
      <c r="AB139" s="12"/>
    </row>
    <row r="140" spans="1:28" s="10" customFormat="1" ht="15" hidden="1">
      <c r="A140" s="9"/>
      <c r="B140" s="169" cm="1">
        <f t="array" ref="B140">_xlfn.IFS(OR(Code!R34&lt;&gt;Code!U34,Code!R34=""),0,Code!R34=Code!U34,1)</f>
        <v>0</v>
      </c>
      <c r="C140" s="193" t="str">
        <f>IF(Code!F34="","",Code!F34)</f>
        <v>AME</v>
      </c>
      <c r="D140" s="155" t="str">
        <f>IFERROR(VLOOKUP($C140,Code!$H:$K,2,FALSE),"")</f>
        <v>XLI</v>
      </c>
      <c r="E140" s="156" t="str">
        <f>IFERROR(VLOOKUP($C140,Code!$H:$K,3,FALSE),"")</f>
        <v>特種工業機械</v>
      </c>
      <c r="F140" s="157" t="str">
        <f>IFERROR(VLOOKUP($C140,Code!$H:$K,4,FALSE),"")</f>
        <v>.SPX</v>
      </c>
      <c r="G140" s="170">
        <f>IFERROR(((VLOOKUP($C140,Code!$H:$Q,9,FALSE))+(VLOOKUP($C140,Code!$H:$Q,10,FALSE)))/2*0.5/(((VLOOKUP($C140,Code!$H:$Q,7,FALSE))+(VLOOKUP($C140,Code!$H:$Q,8,FALSE)))/2),0)</f>
        <v>0.65369217081850528</v>
      </c>
      <c r="H140" s="171" t="str">
        <f t="shared" si="16"/>
        <v>L</v>
      </c>
      <c r="I140" s="170">
        <f>IFERROR((VLOOKUP($C140,Code!$H:$Q,5,FALSE))/(((VLOOKUP($C140,Code!$H:$Q,7,FALSE))+(VLOOKUP($C140,Code!$H:$Q,8,FALSE)))/2)-1,0)</f>
        <v>-7.6067615658362953E-2</v>
      </c>
      <c r="J140" s="204">
        <f>IFERROR(POWER((VLOOKUP(C140,Code!H:W,12,FALSE))/(VLOOKUP(C140,Code!H:W,15,FALSE)),1/(P140-1))-1,"")</f>
        <v>0.33554764141532534</v>
      </c>
      <c r="K140" s="172" cm="1">
        <f t="array" ref="K140">IFERROR(IF(C140="","",_xlfn.IFS(AND(VLOOKUP(C140,Code!H:W,13,FALSE)=0,VLOOKUP(C140,Code!H:W,16,FALSE)=0),"無股息",AND(VLOOKUP(C140,Code!H:W,13,FALSE)=0,VLOOKUP(C140,Code!H:W,16,FALSE)&gt;0),"股息沒了",AND(VLOOKUP(C140,Code!H:W,13,FALSE)&gt;0,VLOOKUP(C140,Code!H:W,16,FALSE)=0),"發股息了",AND(VLOOKUP(C140,Code!H:W,13,FALSE)&gt;0,VLOOKUP(C140,Code!H:W,16,FALSE)&gt;0),POWER((VLOOKUP(C140,Code!H:W,13,FALSE))/(VLOOKUP(C140,Code!H:W,16,FALSE)),1/(P140-1))-1)),"")</f>
        <v>0.23783521837401778</v>
      </c>
      <c r="L140" s="173">
        <f>IFERROR(VLOOKUP(C140,Code!H:W,13,FALSE)*4/VLOOKUP(C140,Code!H:W,12,FALSE),"")</f>
        <v>5.8884145179302254E-3</v>
      </c>
      <c r="M140" s="172">
        <f t="shared" si="17"/>
        <v>0.57338285978934311</v>
      </c>
      <c r="N140" s="172" t="str">
        <f t="shared" si="18"/>
        <v>-</v>
      </c>
      <c r="O140" s="172" t="str">
        <f t="shared" si="19"/>
        <v>Value</v>
      </c>
      <c r="P140" s="205">
        <f>IFERROR(YEARFRAC(VLOOKUP(C140,Code!H:W,11,FALSE),VLOOKUP(C140,Code!H:W,14,FALSE),3),"")</f>
        <v>4.7424657534246579</v>
      </c>
      <c r="Q140" s="174">
        <v>44547</v>
      </c>
      <c r="R140" s="175" t="str">
        <f t="shared" ca="1" si="20"/>
        <v/>
      </c>
      <c r="S140" s="176">
        <f>IFERROR(VLOOKUP($C140,Code!$H:$Q,5,FALSE),"")</f>
        <v>0.2077</v>
      </c>
      <c r="T140" s="177" t="str">
        <f t="shared" ca="1" si="21"/>
        <v/>
      </c>
      <c r="U140" s="178" t="str">
        <f t="shared" ca="1" si="22"/>
        <v/>
      </c>
      <c r="V140" s="179">
        <f>IFERROR(VLOOKUP($C140,Code!$H:$Q,6,FALSE),"")</f>
        <v>136.9</v>
      </c>
      <c r="W140" s="180" t="str">
        <f t="shared" ca="1" si="23"/>
        <v/>
      </c>
      <c r="X140" s="12"/>
      <c r="Y140" s="12"/>
      <c r="Z140" s="12"/>
      <c r="AA140" s="12"/>
      <c r="AB140" s="12"/>
    </row>
    <row r="141" spans="1:28" s="10" customFormat="1" ht="15" hidden="1">
      <c r="A141" s="9"/>
      <c r="B141" s="169" cm="1">
        <f t="array" ref="B141">_xlfn.IFS(OR(Code!R378&lt;&gt;Code!U378,Code!R378=""),0,Code!R378=Code!U378,1)</f>
        <v>0</v>
      </c>
      <c r="C141" s="193" t="str">
        <f>IF(Code!F378="","",Code!F378)</f>
        <v>PNR</v>
      </c>
      <c r="D141" s="155" t="str">
        <f>IFERROR(VLOOKUP($C141,Code!$H:$K,2,FALSE),"")</f>
        <v>XLI</v>
      </c>
      <c r="E141" s="156" t="str">
        <f>IFERROR(VLOOKUP($C141,Code!$H:$K,3,FALSE),"")</f>
        <v>特種工業機械</v>
      </c>
      <c r="F141" s="157" t="str">
        <f>IFERROR(VLOOKUP($C141,Code!$H:$K,4,FALSE),"")</f>
        <v>.SPX</v>
      </c>
      <c r="G141" s="170">
        <f>IFERROR(((VLOOKUP($C141,Code!$H:$Q,9,FALSE))+(VLOOKUP($C141,Code!$H:$Q,10,FALSE)))/2*0.5/(((VLOOKUP($C141,Code!$H:$Q,7,FALSE))+(VLOOKUP($C141,Code!$H:$Q,8,FALSE)))/2),0)</f>
        <v>0.68032470042520299</v>
      </c>
      <c r="H141" s="171" t="str">
        <f t="shared" si="16"/>
        <v>L</v>
      </c>
      <c r="I141" s="170">
        <f>IFERROR((VLOOKUP($C141,Code!$H:$Q,5,FALSE))/(((VLOOKUP($C141,Code!$H:$Q,7,FALSE))+(VLOOKUP($C141,Code!$H:$Q,8,FALSE)))/2)-1,0)</f>
        <v>-7.6923076923076872E-2</v>
      </c>
      <c r="J141" s="204">
        <f>IFERROR(POWER((VLOOKUP(C141,Code!H:W,12,FALSE))/(VLOOKUP(C141,Code!H:W,15,FALSE)),1/(P141-1))-1,"")</f>
        <v>0.18233265164287249</v>
      </c>
      <c r="K141" s="172" cm="1">
        <f t="array" ref="K141">IFERROR(IF(C141="","",_xlfn.IFS(AND(VLOOKUP(C141,Code!H:W,13,FALSE)=0,VLOOKUP(C141,Code!H:W,16,FALSE)=0),"無股息",AND(VLOOKUP(C141,Code!H:W,13,FALSE)=0,VLOOKUP(C141,Code!H:W,16,FALSE)&gt;0),"股息沒了",AND(VLOOKUP(C141,Code!H:W,13,FALSE)&gt;0,VLOOKUP(C141,Code!H:W,16,FALSE)=0),"發股息了",AND(VLOOKUP(C141,Code!H:W,13,FALSE)&gt;0,VLOOKUP(C141,Code!H:W,16,FALSE)&gt;0),POWER((VLOOKUP(C141,Code!H:W,13,FALSE))/(VLOOKUP(C141,Code!H:W,16,FALSE)),1/(P141-1))-1)),"")</f>
        <v>-3.4641448111448758E-2</v>
      </c>
      <c r="L141" s="173">
        <f>IFERROR(VLOOKUP(C141,Code!H:W,13,FALSE)*4/VLOOKUP(C141,Code!H:W,12,FALSE),"")</f>
        <v>1.1733646178046002E-2</v>
      </c>
      <c r="M141" s="172">
        <f t="shared" si="17"/>
        <v>0.14769120353142373</v>
      </c>
      <c r="N141" s="172" t="str">
        <f t="shared" si="18"/>
        <v>-</v>
      </c>
      <c r="O141" s="172" t="str">
        <f t="shared" si="19"/>
        <v>-</v>
      </c>
      <c r="P141" s="205">
        <f>IFERROR(YEARFRAC(VLOOKUP(C141,Code!H:W,11,FALSE),VLOOKUP(C141,Code!H:W,14,FALSE),3),"")</f>
        <v>4.7589041095890412</v>
      </c>
      <c r="Q141" s="174">
        <v>44547</v>
      </c>
      <c r="R141" s="175" t="str">
        <f t="shared" ca="1" si="20"/>
        <v/>
      </c>
      <c r="S141" s="176">
        <f>IFERROR(VLOOKUP($C141,Code!$H:$Q,5,FALSE),"")</f>
        <v>0.23880000000000001</v>
      </c>
      <c r="T141" s="177" t="str">
        <f t="shared" ca="1" si="21"/>
        <v/>
      </c>
      <c r="U141" s="178" t="str">
        <f t="shared" ca="1" si="22"/>
        <v/>
      </c>
      <c r="V141" s="179">
        <f>IFERROR(VLOOKUP($C141,Code!$H:$Q,6,FALSE),"")</f>
        <v>76.44</v>
      </c>
      <c r="W141" s="180" t="str">
        <f t="shared" ca="1" si="23"/>
        <v/>
      </c>
      <c r="X141" s="12"/>
      <c r="Y141" s="12"/>
      <c r="Z141" s="12"/>
      <c r="AA141" s="12"/>
      <c r="AB141" s="12"/>
    </row>
    <row r="142" spans="1:28" s="10" customFormat="1" ht="15" hidden="1">
      <c r="A142" s="9"/>
      <c r="B142" s="169" cm="1">
        <f t="array" ref="B142">_xlfn.IFS(OR(Code!R292&lt;&gt;Code!U292,Code!R292=""),0,Code!R292=Code!U292,1)</f>
        <v>1</v>
      </c>
      <c r="C142" s="193" t="str">
        <f>IF(Code!F292="","",Code!F292)</f>
        <v>LYV</v>
      </c>
      <c r="D142" s="155" t="str">
        <f>IFERROR(VLOOKUP($C142,Code!$H:$K,2,FALSE),"")</f>
        <v>XLC</v>
      </c>
      <c r="E142" s="156" t="str">
        <f>IFERROR(VLOOKUP($C142,Code!$H:$K,3,FALSE),"")</f>
        <v>娛樂</v>
      </c>
      <c r="F142" s="157" t="str">
        <f>IFERROR(VLOOKUP($C142,Code!$H:$K,4,FALSE),"")</f>
        <v>.SPX</v>
      </c>
      <c r="G142" s="170">
        <f>IFERROR(((VLOOKUP($C142,Code!$H:$Q,9,FALSE))+(VLOOKUP($C142,Code!$H:$Q,10,FALSE)))/2*0.5/(((VLOOKUP($C142,Code!$H:$Q,7,FALSE))+(VLOOKUP($C142,Code!$H:$Q,8,FALSE)))/2),0)</f>
        <v>0.57703321878579605</v>
      </c>
      <c r="H142" s="171" t="str">
        <f t="shared" si="16"/>
        <v>M</v>
      </c>
      <c r="I142" s="170">
        <f>IFERROR((VLOOKUP($C142,Code!$H:$Q,5,FALSE))/(((VLOOKUP($C142,Code!$H:$Q,7,FALSE))+(VLOOKUP($C142,Code!$H:$Q,8,FALSE)))/2)-1,0)</f>
        <v>-7.7892325315005673E-2</v>
      </c>
      <c r="J142" s="204" t="str">
        <f>IFERROR(POWER((VLOOKUP(C142,Code!H:W,12,FALSE))/(VLOOKUP(C142,Code!H:W,15,FALSE)),1/(P142-1))-1,"")</f>
        <v/>
      </c>
      <c r="K142" s="172" t="str" cm="1">
        <f t="array" ref="K142">IFERROR(IF(C142="","",_xlfn.IFS(AND(VLOOKUP(C142,Code!H:W,13,FALSE)=0,VLOOKUP(C142,Code!H:W,16,FALSE)=0),"無股息",AND(VLOOKUP(C142,Code!H:W,13,FALSE)=0,VLOOKUP(C142,Code!H:W,16,FALSE)&gt;0),"股息沒了",AND(VLOOKUP(C142,Code!H:W,13,FALSE)&gt;0,VLOOKUP(C142,Code!H:W,16,FALSE)=0),"發股息了",AND(VLOOKUP(C142,Code!H:W,13,FALSE)&gt;0,VLOOKUP(C142,Code!H:W,16,FALSE)&gt;0),POWER((VLOOKUP(C142,Code!H:W,13,FALSE))/(VLOOKUP(C142,Code!H:W,16,FALSE)),1/(P142-1))-1)),"")</f>
        <v>無股息</v>
      </c>
      <c r="L142" s="173" t="str">
        <f>IFERROR(VLOOKUP(C142,Code!H:W,13,FALSE)*4/VLOOKUP(C142,Code!H:W,12,FALSE),"")</f>
        <v/>
      </c>
      <c r="M142" s="172" t="str">
        <f t="shared" si="17"/>
        <v/>
      </c>
      <c r="N142" s="172" t="str">
        <f t="shared" si="18"/>
        <v/>
      </c>
      <c r="O142" s="172" t="str">
        <f t="shared" si="19"/>
        <v/>
      </c>
      <c r="P142" s="205">
        <f>IFERROR(YEARFRAC(VLOOKUP(C142,Code!H:W,11,FALSE),VLOOKUP(C142,Code!H:W,14,FALSE),3),"")</f>
        <v>0</v>
      </c>
      <c r="Q142" s="174">
        <v>44547</v>
      </c>
      <c r="R142" s="175" t="str">
        <f t="shared" ca="1" si="20"/>
        <v/>
      </c>
      <c r="S142" s="176">
        <f>IFERROR(VLOOKUP($C142,Code!$H:$Q,5,FALSE),"")</f>
        <v>0.40250000000000002</v>
      </c>
      <c r="T142" s="177" t="str">
        <f t="shared" ca="1" si="21"/>
        <v/>
      </c>
      <c r="U142" s="178" t="str">
        <f t="shared" ca="1" si="22"/>
        <v/>
      </c>
      <c r="V142" s="179">
        <f>IFERROR(VLOOKUP($C142,Code!$H:$Q,6,FALSE),"")</f>
        <v>84.76</v>
      </c>
      <c r="W142" s="180" t="str">
        <f t="shared" ca="1" si="23"/>
        <v/>
      </c>
      <c r="X142" s="12"/>
      <c r="Y142" s="12"/>
      <c r="Z142" s="12"/>
      <c r="AA142" s="12"/>
      <c r="AB142" s="12"/>
    </row>
    <row r="143" spans="1:28" s="10" customFormat="1" ht="15" hidden="1">
      <c r="A143" s="9"/>
      <c r="B143" s="169" cm="1">
        <f t="array" ref="B143">_xlfn.IFS(OR(Code!R301&lt;&gt;Code!U301,Code!R301=""),0,Code!R301=Code!U301,1)</f>
        <v>0</v>
      </c>
      <c r="C143" s="193" t="str">
        <f>IF(Code!F301="","",Code!F301)</f>
        <v>MDLZ</v>
      </c>
      <c r="D143" s="155" t="str">
        <f>IFERROR(VLOOKUP($C143,Code!$H:$K,2,FALSE),"")</f>
        <v>XLP</v>
      </c>
      <c r="E143" s="156" t="str">
        <f>IFERROR(VLOOKUP($C143,Code!$H:$K,3,FALSE),"")</f>
        <v>糖果店</v>
      </c>
      <c r="F143" s="157" t="str">
        <f>IFERROR(VLOOKUP($C143,Code!$H:$K,4,FALSE),"")</f>
        <v>.SPX</v>
      </c>
      <c r="G143" s="170">
        <f>IFERROR(((VLOOKUP($C143,Code!$H:$Q,9,FALSE))+(VLOOKUP($C143,Code!$H:$Q,10,FALSE)))/2*0.5/(((VLOOKUP($C143,Code!$H:$Q,7,FALSE))+(VLOOKUP($C143,Code!$H:$Q,8,FALSE)))/2),0)</f>
        <v>0.74369355341015264</v>
      </c>
      <c r="H143" s="171" t="str">
        <f t="shared" si="16"/>
        <v>XL</v>
      </c>
      <c r="I143" s="170">
        <f>IFERROR((VLOOKUP($C143,Code!$H:$Q,5,FALSE))/(((VLOOKUP($C143,Code!$H:$Q,7,FALSE))+(VLOOKUP($C143,Code!$H:$Q,8,FALSE)))/2)-1,0)</f>
        <v>-7.8791653690439056E-2</v>
      </c>
      <c r="J143" s="204">
        <f>IFERROR(POWER((VLOOKUP(C143,Code!H:W,12,FALSE))/(VLOOKUP(C143,Code!H:W,15,FALSE)),1/(P143-1))-1,"")</f>
        <v>0.13101014355513652</v>
      </c>
      <c r="K143" s="172" cm="1">
        <f t="array" ref="K143">IFERROR(IF(C143="","",_xlfn.IFS(AND(VLOOKUP(C143,Code!H:W,13,FALSE)=0,VLOOKUP(C143,Code!H:W,16,FALSE)=0),"無股息",AND(VLOOKUP(C143,Code!H:W,13,FALSE)=0,VLOOKUP(C143,Code!H:W,16,FALSE)&gt;0),"股息沒了",AND(VLOOKUP(C143,Code!H:W,13,FALSE)&gt;0,VLOOKUP(C143,Code!H:W,16,FALSE)=0),"發股息了",AND(VLOOKUP(C143,Code!H:W,13,FALSE)&gt;0,VLOOKUP(C143,Code!H:W,16,FALSE)&gt;0),POWER((VLOOKUP(C143,Code!H:W,13,FALSE))/(VLOOKUP(C143,Code!H:W,16,FALSE)),1/(P143-1))-1)),"")</f>
        <v>0.14418197183045534</v>
      </c>
      <c r="L143" s="173">
        <f>IFERROR(VLOOKUP(C143,Code!H:W,13,FALSE)*4/VLOOKUP(C143,Code!H:W,12,FALSE),"")</f>
        <v>2.021174201020107E-2</v>
      </c>
      <c r="M143" s="172">
        <f t="shared" si="17"/>
        <v>0.27519211538559185</v>
      </c>
      <c r="N143" s="172" t="str">
        <f t="shared" si="18"/>
        <v>-</v>
      </c>
      <c r="O143" s="172" t="str">
        <f t="shared" si="19"/>
        <v>Value</v>
      </c>
      <c r="P143" s="205">
        <f>IFERROR(YEARFRAC(VLOOKUP(C143,Code!H:W,11,FALSE),VLOOKUP(C143,Code!H:W,14,FALSE),3),"")</f>
        <v>4.7534246575342465</v>
      </c>
      <c r="Q143" s="174">
        <v>44547</v>
      </c>
      <c r="R143" s="175" t="str">
        <f t="shared" ca="1" si="20"/>
        <v/>
      </c>
      <c r="S143" s="176">
        <f>IFERROR(VLOOKUP($C143,Code!$H:$Q,5,FALSE),"")</f>
        <v>0.1479</v>
      </c>
      <c r="T143" s="177" t="str">
        <f t="shared" ca="1" si="21"/>
        <v/>
      </c>
      <c r="U143" s="178" t="str">
        <f t="shared" ca="1" si="22"/>
        <v/>
      </c>
      <c r="V143" s="179">
        <f>IFERROR(VLOOKUP($C143,Code!$H:$Q,6,FALSE),"")</f>
        <v>62.09</v>
      </c>
      <c r="W143" s="180" t="str">
        <f t="shared" ca="1" si="23"/>
        <v/>
      </c>
      <c r="X143" s="12"/>
      <c r="Y143" s="12"/>
      <c r="Z143" s="12"/>
      <c r="AA143" s="12"/>
      <c r="AB143" s="12"/>
    </row>
    <row r="144" spans="1:28" s="10" customFormat="1" ht="15" hidden="1">
      <c r="A144" s="9"/>
      <c r="B144" s="169" cm="1">
        <f t="array" ref="B144">_xlfn.IFS(OR(Code!R53&lt;&gt;Code!U53,Code!R53=""),0,Code!R53=Code!U53,1)</f>
        <v>0</v>
      </c>
      <c r="C144" s="193" t="str">
        <f>IF(Code!F53="","",Code!F53)</f>
        <v>AVY</v>
      </c>
      <c r="D144" s="155" t="str">
        <f>IFERROR(VLOOKUP($C144,Code!$H:$K,2,FALSE),"")</f>
        <v>XLB</v>
      </c>
      <c r="E144" s="156" t="str">
        <f>IFERROR(VLOOKUP($C144,Code!$H:$K,3,FALSE),"")</f>
        <v>商業設備和用品</v>
      </c>
      <c r="F144" s="157" t="str">
        <f>IFERROR(VLOOKUP($C144,Code!$H:$K,4,FALSE),"")</f>
        <v>.SPX</v>
      </c>
      <c r="G144" s="170">
        <f>IFERROR(((VLOOKUP($C144,Code!$H:$Q,9,FALSE))+(VLOOKUP($C144,Code!$H:$Q,10,FALSE)))/2*0.5/(((VLOOKUP($C144,Code!$H:$Q,7,FALSE))+(VLOOKUP($C144,Code!$H:$Q,8,FALSE)))/2),0)</f>
        <v>0.65134135060129517</v>
      </c>
      <c r="H144" s="171" t="str">
        <f t="shared" si="16"/>
        <v>L</v>
      </c>
      <c r="I144" s="170">
        <f>IFERROR((VLOOKUP($C144,Code!$H:$Q,5,FALSE))/(((VLOOKUP($C144,Code!$H:$Q,7,FALSE))+(VLOOKUP($C144,Code!$H:$Q,8,FALSE)))/2)-1,0)</f>
        <v>-8.1591119333950024E-2</v>
      </c>
      <c r="J144" s="204">
        <f>IFERROR(POWER((VLOOKUP(C144,Code!H:W,12,FALSE))/(VLOOKUP(C144,Code!H:W,15,FALSE)),1/(P144-1))-1,"")</f>
        <v>0.35421463882535287</v>
      </c>
      <c r="K144" s="172" cm="1">
        <f t="array" ref="K144">IFERROR(IF(C144="","",_xlfn.IFS(AND(VLOOKUP(C144,Code!H:W,13,FALSE)=0,VLOOKUP(C144,Code!H:W,16,FALSE)=0),"無股息",AND(VLOOKUP(C144,Code!H:W,13,FALSE)=0,VLOOKUP(C144,Code!H:W,16,FALSE)&gt;0),"股息沒了",AND(VLOOKUP(C144,Code!H:W,13,FALSE)&gt;0,VLOOKUP(C144,Code!H:W,16,FALSE)=0),"發股息了",AND(VLOOKUP(C144,Code!H:W,13,FALSE)&gt;0,VLOOKUP(C144,Code!H:W,16,FALSE)&gt;0),POWER((VLOOKUP(C144,Code!H:W,13,FALSE))/(VLOOKUP(C144,Code!H:W,16,FALSE)),1/(P144-1))-1)),"")</f>
        <v>0.14452549636459033</v>
      </c>
      <c r="L144" s="173">
        <f>IFERROR(VLOOKUP(C144,Code!H:W,13,FALSE)*4/VLOOKUP(C144,Code!H:W,12,FALSE),"")</f>
        <v>1.222142357044154E-2</v>
      </c>
      <c r="M144" s="172">
        <f t="shared" si="17"/>
        <v>0.4987401351899432</v>
      </c>
      <c r="N144" s="172" t="str">
        <f t="shared" si="18"/>
        <v>-</v>
      </c>
      <c r="O144" s="172" t="str">
        <f t="shared" si="19"/>
        <v>Value</v>
      </c>
      <c r="P144" s="205">
        <f>IFERROR(YEARFRAC(VLOOKUP(C144,Code!H:W,11,FALSE),VLOOKUP(C144,Code!H:W,14,FALSE),3),"")</f>
        <v>4.7479452054794518</v>
      </c>
      <c r="Q144" s="174">
        <v>44547</v>
      </c>
      <c r="R144" s="175" t="str">
        <f t="shared" ca="1" si="20"/>
        <v/>
      </c>
      <c r="S144" s="176">
        <f>IFERROR(VLOOKUP($C144,Code!$H:$Q,5,FALSE),"")</f>
        <v>0.2482</v>
      </c>
      <c r="T144" s="177" t="str">
        <f t="shared" ca="1" si="21"/>
        <v/>
      </c>
      <c r="U144" s="178" t="str">
        <f t="shared" ca="1" si="22"/>
        <v/>
      </c>
      <c r="V144" s="179">
        <f>IFERROR(VLOOKUP($C144,Code!$H:$Q,6,FALSE),"")</f>
        <v>211.9</v>
      </c>
      <c r="W144" s="180" t="str">
        <f t="shared" ca="1" si="23"/>
        <v/>
      </c>
      <c r="X144" s="12"/>
      <c r="Y144" s="12"/>
      <c r="Z144" s="12"/>
      <c r="AA144" s="12"/>
      <c r="AB144" s="12"/>
    </row>
    <row r="145" spans="1:28" s="10" customFormat="1" ht="15" hidden="1">
      <c r="A145" s="9"/>
      <c r="B145" s="169" cm="1">
        <f t="array" ref="B145">_xlfn.IFS(OR(Code!R47&lt;&gt;Code!U47,Code!R47=""),0,Code!R47=Code!U47,1)</f>
        <v>0</v>
      </c>
      <c r="C145" s="193" t="str">
        <f>IF(Code!F47="","",Code!F47)</f>
        <v>APTV</v>
      </c>
      <c r="D145" s="155" t="str">
        <f>IFERROR(VLOOKUP($C145,Code!$H:$K,2,FALSE),"")</f>
        <v>XLY</v>
      </c>
      <c r="E145" s="156" t="str">
        <f>IFERROR(VLOOKUP($C145,Code!$H:$K,3,FALSE),"")</f>
        <v>汽車零件</v>
      </c>
      <c r="F145" s="157" t="str">
        <f>IFERROR(VLOOKUP($C145,Code!$H:$K,4,FALSE),"")</f>
        <v>.SPX</v>
      </c>
      <c r="G145" s="170">
        <f>IFERROR(((VLOOKUP($C145,Code!$H:$Q,9,FALSE))+(VLOOKUP($C145,Code!$H:$Q,10,FALSE)))/2*0.5/(((VLOOKUP($C145,Code!$H:$Q,7,FALSE))+(VLOOKUP($C145,Code!$H:$Q,8,FALSE)))/2),0)</f>
        <v>0.59144605750071155</v>
      </c>
      <c r="H145" s="171" t="str">
        <f t="shared" si="16"/>
        <v>M</v>
      </c>
      <c r="I145" s="170">
        <f>IFERROR((VLOOKUP($C145,Code!$H:$Q,5,FALSE))/(((VLOOKUP($C145,Code!$H:$Q,7,FALSE))+(VLOOKUP($C145,Code!$H:$Q,8,FALSE)))/2)-1,0)</f>
        <v>-8.1696555650441205E-2</v>
      </c>
      <c r="J145" s="204">
        <f>IFERROR(POWER((VLOOKUP(C145,Code!H:W,12,FALSE))/(VLOOKUP(C145,Code!H:W,15,FALSE)),1/(P145-1))-1,"")</f>
        <v>0.23825013141517948</v>
      </c>
      <c r="K145" s="172" cm="1">
        <f t="array" ref="K145">IFERROR(IF(C145="","",_xlfn.IFS(AND(VLOOKUP(C145,Code!H:W,13,FALSE)=0,VLOOKUP(C145,Code!H:W,16,FALSE)=0),"無股息",AND(VLOOKUP(C145,Code!H:W,13,FALSE)=0,VLOOKUP(C145,Code!H:W,16,FALSE)&gt;0),"股息沒了",AND(VLOOKUP(C145,Code!H:W,13,FALSE)&gt;0,VLOOKUP(C145,Code!H:W,16,FALSE)=0),"發股息了",AND(VLOOKUP(C145,Code!H:W,13,FALSE)&gt;0,VLOOKUP(C145,Code!H:W,16,FALSE)&gt;0),POWER((VLOOKUP(C145,Code!H:W,13,FALSE))/(VLOOKUP(C145,Code!H:W,16,FALSE)),1/(P145-1))-1)),"")</f>
        <v>-3.923275902207024E-2</v>
      </c>
      <c r="L145" s="173">
        <f>IFERROR(VLOOKUP(C145,Code!H:W,13,FALSE)*4/VLOOKUP(C145,Code!H:W,12,FALSE),"")</f>
        <v>9.7226823470346977E-3</v>
      </c>
      <c r="M145" s="172">
        <f t="shared" si="17"/>
        <v>0.19901737239310924</v>
      </c>
      <c r="N145" s="172" t="str">
        <f t="shared" si="18"/>
        <v>-</v>
      </c>
      <c r="O145" s="172" t="str">
        <f t="shared" si="19"/>
        <v>-</v>
      </c>
      <c r="P145" s="205">
        <f>IFERROR(YEARFRAC(VLOOKUP(C145,Code!H:W,11,FALSE),VLOOKUP(C145,Code!H:W,14,FALSE),3),"")</f>
        <v>3.493150684931507</v>
      </c>
      <c r="Q145" s="174">
        <v>44547</v>
      </c>
      <c r="R145" s="175" t="str">
        <f t="shared" ca="1" si="20"/>
        <v/>
      </c>
      <c r="S145" s="176">
        <f>IFERROR(VLOOKUP($C145,Code!$H:$Q,5,FALSE),"")</f>
        <v>0.3226</v>
      </c>
      <c r="T145" s="177" t="str">
        <f t="shared" ca="1" si="21"/>
        <v/>
      </c>
      <c r="U145" s="178" t="str">
        <f t="shared" ca="1" si="22"/>
        <v/>
      </c>
      <c r="V145" s="179">
        <f>IFERROR(VLOOKUP($C145,Code!$H:$Q,6,FALSE),"")</f>
        <v>161.02000000000001</v>
      </c>
      <c r="W145" s="180" t="str">
        <f t="shared" ca="1" si="23"/>
        <v/>
      </c>
      <c r="X145" s="12"/>
      <c r="Y145" s="12"/>
      <c r="Z145" s="12"/>
      <c r="AA145" s="12"/>
      <c r="AB145" s="12"/>
    </row>
    <row r="146" spans="1:28" s="10" customFormat="1" ht="15" hidden="1">
      <c r="A146" s="9"/>
      <c r="B146" s="169" cm="1">
        <f t="array" ref="B146">_xlfn.IFS(OR(Code!R201&lt;&gt;Code!U201,Code!R201=""),0,Code!R201=Code!U201,1)</f>
        <v>0</v>
      </c>
      <c r="C146" s="193" t="str">
        <f>IF(Code!F201="","",Code!F201)</f>
        <v>GL</v>
      </c>
      <c r="D146" s="155" t="str">
        <f>IFERROR(VLOOKUP($C146,Code!$H:$K,2,FALSE),"")</f>
        <v>XLF</v>
      </c>
      <c r="E146" s="156" t="str">
        <f>IFERROR(VLOOKUP($C146,Code!$H:$K,3,FALSE),"")</f>
        <v>保險-人壽保險</v>
      </c>
      <c r="F146" s="157" t="str">
        <f>IFERROR(VLOOKUP($C146,Code!$H:$K,4,FALSE),"")</f>
        <v>.SPX</v>
      </c>
      <c r="G146" s="170">
        <f>IFERROR(((VLOOKUP($C146,Code!$H:$Q,9,FALSE))+(VLOOKUP($C146,Code!$H:$Q,10,FALSE)))/2*0.5/(((VLOOKUP($C146,Code!$H:$Q,7,FALSE))+(VLOOKUP($C146,Code!$H:$Q,8,FALSE)))/2),0)</f>
        <v>0.58589861751152073</v>
      </c>
      <c r="H146" s="171" t="str">
        <f t="shared" si="16"/>
        <v>M</v>
      </c>
      <c r="I146" s="170">
        <f>IFERROR((VLOOKUP($C146,Code!$H:$Q,5,FALSE))/(((VLOOKUP($C146,Code!$H:$Q,7,FALSE))+(VLOOKUP($C146,Code!$H:$Q,8,FALSE)))/2)-1,0)</f>
        <v>-8.2027649769585209E-2</v>
      </c>
      <c r="J146" s="204">
        <f>IFERROR(POWER((VLOOKUP(C146,Code!H:W,12,FALSE))/(VLOOKUP(C146,Code!H:W,15,FALSE)),1/(P146-1))-1,"")</f>
        <v>0.12473492736685943</v>
      </c>
      <c r="K146" s="172" cm="1">
        <f t="array" ref="K146">IFERROR(IF(C146="","",_xlfn.IFS(AND(VLOOKUP(C146,Code!H:W,13,FALSE)=0,VLOOKUP(C146,Code!H:W,16,FALSE)=0),"無股息",AND(VLOOKUP(C146,Code!H:W,13,FALSE)=0,VLOOKUP(C146,Code!H:W,16,FALSE)&gt;0),"股息沒了",AND(VLOOKUP(C146,Code!H:W,13,FALSE)&gt;0,VLOOKUP(C146,Code!H:W,16,FALSE)=0),"發股息了",AND(VLOOKUP(C146,Code!H:W,13,FALSE)&gt;0,VLOOKUP(C146,Code!H:W,16,FALSE)&gt;0),POWER((VLOOKUP(C146,Code!H:W,13,FALSE))/(VLOOKUP(C146,Code!H:W,16,FALSE)),1/(P146-1))-1)),"")</f>
        <v>9.7118465909840745E-2</v>
      </c>
      <c r="L146" s="173">
        <f>IFERROR(VLOOKUP(C146,Code!H:W,13,FALSE)*4/VLOOKUP(C146,Code!H:W,12,FALSE),"")</f>
        <v>8.1936682184346309E-3</v>
      </c>
      <c r="M146" s="172">
        <f t="shared" si="17"/>
        <v>0.22185339327670017</v>
      </c>
      <c r="N146" s="172" t="str">
        <f t="shared" si="18"/>
        <v>-</v>
      </c>
      <c r="O146" s="172" t="str">
        <f t="shared" si="19"/>
        <v>-</v>
      </c>
      <c r="P146" s="205">
        <f>IFERROR(YEARFRAC(VLOOKUP(C146,Code!H:W,11,FALSE),VLOOKUP(C146,Code!H:W,14,FALSE),3),"")</f>
        <v>4.7397260273972606</v>
      </c>
      <c r="Q146" s="174">
        <v>44547</v>
      </c>
      <c r="R146" s="175" t="str">
        <f t="shared" ca="1" si="20"/>
        <v/>
      </c>
      <c r="S146" s="176">
        <f>IFERROR(VLOOKUP($C146,Code!$H:$Q,5,FALSE),"")</f>
        <v>0.249</v>
      </c>
      <c r="T146" s="177" t="str">
        <f t="shared" ca="1" si="21"/>
        <v/>
      </c>
      <c r="U146" s="178" t="str">
        <f t="shared" ca="1" si="22"/>
        <v/>
      </c>
      <c r="V146" s="179">
        <f>IFERROR(VLOOKUP($C146,Code!$H:$Q,6,FALSE),"")</f>
        <v>93.6</v>
      </c>
      <c r="W146" s="180" t="str">
        <f t="shared" ca="1" si="23"/>
        <v/>
      </c>
      <c r="X146" s="12"/>
      <c r="Y146" s="12"/>
      <c r="Z146" s="12"/>
      <c r="AA146" s="12"/>
      <c r="AB146" s="12"/>
    </row>
    <row r="147" spans="1:28" s="10" customFormat="1" ht="15" hidden="1">
      <c r="A147" s="9"/>
      <c r="B147" s="169" cm="1">
        <f t="array" ref="B147">_xlfn.IFS(OR(Code!R253&lt;&gt;Code!U253,Code!R253=""),0,Code!R253=Code!U253,1)</f>
        <v>0</v>
      </c>
      <c r="C147" s="193" t="str">
        <f>IF(Code!F253="","",Code!F253)</f>
        <v>J</v>
      </c>
      <c r="D147" s="155" t="str">
        <f>IFERROR(VLOOKUP($C147,Code!$H:$K,2,FALSE),"")</f>
        <v>XLI</v>
      </c>
      <c r="E147" s="156" t="str">
        <f>IFERROR(VLOOKUP($C147,Code!$H:$K,3,FALSE),"")</f>
        <v>工程建設</v>
      </c>
      <c r="F147" s="157" t="str">
        <f>IFERROR(VLOOKUP($C147,Code!$H:$K,4,FALSE),"")</f>
        <v>.SPX</v>
      </c>
      <c r="G147" s="170">
        <f>IFERROR(((VLOOKUP($C147,Code!$H:$Q,9,FALSE))+(VLOOKUP($C147,Code!$H:$Q,10,FALSE)))/2*0.5/(((VLOOKUP($C147,Code!$H:$Q,7,FALSE))+(VLOOKUP($C147,Code!$H:$Q,8,FALSE)))/2),0)</f>
        <v>0.6179639606167564</v>
      </c>
      <c r="H147" s="171" t="str">
        <f t="shared" si="16"/>
        <v>L</v>
      </c>
      <c r="I147" s="170">
        <f>IFERROR((VLOOKUP($C147,Code!$H:$Q,5,FALSE))/(((VLOOKUP($C147,Code!$H:$Q,7,FALSE))+(VLOOKUP($C147,Code!$H:$Q,8,FALSE)))/2)-1,0)</f>
        <v>-8.2667657440089193E-2</v>
      </c>
      <c r="J147" s="204">
        <f>IFERROR(POWER((VLOOKUP(C147,Code!H:W,12,FALSE))/(VLOOKUP(C147,Code!H:W,15,FALSE)),1/(P147-1))-1,"")</f>
        <v>0.29406839359655912</v>
      </c>
      <c r="K147" s="172" cm="1">
        <f t="array" ref="K147">IFERROR(IF(C147="","",_xlfn.IFS(AND(VLOOKUP(C147,Code!H:W,13,FALSE)=0,VLOOKUP(C147,Code!H:W,16,FALSE)=0),"無股息",AND(VLOOKUP(C147,Code!H:W,13,FALSE)=0,VLOOKUP(C147,Code!H:W,16,FALSE)&gt;0),"股息沒了",AND(VLOOKUP(C147,Code!H:W,13,FALSE)&gt;0,VLOOKUP(C147,Code!H:W,16,FALSE)=0),"發股息了",AND(VLOOKUP(C147,Code!H:W,13,FALSE)&gt;0,VLOOKUP(C147,Code!H:W,16,FALSE)&gt;0),POWER((VLOOKUP(C147,Code!H:W,13,FALSE))/(VLOOKUP(C147,Code!H:W,16,FALSE)),1/(P147-1))-1)),"")</f>
        <v>0.10237851527100927</v>
      </c>
      <c r="L147" s="173">
        <f>IFERROR(VLOOKUP(C147,Code!H:W,13,FALSE)*4/VLOOKUP(C147,Code!H:W,12,FALSE),"")</f>
        <v>6.1529444309389907E-3</v>
      </c>
      <c r="M147" s="172">
        <f t="shared" si="17"/>
        <v>0.39644690886756839</v>
      </c>
      <c r="N147" s="172" t="str">
        <f t="shared" si="18"/>
        <v>-</v>
      </c>
      <c r="O147" s="172" t="str">
        <f t="shared" si="19"/>
        <v>-</v>
      </c>
      <c r="P147" s="205">
        <f>IFERROR(YEARFRAC(VLOOKUP(C147,Code!H:W,11,FALSE),VLOOKUP(C147,Code!H:W,14,FALSE),3),"")</f>
        <v>4.4520547945205475</v>
      </c>
      <c r="Q147" s="174">
        <v>44547</v>
      </c>
      <c r="R147" s="175" t="str">
        <f t="shared" ca="1" si="20"/>
        <v/>
      </c>
      <c r="S147" s="176">
        <f>IFERROR(VLOOKUP($C147,Code!$H:$Q,5,FALSE),"")</f>
        <v>0.24690000000000001</v>
      </c>
      <c r="T147" s="177" t="str">
        <f t="shared" ca="1" si="21"/>
        <v/>
      </c>
      <c r="U147" s="178" t="str">
        <f t="shared" ca="1" si="22"/>
        <v/>
      </c>
      <c r="V147" s="179">
        <f>IFERROR(VLOOKUP($C147,Code!$H:$Q,6,FALSE),"")</f>
        <v>128.74</v>
      </c>
      <c r="W147" s="180" t="str">
        <f t="shared" ca="1" si="23"/>
        <v/>
      </c>
      <c r="X147" s="12"/>
      <c r="Y147" s="12"/>
      <c r="Z147" s="12"/>
      <c r="AA147" s="12"/>
      <c r="AB147" s="12"/>
    </row>
    <row r="148" spans="1:28" s="10" customFormat="1" ht="15" hidden="1">
      <c r="A148" s="9"/>
      <c r="B148" s="169" cm="1">
        <f t="array" ref="B148">_xlfn.IFS(OR(Code!R340&lt;&gt;Code!U340,Code!R340=""),0,Code!R340=Code!U340,1)</f>
        <v>0</v>
      </c>
      <c r="C148" s="193" t="str">
        <f>IF(Code!F340="","",Code!F340)</f>
        <v>NSC</v>
      </c>
      <c r="D148" s="155" t="str">
        <f>IFERROR(VLOOKUP($C148,Code!$H:$K,2,FALSE),"")</f>
        <v>XLI</v>
      </c>
      <c r="E148" s="156" t="str">
        <f>IFERROR(VLOOKUP($C148,Code!$H:$K,3,FALSE),"")</f>
        <v>鐵路</v>
      </c>
      <c r="F148" s="157" t="str">
        <f>IFERROR(VLOOKUP($C148,Code!$H:$K,4,FALSE),"")</f>
        <v>.SPX</v>
      </c>
      <c r="G148" s="170">
        <f>IFERROR(((VLOOKUP($C148,Code!$H:$Q,9,FALSE))+(VLOOKUP($C148,Code!$H:$Q,10,FALSE)))/2*0.5/(((VLOOKUP($C148,Code!$H:$Q,7,FALSE))+(VLOOKUP($C148,Code!$H:$Q,8,FALSE)))/2),0)</f>
        <v>0.62449926207041961</v>
      </c>
      <c r="H148" s="171" t="str">
        <f t="shared" si="16"/>
        <v>L</v>
      </c>
      <c r="I148" s="170">
        <f>IFERROR((VLOOKUP($C148,Code!$H:$Q,5,FALSE))/(((VLOOKUP($C148,Code!$H:$Q,7,FALSE))+(VLOOKUP($C148,Code!$H:$Q,8,FALSE)))/2)-1,0)</f>
        <v>-8.3280624077587961E-2</v>
      </c>
      <c r="J148" s="204">
        <f>IFERROR(POWER((VLOOKUP(C148,Code!H:W,12,FALSE))/(VLOOKUP(C148,Code!H:W,15,FALSE)),1/(P148-1))-1,"")</f>
        <v>0.41721345666082899</v>
      </c>
      <c r="K148" s="172" cm="1">
        <f t="array" ref="K148">IFERROR(IF(C148="","",_xlfn.IFS(AND(VLOOKUP(C148,Code!H:W,13,FALSE)=0,VLOOKUP(C148,Code!H:W,16,FALSE)=0),"無股息",AND(VLOOKUP(C148,Code!H:W,13,FALSE)=0,VLOOKUP(C148,Code!H:W,16,FALSE)&gt;0),"股息沒了",AND(VLOOKUP(C148,Code!H:W,13,FALSE)&gt;0,VLOOKUP(C148,Code!H:W,16,FALSE)=0),"發股息了",AND(VLOOKUP(C148,Code!H:W,13,FALSE)&gt;0,VLOOKUP(C148,Code!H:W,16,FALSE)&gt;0),POWER((VLOOKUP(C148,Code!H:W,13,FALSE))/(VLOOKUP(C148,Code!H:W,16,FALSE)),1/(P148-1))-1)),"")</f>
        <v>0.15890621466601784</v>
      </c>
      <c r="L148" s="173">
        <f>IFERROR(VLOOKUP(C148,Code!H:W,13,FALSE)*4/VLOOKUP(C148,Code!H:W,12,FALSE),"")</f>
        <v>1.3799351789926089E-2</v>
      </c>
      <c r="M148" s="172">
        <f t="shared" si="17"/>
        <v>0.57611967132684683</v>
      </c>
      <c r="N148" s="172" t="str">
        <f t="shared" si="18"/>
        <v>-</v>
      </c>
      <c r="O148" s="172" t="str">
        <f t="shared" si="19"/>
        <v>Value</v>
      </c>
      <c r="P148" s="205">
        <f>IFERROR(YEARFRAC(VLOOKUP(C148,Code!H:W,11,FALSE),VLOOKUP(C148,Code!H:W,14,FALSE),3),"")</f>
        <v>4.5095890410958903</v>
      </c>
      <c r="Q148" s="174">
        <v>44547</v>
      </c>
      <c r="R148" s="175" t="str">
        <f t="shared" ca="1" si="20"/>
        <v/>
      </c>
      <c r="S148" s="176">
        <f>IFERROR(VLOOKUP($C148,Code!$H:$Q,5,FALSE),"")</f>
        <v>0.21740000000000001</v>
      </c>
      <c r="T148" s="177" t="str">
        <f t="shared" ca="1" si="21"/>
        <v/>
      </c>
      <c r="U148" s="178" t="str">
        <f t="shared" ca="1" si="22"/>
        <v/>
      </c>
      <c r="V148" s="179">
        <f>IFERROR(VLOOKUP($C148,Code!$H:$Q,6,FALSE),"")</f>
        <v>254.47</v>
      </c>
      <c r="W148" s="180" t="str">
        <f t="shared" ca="1" si="23"/>
        <v/>
      </c>
      <c r="X148" s="12"/>
      <c r="Y148" s="12"/>
      <c r="Z148" s="12"/>
      <c r="AA148" s="12"/>
      <c r="AB148" s="12"/>
    </row>
    <row r="149" spans="1:28" s="10" customFormat="1" ht="15" hidden="1">
      <c r="A149" s="9"/>
      <c r="B149" s="169" cm="1">
        <f t="array" ref="B149">_xlfn.IFS(OR(Code!R68&lt;&gt;Code!U68,Code!R68=""),0,Code!R68=Code!U68,1)</f>
        <v>0</v>
      </c>
      <c r="C149" s="193" t="str">
        <f>IF(Code!F68="","",Code!F68)</f>
        <v>BKR</v>
      </c>
      <c r="D149" s="155" t="str">
        <f>IFERROR(VLOOKUP($C149,Code!$H:$K,2,FALSE),"")</f>
        <v>XLE</v>
      </c>
      <c r="E149" s="156" t="str">
        <f>IFERROR(VLOOKUP($C149,Code!$H:$K,3,FALSE),"")</f>
        <v>石油和天然氣設備和服務</v>
      </c>
      <c r="F149" s="157" t="str">
        <f>IFERROR(VLOOKUP($C149,Code!$H:$K,4,FALSE),"")</f>
        <v>.SPX</v>
      </c>
      <c r="G149" s="170">
        <f>IFERROR(((VLOOKUP($C149,Code!$H:$Q,9,FALSE))+(VLOOKUP($C149,Code!$H:$Q,10,FALSE)))/2*0.5/(((VLOOKUP($C149,Code!$H:$Q,7,FALSE))+(VLOOKUP($C149,Code!$H:$Q,8,FALSE)))/2),0)</f>
        <v>0.57657303370786506</v>
      </c>
      <c r="H149" s="171" t="str">
        <f t="shared" si="16"/>
        <v>M</v>
      </c>
      <c r="I149" s="170">
        <f>IFERROR((VLOOKUP($C149,Code!$H:$Q,5,FALSE))/(((VLOOKUP($C149,Code!$H:$Q,7,FALSE))+(VLOOKUP($C149,Code!$H:$Q,8,FALSE)))/2)-1,0)</f>
        <v>-8.6516853932584459E-2</v>
      </c>
      <c r="J149" s="204">
        <f>IFERROR(POWER((VLOOKUP(C149,Code!H:W,12,FALSE))/(VLOOKUP(C149,Code!H:W,15,FALSE)),1/(P149-1))-1,"")</f>
        <v>-7.9890485162262159E-2</v>
      </c>
      <c r="K149" s="172" cm="1">
        <f t="array" ref="K149">IFERROR(IF(C149="","",_xlfn.IFS(AND(VLOOKUP(C149,Code!H:W,13,FALSE)=0,VLOOKUP(C149,Code!H:W,16,FALSE)=0),"無股息",AND(VLOOKUP(C149,Code!H:W,13,FALSE)=0,VLOOKUP(C149,Code!H:W,16,FALSE)&gt;0),"股息沒了",AND(VLOOKUP(C149,Code!H:W,13,FALSE)&gt;0,VLOOKUP(C149,Code!H:W,16,FALSE)=0),"發股息了",AND(VLOOKUP(C149,Code!H:W,13,FALSE)&gt;0,VLOOKUP(C149,Code!H:W,16,FALSE)&gt;0),POWER((VLOOKUP(C149,Code!H:W,13,FALSE))/(VLOOKUP(C149,Code!H:W,16,FALSE)),1/(P149-1))-1)),"")</f>
        <v>1.6202918002285571E-2</v>
      </c>
      <c r="L149" s="173">
        <f>IFERROR(VLOOKUP(C149,Code!H:W,13,FALSE)*4/VLOOKUP(C149,Code!H:W,12,FALSE),"")</f>
        <v>2.862823105052905E-2</v>
      </c>
      <c r="M149" s="172">
        <f t="shared" si="17"/>
        <v>-6.3687567159976588E-2</v>
      </c>
      <c r="N149" s="172" t="str">
        <f t="shared" si="18"/>
        <v>-</v>
      </c>
      <c r="O149" s="172" t="str">
        <f t="shared" si="19"/>
        <v>-</v>
      </c>
      <c r="P149" s="205">
        <f>IFERROR(YEARFRAC(VLOOKUP(C149,Code!H:W,11,FALSE),VLOOKUP(C149,Code!H:W,14,FALSE),3),"")</f>
        <v>4.5561643835616437</v>
      </c>
      <c r="Q149" s="174">
        <v>44547</v>
      </c>
      <c r="R149" s="175" t="str">
        <f t="shared" ca="1" si="20"/>
        <v/>
      </c>
      <c r="S149" s="176">
        <f>IFERROR(VLOOKUP($C149,Code!$H:$Q,5,FALSE),"")</f>
        <v>0.40649999999999997</v>
      </c>
      <c r="T149" s="177" t="str">
        <f t="shared" ca="1" si="21"/>
        <v/>
      </c>
      <c r="U149" s="178" t="str">
        <f t="shared" ca="1" si="22"/>
        <v/>
      </c>
      <c r="V149" s="179">
        <f>IFERROR(VLOOKUP($C149,Code!$H:$Q,6,FALSE),"")</f>
        <v>21.19</v>
      </c>
      <c r="W149" s="180" t="str">
        <f t="shared" ca="1" si="23"/>
        <v/>
      </c>
      <c r="X149" s="12"/>
      <c r="Y149" s="12"/>
      <c r="Z149" s="12"/>
      <c r="AA149" s="12"/>
      <c r="AB149" s="12"/>
    </row>
    <row r="150" spans="1:28" s="10" customFormat="1" ht="15" hidden="1">
      <c r="A150" s="9"/>
      <c r="B150" s="169" cm="1">
        <f t="array" ref="B150">_xlfn.IFS(OR(Code!R48&lt;&gt;Code!U48,Code!R48=""),0,Code!R48=Code!U48,1)</f>
        <v>0</v>
      </c>
      <c r="C150" s="193" t="str">
        <f>IF(Code!F48="","",Code!F48)</f>
        <v>ARE</v>
      </c>
      <c r="D150" s="155" t="str">
        <f>IFERROR(VLOOKUP($C150,Code!$H:$K,2,FALSE),"")</f>
        <v>XLRE</v>
      </c>
      <c r="E150" s="156" t="str">
        <f>IFERROR(VLOOKUP($C150,Code!$H:$K,3,FALSE),"")</f>
        <v>REIT-辦公室</v>
      </c>
      <c r="F150" s="157" t="str">
        <f>IFERROR(VLOOKUP($C150,Code!$H:$K,4,FALSE),"")</f>
        <v>.SPX</v>
      </c>
      <c r="G150" s="170">
        <f>IFERROR(((VLOOKUP($C150,Code!$H:$Q,9,FALSE))+(VLOOKUP($C150,Code!$H:$Q,10,FALSE)))/2*0.5/(((VLOOKUP($C150,Code!$H:$Q,7,FALSE))+(VLOOKUP($C150,Code!$H:$Q,8,FALSE)))/2),0)</f>
        <v>0.72150619155926188</v>
      </c>
      <c r="H150" s="171" t="str">
        <f t="shared" si="16"/>
        <v>XL</v>
      </c>
      <c r="I150" s="170">
        <f>IFERROR((VLOOKUP($C150,Code!$H:$Q,5,FALSE))/(((VLOOKUP($C150,Code!$H:$Q,7,FALSE))+(VLOOKUP($C150,Code!$H:$Q,8,FALSE)))/2)-1,0)</f>
        <v>-8.7692696487237987E-2</v>
      </c>
      <c r="J150" s="204">
        <f>IFERROR(POWER((VLOOKUP(C150,Code!H:W,12,FALSE))/(VLOOKUP(C150,Code!H:W,15,FALSE)),1/(P150-1))-1,"")</f>
        <v>0.17884041941079221</v>
      </c>
      <c r="K150" s="172" cm="1">
        <f t="array" ref="K150">IFERROR(IF(C150="","",_xlfn.IFS(AND(VLOOKUP(C150,Code!H:W,13,FALSE)=0,VLOOKUP(C150,Code!H:W,16,FALSE)=0),"無股息",AND(VLOOKUP(C150,Code!H:W,13,FALSE)=0,VLOOKUP(C150,Code!H:W,16,FALSE)&gt;0),"股息沒了",AND(VLOOKUP(C150,Code!H:W,13,FALSE)&gt;0,VLOOKUP(C150,Code!H:W,16,FALSE)=0),"發股息了",AND(VLOOKUP(C150,Code!H:W,13,FALSE)&gt;0,VLOOKUP(C150,Code!H:W,16,FALSE)&gt;0),POWER((VLOOKUP(C150,Code!H:W,13,FALSE))/(VLOOKUP(C150,Code!H:W,16,FALSE)),1/(P150-1))-1)),"")</f>
        <v>9.3784895941368962E-2</v>
      </c>
      <c r="L150" s="173">
        <f>IFERROR(VLOOKUP(C150,Code!H:W,13,FALSE)*4/VLOOKUP(C150,Code!H:W,12,FALSE),"")</f>
        <v>2.4478198532498503E-2</v>
      </c>
      <c r="M150" s="172">
        <f t="shared" si="17"/>
        <v>0.27262531535216117</v>
      </c>
      <c r="N150" s="172" t="str">
        <f t="shared" si="18"/>
        <v>-</v>
      </c>
      <c r="O150" s="172" t="str">
        <f t="shared" si="19"/>
        <v>-</v>
      </c>
      <c r="P150" s="205">
        <f>IFERROR(YEARFRAC(VLOOKUP(C150,Code!H:W,11,FALSE),VLOOKUP(C150,Code!H:W,14,FALSE),3),"")</f>
        <v>4.7534246575342465</v>
      </c>
      <c r="Q150" s="174">
        <v>44547</v>
      </c>
      <c r="R150" s="175" t="str">
        <f t="shared" ca="1" si="20"/>
        <v/>
      </c>
      <c r="S150" s="176">
        <f>IFERROR(VLOOKUP($C150,Code!$H:$Q,5,FALSE),"")</f>
        <v>0.18049999999999999</v>
      </c>
      <c r="T150" s="177" t="str">
        <f t="shared" ca="1" si="21"/>
        <v/>
      </c>
      <c r="U150" s="178" t="str">
        <f t="shared" ca="1" si="22"/>
        <v/>
      </c>
      <c r="V150" s="179">
        <f>IFERROR(VLOOKUP($C150,Code!$H:$Q,6,FALSE),"")</f>
        <v>207.58</v>
      </c>
      <c r="W150" s="180" t="str">
        <f t="shared" ca="1" si="23"/>
        <v/>
      </c>
      <c r="X150" s="12"/>
      <c r="Y150" s="12"/>
      <c r="Z150" s="12"/>
      <c r="AA150" s="12"/>
      <c r="AB150" s="12"/>
    </row>
    <row r="151" spans="1:28" s="10" customFormat="1" ht="15" hidden="1">
      <c r="A151" s="9"/>
      <c r="B151" s="169" cm="1">
        <f t="array" ref="B151">_xlfn.IFS(OR(Code!R300&lt;&gt;Code!U300,Code!R300=""),0,Code!R300=Code!U300,1)</f>
        <v>0</v>
      </c>
      <c r="C151" s="193" t="str">
        <f>IF(Code!F300="","",Code!F300)</f>
        <v>MCO</v>
      </c>
      <c r="D151" s="155" t="str">
        <f>IFERROR(VLOOKUP($C151,Code!$H:$K,2,FALSE),"")</f>
        <v>XLF</v>
      </c>
      <c r="E151" s="156" t="str">
        <f>IFERROR(VLOOKUP($C151,Code!$H:$K,3,FALSE),"")</f>
        <v>金融數據與證券交易所</v>
      </c>
      <c r="F151" s="157" t="str">
        <f>IFERROR(VLOOKUP($C151,Code!$H:$K,4,FALSE),"")</f>
        <v>.SPX</v>
      </c>
      <c r="G151" s="170">
        <f>IFERROR(((VLOOKUP($C151,Code!$H:$Q,9,FALSE))+(VLOOKUP($C151,Code!$H:$Q,10,FALSE)))/2*0.5/(((VLOOKUP($C151,Code!$H:$Q,7,FALSE))+(VLOOKUP($C151,Code!$H:$Q,8,FALSE)))/2),0)</f>
        <v>0.64674408014571949</v>
      </c>
      <c r="H151" s="171" t="str">
        <f t="shared" si="16"/>
        <v>L</v>
      </c>
      <c r="I151" s="170">
        <f>IFERROR((VLOOKUP($C151,Code!$H:$Q,5,FALSE))/(((VLOOKUP($C151,Code!$H:$Q,7,FALSE))+(VLOOKUP($C151,Code!$H:$Q,8,FALSE)))/2)-1,0)</f>
        <v>-8.7887067395264085E-2</v>
      </c>
      <c r="J151" s="204">
        <f>IFERROR(POWER((VLOOKUP(C151,Code!H:W,12,FALSE))/(VLOOKUP(C151,Code!H:W,15,FALSE)),1/(P151-1))-1,"")</f>
        <v>0.37059700917395944</v>
      </c>
      <c r="K151" s="172" cm="1">
        <f t="array" ref="K151">IFERROR(IF(C151="","",_xlfn.IFS(AND(VLOOKUP(C151,Code!H:W,13,FALSE)=0,VLOOKUP(C151,Code!H:W,16,FALSE)=0),"無股息",AND(VLOOKUP(C151,Code!H:W,13,FALSE)=0,VLOOKUP(C151,Code!H:W,16,FALSE)&gt;0),"股息沒了",AND(VLOOKUP(C151,Code!H:W,13,FALSE)&gt;0,VLOOKUP(C151,Code!H:W,16,FALSE)=0),"發股息了",AND(VLOOKUP(C151,Code!H:W,13,FALSE)&gt;0,VLOOKUP(C151,Code!H:W,16,FALSE)&gt;0),POWER((VLOOKUP(C151,Code!H:W,13,FALSE))/(VLOOKUP(C151,Code!H:W,16,FALSE)),1/(P151-1))-1)),"")</f>
        <v>0.14743856782917075</v>
      </c>
      <c r="L151" s="173">
        <f>IFERROR(VLOOKUP(C151,Code!H:W,13,FALSE)*4/VLOOKUP(C151,Code!H:W,12,FALSE),"")</f>
        <v>7.6566843060595722E-3</v>
      </c>
      <c r="M151" s="172">
        <f t="shared" si="17"/>
        <v>0.51803557700313019</v>
      </c>
      <c r="N151" s="172" t="str">
        <f t="shared" si="18"/>
        <v>-</v>
      </c>
      <c r="O151" s="172" t="str">
        <f t="shared" si="19"/>
        <v>Value</v>
      </c>
      <c r="P151" s="205">
        <f>IFERROR(YEARFRAC(VLOOKUP(C151,Code!H:W,11,FALSE),VLOOKUP(C151,Code!H:W,14,FALSE),3),"")</f>
        <v>4.7534246575342465</v>
      </c>
      <c r="Q151" s="174">
        <v>44547</v>
      </c>
      <c r="R151" s="175" t="str">
        <f t="shared" ca="1" si="20"/>
        <v/>
      </c>
      <c r="S151" s="176">
        <f>IFERROR(VLOOKUP($C151,Code!$H:$Q,5,FALSE),"")</f>
        <v>0.20030000000000001</v>
      </c>
      <c r="T151" s="177" t="str">
        <f t="shared" ca="1" si="21"/>
        <v/>
      </c>
      <c r="U151" s="178" t="str">
        <f t="shared" ca="1" si="22"/>
        <v/>
      </c>
      <c r="V151" s="179">
        <f>IFERROR(VLOOKUP($C151,Code!$H:$Q,6,FALSE),"")</f>
        <v>386.84</v>
      </c>
      <c r="W151" s="180" t="str">
        <f t="shared" ca="1" si="23"/>
        <v/>
      </c>
      <c r="X151" s="12"/>
      <c r="Y151" s="12"/>
      <c r="Z151" s="12"/>
      <c r="AA151" s="12"/>
      <c r="AB151" s="12"/>
    </row>
    <row r="152" spans="1:28" s="10" customFormat="1" ht="15" hidden="1">
      <c r="A152" s="9"/>
      <c r="B152" s="169" cm="1">
        <f t="array" ref="B152">_xlfn.IFS(OR(Code!R277&lt;&gt;Code!U277,Code!R277=""),0,Code!R277=Code!U277,1)</f>
        <v>1</v>
      </c>
      <c r="C152" s="193" t="str">
        <f>IF(Code!F277="","",Code!F277)</f>
        <v>LH</v>
      </c>
      <c r="D152" s="155" t="str">
        <f>IFERROR(VLOOKUP($C152,Code!$H:$K,2,FALSE),"")</f>
        <v>XLV</v>
      </c>
      <c r="E152" s="156" t="str">
        <f>IFERROR(VLOOKUP($C152,Code!$H:$K,3,FALSE),"")</f>
        <v>診斷與研究</v>
      </c>
      <c r="F152" s="157" t="str">
        <f>IFERROR(VLOOKUP($C152,Code!$H:$K,4,FALSE),"")</f>
        <v>.SPX</v>
      </c>
      <c r="G152" s="170">
        <f>IFERROR(((VLOOKUP($C152,Code!$H:$Q,9,FALSE))+(VLOOKUP($C152,Code!$H:$Q,10,FALSE)))/2*0.5/(((VLOOKUP($C152,Code!$H:$Q,7,FALSE))+(VLOOKUP($C152,Code!$H:$Q,8,FALSE)))/2),0)</f>
        <v>0.61336734693877548</v>
      </c>
      <c r="H152" s="171" t="str">
        <f t="shared" si="16"/>
        <v>L</v>
      </c>
      <c r="I152" s="170">
        <f>IFERROR((VLOOKUP($C152,Code!$H:$Q,5,FALSE))/(((VLOOKUP($C152,Code!$H:$Q,7,FALSE))+(VLOOKUP($C152,Code!$H:$Q,8,FALSE)))/2)-1,0)</f>
        <v>-8.8979591836734651E-2</v>
      </c>
      <c r="J152" s="204" t="str">
        <f>IFERROR(POWER((VLOOKUP(C152,Code!H:W,12,FALSE))/(VLOOKUP(C152,Code!H:W,15,FALSE)),1/(P152-1))-1,"")</f>
        <v/>
      </c>
      <c r="K152" s="172" t="str" cm="1">
        <f t="array" ref="K152">IFERROR(IF(C152="","",_xlfn.IFS(AND(VLOOKUP(C152,Code!H:W,13,FALSE)=0,VLOOKUP(C152,Code!H:W,16,FALSE)=0),"無股息",AND(VLOOKUP(C152,Code!H:W,13,FALSE)=0,VLOOKUP(C152,Code!H:W,16,FALSE)&gt;0),"股息沒了",AND(VLOOKUP(C152,Code!H:W,13,FALSE)&gt;0,VLOOKUP(C152,Code!H:W,16,FALSE)=0),"發股息了",AND(VLOOKUP(C152,Code!H:W,13,FALSE)&gt;0,VLOOKUP(C152,Code!H:W,16,FALSE)&gt;0),POWER((VLOOKUP(C152,Code!H:W,13,FALSE))/(VLOOKUP(C152,Code!H:W,16,FALSE)),1/(P152-1))-1)),"")</f>
        <v>無股息</v>
      </c>
      <c r="L152" s="173" t="str">
        <f>IFERROR(VLOOKUP(C152,Code!H:W,13,FALSE)*4/VLOOKUP(C152,Code!H:W,12,FALSE),"")</f>
        <v/>
      </c>
      <c r="M152" s="172" t="str">
        <f t="shared" si="17"/>
        <v/>
      </c>
      <c r="N152" s="172" t="str">
        <f t="shared" si="18"/>
        <v/>
      </c>
      <c r="O152" s="172" t="str">
        <f t="shared" si="19"/>
        <v/>
      </c>
      <c r="P152" s="205">
        <f>IFERROR(YEARFRAC(VLOOKUP(C152,Code!H:W,11,FALSE),VLOOKUP(C152,Code!H:W,14,FALSE),3),"")</f>
        <v>0</v>
      </c>
      <c r="Q152" s="174">
        <v>44547</v>
      </c>
      <c r="R152" s="175" t="str">
        <f t="shared" ca="1" si="20"/>
        <v/>
      </c>
      <c r="S152" s="176">
        <f>IFERROR(VLOOKUP($C152,Code!$H:$Q,5,FALSE),"")</f>
        <v>0.22320000000000001</v>
      </c>
      <c r="T152" s="177" t="str">
        <f t="shared" ca="1" si="21"/>
        <v/>
      </c>
      <c r="U152" s="178" t="str">
        <f t="shared" ca="1" si="22"/>
        <v/>
      </c>
      <c r="V152" s="179">
        <f>IFERROR(VLOOKUP($C152,Code!$H:$Q,6,FALSE),"")</f>
        <v>298.91000000000003</v>
      </c>
      <c r="W152" s="180" t="str">
        <f t="shared" ca="1" si="23"/>
        <v/>
      </c>
      <c r="X152" s="12"/>
      <c r="Y152" s="12"/>
      <c r="Z152" s="12"/>
      <c r="AA152" s="12"/>
      <c r="AB152" s="12"/>
    </row>
    <row r="153" spans="1:28" s="10" customFormat="1" ht="15" hidden="1">
      <c r="A153" s="9"/>
      <c r="B153" s="169" cm="1">
        <f t="array" ref="B153">_xlfn.IFS(OR(Code!R69&lt;&gt;Code!U69,Code!R69=""),0,Code!R69=Code!U69,1)</f>
        <v>0</v>
      </c>
      <c r="C153" s="193" t="str">
        <f>IF(Code!F69="","",Code!F69)</f>
        <v>BLK</v>
      </c>
      <c r="D153" s="155" t="str">
        <f>IFERROR(VLOOKUP($C153,Code!$H:$K,2,FALSE),"")</f>
        <v>XLF</v>
      </c>
      <c r="E153" s="156" t="str">
        <f>IFERROR(VLOOKUP($C153,Code!$H:$K,3,FALSE),"")</f>
        <v>資產管理</v>
      </c>
      <c r="F153" s="157" t="str">
        <f>IFERROR(VLOOKUP($C153,Code!$H:$K,4,FALSE),"")</f>
        <v>.SPX</v>
      </c>
      <c r="G153" s="170">
        <f>IFERROR(((VLOOKUP($C153,Code!$H:$Q,9,FALSE))+(VLOOKUP($C153,Code!$H:$Q,10,FALSE)))/2*0.5/(((VLOOKUP($C153,Code!$H:$Q,7,FALSE))+(VLOOKUP($C153,Code!$H:$Q,8,FALSE)))/2),0)</f>
        <v>0.62395143487858717</v>
      </c>
      <c r="H153" s="171" t="str">
        <f t="shared" si="16"/>
        <v>L</v>
      </c>
      <c r="I153" s="170">
        <f>IFERROR((VLOOKUP($C153,Code!$H:$Q,5,FALSE))/(((VLOOKUP($C153,Code!$H:$Q,7,FALSE))+(VLOOKUP($C153,Code!$H:$Q,8,FALSE)))/2)-1,0)</f>
        <v>-8.9624724061810102E-2</v>
      </c>
      <c r="J153" s="204">
        <f>IFERROR(POWER((VLOOKUP(C153,Code!H:W,12,FALSE))/(VLOOKUP(C153,Code!H:W,15,FALSE)),1/(P153-1))-1,"")</f>
        <v>0.29794632872894056</v>
      </c>
      <c r="K153" s="172" cm="1">
        <f t="array" ref="K153">IFERROR(IF(C153="","",_xlfn.IFS(AND(VLOOKUP(C153,Code!H:W,13,FALSE)=0,VLOOKUP(C153,Code!H:W,16,FALSE)=0),"無股息",AND(VLOOKUP(C153,Code!H:W,13,FALSE)=0,VLOOKUP(C153,Code!H:W,16,FALSE)&gt;0),"股息沒了",AND(VLOOKUP(C153,Code!H:W,13,FALSE)&gt;0,VLOOKUP(C153,Code!H:W,16,FALSE)=0),"發股息了",AND(VLOOKUP(C153,Code!H:W,13,FALSE)&gt;0,VLOOKUP(C153,Code!H:W,16,FALSE)&gt;0),POWER((VLOOKUP(C153,Code!H:W,13,FALSE))/(VLOOKUP(C153,Code!H:W,16,FALSE)),1/(P153-1))-1)),"")</f>
        <v>0.1698641589191805</v>
      </c>
      <c r="L153" s="173">
        <f>IFERROR(VLOOKUP(C153,Code!H:W,13,FALSE)*4/VLOOKUP(C153,Code!H:W,12,FALSE),"")</f>
        <v>1.8751205794352795E-2</v>
      </c>
      <c r="M153" s="172">
        <f t="shared" si="17"/>
        <v>0.46781048764812105</v>
      </c>
      <c r="N153" s="172" t="str">
        <f t="shared" si="18"/>
        <v>-</v>
      </c>
      <c r="O153" s="172" t="str">
        <f t="shared" si="19"/>
        <v>Value</v>
      </c>
      <c r="P153" s="205">
        <f>IFERROR(YEARFRAC(VLOOKUP(C153,Code!H:W,11,FALSE),VLOOKUP(C153,Code!H:W,14,FALSE),3),"")</f>
        <v>4.7589041095890412</v>
      </c>
      <c r="Q153" s="174">
        <v>44547</v>
      </c>
      <c r="R153" s="175" t="str">
        <f t="shared" ca="1" si="20"/>
        <v/>
      </c>
      <c r="S153" s="176">
        <f>IFERROR(VLOOKUP($C153,Code!$H:$Q,5,FALSE),"")</f>
        <v>0.20619999999999999</v>
      </c>
      <c r="T153" s="177" t="str">
        <f t="shared" ca="1" si="21"/>
        <v/>
      </c>
      <c r="U153" s="178" t="str">
        <f t="shared" ca="1" si="22"/>
        <v/>
      </c>
      <c r="V153" s="179">
        <f>IFERROR(VLOOKUP($C153,Code!$H:$Q,6,FALSE),"")</f>
        <v>889.28</v>
      </c>
      <c r="W153" s="180" t="str">
        <f t="shared" ca="1" si="23"/>
        <v/>
      </c>
      <c r="X153" s="12"/>
      <c r="Y153" s="12"/>
      <c r="Z153" s="12"/>
      <c r="AA153" s="12"/>
      <c r="AB153" s="12"/>
    </row>
    <row r="154" spans="1:28" s="10" customFormat="1" ht="15" hidden="1">
      <c r="A154" s="9"/>
      <c r="B154" s="169" cm="1">
        <f t="array" ref="B154">_xlfn.IFS(OR(Code!R210&lt;&gt;Code!U210,Code!R210=""),0,Code!R210=Code!U210,1)</f>
        <v>0</v>
      </c>
      <c r="C154" s="193" t="str">
        <f>IF(Code!F210="","",Code!F210)</f>
        <v>GRMN</v>
      </c>
      <c r="D154" s="155" t="str">
        <f>IFERROR(VLOOKUP($C154,Code!$H:$K,2,FALSE),"")</f>
        <v>XLY</v>
      </c>
      <c r="E154" s="156" t="str">
        <f>IFERROR(VLOOKUP($C154,Code!$H:$K,3,FALSE),"")</f>
        <v>科技儀器</v>
      </c>
      <c r="F154" s="157" t="str">
        <f>IFERROR(VLOOKUP($C154,Code!$H:$K,4,FALSE),"")</f>
        <v>.SPX</v>
      </c>
      <c r="G154" s="170">
        <f>IFERROR(((VLOOKUP($C154,Code!$H:$Q,9,FALSE))+(VLOOKUP($C154,Code!$H:$Q,10,FALSE)))/2*0.5/(((VLOOKUP($C154,Code!$H:$Q,7,FALSE))+(VLOOKUP($C154,Code!$H:$Q,8,FALSE)))/2),0)</f>
        <v>0.65923492137995787</v>
      </c>
      <c r="H154" s="171" t="str">
        <f t="shared" si="16"/>
        <v>L</v>
      </c>
      <c r="I154" s="170">
        <f>IFERROR((VLOOKUP($C154,Code!$H:$Q,5,FALSE))/(((VLOOKUP($C154,Code!$H:$Q,7,FALSE))+(VLOOKUP($C154,Code!$H:$Q,8,FALSE)))/2)-1,0)</f>
        <v>-9.0354376906829348E-2</v>
      </c>
      <c r="J154" s="204">
        <f>IFERROR(POWER((VLOOKUP(C154,Code!H:W,12,FALSE))/(VLOOKUP(C154,Code!H:W,15,FALSE)),1/(P154-1))-1,"")</f>
        <v>0.39656017159963786</v>
      </c>
      <c r="K154" s="172" cm="1">
        <f t="array" ref="K154">IFERROR(IF(C154="","",_xlfn.IFS(AND(VLOOKUP(C154,Code!H:W,13,FALSE)=0,VLOOKUP(C154,Code!H:W,16,FALSE)=0),"無股息",AND(VLOOKUP(C154,Code!H:W,13,FALSE)=0,VLOOKUP(C154,Code!H:W,16,FALSE)&gt;0),"股息沒了",AND(VLOOKUP(C154,Code!H:W,13,FALSE)&gt;0,VLOOKUP(C154,Code!H:W,16,FALSE)=0),"發股息了",AND(VLOOKUP(C154,Code!H:W,13,FALSE)&gt;0,VLOOKUP(C154,Code!H:W,16,FALSE)&gt;0),POWER((VLOOKUP(C154,Code!H:W,13,FALSE))/(VLOOKUP(C154,Code!H:W,16,FALSE)),1/(P154-1))-1)),"")</f>
        <v>7.5405864591604699E-2</v>
      </c>
      <c r="L154" s="173">
        <f>IFERROR(VLOOKUP(C154,Code!H:W,13,FALSE)*4/VLOOKUP(C154,Code!H:W,12,FALSE),"")</f>
        <v>1.8783292245394913E-2</v>
      </c>
      <c r="M154" s="172">
        <f t="shared" si="17"/>
        <v>0.47196603619124256</v>
      </c>
      <c r="N154" s="172" t="str">
        <f t="shared" si="18"/>
        <v>-</v>
      </c>
      <c r="O154" s="172" t="str">
        <f t="shared" si="19"/>
        <v>-</v>
      </c>
      <c r="P154" s="205">
        <f>IFERROR(YEARFRAC(VLOOKUP(C154,Code!H:W,11,FALSE),VLOOKUP(C154,Code!H:W,14,FALSE),3),"")</f>
        <v>4.7534246575342465</v>
      </c>
      <c r="Q154" s="174">
        <v>44547</v>
      </c>
      <c r="R154" s="175" t="str">
        <f t="shared" ca="1" si="20"/>
        <v/>
      </c>
      <c r="S154" s="176">
        <f>IFERROR(VLOOKUP($C154,Code!$H:$Q,5,FALSE),"")</f>
        <v>0.1938</v>
      </c>
      <c r="T154" s="177" t="str">
        <f t="shared" ca="1" si="21"/>
        <v/>
      </c>
      <c r="U154" s="178" t="str">
        <f t="shared" ca="1" si="22"/>
        <v/>
      </c>
      <c r="V154" s="179">
        <f>IFERROR(VLOOKUP($C154,Code!$H:$Q,6,FALSE),"")</f>
        <v>163.89</v>
      </c>
      <c r="W154" s="180" t="str">
        <f t="shared" ca="1" si="23"/>
        <v/>
      </c>
      <c r="X154" s="12"/>
      <c r="Y154" s="12"/>
      <c r="Z154" s="12"/>
      <c r="AA154" s="12"/>
      <c r="AB154" s="12"/>
    </row>
    <row r="155" spans="1:28" s="10" customFormat="1" ht="15" hidden="1">
      <c r="A155" s="9"/>
      <c r="B155" s="169" cm="1">
        <f t="array" ref="B155">_xlfn.IFS(OR(Code!R101&lt;&gt;Code!U101,Code!R101=""),0,Code!R101=Code!U101,1)</f>
        <v>0</v>
      </c>
      <c r="C155" s="193" t="str">
        <f>IF(Code!F101="","",Code!F101)</f>
        <v>CMCSA</v>
      </c>
      <c r="D155" s="155" t="str">
        <f>IFERROR(VLOOKUP($C155,Code!$H:$K,2,FALSE),"")</f>
        <v>XLC</v>
      </c>
      <c r="E155" s="156" t="str">
        <f>IFERROR(VLOOKUP($C155,Code!$H:$K,3,FALSE),"")</f>
        <v>娛樂</v>
      </c>
      <c r="F155" s="157" t="str">
        <f>IFERROR(VLOOKUP($C155,Code!$H:$K,4,FALSE),"")</f>
        <v>.SPX</v>
      </c>
      <c r="G155" s="170">
        <f>IFERROR(((VLOOKUP($C155,Code!$H:$Q,9,FALSE))+(VLOOKUP($C155,Code!$H:$Q,10,FALSE)))/2*0.5/(((VLOOKUP($C155,Code!$H:$Q,7,FALSE))+(VLOOKUP($C155,Code!$H:$Q,8,FALSE)))/2),0)</f>
        <v>0.61253681110643665</v>
      </c>
      <c r="H155" s="171" t="str">
        <f t="shared" si="16"/>
        <v>L</v>
      </c>
      <c r="I155" s="170">
        <f>IFERROR((VLOOKUP($C155,Code!$H:$Q,5,FALSE))/(((VLOOKUP($C155,Code!$H:$Q,7,FALSE))+(VLOOKUP($C155,Code!$H:$Q,8,FALSE)))/2)-1,0)</f>
        <v>-9.0870845603702288E-2</v>
      </c>
      <c r="J155" s="204">
        <f>IFERROR(POWER((VLOOKUP(C155,Code!H:W,12,FALSE))/(VLOOKUP(C155,Code!H:W,15,FALSE)),1/(P155-1))-1,"")</f>
        <v>0.18824962919690735</v>
      </c>
      <c r="K155" s="172" cm="1">
        <f t="array" ref="K155">IFERROR(IF(C155="","",_xlfn.IFS(AND(VLOOKUP(C155,Code!H:W,13,FALSE)=0,VLOOKUP(C155,Code!H:W,16,FALSE)=0),"無股息",AND(VLOOKUP(C155,Code!H:W,13,FALSE)=0,VLOOKUP(C155,Code!H:W,16,FALSE)&gt;0),"股息沒了",AND(VLOOKUP(C155,Code!H:W,13,FALSE)&gt;0,VLOOKUP(C155,Code!H:W,16,FALSE)=0),"發股息了",AND(VLOOKUP(C155,Code!H:W,13,FALSE)&gt;0,VLOOKUP(C155,Code!H:W,16,FALSE)&gt;0),POWER((VLOOKUP(C155,Code!H:W,13,FALSE))/(VLOOKUP(C155,Code!H:W,16,FALSE)),1/(P155-1))-1)),"")</f>
        <v>0.17239135701299957</v>
      </c>
      <c r="L155" s="173">
        <f>IFERROR(VLOOKUP(C155,Code!H:W,13,FALSE)*4/VLOOKUP(C155,Code!H:W,12,FALSE),"")</f>
        <v>1.7343045484674625E-2</v>
      </c>
      <c r="M155" s="172">
        <f t="shared" si="17"/>
        <v>0.36064098620990692</v>
      </c>
      <c r="N155" s="172" t="str">
        <f t="shared" si="18"/>
        <v>-</v>
      </c>
      <c r="O155" s="172" t="str">
        <f t="shared" si="19"/>
        <v>Value</v>
      </c>
      <c r="P155" s="205">
        <f>IFERROR(YEARFRAC(VLOOKUP(C155,Code!H:W,11,FALSE),VLOOKUP(C155,Code!H:W,14,FALSE),3),"")</f>
        <v>4.7589041095890412</v>
      </c>
      <c r="Q155" s="174">
        <v>44547</v>
      </c>
      <c r="R155" s="175" t="str">
        <f t="shared" ca="1" si="20"/>
        <v/>
      </c>
      <c r="S155" s="176">
        <f>IFERROR(VLOOKUP($C155,Code!$H:$Q,5,FALSE),"")</f>
        <v>0.21609999999999999</v>
      </c>
      <c r="T155" s="177" t="str">
        <f t="shared" ca="1" si="21"/>
        <v/>
      </c>
      <c r="U155" s="178" t="str">
        <f t="shared" ca="1" si="22"/>
        <v/>
      </c>
      <c r="V155" s="179">
        <f>IFERROR(VLOOKUP($C155,Code!$H:$Q,6,FALSE),"")</f>
        <v>58.34</v>
      </c>
      <c r="W155" s="180" t="str">
        <f t="shared" ca="1" si="23"/>
        <v/>
      </c>
      <c r="X155" s="12"/>
      <c r="Y155" s="12"/>
      <c r="Z155" s="12"/>
      <c r="AA155" s="12"/>
      <c r="AB155" s="12"/>
    </row>
    <row r="156" spans="1:28" s="10" customFormat="1" ht="15" hidden="1">
      <c r="A156" s="9"/>
      <c r="B156" s="169" cm="1">
        <f t="array" ref="B156">_xlfn.IFS(OR(Code!R99&lt;&gt;Code!U99,Code!R99=""),0,Code!R99=Code!U99,1)</f>
        <v>0</v>
      </c>
      <c r="C156" s="193" t="str">
        <f>IF(Code!F99="","",Code!F99)</f>
        <v>CLX</v>
      </c>
      <c r="D156" s="155" t="str">
        <f>IFERROR(VLOOKUP($C156,Code!$H:$K,2,FALSE),"")</f>
        <v>XLP</v>
      </c>
      <c r="E156" s="156" t="str">
        <f>IFERROR(VLOOKUP($C156,Code!$H:$K,3,FALSE),"")</f>
        <v>家庭及個人產品</v>
      </c>
      <c r="F156" s="157" t="str">
        <f>IFERROR(VLOOKUP($C156,Code!$H:$K,4,FALSE),"")</f>
        <v>.SPX</v>
      </c>
      <c r="G156" s="170">
        <f>IFERROR(((VLOOKUP($C156,Code!$H:$Q,9,FALSE))+(VLOOKUP($C156,Code!$H:$Q,10,FALSE)))/2*0.5/(((VLOOKUP($C156,Code!$H:$Q,7,FALSE))+(VLOOKUP($C156,Code!$H:$Q,8,FALSE)))/2),0)</f>
        <v>0.54966561762391819</v>
      </c>
      <c r="H156" s="171" t="str">
        <f t="shared" si="16"/>
        <v>M</v>
      </c>
      <c r="I156" s="170">
        <f>IFERROR((VLOOKUP($C156,Code!$H:$Q,5,FALSE))/(((VLOOKUP($C156,Code!$H:$Q,7,FALSE))+(VLOOKUP($C156,Code!$H:$Q,8,FALSE)))/2)-1,0)</f>
        <v>-9.1660110149488494E-2</v>
      </c>
      <c r="J156" s="204">
        <f>IFERROR(POWER((VLOOKUP(C156,Code!H:W,12,FALSE))/(VLOOKUP(C156,Code!H:W,15,FALSE)),1/(P156-1))-1,"")</f>
        <v>0.15792721996393921</v>
      </c>
      <c r="K156" s="172" cm="1">
        <f t="array" ref="K156">IFERROR(IF(C156="","",_xlfn.IFS(AND(VLOOKUP(C156,Code!H:W,13,FALSE)=0,VLOOKUP(C156,Code!H:W,16,FALSE)=0),"無股息",AND(VLOOKUP(C156,Code!H:W,13,FALSE)=0,VLOOKUP(C156,Code!H:W,16,FALSE)&gt;0),"股息沒了",AND(VLOOKUP(C156,Code!H:W,13,FALSE)&gt;0,VLOOKUP(C156,Code!H:W,16,FALSE)=0),"發股息了",AND(VLOOKUP(C156,Code!H:W,13,FALSE)&gt;0,VLOOKUP(C156,Code!H:W,16,FALSE)&gt;0),POWER((VLOOKUP(C156,Code!H:W,13,FALSE))/(VLOOKUP(C156,Code!H:W,16,FALSE)),1/(P156-1))-1)),"")</f>
        <v>0.10389949361576134</v>
      </c>
      <c r="L156" s="173">
        <f>IFERROR(VLOOKUP(C156,Code!H:W,13,FALSE)*4/VLOOKUP(C156,Code!H:W,12,FALSE),"")</f>
        <v>2.5378766906580467E-2</v>
      </c>
      <c r="M156" s="172">
        <f t="shared" si="17"/>
        <v>0.26182671357970055</v>
      </c>
      <c r="N156" s="172" t="str">
        <f t="shared" si="18"/>
        <v>-</v>
      </c>
      <c r="O156" s="172" t="str">
        <f t="shared" si="19"/>
        <v>-</v>
      </c>
      <c r="P156" s="205">
        <f>IFERROR(YEARFRAC(VLOOKUP(C156,Code!H:W,11,FALSE),VLOOKUP(C156,Code!H:W,14,FALSE),3),"")</f>
        <v>4.7589041095890412</v>
      </c>
      <c r="Q156" s="174">
        <v>44547</v>
      </c>
      <c r="R156" s="175" t="str">
        <f t="shared" ca="1" si="20"/>
        <v/>
      </c>
      <c r="S156" s="176">
        <f>IFERROR(VLOOKUP($C156,Code!$H:$Q,5,FALSE),"")</f>
        <v>0.23089999999999999</v>
      </c>
      <c r="T156" s="177" t="str">
        <f t="shared" ca="1" si="21"/>
        <v/>
      </c>
      <c r="U156" s="178" t="str">
        <f t="shared" ca="1" si="22"/>
        <v/>
      </c>
      <c r="V156" s="179">
        <f>IFERROR(VLOOKUP($C156,Code!$H:$Q,6,FALSE),"")</f>
        <v>163.1</v>
      </c>
      <c r="W156" s="180" t="str">
        <f t="shared" ca="1" si="23"/>
        <v/>
      </c>
      <c r="X156" s="12"/>
      <c r="Y156" s="12"/>
      <c r="Z156" s="12"/>
      <c r="AA156" s="12"/>
      <c r="AB156" s="12"/>
    </row>
    <row r="157" spans="1:28" s="10" customFormat="1" ht="15" hidden="1">
      <c r="A157" s="9"/>
      <c r="B157" s="169" cm="1">
        <f t="array" ref="B157">_xlfn.IFS(OR(Code!R489&lt;&gt;Code!U489,Code!R489=""),0,Code!R489=Code!U489,1)</f>
        <v>0</v>
      </c>
      <c r="C157" s="193" t="str">
        <f>IF(Code!F489="","",Code!F489)</f>
        <v>WLTW</v>
      </c>
      <c r="D157" s="155" t="str">
        <f>IFERROR(VLOOKUP($C157,Code!$H:$K,2,FALSE),"")</f>
        <v>XLF</v>
      </c>
      <c r="E157" s="156" t="str">
        <f>IFERROR(VLOOKUP($C157,Code!$H:$K,3,FALSE),"")</f>
        <v>保險經紀</v>
      </c>
      <c r="F157" s="157" t="str">
        <f>IFERROR(VLOOKUP($C157,Code!$H:$K,4,FALSE),"")</f>
        <v>.SPX</v>
      </c>
      <c r="G157" s="170">
        <f>IFERROR(((VLOOKUP($C157,Code!$H:$Q,9,FALSE))+(VLOOKUP($C157,Code!$H:$Q,10,FALSE)))/2*0.5/(((VLOOKUP($C157,Code!$H:$Q,7,FALSE))+(VLOOKUP($C157,Code!$H:$Q,8,FALSE)))/2),0)</f>
        <v>0.59621240959269139</v>
      </c>
      <c r="H157" s="171" t="str">
        <f t="shared" si="16"/>
        <v>M</v>
      </c>
      <c r="I157" s="170">
        <f>IFERROR((VLOOKUP($C157,Code!$H:$Q,5,FALSE))/(((VLOOKUP($C157,Code!$H:$Q,7,FALSE))+(VLOOKUP($C157,Code!$H:$Q,8,FALSE)))/2)-1,0)</f>
        <v>-9.2120289303387892E-2</v>
      </c>
      <c r="J157" s="204">
        <f>IFERROR(POWER((VLOOKUP(C157,Code!H:W,12,FALSE))/(VLOOKUP(C157,Code!H:W,15,FALSE)),1/(P157-1))-1,"")</f>
        <v>0.23763346457893575</v>
      </c>
      <c r="K157" s="172" cm="1">
        <f t="array" ref="K157">IFERROR(IF(C157="","",_xlfn.IFS(AND(VLOOKUP(C157,Code!H:W,13,FALSE)=0,VLOOKUP(C157,Code!H:W,16,FALSE)=0),"無股息",AND(VLOOKUP(C157,Code!H:W,13,FALSE)=0,VLOOKUP(C157,Code!H:W,16,FALSE)&gt;0),"股息沒了",AND(VLOOKUP(C157,Code!H:W,13,FALSE)&gt;0,VLOOKUP(C157,Code!H:W,16,FALSE)=0),"發股息了",AND(VLOOKUP(C157,Code!H:W,13,FALSE)&gt;0,VLOOKUP(C157,Code!H:W,16,FALSE)&gt;0),POWER((VLOOKUP(C157,Code!H:W,13,FALSE))/(VLOOKUP(C157,Code!H:W,16,FALSE)),1/(P157-1))-1)),"")</f>
        <v>0.11279340781835434</v>
      </c>
      <c r="L157" s="173">
        <f>IFERROR(VLOOKUP(C157,Code!H:W,13,FALSE)*4/VLOOKUP(C157,Code!H:W,12,FALSE),"")</f>
        <v>1.0881643381991834E-2</v>
      </c>
      <c r="M157" s="172">
        <f t="shared" si="17"/>
        <v>0.35042687239729009</v>
      </c>
      <c r="N157" s="172" t="str">
        <f t="shared" si="18"/>
        <v>-</v>
      </c>
      <c r="O157" s="172" t="str">
        <f t="shared" si="19"/>
        <v>-</v>
      </c>
      <c r="P157" s="205">
        <f>IFERROR(YEARFRAC(VLOOKUP(C157,Code!H:W,11,FALSE),VLOOKUP(C157,Code!H:W,14,FALSE),3),"")</f>
        <v>4.6630136986301371</v>
      </c>
      <c r="Q157" s="174">
        <v>44547</v>
      </c>
      <c r="R157" s="175" t="str">
        <f t="shared" ca="1" si="20"/>
        <v/>
      </c>
      <c r="S157" s="176">
        <f>IFERROR(VLOOKUP($C157,Code!$H:$Q,5,FALSE),"")</f>
        <v>0.23849999999999999</v>
      </c>
      <c r="T157" s="177" t="str">
        <f t="shared" ca="1" si="21"/>
        <v/>
      </c>
      <c r="U157" s="178" t="str">
        <f t="shared" ca="1" si="22"/>
        <v/>
      </c>
      <c r="V157" s="179">
        <f>IFERROR(VLOOKUP($C157,Code!$H:$Q,6,FALSE),"")</f>
        <v>217.51</v>
      </c>
      <c r="W157" s="180" t="str">
        <f t="shared" ca="1" si="23"/>
        <v/>
      </c>
      <c r="X157" s="12"/>
      <c r="Y157" s="12"/>
      <c r="Z157" s="12"/>
      <c r="AA157" s="12"/>
      <c r="AB157" s="12"/>
    </row>
    <row r="158" spans="1:28" s="10" customFormat="1" ht="15" hidden="1">
      <c r="A158" s="9"/>
      <c r="B158" s="169" cm="1">
        <f t="array" ref="B158">_xlfn.IFS(OR(Code!R112&lt;&gt;Code!U112,Code!R112=""),0,Code!R112=Code!U112,1)</f>
        <v>0</v>
      </c>
      <c r="C158" s="193" t="str">
        <f>IF(Code!F112="","",Code!F112)</f>
        <v>COST</v>
      </c>
      <c r="D158" s="155" t="str">
        <f>IFERROR(VLOOKUP($C158,Code!$H:$K,2,FALSE),"")</f>
        <v>XLP</v>
      </c>
      <c r="E158" s="156" t="str">
        <f>IFERROR(VLOOKUP($C158,Code!$H:$K,3,FALSE),"")</f>
        <v>折扣店</v>
      </c>
      <c r="F158" s="157" t="str">
        <f>IFERROR(VLOOKUP($C158,Code!$H:$K,4,FALSE),"")</f>
        <v>.SPX</v>
      </c>
      <c r="G158" s="170">
        <f>IFERROR(((VLOOKUP($C158,Code!$H:$Q,9,FALSE))+(VLOOKUP($C158,Code!$H:$Q,10,FALSE)))/2*0.5/(((VLOOKUP($C158,Code!$H:$Q,7,FALSE))+(VLOOKUP($C158,Code!$H:$Q,8,FALSE)))/2),0)</f>
        <v>0.74089519043647489</v>
      </c>
      <c r="H158" s="171" t="str">
        <f t="shared" si="16"/>
        <v>XL</v>
      </c>
      <c r="I158" s="170">
        <f>IFERROR((VLOOKUP($C158,Code!$H:$Q,5,FALSE))/(((VLOOKUP($C158,Code!$H:$Q,7,FALSE))+(VLOOKUP($C158,Code!$H:$Q,8,FALSE)))/2)-1,0)</f>
        <v>-9.3133166527662015E-2</v>
      </c>
      <c r="J158" s="204">
        <f>IFERROR(POWER((VLOOKUP(C158,Code!H:W,12,FALSE))/(VLOOKUP(C158,Code!H:W,15,FALSE)),1/(P158-1))-1,"")</f>
        <v>0.30014979727312241</v>
      </c>
      <c r="K158" s="172" cm="1">
        <f t="array" ref="K158">IFERROR(IF(C158="","",_xlfn.IFS(AND(VLOOKUP(C158,Code!H:W,13,FALSE)=0,VLOOKUP(C158,Code!H:W,16,FALSE)=0),"無股息",AND(VLOOKUP(C158,Code!H:W,13,FALSE)=0,VLOOKUP(C158,Code!H:W,16,FALSE)&gt;0),"股息沒了",AND(VLOOKUP(C158,Code!H:W,13,FALSE)&gt;0,VLOOKUP(C158,Code!H:W,16,FALSE)=0),"發股息了",AND(VLOOKUP(C158,Code!H:W,13,FALSE)&gt;0,VLOOKUP(C158,Code!H:W,16,FALSE)&gt;0),POWER((VLOOKUP(C158,Code!H:W,13,FALSE))/(VLOOKUP(C158,Code!H:W,16,FALSE)),1/(P158-1))-1)),"")</f>
        <v>0.1523051666929538</v>
      </c>
      <c r="L158" s="173">
        <f>IFERROR(VLOOKUP(C158,Code!H:W,13,FALSE)*4/VLOOKUP(C158,Code!H:W,12,FALSE),"")</f>
        <v>7.4303988174151559E-3</v>
      </c>
      <c r="M158" s="172">
        <f t="shared" si="17"/>
        <v>0.45245496396607621</v>
      </c>
      <c r="N158" s="172" t="str">
        <f t="shared" si="18"/>
        <v>-</v>
      </c>
      <c r="O158" s="172" t="str">
        <f t="shared" si="19"/>
        <v>Value</v>
      </c>
      <c r="P158" s="205">
        <f>IFERROR(YEARFRAC(VLOOKUP(C158,Code!H:W,11,FALSE),VLOOKUP(C158,Code!H:W,14,FALSE),3),"")</f>
        <v>4.9698630136986299</v>
      </c>
      <c r="Q158" s="174">
        <v>44547</v>
      </c>
      <c r="R158" s="175" t="str">
        <f t="shared" ca="1" si="20"/>
        <v/>
      </c>
      <c r="S158" s="176">
        <f>IFERROR(VLOOKUP($C158,Code!$H:$Q,5,FALSE),"")</f>
        <v>0.16309999999999999</v>
      </c>
      <c r="T158" s="177" t="str">
        <f t="shared" ca="1" si="21"/>
        <v/>
      </c>
      <c r="U158" s="178" t="str">
        <f t="shared" ca="1" si="22"/>
        <v/>
      </c>
      <c r="V158" s="179">
        <f>IFERROR(VLOOKUP($C158,Code!$H:$Q,6,FALSE),"")</f>
        <v>443.19</v>
      </c>
      <c r="W158" s="180" t="str">
        <f t="shared" ca="1" si="23"/>
        <v/>
      </c>
      <c r="X158" s="12"/>
      <c r="Y158" s="12"/>
      <c r="Z158" s="12"/>
      <c r="AA158" s="12"/>
      <c r="AB158" s="12"/>
    </row>
    <row r="159" spans="1:28" s="10" customFormat="1" ht="15" hidden="1">
      <c r="A159" s="9"/>
      <c r="B159" s="169" cm="1">
        <f t="array" ref="B159">_xlfn.IFS(OR(Code!R375&lt;&gt;Code!U375,Code!R375=""),0,Code!R375=Code!U375,1)</f>
        <v>0</v>
      </c>
      <c r="C159" s="193" t="str">
        <f>IF(Code!F375="","",Code!F375)</f>
        <v>PLD</v>
      </c>
      <c r="D159" s="155" t="str">
        <f>IFERROR(VLOOKUP($C159,Code!$H:$K,2,FALSE),"")</f>
        <v>XLRE</v>
      </c>
      <c r="E159" s="156" t="str">
        <f>IFERROR(VLOOKUP($C159,Code!$H:$K,3,FALSE),"")</f>
        <v>REIT-工業</v>
      </c>
      <c r="F159" s="157" t="str">
        <f>IFERROR(VLOOKUP($C159,Code!$H:$K,4,FALSE),"")</f>
        <v>.SPX</v>
      </c>
      <c r="G159" s="170">
        <f>IFERROR(((VLOOKUP($C159,Code!$H:$Q,9,FALSE))+(VLOOKUP($C159,Code!$H:$Q,10,FALSE)))/2*0.5/(((VLOOKUP($C159,Code!$H:$Q,7,FALSE))+(VLOOKUP($C159,Code!$H:$Q,8,FALSE)))/2),0)</f>
        <v>0.65166823308270672</v>
      </c>
      <c r="H159" s="171" t="str">
        <f t="shared" si="16"/>
        <v>L</v>
      </c>
      <c r="I159" s="170">
        <f>IFERROR((VLOOKUP($C159,Code!$H:$Q,5,FALSE))/(((VLOOKUP($C159,Code!$H:$Q,7,FALSE))+(VLOOKUP($C159,Code!$H:$Q,8,FALSE)))/2)-1,0)</f>
        <v>-9.351503759398494E-2</v>
      </c>
      <c r="J159" s="204">
        <f>IFERROR(POWER((VLOOKUP(C159,Code!H:W,12,FALSE))/(VLOOKUP(C159,Code!H:W,15,FALSE)),1/(P159-1))-1,"")</f>
        <v>0.30824313634244205</v>
      </c>
      <c r="K159" s="172" cm="1">
        <f t="array" ref="K159">IFERROR(IF(C159="","",_xlfn.IFS(AND(VLOOKUP(C159,Code!H:W,13,FALSE)=0,VLOOKUP(C159,Code!H:W,16,FALSE)=0),"無股息",AND(VLOOKUP(C159,Code!H:W,13,FALSE)=0,VLOOKUP(C159,Code!H:W,16,FALSE)&gt;0),"股息沒了",AND(VLOOKUP(C159,Code!H:W,13,FALSE)&gt;0,VLOOKUP(C159,Code!H:W,16,FALSE)=0),"發股息了",AND(VLOOKUP(C159,Code!H:W,13,FALSE)&gt;0,VLOOKUP(C159,Code!H:W,16,FALSE)&gt;0),POWER((VLOOKUP(C159,Code!H:W,13,FALSE))/(VLOOKUP(C159,Code!H:W,16,FALSE)),1/(P159-1))-1)),"")</f>
        <v>0.1141639285256002</v>
      </c>
      <c r="L159" s="173">
        <f>IFERROR(VLOOKUP(C159,Code!H:W,13,FALSE)*4/VLOOKUP(C159,Code!H:W,12,FALSE),"")</f>
        <v>2.0464512039065744E-2</v>
      </c>
      <c r="M159" s="172">
        <f t="shared" si="17"/>
        <v>0.42240706486804225</v>
      </c>
      <c r="N159" s="172" t="str">
        <f t="shared" si="18"/>
        <v>-</v>
      </c>
      <c r="O159" s="172" t="str">
        <f t="shared" si="19"/>
        <v>-</v>
      </c>
      <c r="P159" s="205">
        <f>IFERROR(YEARFRAC(VLOOKUP(C159,Code!H:W,11,FALSE),VLOOKUP(C159,Code!H:W,14,FALSE),3),"")</f>
        <v>4.7506849315068491</v>
      </c>
      <c r="Q159" s="174">
        <v>44547</v>
      </c>
      <c r="R159" s="175" t="str">
        <f t="shared" ca="1" si="20"/>
        <v/>
      </c>
      <c r="S159" s="176">
        <f>IFERROR(VLOOKUP($C159,Code!$H:$Q,5,FALSE),"")</f>
        <v>0.19289999999999999</v>
      </c>
      <c r="T159" s="177" t="str">
        <f t="shared" ca="1" si="21"/>
        <v/>
      </c>
      <c r="U159" s="178" t="str">
        <f t="shared" ca="1" si="22"/>
        <v/>
      </c>
      <c r="V159" s="179">
        <f>IFERROR(VLOOKUP($C159,Code!$H:$Q,6,FALSE),"")</f>
        <v>130.44999999999999</v>
      </c>
      <c r="W159" s="180" t="str">
        <f t="shared" ca="1" si="23"/>
        <v/>
      </c>
      <c r="X159" s="12"/>
      <c r="Y159" s="12"/>
      <c r="Z159" s="12"/>
      <c r="AA159" s="12"/>
      <c r="AB159" s="12"/>
    </row>
    <row r="160" spans="1:28" s="10" customFormat="1" ht="15" hidden="1">
      <c r="A160" s="9"/>
      <c r="B160" s="169" cm="1">
        <f t="array" ref="B160">_xlfn.IFS(OR(Code!R504&lt;&gt;Code!U504,Code!R504=""),0,Code!R504=Code!U504,1)</f>
        <v>0</v>
      </c>
      <c r="C160" s="193" t="str">
        <f>IF(Code!F504="","",Code!F504)</f>
        <v>YUM</v>
      </c>
      <c r="D160" s="155" t="str">
        <f>IFERROR(VLOOKUP($C160,Code!$H:$K,2,FALSE),"")</f>
        <v>XLY</v>
      </c>
      <c r="E160" s="156" t="str">
        <f>IFERROR(VLOOKUP($C160,Code!$H:$K,3,FALSE),"")</f>
        <v>飯館</v>
      </c>
      <c r="F160" s="157" t="str">
        <f>IFERROR(VLOOKUP($C160,Code!$H:$K,4,FALSE),"")</f>
        <v>.SPX</v>
      </c>
      <c r="G160" s="170">
        <f>IFERROR(((VLOOKUP($C160,Code!$H:$Q,9,FALSE))+(VLOOKUP($C160,Code!$H:$Q,10,FALSE)))/2*0.5/(((VLOOKUP($C160,Code!$H:$Q,7,FALSE))+(VLOOKUP($C160,Code!$H:$Q,8,FALSE)))/2),0)</f>
        <v>0.65890410958904122</v>
      </c>
      <c r="H160" s="171" t="str">
        <f t="shared" si="16"/>
        <v>L</v>
      </c>
      <c r="I160" s="170">
        <f>IFERROR((VLOOKUP($C160,Code!$H:$Q,5,FALSE))/(((VLOOKUP($C160,Code!$H:$Q,7,FALSE))+(VLOOKUP($C160,Code!$H:$Q,8,FALSE)))/2)-1,0)</f>
        <v>-9.4396014943960105E-2</v>
      </c>
      <c r="J160" s="204">
        <f>IFERROR(POWER((VLOOKUP(C160,Code!H:W,12,FALSE))/(VLOOKUP(C160,Code!H:W,15,FALSE)),1/(P160-1))-1,"")</f>
        <v>0.22558760919785215</v>
      </c>
      <c r="K160" s="172" cm="1">
        <f t="array" ref="K160">IFERROR(IF(C160="","",_xlfn.IFS(AND(VLOOKUP(C160,Code!H:W,13,FALSE)=0,VLOOKUP(C160,Code!H:W,16,FALSE)=0),"無股息",AND(VLOOKUP(C160,Code!H:W,13,FALSE)=0,VLOOKUP(C160,Code!H:W,16,FALSE)&gt;0),"股息沒了",AND(VLOOKUP(C160,Code!H:W,13,FALSE)&gt;0,VLOOKUP(C160,Code!H:W,16,FALSE)=0),"發股息了",AND(VLOOKUP(C160,Code!H:W,13,FALSE)&gt;0,VLOOKUP(C160,Code!H:W,16,FALSE)&gt;0),POWER((VLOOKUP(C160,Code!H:W,13,FALSE))/(VLOOKUP(C160,Code!H:W,16,FALSE)),1/(P160-1))-1)),"")</f>
        <v>8.9708852615917323E-2</v>
      </c>
      <c r="L160" s="173">
        <f>IFERROR(VLOOKUP(C160,Code!H:W,13,FALSE)*4/VLOOKUP(C160,Code!H:W,12,FALSE),"")</f>
        <v>1.6654176542505009E-2</v>
      </c>
      <c r="M160" s="172">
        <f t="shared" si="17"/>
        <v>0.31529646181376947</v>
      </c>
      <c r="N160" s="172" t="str">
        <f t="shared" si="18"/>
        <v>-</v>
      </c>
      <c r="O160" s="172" t="str">
        <f t="shared" si="19"/>
        <v>-</v>
      </c>
      <c r="P160" s="205">
        <f>IFERROR(YEARFRAC(VLOOKUP(C160,Code!H:W,11,FALSE),VLOOKUP(C160,Code!H:W,14,FALSE),3),"")</f>
        <v>4.6109589041095891</v>
      </c>
      <c r="Q160" s="174">
        <v>44547</v>
      </c>
      <c r="R160" s="175" t="str">
        <f t="shared" ca="1" si="20"/>
        <v/>
      </c>
      <c r="S160" s="176">
        <f>IFERROR(VLOOKUP($C160,Code!$H:$Q,5,FALSE),"")</f>
        <v>0.18179999999999999</v>
      </c>
      <c r="T160" s="177" t="str">
        <f t="shared" ca="1" si="21"/>
        <v/>
      </c>
      <c r="U160" s="178" t="str">
        <f t="shared" ca="1" si="22"/>
        <v/>
      </c>
      <c r="V160" s="179">
        <f>IFERROR(VLOOKUP($C160,Code!$H:$Q,6,FALSE),"")</f>
        <v>134.31</v>
      </c>
      <c r="W160" s="180" t="str">
        <f t="shared" ca="1" si="23"/>
        <v/>
      </c>
      <c r="X160" s="12"/>
      <c r="Y160" s="12"/>
      <c r="Z160" s="12"/>
      <c r="AA160" s="12"/>
      <c r="AB160" s="12"/>
    </row>
    <row r="161" spans="1:28" s="10" customFormat="1" ht="15" hidden="1">
      <c r="A161" s="9"/>
      <c r="B161" s="169" cm="1">
        <f t="array" ref="B161">_xlfn.IFS(OR(Code!R258&lt;&gt;Code!U258,Code!R258=""),0,Code!R258=Code!U258,1)</f>
        <v>0</v>
      </c>
      <c r="C161" s="193" t="str">
        <f>IF(Code!F258="","",Code!F258)</f>
        <v>JNPR</v>
      </c>
      <c r="D161" s="155" t="str">
        <f>IFERROR(VLOOKUP($C161,Code!$H:$K,2,FALSE),"")</f>
        <v>XLK</v>
      </c>
      <c r="E161" s="156" t="str">
        <f>IFERROR(VLOOKUP($C161,Code!$H:$K,3,FALSE),"")</f>
        <v>通信設備</v>
      </c>
      <c r="F161" s="157" t="str">
        <f>IFERROR(VLOOKUP($C161,Code!$H:$K,4,FALSE),"")</f>
        <v>.SPX</v>
      </c>
      <c r="G161" s="170">
        <f>IFERROR(((VLOOKUP($C161,Code!$H:$Q,9,FALSE))+(VLOOKUP($C161,Code!$H:$Q,10,FALSE)))/2*0.5/(((VLOOKUP($C161,Code!$H:$Q,7,FALSE))+(VLOOKUP($C161,Code!$H:$Q,8,FALSE)))/2),0)</f>
        <v>0.64245115452930734</v>
      </c>
      <c r="H161" s="171" t="str">
        <f t="shared" si="16"/>
        <v>L</v>
      </c>
      <c r="I161" s="170">
        <f>IFERROR((VLOOKUP($C161,Code!$H:$Q,5,FALSE))/(((VLOOKUP($C161,Code!$H:$Q,7,FALSE))+(VLOOKUP($C161,Code!$H:$Q,8,FALSE)))/2)-1,0)</f>
        <v>-9.5914742451154389E-2</v>
      </c>
      <c r="J161" s="204">
        <f>IFERROR(POWER((VLOOKUP(C161,Code!H:W,12,FALSE))/(VLOOKUP(C161,Code!H:W,15,FALSE)),1/(P161-1))-1,"")</f>
        <v>6.9178158254529443E-2</v>
      </c>
      <c r="K161" s="172" cm="1">
        <f t="array" ref="K161">IFERROR(IF(C161="","",_xlfn.IFS(AND(VLOOKUP(C161,Code!H:W,13,FALSE)=0,VLOOKUP(C161,Code!H:W,16,FALSE)=0),"無股息",AND(VLOOKUP(C161,Code!H:W,13,FALSE)=0,VLOOKUP(C161,Code!H:W,16,FALSE)&gt;0),"股息沒了",AND(VLOOKUP(C161,Code!H:W,13,FALSE)&gt;0,VLOOKUP(C161,Code!H:W,16,FALSE)=0),"發股息了",AND(VLOOKUP(C161,Code!H:W,13,FALSE)&gt;0,VLOOKUP(C161,Code!H:W,16,FALSE)&gt;0),POWER((VLOOKUP(C161,Code!H:W,13,FALSE))/(VLOOKUP(C161,Code!H:W,16,FALSE)),1/(P161-1))-1)),"")</f>
        <v>0.20330973759619941</v>
      </c>
      <c r="L161" s="173">
        <f>IFERROR(VLOOKUP(C161,Code!H:W,13,FALSE)*4/VLOOKUP(C161,Code!H:W,12,FALSE),"")</f>
        <v>3.0383592947895399E-2</v>
      </c>
      <c r="M161" s="172">
        <f t="shared" si="17"/>
        <v>0.27248789585072886</v>
      </c>
      <c r="N161" s="172" t="str">
        <f t="shared" si="18"/>
        <v>Venture</v>
      </c>
      <c r="O161" s="172" t="str">
        <f t="shared" si="19"/>
        <v>-</v>
      </c>
      <c r="P161" s="205">
        <f>IFERROR(YEARFRAC(VLOOKUP(C161,Code!H:W,11,FALSE),VLOOKUP(C161,Code!H:W,14,FALSE),3),"")</f>
        <v>4.7452054794520544</v>
      </c>
      <c r="Q161" s="174">
        <v>44547</v>
      </c>
      <c r="R161" s="175" t="str">
        <f t="shared" ca="1" si="20"/>
        <v/>
      </c>
      <c r="S161" s="176">
        <f>IFERROR(VLOOKUP($C161,Code!$H:$Q,5,FALSE),"")</f>
        <v>0.2545</v>
      </c>
      <c r="T161" s="177" t="str">
        <f t="shared" ca="1" si="21"/>
        <v/>
      </c>
      <c r="U161" s="178" t="str">
        <f t="shared" ca="1" si="22"/>
        <v/>
      </c>
      <c r="V161" s="179">
        <f>IFERROR(VLOOKUP($C161,Code!$H:$Q,6,FALSE),"")</f>
        <v>28.49</v>
      </c>
      <c r="W161" s="180" t="str">
        <f t="shared" ca="1" si="23"/>
        <v/>
      </c>
      <c r="X161" s="12"/>
      <c r="Y161" s="12"/>
      <c r="Z161" s="12"/>
      <c r="AA161" s="12"/>
      <c r="AB161" s="12"/>
    </row>
    <row r="162" spans="1:28" s="10" customFormat="1" ht="15" hidden="1">
      <c r="A162" s="9"/>
      <c r="B162" s="169" cm="1">
        <f t="array" ref="B162">_xlfn.IFS(OR(Code!R227&lt;&gt;Code!U227,Code!R227=""),0,Code!R227=Code!U227,1)</f>
        <v>0</v>
      </c>
      <c r="C162" s="193" t="str">
        <f>IF(Code!F227="","",Code!F227)</f>
        <v>HRL</v>
      </c>
      <c r="D162" s="155" t="str">
        <f>IFERROR(VLOOKUP($C162,Code!$H:$K,2,FALSE),"")</f>
        <v>XLP</v>
      </c>
      <c r="E162" s="156" t="str">
        <f>IFERROR(VLOOKUP($C162,Code!$H:$K,3,FALSE),"")</f>
        <v>包裝食品</v>
      </c>
      <c r="F162" s="157" t="str">
        <f>IFERROR(VLOOKUP($C162,Code!$H:$K,4,FALSE),"")</f>
        <v>.SPX</v>
      </c>
      <c r="G162" s="170">
        <f>IFERROR(((VLOOKUP($C162,Code!$H:$Q,9,FALSE))+(VLOOKUP($C162,Code!$H:$Q,10,FALSE)))/2*0.5/(((VLOOKUP($C162,Code!$H:$Q,7,FALSE))+(VLOOKUP($C162,Code!$H:$Q,8,FALSE)))/2),0)</f>
        <v>0.5691979330487531</v>
      </c>
      <c r="H162" s="171" t="str">
        <f t="shared" si="16"/>
        <v>M</v>
      </c>
      <c r="I162" s="170">
        <f>IFERROR((VLOOKUP($C162,Code!$H:$Q,5,FALSE))/(((VLOOKUP($C162,Code!$H:$Q,7,FALSE))+(VLOOKUP($C162,Code!$H:$Q,8,FALSE)))/2)-1,0)</f>
        <v>-9.8629521455852687E-2</v>
      </c>
      <c r="J162" s="204">
        <f>IFERROR(POWER((VLOOKUP(C162,Code!H:W,12,FALSE))/(VLOOKUP(C162,Code!H:W,15,FALSE)),1/(P162-1))-1,"")</f>
        <v>9.1309946987800483E-2</v>
      </c>
      <c r="K162" s="172" cm="1">
        <f t="array" ref="K162">IFERROR(IF(C162="","",_xlfn.IFS(AND(VLOOKUP(C162,Code!H:W,13,FALSE)=0,VLOOKUP(C162,Code!H:W,16,FALSE)=0),"無股息",AND(VLOOKUP(C162,Code!H:W,13,FALSE)=0,VLOOKUP(C162,Code!H:W,16,FALSE)&gt;0),"股息沒了",AND(VLOOKUP(C162,Code!H:W,13,FALSE)&gt;0,VLOOKUP(C162,Code!H:W,16,FALSE)=0),"發股息了",AND(VLOOKUP(C162,Code!H:W,13,FALSE)&gt;0,VLOOKUP(C162,Code!H:W,16,FALSE)&gt;0),POWER((VLOOKUP(C162,Code!H:W,13,FALSE))/(VLOOKUP(C162,Code!H:W,16,FALSE)),1/(P162-1))-1)),"")</f>
        <v>0.15140212069661096</v>
      </c>
      <c r="L162" s="173">
        <f>IFERROR(VLOOKUP(C162,Code!H:W,13,FALSE)*4/VLOOKUP(C162,Code!H:W,12,FALSE),"")</f>
        <v>2.0657673447913135E-2</v>
      </c>
      <c r="M162" s="172">
        <f t="shared" si="17"/>
        <v>0.24271206768441145</v>
      </c>
      <c r="N162" s="172" t="str">
        <f t="shared" si="18"/>
        <v>-</v>
      </c>
      <c r="O162" s="172" t="str">
        <f t="shared" si="19"/>
        <v>Value</v>
      </c>
      <c r="P162" s="205">
        <f>IFERROR(YEARFRAC(VLOOKUP(C162,Code!H:W,11,FALSE),VLOOKUP(C162,Code!H:W,14,FALSE),3),"")</f>
        <v>4.720547945205479</v>
      </c>
      <c r="Q162" s="174">
        <v>44547</v>
      </c>
      <c r="R162" s="175" t="str">
        <f t="shared" ca="1" si="20"/>
        <v/>
      </c>
      <c r="S162" s="176">
        <f>IFERROR(VLOOKUP($C162,Code!$H:$Q,5,FALSE),"")</f>
        <v>0.2006</v>
      </c>
      <c r="T162" s="177" t="str">
        <f t="shared" ca="1" si="21"/>
        <v/>
      </c>
      <c r="U162" s="178" t="str">
        <f t="shared" ca="1" si="22"/>
        <v/>
      </c>
      <c r="V162" s="179">
        <f>IFERROR(VLOOKUP($C162,Code!$H:$Q,6,FALSE),"")</f>
        <v>45.55</v>
      </c>
      <c r="W162" s="180" t="str">
        <f t="shared" ca="1" si="23"/>
        <v/>
      </c>
      <c r="X162" s="12"/>
      <c r="Y162" s="12"/>
      <c r="Z162" s="12"/>
      <c r="AA162" s="12"/>
      <c r="AB162" s="12"/>
    </row>
    <row r="163" spans="1:28" s="10" customFormat="1" ht="15" hidden="1">
      <c r="A163" s="9"/>
      <c r="B163" s="169" cm="1">
        <f t="array" ref="B163">_xlfn.IFS(OR(Code!R257&lt;&gt;Code!U257,Code!R257=""),0,Code!R257=Code!U257,1)</f>
        <v>0</v>
      </c>
      <c r="C163" s="193" t="str">
        <f>IF(Code!F257="","",Code!F257)</f>
        <v>JNJ</v>
      </c>
      <c r="D163" s="155" t="str">
        <f>IFERROR(VLOOKUP($C163,Code!$H:$K,2,FALSE),"")</f>
        <v>XLV</v>
      </c>
      <c r="E163" s="156" t="str">
        <f>IFERROR(VLOOKUP($C163,Code!$H:$K,3,FALSE),"")</f>
        <v>藥品製造商— 常規</v>
      </c>
      <c r="F163" s="157" t="str">
        <f>IFERROR(VLOOKUP($C163,Code!$H:$K,4,FALSE),"")</f>
        <v>.SPX</v>
      </c>
      <c r="G163" s="170">
        <f>IFERROR(((VLOOKUP($C163,Code!$H:$Q,9,FALSE))+(VLOOKUP($C163,Code!$H:$Q,10,FALSE)))/2*0.5/(((VLOOKUP($C163,Code!$H:$Q,7,FALSE))+(VLOOKUP($C163,Code!$H:$Q,8,FALSE)))/2),0)</f>
        <v>0.7334883720930232</v>
      </c>
      <c r="H163" s="171" t="str">
        <f t="shared" si="16"/>
        <v>XL</v>
      </c>
      <c r="I163" s="170">
        <f>IFERROR((VLOOKUP($C163,Code!$H:$Q,5,FALSE))/(((VLOOKUP($C163,Code!$H:$Q,7,FALSE))+(VLOOKUP($C163,Code!$H:$Q,8,FALSE)))/2)-1,0)</f>
        <v>-9.9534883720930334E-2</v>
      </c>
      <c r="J163" s="204">
        <f>IFERROR(POWER((VLOOKUP(C163,Code!H:W,12,FALSE))/(VLOOKUP(C163,Code!H:W,15,FALSE)),1/(P163-1))-1,"")</f>
        <v>0.13556321647799541</v>
      </c>
      <c r="K163" s="172" cm="1">
        <f t="array" ref="K163">IFERROR(IF(C163="","",_xlfn.IFS(AND(VLOOKUP(C163,Code!H:W,13,FALSE)=0,VLOOKUP(C163,Code!H:W,16,FALSE)=0),"無股息",AND(VLOOKUP(C163,Code!H:W,13,FALSE)=0,VLOOKUP(C163,Code!H:W,16,FALSE)&gt;0),"股息沒了",AND(VLOOKUP(C163,Code!H:W,13,FALSE)&gt;0,VLOOKUP(C163,Code!H:W,16,FALSE)=0),"發股息了",AND(VLOOKUP(C163,Code!H:W,13,FALSE)&gt;0,VLOOKUP(C163,Code!H:W,16,FALSE)&gt;0),POWER((VLOOKUP(C163,Code!H:W,13,FALSE))/(VLOOKUP(C163,Code!H:W,16,FALSE)),1/(P163-1))-1)),"")</f>
        <v>7.762180956967879E-2</v>
      </c>
      <c r="L163" s="173">
        <f>IFERROR(VLOOKUP(C163,Code!H:W,13,FALSE)*4/VLOOKUP(C163,Code!H:W,12,FALSE),"")</f>
        <v>2.4860744204814132E-2</v>
      </c>
      <c r="M163" s="172">
        <f t="shared" si="17"/>
        <v>0.2131850260476742</v>
      </c>
      <c r="N163" s="172" t="str">
        <f t="shared" si="18"/>
        <v>-</v>
      </c>
      <c r="O163" s="172" t="str">
        <f t="shared" si="19"/>
        <v>-</v>
      </c>
      <c r="P163" s="205">
        <f>IFERROR(YEARFRAC(VLOOKUP(C163,Code!H:W,11,FALSE),VLOOKUP(C163,Code!H:W,14,FALSE),3),"")</f>
        <v>4.7643835616438359</v>
      </c>
      <c r="Q163" s="174">
        <v>44547</v>
      </c>
      <c r="R163" s="175" t="str">
        <f t="shared" ca="1" si="20"/>
        <v/>
      </c>
      <c r="S163" s="176">
        <f>IFERROR(VLOOKUP($C163,Code!$H:$Q,5,FALSE),"")</f>
        <v>0.1452</v>
      </c>
      <c r="T163" s="177" t="str">
        <f t="shared" ca="1" si="21"/>
        <v/>
      </c>
      <c r="U163" s="178" t="str">
        <f t="shared" ca="1" si="22"/>
        <v/>
      </c>
      <c r="V163" s="179">
        <f>IFERROR(VLOOKUP($C163,Code!$H:$Q,6,FALSE),"")</f>
        <v>172.85</v>
      </c>
      <c r="W163" s="180" t="str">
        <f t="shared" ca="1" si="23"/>
        <v/>
      </c>
      <c r="X163" s="12"/>
      <c r="Y163" s="12"/>
      <c r="Z163" s="12"/>
      <c r="AA163" s="12"/>
      <c r="AB163" s="12"/>
    </row>
    <row r="164" spans="1:28" s="10" customFormat="1" ht="15" hidden="1">
      <c r="A164" s="9"/>
      <c r="B164" s="169" cm="1">
        <f t="array" ref="B164">_xlfn.IFS(OR(Code!R126&lt;&gt;Code!U126,Code!R126=""),0,Code!R126=Code!U126,1)</f>
        <v>1</v>
      </c>
      <c r="C164" s="193" t="str">
        <f>IF(Code!F126="","",Code!F126)</f>
        <v>CZR</v>
      </c>
      <c r="D164" s="155" t="str">
        <f>IFERROR(VLOOKUP($C164,Code!$H:$K,2,FALSE),"")</f>
        <v>XLY</v>
      </c>
      <c r="E164" s="156" t="str">
        <f>IFERROR(VLOOKUP($C164,Code!$H:$K,3,FALSE),"")</f>
        <v>度假村和賭場</v>
      </c>
      <c r="F164" s="157" t="str">
        <f>IFERROR(VLOOKUP($C164,Code!$H:$K,4,FALSE),"")</f>
        <v>.SPX</v>
      </c>
      <c r="G164" s="170">
        <f>IFERROR(((VLOOKUP($C164,Code!$H:$Q,9,FALSE))+(VLOOKUP($C164,Code!$H:$Q,10,FALSE)))/2*0.5/(((VLOOKUP($C164,Code!$H:$Q,7,FALSE))+(VLOOKUP($C164,Code!$H:$Q,8,FALSE)))/2),0)</f>
        <v>0.58254758163087128</v>
      </c>
      <c r="H164" s="171" t="str">
        <f t="shared" si="16"/>
        <v>M</v>
      </c>
      <c r="I164" s="170">
        <f>IFERROR((VLOOKUP($C164,Code!$H:$Q,5,FALSE))/(((VLOOKUP($C164,Code!$H:$Q,7,FALSE))+(VLOOKUP($C164,Code!$H:$Q,8,FALSE)))/2)-1,0)</f>
        <v>-0.10214772132006289</v>
      </c>
      <c r="J164" s="204" t="str">
        <f>IFERROR(POWER((VLOOKUP(C164,Code!H:W,12,FALSE))/(VLOOKUP(C164,Code!H:W,15,FALSE)),1/(P164-1))-1,"")</f>
        <v/>
      </c>
      <c r="K164" s="172" t="str" cm="1">
        <f t="array" ref="K164">IFERROR(IF(C164="","",_xlfn.IFS(AND(VLOOKUP(C164,Code!H:W,13,FALSE)=0,VLOOKUP(C164,Code!H:W,16,FALSE)=0),"無股息",AND(VLOOKUP(C164,Code!H:W,13,FALSE)=0,VLOOKUP(C164,Code!H:W,16,FALSE)&gt;0),"股息沒了",AND(VLOOKUP(C164,Code!H:W,13,FALSE)&gt;0,VLOOKUP(C164,Code!H:W,16,FALSE)=0),"發股息了",AND(VLOOKUP(C164,Code!H:W,13,FALSE)&gt;0,VLOOKUP(C164,Code!H:W,16,FALSE)&gt;0),POWER((VLOOKUP(C164,Code!H:W,13,FALSE))/(VLOOKUP(C164,Code!H:W,16,FALSE)),1/(P164-1))-1)),"")</f>
        <v>無股息</v>
      </c>
      <c r="L164" s="173" t="str">
        <f>IFERROR(VLOOKUP(C164,Code!H:W,13,FALSE)*4/VLOOKUP(C164,Code!H:W,12,FALSE),"")</f>
        <v/>
      </c>
      <c r="M164" s="172" t="str">
        <f t="shared" si="17"/>
        <v/>
      </c>
      <c r="N164" s="172" t="str">
        <f t="shared" si="18"/>
        <v/>
      </c>
      <c r="O164" s="172" t="str">
        <f t="shared" si="19"/>
        <v/>
      </c>
      <c r="P164" s="205">
        <f>IFERROR(YEARFRAC(VLOOKUP(C164,Code!H:W,11,FALSE),VLOOKUP(C164,Code!H:W,14,FALSE),3),"")</f>
        <v>0</v>
      </c>
      <c r="Q164" s="174">
        <v>44547</v>
      </c>
      <c r="R164" s="175" t="str">
        <f t="shared" ca="1" si="20"/>
        <v/>
      </c>
      <c r="S164" s="176">
        <f>IFERROR(VLOOKUP($C164,Code!$H:$Q,5,FALSE),"")</f>
        <v>0.51419999999999999</v>
      </c>
      <c r="T164" s="177" t="str">
        <f t="shared" ca="1" si="21"/>
        <v/>
      </c>
      <c r="U164" s="178" t="str">
        <f t="shared" ca="1" si="22"/>
        <v/>
      </c>
      <c r="V164" s="179">
        <f>IFERROR(VLOOKUP($C164,Code!$H:$Q,6,FALSE),"")</f>
        <v>90.5</v>
      </c>
      <c r="W164" s="180" t="str">
        <f t="shared" ca="1" si="23"/>
        <v/>
      </c>
      <c r="X164" s="12"/>
      <c r="Y164" s="12"/>
      <c r="Z164" s="12"/>
      <c r="AA164" s="12"/>
      <c r="AB164" s="12"/>
    </row>
    <row r="165" spans="1:28" s="10" customFormat="1" ht="15" hidden="1">
      <c r="A165" s="9"/>
      <c r="B165" s="169" cm="1">
        <f t="array" ref="B165">_xlfn.IFS(OR(Code!R427&lt;&gt;Code!U427,Code!R427=""),0,Code!R427=Code!U427,1)</f>
        <v>0</v>
      </c>
      <c r="C165" s="193" t="str">
        <f>IF(Code!F427="","",Code!F427)</f>
        <v>SWK</v>
      </c>
      <c r="D165" s="155" t="str">
        <f>IFERROR(VLOOKUP($C165,Code!$H:$K,2,FALSE),"")</f>
        <v>XLI</v>
      </c>
      <c r="E165" s="156" t="str">
        <f>IFERROR(VLOOKUP($C165,Code!$H:$K,3,FALSE),"")</f>
        <v>工具及附件</v>
      </c>
      <c r="F165" s="157" t="str">
        <f>IFERROR(VLOOKUP($C165,Code!$H:$K,4,FALSE),"")</f>
        <v>.SPX</v>
      </c>
      <c r="G165" s="170">
        <f>IFERROR(((VLOOKUP($C165,Code!$H:$Q,9,FALSE))+(VLOOKUP($C165,Code!$H:$Q,10,FALSE)))/2*0.5/(((VLOOKUP($C165,Code!$H:$Q,7,FALSE))+(VLOOKUP($C165,Code!$H:$Q,8,FALSE)))/2),0)</f>
        <v>0.69650379106992422</v>
      </c>
      <c r="H165" s="171" t="str">
        <f t="shared" si="16"/>
        <v>L</v>
      </c>
      <c r="I165" s="170">
        <f>IFERROR((VLOOKUP($C165,Code!$H:$Q,5,FALSE))/(((VLOOKUP($C165,Code!$H:$Q,7,FALSE))+(VLOOKUP($C165,Code!$H:$Q,8,FALSE)))/2)-1,0)</f>
        <v>-0.10278011794439768</v>
      </c>
      <c r="J165" s="204">
        <f>IFERROR(POWER((VLOOKUP(C165,Code!H:W,12,FALSE))/(VLOOKUP(C165,Code!H:W,15,FALSE)),1/(P165-1))-1,"")</f>
        <v>0.17566057554630121</v>
      </c>
      <c r="K165" s="172" cm="1">
        <f t="array" ref="K165">IFERROR(IF(C165="","",_xlfn.IFS(AND(VLOOKUP(C165,Code!H:W,13,FALSE)=0,VLOOKUP(C165,Code!H:W,16,FALSE)=0),"無股息",AND(VLOOKUP(C165,Code!H:W,13,FALSE)=0,VLOOKUP(C165,Code!H:W,16,FALSE)&gt;0),"股息沒了",AND(VLOOKUP(C165,Code!H:W,13,FALSE)&gt;0,VLOOKUP(C165,Code!H:W,16,FALSE)=0),"發股息了",AND(VLOOKUP(C165,Code!H:W,13,FALSE)&gt;0,VLOOKUP(C165,Code!H:W,16,FALSE)&gt;0),POWER((VLOOKUP(C165,Code!H:W,13,FALSE))/(VLOOKUP(C165,Code!H:W,16,FALSE)),1/(P165-1))-1)),"")</f>
        <v>5.1148148013044459E-2</v>
      </c>
      <c r="L165" s="173">
        <f>IFERROR(VLOOKUP(C165,Code!H:W,13,FALSE)*4/VLOOKUP(C165,Code!H:W,12,FALSE),"")</f>
        <v>1.3387521308682525E-2</v>
      </c>
      <c r="M165" s="172">
        <f t="shared" si="17"/>
        <v>0.22680872355934567</v>
      </c>
      <c r="N165" s="172" t="str">
        <f t="shared" si="18"/>
        <v>-</v>
      </c>
      <c r="O165" s="172" t="str">
        <f t="shared" si="19"/>
        <v>-</v>
      </c>
      <c r="P165" s="205">
        <f>IFERROR(YEARFRAC(VLOOKUP(C165,Code!H:W,11,FALSE),VLOOKUP(C165,Code!H:W,14,FALSE),3),"")</f>
        <v>4.7698630136986298</v>
      </c>
      <c r="Q165" s="174">
        <v>44547</v>
      </c>
      <c r="R165" s="175" t="str">
        <f t="shared" ca="1" si="20"/>
        <v/>
      </c>
      <c r="S165" s="176">
        <f>IFERROR(VLOOKUP($C165,Code!$H:$Q,5,FALSE),"")</f>
        <v>0.21299999999999999</v>
      </c>
      <c r="T165" s="177" t="str">
        <f t="shared" ca="1" si="21"/>
        <v/>
      </c>
      <c r="U165" s="178" t="str">
        <f t="shared" ca="1" si="22"/>
        <v/>
      </c>
      <c r="V165" s="179">
        <f>IFERROR(VLOOKUP($C165,Code!$H:$Q,6,FALSE),"")</f>
        <v>197.07</v>
      </c>
      <c r="W165" s="180" t="str">
        <f t="shared" ca="1" si="23"/>
        <v/>
      </c>
      <c r="X165" s="12"/>
      <c r="Y165" s="12"/>
      <c r="Z165" s="12"/>
      <c r="AA165" s="12"/>
      <c r="AB165" s="12"/>
    </row>
    <row r="166" spans="1:28" s="10" customFormat="1" ht="15" hidden="1">
      <c r="A166" s="9"/>
      <c r="B166" s="169" cm="1">
        <f t="array" ref="B166">_xlfn.IFS(OR(Code!R451&lt;&gt;Code!U451,Code!R451=""),0,Code!R451=Code!U451,1)</f>
        <v>0</v>
      </c>
      <c r="C166" s="193" t="str">
        <f>IF(Code!F451="","",Code!F451)</f>
        <v>TT</v>
      </c>
      <c r="D166" s="155" t="str">
        <f>IFERROR(VLOOKUP($C166,Code!$H:$K,2,FALSE),"")</f>
        <v>XLI</v>
      </c>
      <c r="E166" s="156" t="str">
        <f>IFERROR(VLOOKUP($C166,Code!$H:$K,3,FALSE),"")</f>
        <v>特種工業機械</v>
      </c>
      <c r="F166" s="157" t="str">
        <f>IFERROR(VLOOKUP($C166,Code!$H:$K,4,FALSE),"")</f>
        <v>.SPX</v>
      </c>
      <c r="G166" s="170">
        <f>IFERROR(((VLOOKUP($C166,Code!$H:$Q,9,FALSE))+(VLOOKUP($C166,Code!$H:$Q,10,FALSE)))/2*0.5/(((VLOOKUP($C166,Code!$H:$Q,7,FALSE))+(VLOOKUP($C166,Code!$H:$Q,8,FALSE)))/2),0)</f>
        <v>0.57427604362542306</v>
      </c>
      <c r="H166" s="171" t="str">
        <f t="shared" si="16"/>
        <v>M</v>
      </c>
      <c r="I166" s="170">
        <f>IFERROR((VLOOKUP($C166,Code!$H:$Q,5,FALSE))/(((VLOOKUP($C166,Code!$H:$Q,7,FALSE))+(VLOOKUP($C166,Code!$H:$Q,8,FALSE)))/2)-1,0)</f>
        <v>-0.10304625799172629</v>
      </c>
      <c r="J166" s="204">
        <f>IFERROR(POWER((VLOOKUP(C166,Code!H:W,12,FALSE))/(VLOOKUP(C166,Code!H:W,15,FALSE)),1/(P166-1))-1,"")</f>
        <v>0.43416567576104614</v>
      </c>
      <c r="K166" s="172" cm="1">
        <f t="array" ref="K166">IFERROR(IF(C166="","",_xlfn.IFS(AND(VLOOKUP(C166,Code!H:W,13,FALSE)=0,VLOOKUP(C166,Code!H:W,16,FALSE)=0),"無股息",AND(VLOOKUP(C166,Code!H:W,13,FALSE)=0,VLOOKUP(C166,Code!H:W,16,FALSE)&gt;0),"股息沒了",AND(VLOOKUP(C166,Code!H:W,13,FALSE)&gt;0,VLOOKUP(C166,Code!H:W,16,FALSE)=0),"發股息了",AND(VLOOKUP(C166,Code!H:W,13,FALSE)&gt;0,VLOOKUP(C166,Code!H:W,16,FALSE)&gt;0),POWER((VLOOKUP(C166,Code!H:W,13,FALSE))/(VLOOKUP(C166,Code!H:W,16,FALSE)),1/(P166-1))-1)),"")</f>
        <v>0.26046355771109186</v>
      </c>
      <c r="L166" s="173">
        <f>IFERROR(VLOOKUP(C166,Code!H:W,13,FALSE)*4/VLOOKUP(C166,Code!H:W,12,FALSE),"")</f>
        <v>1.2870855105498805E-2</v>
      </c>
      <c r="M166" s="172">
        <f t="shared" si="17"/>
        <v>0.69462923347213801</v>
      </c>
      <c r="N166" s="172" t="str">
        <f t="shared" si="18"/>
        <v>-</v>
      </c>
      <c r="O166" s="172" t="str">
        <f t="shared" si="19"/>
        <v>Value</v>
      </c>
      <c r="P166" s="205">
        <f>IFERROR(YEARFRAC(VLOOKUP(C166,Code!H:W,11,FALSE),VLOOKUP(C166,Code!H:W,14,FALSE),3),"")</f>
        <v>4.7397260273972606</v>
      </c>
      <c r="Q166" s="174">
        <v>44547</v>
      </c>
      <c r="R166" s="175" t="str">
        <f t="shared" ca="1" si="20"/>
        <v/>
      </c>
      <c r="S166" s="176">
        <f>IFERROR(VLOOKUP($C166,Code!$H:$Q,5,FALSE),"")</f>
        <v>0.23849999999999999</v>
      </c>
      <c r="T166" s="177" t="str">
        <f t="shared" ca="1" si="21"/>
        <v/>
      </c>
      <c r="U166" s="178" t="str">
        <f t="shared" ca="1" si="22"/>
        <v/>
      </c>
      <c r="V166" s="179">
        <f>IFERROR(VLOOKUP($C166,Code!$H:$Q,6,FALSE),"")</f>
        <v>195.43</v>
      </c>
      <c r="W166" s="180" t="str">
        <f t="shared" ca="1" si="23"/>
        <v/>
      </c>
      <c r="X166" s="12"/>
      <c r="Y166" s="12"/>
      <c r="Z166" s="12"/>
      <c r="AA166" s="12"/>
      <c r="AB166" s="12"/>
    </row>
    <row r="167" spans="1:28" s="10" customFormat="1" ht="15" hidden="1">
      <c r="A167" s="9"/>
      <c r="B167" s="169" cm="1">
        <f t="array" ref="B167">_xlfn.IFS(OR(Code!R15&lt;&gt;Code!U15,Code!R15=""),0,Code!R15=Code!U15,1)</f>
        <v>0</v>
      </c>
      <c r="C167" s="193" t="str">
        <f>IF(Code!F15="","",Code!F15)</f>
        <v>ADM</v>
      </c>
      <c r="D167" s="155" t="str">
        <f>IFERROR(VLOOKUP($C167,Code!$H:$K,2,FALSE),"")</f>
        <v>XLP</v>
      </c>
      <c r="E167" s="156" t="str">
        <f>IFERROR(VLOOKUP($C167,Code!$H:$K,3,FALSE),"")</f>
        <v>農產品</v>
      </c>
      <c r="F167" s="157" t="str">
        <f>IFERROR(VLOOKUP($C167,Code!$H:$K,4,FALSE),"")</f>
        <v>.SPX</v>
      </c>
      <c r="G167" s="170">
        <f>IFERROR(((VLOOKUP($C167,Code!$H:$Q,9,FALSE))+(VLOOKUP($C167,Code!$H:$Q,10,FALSE)))/2*0.5/(((VLOOKUP($C167,Code!$H:$Q,7,FALSE))+(VLOOKUP($C167,Code!$H:$Q,8,FALSE)))/2),0)</f>
        <v>0.56639650872817959</v>
      </c>
      <c r="H167" s="171" t="str">
        <f t="shared" si="16"/>
        <v>M</v>
      </c>
      <c r="I167" s="170">
        <f>IFERROR((VLOOKUP($C167,Code!$H:$Q,5,FALSE))/(((VLOOKUP($C167,Code!$H:$Q,7,FALSE))+(VLOOKUP($C167,Code!$H:$Q,8,FALSE)))/2)-1,0)</f>
        <v>-0.10390689941812137</v>
      </c>
      <c r="J167" s="204">
        <f>IFERROR(POWER((VLOOKUP(C167,Code!H:W,12,FALSE))/(VLOOKUP(C167,Code!H:W,15,FALSE)),1/(P167-1))-1,"")</f>
        <v>0.16487918811680857</v>
      </c>
      <c r="K167" s="172" cm="1">
        <f t="array" ref="K167">IFERROR(IF(C167="","",_xlfn.IFS(AND(VLOOKUP(C167,Code!H:W,13,FALSE)=0,VLOOKUP(C167,Code!H:W,16,FALSE)=0),"無股息",AND(VLOOKUP(C167,Code!H:W,13,FALSE)=0,VLOOKUP(C167,Code!H:W,16,FALSE)&gt;0),"股息沒了",AND(VLOOKUP(C167,Code!H:W,13,FALSE)&gt;0,VLOOKUP(C167,Code!H:W,16,FALSE)=0),"發股息了",AND(VLOOKUP(C167,Code!H:W,13,FALSE)&gt;0,VLOOKUP(C167,Code!H:W,16,FALSE)&gt;0),POWER((VLOOKUP(C167,Code!H:W,13,FALSE))/(VLOOKUP(C167,Code!H:W,16,FALSE)),1/(P167-1))-1)),"")</f>
        <v>5.7378781984027016E-2</v>
      </c>
      <c r="L167" s="173">
        <f>IFERROR(VLOOKUP(C167,Code!H:W,13,FALSE)*4/VLOOKUP(C167,Code!H:W,12,FALSE),"")</f>
        <v>2.2079666223373401E-2</v>
      </c>
      <c r="M167" s="172">
        <f t="shared" si="17"/>
        <v>0.22225797010083559</v>
      </c>
      <c r="N167" s="172" t="str">
        <f t="shared" si="18"/>
        <v>-</v>
      </c>
      <c r="O167" s="172" t="str">
        <f t="shared" si="19"/>
        <v>-</v>
      </c>
      <c r="P167" s="205">
        <f>IFERROR(YEARFRAC(VLOOKUP(C167,Code!H:W,11,FALSE),VLOOKUP(C167,Code!H:W,14,FALSE),3),"")</f>
        <v>4.7589041095890412</v>
      </c>
      <c r="Q167" s="174">
        <v>44547</v>
      </c>
      <c r="R167" s="175" t="str">
        <f t="shared" ca="1" si="20"/>
        <v/>
      </c>
      <c r="S167" s="176">
        <f>IFERROR(VLOOKUP($C167,Code!$H:$Q,5,FALSE),"")</f>
        <v>0.21560000000000001</v>
      </c>
      <c r="T167" s="177" t="str">
        <f t="shared" ca="1" si="21"/>
        <v/>
      </c>
      <c r="U167" s="178" t="str">
        <f t="shared" ca="1" si="22"/>
        <v/>
      </c>
      <c r="V167" s="179">
        <f>IFERROR(VLOOKUP($C167,Code!$H:$Q,6,FALSE),"")</f>
        <v>59.4</v>
      </c>
      <c r="W167" s="180" t="str">
        <f t="shared" ca="1" si="23"/>
        <v/>
      </c>
      <c r="X167" s="12"/>
      <c r="Y167" s="12"/>
      <c r="Z167" s="12"/>
      <c r="AA167" s="12"/>
      <c r="AB167" s="12"/>
    </row>
    <row r="168" spans="1:28" s="10" customFormat="1" ht="15" hidden="1">
      <c r="A168" s="9"/>
      <c r="B168" s="169" cm="1">
        <f t="array" ref="B168">_xlfn.IFS(OR(Code!R209&lt;&gt;Code!U209,Code!R209=""),0,Code!R209=Code!U209,1)</f>
        <v>0</v>
      </c>
      <c r="C168" s="193" t="str">
        <f>IF(Code!F209="","",Code!F209)</f>
        <v>GPS</v>
      </c>
      <c r="D168" s="155" t="str">
        <f>IFERROR(VLOOKUP($C168,Code!$H:$K,2,FALSE),"")</f>
        <v>XLY</v>
      </c>
      <c r="E168" s="156" t="str">
        <f>IFERROR(VLOOKUP($C168,Code!$H:$K,3,FALSE),"")</f>
        <v>服裝零售</v>
      </c>
      <c r="F168" s="157" t="str">
        <f>IFERROR(VLOOKUP($C168,Code!$H:$K,4,FALSE),"")</f>
        <v>.SPX</v>
      </c>
      <c r="G168" s="170">
        <f>IFERROR(((VLOOKUP($C168,Code!$H:$Q,9,FALSE))+(VLOOKUP($C168,Code!$H:$Q,10,FALSE)))/2*0.5/(((VLOOKUP($C168,Code!$H:$Q,7,FALSE))+(VLOOKUP($C168,Code!$H:$Q,8,FALSE)))/2),0)</f>
        <v>0.47696192696192702</v>
      </c>
      <c r="H168" s="171" t="str">
        <f t="shared" si="16"/>
        <v>S</v>
      </c>
      <c r="I168" s="170">
        <f>IFERROR((VLOOKUP($C168,Code!$H:$Q,5,FALSE))/(((VLOOKUP($C168,Code!$H:$Q,7,FALSE))+(VLOOKUP($C168,Code!$H:$Q,8,FALSE)))/2)-1,0)</f>
        <v>-0.10427350427350424</v>
      </c>
      <c r="J168" s="204">
        <f>IFERROR(POWER((VLOOKUP(C168,Code!H:W,12,FALSE))/(VLOOKUP(C168,Code!H:W,15,FALSE)),1/(P168-1))-1,"")</f>
        <v>0.15230102197315531</v>
      </c>
      <c r="K168" s="172" cm="1">
        <f t="array" ref="K168">IFERROR(IF(C168="","",_xlfn.IFS(AND(VLOOKUP(C168,Code!H:W,13,FALSE)=0,VLOOKUP(C168,Code!H:W,16,FALSE)=0),"無股息",AND(VLOOKUP(C168,Code!H:W,13,FALSE)=0,VLOOKUP(C168,Code!H:W,16,FALSE)&gt;0),"股息沒了",AND(VLOOKUP(C168,Code!H:W,13,FALSE)&gt;0,VLOOKUP(C168,Code!H:W,16,FALSE)=0),"發股息了",AND(VLOOKUP(C168,Code!H:W,13,FALSE)&gt;0,VLOOKUP(C168,Code!H:W,16,FALSE)&gt;0),POWER((VLOOKUP(C168,Code!H:W,13,FALSE))/(VLOOKUP(C168,Code!H:W,16,FALSE)),1/(P168-1))-1)),"")</f>
        <v>-0.15892887754638652</v>
      </c>
      <c r="L168" s="173">
        <f>IFERROR(VLOOKUP(C168,Code!H:W,13,FALSE)*4/VLOOKUP(C168,Code!H:W,12,FALSE),"")</f>
        <v>1.486528294798475E-2</v>
      </c>
      <c r="M168" s="172">
        <f t="shared" si="17"/>
        <v>-6.6278555732312006E-3</v>
      </c>
      <c r="N168" s="172" t="str">
        <f t="shared" si="18"/>
        <v>-</v>
      </c>
      <c r="O168" s="172" t="str">
        <f t="shared" si="19"/>
        <v>-</v>
      </c>
      <c r="P168" s="205">
        <f>IFERROR(YEARFRAC(VLOOKUP(C168,Code!H:W,11,FALSE),VLOOKUP(C168,Code!H:W,14,FALSE),3),"")</f>
        <v>4.7589041095890412</v>
      </c>
      <c r="Q168" s="174">
        <v>44547</v>
      </c>
      <c r="R168" s="175" t="str">
        <f t="shared" ca="1" si="20"/>
        <v/>
      </c>
      <c r="S168" s="176">
        <f>IFERROR(VLOOKUP($C168,Code!$H:$Q,5,FALSE),"")</f>
        <v>0.57640000000000002</v>
      </c>
      <c r="T168" s="177" t="str">
        <f t="shared" ca="1" si="21"/>
        <v/>
      </c>
      <c r="U168" s="178" t="str">
        <f t="shared" ca="1" si="22"/>
        <v/>
      </c>
      <c r="V168" s="179">
        <f>IFERROR(VLOOKUP($C168,Code!$H:$Q,6,FALSE),"")</f>
        <v>29.31</v>
      </c>
      <c r="W168" s="180" t="str">
        <f t="shared" ca="1" si="23"/>
        <v/>
      </c>
      <c r="X168" s="12"/>
      <c r="Y168" s="12"/>
      <c r="Z168" s="12"/>
      <c r="AA168" s="12"/>
      <c r="AB168" s="12"/>
    </row>
    <row r="169" spans="1:28" s="10" customFormat="1" ht="15" hidden="1">
      <c r="A169" s="9"/>
      <c r="B169" s="169" cm="1">
        <f t="array" ref="B169">_xlfn.IFS(OR(Code!R334&lt;&gt;Code!U334,Code!R334=""),0,Code!R334=Code!U334,1)</f>
        <v>0</v>
      </c>
      <c r="C169" s="193" t="str">
        <f>IF(Code!F334="","",Code!F334)</f>
        <v>NLOK</v>
      </c>
      <c r="D169" s="155" t="str">
        <f>IFERROR(VLOOKUP($C169,Code!$H:$K,2,FALSE),"")</f>
        <v>XLK</v>
      </c>
      <c r="E169" s="156" t="str">
        <f>IFERROR(VLOOKUP($C169,Code!$H:$K,3,FALSE),"")</f>
        <v>軟件基礎設施</v>
      </c>
      <c r="F169" s="157" t="str">
        <f>IFERROR(VLOOKUP($C169,Code!$H:$K,4,FALSE),"")</f>
        <v>.SPX</v>
      </c>
      <c r="G169" s="170">
        <f>IFERROR(((VLOOKUP($C169,Code!$H:$Q,9,FALSE))+(VLOOKUP($C169,Code!$H:$Q,10,FALSE)))/2*0.5/(((VLOOKUP($C169,Code!$H:$Q,7,FALSE))+(VLOOKUP($C169,Code!$H:$Q,8,FALSE)))/2),0)</f>
        <v>0.65432716358179088</v>
      </c>
      <c r="H169" s="171" t="str">
        <f t="shared" si="16"/>
        <v>L</v>
      </c>
      <c r="I169" s="170">
        <f>IFERROR((VLOOKUP($C169,Code!$H:$Q,5,FALSE))/(((VLOOKUP($C169,Code!$H:$Q,7,FALSE))+(VLOOKUP($C169,Code!$H:$Q,8,FALSE)))/2)-1,0)</f>
        <v>-0.10788727697181921</v>
      </c>
      <c r="J169" s="204">
        <f>IFERROR(POWER((VLOOKUP(C169,Code!H:W,12,FALSE))/(VLOOKUP(C169,Code!H:W,15,FALSE)),1/(P169-1))-1,"")</f>
        <v>0.24242438281546019</v>
      </c>
      <c r="K169" s="172" cm="1">
        <f t="array" ref="K169">IFERROR(IF(C169="","",_xlfn.IFS(AND(VLOOKUP(C169,Code!H:W,13,FALSE)=0,VLOOKUP(C169,Code!H:W,16,FALSE)=0),"無股息",AND(VLOOKUP(C169,Code!H:W,13,FALSE)=0,VLOOKUP(C169,Code!H:W,16,FALSE)&gt;0),"股息沒了",AND(VLOOKUP(C169,Code!H:W,13,FALSE)&gt;0,VLOOKUP(C169,Code!H:W,16,FALSE)=0),"發股息了",AND(VLOOKUP(C169,Code!H:W,13,FALSE)&gt;0,VLOOKUP(C169,Code!H:W,16,FALSE)&gt;0),POWER((VLOOKUP(C169,Code!H:W,13,FALSE))/(VLOOKUP(C169,Code!H:W,16,FALSE)),1/(P169-1))-1)),"")</f>
        <v>0.1435502342738928</v>
      </c>
      <c r="L169" s="173">
        <f>IFERROR(VLOOKUP(C169,Code!H:W,13,FALSE)*4/VLOOKUP(C169,Code!H:W,12,FALSE),"")</f>
        <v>1.7692851944459596E-2</v>
      </c>
      <c r="M169" s="172">
        <f t="shared" si="17"/>
        <v>0.38597461708935299</v>
      </c>
      <c r="N169" s="172" t="str">
        <f t="shared" si="18"/>
        <v>-</v>
      </c>
      <c r="O169" s="172" t="str">
        <f t="shared" si="19"/>
        <v>Value</v>
      </c>
      <c r="P169" s="205">
        <f>IFERROR(YEARFRAC(VLOOKUP(C169,Code!H:W,11,FALSE),VLOOKUP(C169,Code!H:W,14,FALSE),3),"")</f>
        <v>4.8082191780821919</v>
      </c>
      <c r="Q169" s="174">
        <v>44547</v>
      </c>
      <c r="R169" s="175" t="str">
        <f t="shared" ca="1" si="20"/>
        <v/>
      </c>
      <c r="S169" s="176">
        <f>IFERROR(VLOOKUP($C169,Code!$H:$Q,5,FALSE),"")</f>
        <v>0.26750000000000002</v>
      </c>
      <c r="T169" s="177" t="str">
        <f t="shared" ca="1" si="21"/>
        <v/>
      </c>
      <c r="U169" s="178" t="str">
        <f t="shared" ca="1" si="22"/>
        <v/>
      </c>
      <c r="V169" s="179">
        <f>IFERROR(VLOOKUP($C169,Code!$H:$Q,6,FALSE),"")</f>
        <v>23.99</v>
      </c>
      <c r="W169" s="180" t="str">
        <f t="shared" ca="1" si="23"/>
        <v/>
      </c>
      <c r="X169" s="12"/>
      <c r="Y169" s="12"/>
      <c r="Z169" s="12"/>
      <c r="AA169" s="12"/>
      <c r="AB169" s="12"/>
    </row>
    <row r="170" spans="1:28" s="10" customFormat="1" ht="15">
      <c r="A170" s="9"/>
      <c r="B170" s="169" cm="1">
        <f t="array" ref="B170">_xlfn.IFS(OR(Code!R484&lt;&gt;Code!U484,Code!R484=""),0,Code!R484=Code!U484,1)</f>
        <v>0</v>
      </c>
      <c r="C170" s="193" t="str">
        <f>IF(Code!F484="","",Code!F484)</f>
        <v>WDC</v>
      </c>
      <c r="D170" s="155" t="str">
        <f>IFERROR(VLOOKUP($C170,Code!$H:$K,2,FALSE),"")</f>
        <v>XLK</v>
      </c>
      <c r="E170" s="156" t="str">
        <f>IFERROR(VLOOKUP($C170,Code!$H:$K,3,FALSE),"")</f>
        <v>計算機硬件</v>
      </c>
      <c r="F170" s="157" t="str">
        <f>IFERROR(VLOOKUP($C170,Code!$H:$K,4,FALSE),"")</f>
        <v>.SPX</v>
      </c>
      <c r="G170" s="170">
        <f>IFERROR(((VLOOKUP($C170,Code!$H:$Q,9,FALSE))+(VLOOKUP($C170,Code!$H:$Q,10,FALSE)))/2*0.5/(((VLOOKUP($C170,Code!$H:$Q,7,FALSE))+(VLOOKUP($C170,Code!$H:$Q,8,FALSE)))/2),0)</f>
        <v>0.59604005461993625</v>
      </c>
      <c r="H170" s="171" t="str">
        <f t="shared" si="16"/>
        <v>M</v>
      </c>
      <c r="I170" s="170">
        <f>IFERROR((VLOOKUP($C170,Code!$H:$Q,5,FALSE))/(((VLOOKUP($C170,Code!$H:$Q,7,FALSE))+(VLOOKUP($C170,Code!$H:$Q,8,FALSE)))/2)-1,0)</f>
        <v>-0.1083295402822031</v>
      </c>
      <c r="J170" s="204">
        <f>IFERROR(POWER((VLOOKUP(C170,Code!H:W,12,FALSE))/(VLOOKUP(C170,Code!H:W,15,FALSE)),1/(P170-1))-1,"")</f>
        <v>-0.11098481677962235</v>
      </c>
      <c r="K170" s="172" cm="1">
        <f t="array" ref="K170">IFERROR(IF(C170="","",_xlfn.IFS(AND(VLOOKUP(C170,Code!H:W,13,FALSE)=0,VLOOKUP(C170,Code!H:W,16,FALSE)=0),"無股息",AND(VLOOKUP(C170,Code!H:W,13,FALSE)=0,VLOOKUP(C170,Code!H:W,16,FALSE)&gt;0),"股息沒了",AND(VLOOKUP(C170,Code!H:W,13,FALSE)&gt;0,VLOOKUP(C170,Code!H:W,16,FALSE)=0),"發股息了",AND(VLOOKUP(C170,Code!H:W,13,FALSE)&gt;0,VLOOKUP(C170,Code!H:W,16,FALSE)&gt;0),POWER((VLOOKUP(C170,Code!H:W,13,FALSE))/(VLOOKUP(C170,Code!H:W,16,FALSE)),1/(P170-1))-1)),"")</f>
        <v>0</v>
      </c>
      <c r="L170" s="173">
        <f>IFERROR(VLOOKUP(C170,Code!H:W,13,FALSE)*4/VLOOKUP(C170,Code!H:W,12,FALSE),"")</f>
        <v>5.2083331263727703E-2</v>
      </c>
      <c r="M170" s="172">
        <f t="shared" si="17"/>
        <v>-0.11098481677962235</v>
      </c>
      <c r="N170" s="172" t="str">
        <f t="shared" si="18"/>
        <v>-</v>
      </c>
      <c r="O170" s="172" t="str">
        <f t="shared" si="19"/>
        <v>-</v>
      </c>
      <c r="P170" s="205">
        <f>IFERROR(YEARFRAC(VLOOKUP(C170,Code!H:W,11,FALSE),VLOOKUP(C170,Code!H:W,14,FALSE),3),"")</f>
        <v>3.5123287671232877</v>
      </c>
      <c r="Q170" s="174">
        <v>44547</v>
      </c>
      <c r="R170" s="175" t="str">
        <f t="shared" ca="1" si="20"/>
        <v/>
      </c>
      <c r="S170" s="176">
        <f>IFERROR(VLOOKUP($C170,Code!$H:$Q,5,FALSE),"")</f>
        <v>0.39179999999999998</v>
      </c>
      <c r="T170" s="177" t="str">
        <f t="shared" ca="1" si="21"/>
        <v/>
      </c>
      <c r="U170" s="178" t="str">
        <f t="shared" ca="1" si="22"/>
        <v/>
      </c>
      <c r="V170" s="179">
        <f>IFERROR(VLOOKUP($C170,Code!$H:$Q,6,FALSE),"")</f>
        <v>67.959999999999994</v>
      </c>
      <c r="W170" s="180" t="str">
        <f t="shared" ca="1" si="23"/>
        <v/>
      </c>
      <c r="X170" s="12"/>
      <c r="Y170" s="12"/>
      <c r="Z170" s="12"/>
      <c r="AA170" s="12"/>
      <c r="AB170" s="12"/>
    </row>
    <row r="171" spans="1:28" s="10" customFormat="1" ht="15" hidden="1">
      <c r="A171" s="9"/>
      <c r="B171" s="169" cm="1">
        <f t="array" ref="B171">_xlfn.IFS(OR(Code!R49&lt;&gt;Code!U49,Code!R49=""),0,Code!R49=Code!U49,1)</f>
        <v>0</v>
      </c>
      <c r="C171" s="193" t="str">
        <f>IF(Code!F49="","",Code!F49)</f>
        <v>ATO</v>
      </c>
      <c r="D171" s="155" t="str">
        <f>IFERROR(VLOOKUP($C171,Code!$H:$K,2,FALSE),"")</f>
        <v>XLU</v>
      </c>
      <c r="E171" s="156" t="str">
        <f>IFERROR(VLOOKUP($C171,Code!$H:$K,3,FALSE),"")</f>
        <v>公用事業-管制氣體</v>
      </c>
      <c r="F171" s="157" t="str">
        <f>IFERROR(VLOOKUP($C171,Code!$H:$K,4,FALSE),"")</f>
        <v>.SPX</v>
      </c>
      <c r="G171" s="170">
        <f>IFERROR(((VLOOKUP($C171,Code!$H:$Q,9,FALSE))+(VLOOKUP($C171,Code!$H:$Q,10,FALSE)))/2*0.5/(((VLOOKUP($C171,Code!$H:$Q,7,FALSE))+(VLOOKUP($C171,Code!$H:$Q,8,FALSE)))/2),0)</f>
        <v>0.54083863275039745</v>
      </c>
      <c r="H171" s="171" t="str">
        <f t="shared" si="16"/>
        <v>M</v>
      </c>
      <c r="I171" s="170">
        <f>IFERROR((VLOOKUP($C171,Code!$H:$Q,5,FALSE))/(((VLOOKUP($C171,Code!$H:$Q,7,FALSE))+(VLOOKUP($C171,Code!$H:$Q,8,FALSE)))/2)-1,0)</f>
        <v>-0.10969793322734489</v>
      </c>
      <c r="J171" s="204">
        <f>IFERROR(POWER((VLOOKUP(C171,Code!H:W,12,FALSE))/(VLOOKUP(C171,Code!H:W,15,FALSE)),1/(P171-1))-1,"")</f>
        <v>0.10133136909666463</v>
      </c>
      <c r="K171" s="172" cm="1">
        <f t="array" ref="K171">IFERROR(IF(C171="","",_xlfn.IFS(AND(VLOOKUP(C171,Code!H:W,13,FALSE)=0,VLOOKUP(C171,Code!H:W,16,FALSE)=0),"無股息",AND(VLOOKUP(C171,Code!H:W,13,FALSE)=0,VLOOKUP(C171,Code!H:W,16,FALSE)&gt;0),"股息沒了",AND(VLOOKUP(C171,Code!H:W,13,FALSE)&gt;0,VLOOKUP(C171,Code!H:W,16,FALSE)=0),"發股息了",AND(VLOOKUP(C171,Code!H:W,13,FALSE)&gt;0,VLOOKUP(C171,Code!H:W,16,FALSE)&gt;0),POWER((VLOOKUP(C171,Code!H:W,13,FALSE))/(VLOOKUP(C171,Code!H:W,16,FALSE)),1/(P171-1))-1)),"")</f>
        <v>0.11154183520910865</v>
      </c>
      <c r="L171" s="173">
        <f>IFERROR(VLOOKUP(C171,Code!H:W,13,FALSE)*4/VLOOKUP(C171,Code!H:W,12,FALSE),"")</f>
        <v>2.5463434428897726E-2</v>
      </c>
      <c r="M171" s="172">
        <f t="shared" si="17"/>
        <v>0.21287320430577328</v>
      </c>
      <c r="N171" s="172" t="str">
        <f t="shared" si="18"/>
        <v>-</v>
      </c>
      <c r="O171" s="172" t="str">
        <f t="shared" si="19"/>
        <v>-</v>
      </c>
      <c r="P171" s="205">
        <f>IFERROR(YEARFRAC(VLOOKUP(C171,Code!H:W,11,FALSE),VLOOKUP(C171,Code!H:W,14,FALSE),3),"")</f>
        <v>4.7589041095890412</v>
      </c>
      <c r="Q171" s="174">
        <v>44547</v>
      </c>
      <c r="R171" s="175" t="str">
        <f t="shared" ca="1" si="20"/>
        <v/>
      </c>
      <c r="S171" s="176">
        <f>IFERROR(VLOOKUP($C171,Code!$H:$Q,5,FALSE),"")</f>
        <v>0.224</v>
      </c>
      <c r="T171" s="177" t="str">
        <f t="shared" ca="1" si="21"/>
        <v/>
      </c>
      <c r="U171" s="178" t="str">
        <f t="shared" ca="1" si="22"/>
        <v/>
      </c>
      <c r="V171" s="179">
        <f>IFERROR(VLOOKUP($C171,Code!$H:$Q,6,FALSE),"")</f>
        <v>100.95</v>
      </c>
      <c r="W171" s="180" t="str">
        <f t="shared" ca="1" si="23"/>
        <v/>
      </c>
      <c r="X171" s="12"/>
      <c r="Y171" s="12"/>
      <c r="Z171" s="12"/>
      <c r="AA171" s="12"/>
      <c r="AB171" s="12"/>
    </row>
    <row r="172" spans="1:28" s="10" customFormat="1" ht="15" hidden="1">
      <c r="A172" s="9"/>
      <c r="B172" s="169" cm="1">
        <f t="array" ref="B172">_xlfn.IFS(OR(Code!R42&lt;&gt;Code!U42,Code!R42=""),0,Code!R42=Code!U42,1)</f>
        <v>0</v>
      </c>
      <c r="C172" s="193" t="str">
        <f>IF(Code!F42="","",Code!F42)</f>
        <v>AON</v>
      </c>
      <c r="D172" s="155" t="str">
        <f>IFERROR(VLOOKUP($C172,Code!$H:$K,2,FALSE),"")</f>
        <v>XLF</v>
      </c>
      <c r="E172" s="156" t="str">
        <f>IFERROR(VLOOKUP($C172,Code!$H:$K,3,FALSE),"")</f>
        <v>保險經紀</v>
      </c>
      <c r="F172" s="157" t="str">
        <f>IFERROR(VLOOKUP($C172,Code!$H:$K,4,FALSE),"")</f>
        <v>.SPX</v>
      </c>
      <c r="G172" s="170">
        <f>IFERROR(((VLOOKUP($C172,Code!$H:$Q,9,FALSE))+(VLOOKUP($C172,Code!$H:$Q,10,FALSE)))/2*0.5/(((VLOOKUP($C172,Code!$H:$Q,7,FALSE))+(VLOOKUP($C172,Code!$H:$Q,8,FALSE)))/2),0)</f>
        <v>0.61504142766093051</v>
      </c>
      <c r="H172" s="171" t="str">
        <f t="shared" si="16"/>
        <v>L</v>
      </c>
      <c r="I172" s="170">
        <f>IFERROR((VLOOKUP($C172,Code!$H:$Q,5,FALSE))/(((VLOOKUP($C172,Code!$H:$Q,7,FALSE))+(VLOOKUP($C172,Code!$H:$Q,8,FALSE)))/2)-1,0)</f>
        <v>-0.11153601019757808</v>
      </c>
      <c r="J172" s="204">
        <f>IFERROR(POWER((VLOOKUP(C172,Code!H:W,12,FALSE))/(VLOOKUP(C172,Code!H:W,15,FALSE)),1/(P172-1))-1,"")</f>
        <v>0.27012596911891662</v>
      </c>
      <c r="K172" s="172" cm="1">
        <f t="array" ref="K172">IFERROR(IF(C172="","",_xlfn.IFS(AND(VLOOKUP(C172,Code!H:W,13,FALSE)=0,VLOOKUP(C172,Code!H:W,16,FALSE)=0),"無股息",AND(VLOOKUP(C172,Code!H:W,13,FALSE)=0,VLOOKUP(C172,Code!H:W,16,FALSE)&gt;0),"股息沒了",AND(VLOOKUP(C172,Code!H:W,13,FALSE)&gt;0,VLOOKUP(C172,Code!H:W,16,FALSE)=0),"發股息了",AND(VLOOKUP(C172,Code!H:W,13,FALSE)&gt;0,VLOOKUP(C172,Code!H:W,16,FALSE)&gt;0),POWER((VLOOKUP(C172,Code!H:W,13,FALSE))/(VLOOKUP(C172,Code!H:W,16,FALSE)),1/(P172-1))-1)),"")</f>
        <v>0.12287718651366353</v>
      </c>
      <c r="L172" s="173">
        <f>IFERROR(VLOOKUP(C172,Code!H:W,13,FALSE)*4/VLOOKUP(C172,Code!H:W,12,FALSE),"")</f>
        <v>7.8452486619879479E-3</v>
      </c>
      <c r="M172" s="172">
        <f t="shared" si="17"/>
        <v>0.39300315563258015</v>
      </c>
      <c r="N172" s="172" t="str">
        <f t="shared" si="18"/>
        <v>-</v>
      </c>
      <c r="O172" s="172" t="str">
        <f t="shared" si="19"/>
        <v>-</v>
      </c>
      <c r="P172" s="205">
        <f>IFERROR(YEARFRAC(VLOOKUP(C172,Code!H:W,11,FALSE),VLOOKUP(C172,Code!H:W,14,FALSE),3),"")</f>
        <v>4.7561643835616438</v>
      </c>
      <c r="Q172" s="174">
        <v>44547</v>
      </c>
      <c r="R172" s="175" t="str">
        <f t="shared" ca="1" si="20"/>
        <v/>
      </c>
      <c r="S172" s="176">
        <f>IFERROR(VLOOKUP($C172,Code!$H:$Q,5,FALSE),"")</f>
        <v>0.20910000000000001</v>
      </c>
      <c r="T172" s="177" t="str">
        <f t="shared" ca="1" si="21"/>
        <v/>
      </c>
      <c r="U172" s="178" t="str">
        <f t="shared" ca="1" si="22"/>
        <v/>
      </c>
      <c r="V172" s="179">
        <f>IFERROR(VLOOKUP($C172,Code!$H:$Q,6,FALSE),"")</f>
        <v>262.39999999999998</v>
      </c>
      <c r="W172" s="180" t="str">
        <f t="shared" ca="1" si="23"/>
        <v/>
      </c>
      <c r="X172" s="12"/>
      <c r="Y172" s="12"/>
      <c r="Z172" s="12"/>
      <c r="AA172" s="12"/>
      <c r="AB172" s="12"/>
    </row>
    <row r="173" spans="1:28" s="10" customFormat="1" ht="15" hidden="1">
      <c r="A173" s="9"/>
      <c r="B173" s="169" cm="1">
        <f t="array" ref="B173">_xlfn.IFS(OR(Code!R228&lt;&gt;Code!U228,Code!R228=""),0,Code!R228=Code!U228,1)</f>
        <v>0</v>
      </c>
      <c r="C173" s="193" t="str">
        <f>IF(Code!F228="","",Code!F228)</f>
        <v>HSIC</v>
      </c>
      <c r="D173" s="155" t="str">
        <f>IFERROR(VLOOKUP($C173,Code!$H:$K,2,FALSE),"")</f>
        <v>XLV</v>
      </c>
      <c r="E173" s="156" t="str">
        <f>IFERROR(VLOOKUP($C173,Code!$H:$K,3,FALSE),"")</f>
        <v>醫療分銷</v>
      </c>
      <c r="F173" s="157" t="str">
        <f>IFERROR(VLOOKUP($C173,Code!$H:$K,4,FALSE),"")</f>
        <v>.SPX</v>
      </c>
      <c r="G173" s="170">
        <f>IFERROR(((VLOOKUP($C173,Code!$H:$Q,9,FALSE))+(VLOOKUP($C173,Code!$H:$Q,10,FALSE)))/2*0.5/(((VLOOKUP($C173,Code!$H:$Q,7,FALSE))+(VLOOKUP($C173,Code!$H:$Q,8,FALSE)))/2),0)</f>
        <v>0.5239786856127886</v>
      </c>
      <c r="H173" s="171" t="str">
        <f t="shared" si="16"/>
        <v>M</v>
      </c>
      <c r="I173" s="170">
        <f>IFERROR((VLOOKUP($C173,Code!$H:$Q,5,FALSE))/(((VLOOKUP($C173,Code!$H:$Q,7,FALSE))+(VLOOKUP($C173,Code!$H:$Q,8,FALSE)))/2)-1,0)</f>
        <v>-0.11190053285968027</v>
      </c>
      <c r="J173" s="204">
        <f>IFERROR(POWER((VLOOKUP(C173,Code!H:W,12,FALSE))/(VLOOKUP(C173,Code!H:W,15,FALSE)),1/(P173-1))-1,"")</f>
        <v>-0.21016203084881802</v>
      </c>
      <c r="K173" s="172" t="str" cm="1">
        <f t="array" ref="K173">IFERROR(IF(C173="","",_xlfn.IFS(AND(VLOOKUP(C173,Code!H:W,13,FALSE)=0,VLOOKUP(C173,Code!H:W,16,FALSE)=0),"無股息",AND(VLOOKUP(C173,Code!H:W,13,FALSE)=0,VLOOKUP(C173,Code!H:W,16,FALSE)&gt;0),"股息沒了",AND(VLOOKUP(C173,Code!H:W,13,FALSE)&gt;0,VLOOKUP(C173,Code!H:W,16,FALSE)=0),"發股息了",AND(VLOOKUP(C173,Code!H:W,13,FALSE)&gt;0,VLOOKUP(C173,Code!H:W,16,FALSE)&gt;0),POWER((VLOOKUP(C173,Code!H:W,13,FALSE))/(VLOOKUP(C173,Code!H:W,16,FALSE)),1/(P173-1))-1)),"")</f>
        <v>無股息</v>
      </c>
      <c r="L173" s="173">
        <f>IFERROR(VLOOKUP(C173,Code!H:W,13,FALSE)*4/VLOOKUP(C173,Code!H:W,12,FALSE),"")</f>
        <v>0</v>
      </c>
      <c r="M173" s="172">
        <f t="shared" si="17"/>
        <v>-0.21016203084881802</v>
      </c>
      <c r="N173" s="172" t="str">
        <f t="shared" si="18"/>
        <v>-</v>
      </c>
      <c r="O173" s="172" t="str">
        <f t="shared" si="19"/>
        <v/>
      </c>
      <c r="P173" s="205">
        <f>IFERROR(YEARFRAC(VLOOKUP(C173,Code!H:W,11,FALSE),VLOOKUP(C173,Code!H:W,14,FALSE),3),"")</f>
        <v>1.4</v>
      </c>
      <c r="Q173" s="174">
        <v>44547</v>
      </c>
      <c r="R173" s="175" t="str">
        <f t="shared" ca="1" si="20"/>
        <v/>
      </c>
      <c r="S173" s="176">
        <f>IFERROR(VLOOKUP($C173,Code!$H:$Q,5,FALSE),"")</f>
        <v>0.3</v>
      </c>
      <c r="T173" s="177" t="str">
        <f t="shared" ca="1" si="21"/>
        <v/>
      </c>
      <c r="U173" s="178" t="str">
        <f t="shared" ca="1" si="22"/>
        <v/>
      </c>
      <c r="V173" s="179">
        <f>IFERROR(VLOOKUP($C173,Code!$H:$Q,6,FALSE),"")</f>
        <v>77.2</v>
      </c>
      <c r="W173" s="180" t="str">
        <f t="shared" ca="1" si="23"/>
        <v/>
      </c>
      <c r="X173" s="12"/>
      <c r="Y173" s="12"/>
      <c r="Z173" s="12"/>
      <c r="AA173" s="12"/>
      <c r="AB173" s="12"/>
    </row>
    <row r="174" spans="1:28" s="10" customFormat="1" ht="15" hidden="1">
      <c r="A174" s="9"/>
      <c r="B174" s="169" cm="1">
        <f t="array" ref="B174">_xlfn.IFS(OR(Code!R195&lt;&gt;Code!U195,Code!R195=""),0,Code!R195=Code!U195,1)</f>
        <v>1</v>
      </c>
      <c r="C174" s="193" t="str">
        <f>IF(Code!F195="","",Code!F195)</f>
        <v>FTNT</v>
      </c>
      <c r="D174" s="155" t="str">
        <f>IFERROR(VLOOKUP($C174,Code!$H:$K,2,FALSE),"")</f>
        <v>XLK</v>
      </c>
      <c r="E174" s="156" t="str">
        <f>IFERROR(VLOOKUP($C174,Code!$H:$K,3,FALSE),"")</f>
        <v>軟件基礎設施</v>
      </c>
      <c r="F174" s="157" t="str">
        <f>IFERROR(VLOOKUP($C174,Code!$H:$K,4,FALSE),"")</f>
        <v>.SPX</v>
      </c>
      <c r="G174" s="170">
        <f>IFERROR(((VLOOKUP($C174,Code!$H:$Q,9,FALSE))+(VLOOKUP($C174,Code!$H:$Q,10,FALSE)))/2*0.5/(((VLOOKUP($C174,Code!$H:$Q,7,FALSE))+(VLOOKUP($C174,Code!$H:$Q,8,FALSE)))/2),0)</f>
        <v>0.60858294930875567</v>
      </c>
      <c r="H174" s="171" t="str">
        <f t="shared" si="16"/>
        <v>L</v>
      </c>
      <c r="I174" s="170">
        <f>IFERROR((VLOOKUP($C174,Code!$H:$Q,5,FALSE))/(((VLOOKUP($C174,Code!$H:$Q,7,FALSE))+(VLOOKUP($C174,Code!$H:$Q,8,FALSE)))/2)-1,0)</f>
        <v>-0.1123271889400923</v>
      </c>
      <c r="J174" s="204" t="str">
        <f>IFERROR(POWER((VLOOKUP(C174,Code!H:W,12,FALSE))/(VLOOKUP(C174,Code!H:W,15,FALSE)),1/(P174-1))-1,"")</f>
        <v/>
      </c>
      <c r="K174" s="172" t="str" cm="1">
        <f t="array" ref="K174">IFERROR(IF(C174="","",_xlfn.IFS(AND(VLOOKUP(C174,Code!H:W,13,FALSE)=0,VLOOKUP(C174,Code!H:W,16,FALSE)=0),"無股息",AND(VLOOKUP(C174,Code!H:W,13,FALSE)=0,VLOOKUP(C174,Code!H:W,16,FALSE)&gt;0),"股息沒了",AND(VLOOKUP(C174,Code!H:W,13,FALSE)&gt;0,VLOOKUP(C174,Code!H:W,16,FALSE)=0),"發股息了",AND(VLOOKUP(C174,Code!H:W,13,FALSE)&gt;0,VLOOKUP(C174,Code!H:W,16,FALSE)&gt;0),POWER((VLOOKUP(C174,Code!H:W,13,FALSE))/(VLOOKUP(C174,Code!H:W,16,FALSE)),1/(P174-1))-1)),"")</f>
        <v>無股息</v>
      </c>
      <c r="L174" s="173" t="str">
        <f>IFERROR(VLOOKUP(C174,Code!H:W,13,FALSE)*4/VLOOKUP(C174,Code!H:W,12,FALSE),"")</f>
        <v/>
      </c>
      <c r="M174" s="172" t="str">
        <f t="shared" si="17"/>
        <v/>
      </c>
      <c r="N174" s="172" t="str">
        <f t="shared" si="18"/>
        <v/>
      </c>
      <c r="O174" s="172" t="str">
        <f t="shared" si="19"/>
        <v/>
      </c>
      <c r="P174" s="205">
        <f>IFERROR(YEARFRAC(VLOOKUP(C174,Code!H:W,11,FALSE),VLOOKUP(C174,Code!H:W,14,FALSE),3),"")</f>
        <v>0</v>
      </c>
      <c r="Q174" s="174">
        <v>44547</v>
      </c>
      <c r="R174" s="175" t="str">
        <f t="shared" ca="1" si="20"/>
        <v/>
      </c>
      <c r="S174" s="176">
        <f>IFERROR(VLOOKUP($C174,Code!$H:$Q,5,FALSE),"")</f>
        <v>0.30819999999999997</v>
      </c>
      <c r="T174" s="177" t="str">
        <f t="shared" ca="1" si="21"/>
        <v/>
      </c>
      <c r="U174" s="178" t="str">
        <f t="shared" ca="1" si="22"/>
        <v/>
      </c>
      <c r="V174" s="179">
        <f>IFERROR(VLOOKUP($C174,Code!$H:$Q,6,FALSE),"")</f>
        <v>300.02</v>
      </c>
      <c r="W174" s="180" t="str">
        <f t="shared" ca="1" si="23"/>
        <v/>
      </c>
      <c r="X174" s="12"/>
      <c r="Y174" s="12"/>
      <c r="Z174" s="12"/>
      <c r="AA174" s="12"/>
      <c r="AB174" s="12"/>
    </row>
    <row r="175" spans="1:28" s="10" customFormat="1" ht="15" hidden="1">
      <c r="A175" s="9"/>
      <c r="B175" s="169" cm="1">
        <f t="array" ref="B175">_xlfn.IFS(OR(Code!R508&lt;&gt;Code!U508,Code!R508=""),0,Code!R508=Code!U508,1)</f>
        <v>0</v>
      </c>
      <c r="C175" s="193" t="str">
        <f>IF(Code!F508="","",Code!F508)</f>
        <v>ZTS</v>
      </c>
      <c r="D175" s="155" t="str">
        <f>IFERROR(VLOOKUP($C175,Code!$H:$K,2,FALSE),"")</f>
        <v>XLV</v>
      </c>
      <c r="E175" s="156" t="str">
        <f>IFERROR(VLOOKUP($C175,Code!$H:$K,3,FALSE),"")</f>
        <v>藥品製造商-專業和通用</v>
      </c>
      <c r="F175" s="157" t="str">
        <f>IFERROR(VLOOKUP($C175,Code!$H:$K,4,FALSE),"")</f>
        <v>.SPX</v>
      </c>
      <c r="G175" s="170">
        <f>IFERROR(((VLOOKUP($C175,Code!$H:$Q,9,FALSE))+(VLOOKUP($C175,Code!$H:$Q,10,FALSE)))/2*0.5/(((VLOOKUP($C175,Code!$H:$Q,7,FALSE))+(VLOOKUP($C175,Code!$H:$Q,8,FALSE)))/2),0)</f>
        <v>0.61713853468770252</v>
      </c>
      <c r="H175" s="171" t="str">
        <f t="shared" si="16"/>
        <v>L</v>
      </c>
      <c r="I175" s="170">
        <f>IFERROR((VLOOKUP($C175,Code!$H:$Q,5,FALSE))/(((VLOOKUP($C175,Code!$H:$Q,7,FALSE))+(VLOOKUP($C175,Code!$H:$Q,8,FALSE)))/2)-1,0)</f>
        <v>-0.11259995677544843</v>
      </c>
      <c r="J175" s="204">
        <f>IFERROR(POWER((VLOOKUP(C175,Code!H:W,12,FALSE))/(VLOOKUP(C175,Code!H:W,15,FALSE)),1/(P175-1))-1,"")</f>
        <v>0.48613226065456216</v>
      </c>
      <c r="K175" s="172" cm="1">
        <f t="array" ref="K175">IFERROR(IF(C175="","",_xlfn.IFS(AND(VLOOKUP(C175,Code!H:W,13,FALSE)=0,VLOOKUP(C175,Code!H:W,16,FALSE)=0),"無股息",AND(VLOOKUP(C175,Code!H:W,13,FALSE)=0,VLOOKUP(C175,Code!H:W,16,FALSE)&gt;0),"股息沒了",AND(VLOOKUP(C175,Code!H:W,13,FALSE)&gt;0,VLOOKUP(C175,Code!H:W,16,FALSE)=0),"發股息了",AND(VLOOKUP(C175,Code!H:W,13,FALSE)&gt;0,VLOOKUP(C175,Code!H:W,16,FALSE)&gt;0),POWER((VLOOKUP(C175,Code!H:W,13,FALSE))/(VLOOKUP(C175,Code!H:W,16,FALSE)),1/(P175-1))-1)),"")</f>
        <v>0.29726288662425415</v>
      </c>
      <c r="L175" s="173">
        <f>IFERROR(VLOOKUP(C175,Code!H:W,13,FALSE)*4/VLOOKUP(C175,Code!H:W,12,FALSE),"")</f>
        <v>4.9972514964265781E-3</v>
      </c>
      <c r="M175" s="172">
        <f t="shared" si="17"/>
        <v>0.78339514727881632</v>
      </c>
      <c r="N175" s="172" t="str">
        <f t="shared" si="18"/>
        <v>-</v>
      </c>
      <c r="O175" s="172" t="str">
        <f t="shared" si="19"/>
        <v>Value</v>
      </c>
      <c r="P175" s="205">
        <f>IFERROR(YEARFRAC(VLOOKUP(C175,Code!H:W,11,FALSE),VLOOKUP(C175,Code!H:W,14,FALSE),3),"")</f>
        <v>4.7178082191780826</v>
      </c>
      <c r="Q175" s="174">
        <v>44547</v>
      </c>
      <c r="R175" s="175" t="str">
        <f t="shared" ca="1" si="20"/>
        <v/>
      </c>
      <c r="S175" s="176">
        <f>IFERROR(VLOOKUP($C175,Code!$H:$Q,5,FALSE),"")</f>
        <v>0.20530000000000001</v>
      </c>
      <c r="T175" s="177" t="str">
        <f t="shared" ca="1" si="21"/>
        <v/>
      </c>
      <c r="U175" s="178" t="str">
        <f t="shared" ca="1" si="22"/>
        <v/>
      </c>
      <c r="V175" s="179">
        <f>IFERROR(VLOOKUP($C175,Code!$H:$Q,6,FALSE),"")</f>
        <v>203.84</v>
      </c>
      <c r="W175" s="180" t="str">
        <f t="shared" ca="1" si="23"/>
        <v/>
      </c>
      <c r="X175" s="12"/>
      <c r="Y175" s="12"/>
      <c r="Z175" s="12"/>
      <c r="AA175" s="12"/>
      <c r="AB175" s="12"/>
    </row>
    <row r="176" spans="1:28" s="10" customFormat="1" ht="15" hidden="1">
      <c r="A176" s="9"/>
      <c r="B176" s="169" cm="1">
        <f t="array" ref="B176">_xlfn.IFS(OR(Code!R365&lt;&gt;Code!U365,Code!R365=""),0,Code!R365=Code!U365,1)</f>
        <v>1</v>
      </c>
      <c r="C176" s="193" t="str">
        <f>IF(Code!F365="","",Code!F365)</f>
        <v>PENN</v>
      </c>
      <c r="D176" s="155" t="str">
        <f>IFERROR(VLOOKUP($C176,Code!$H:$K,2,FALSE),"")</f>
        <v>XLY</v>
      </c>
      <c r="E176" s="156" t="str">
        <f>IFERROR(VLOOKUP($C176,Code!$H:$K,3,FALSE),"")</f>
        <v>度假村和賭場</v>
      </c>
      <c r="F176" s="157" t="str">
        <f>IFERROR(VLOOKUP($C176,Code!$H:$K,4,FALSE),"")</f>
        <v>.SPX</v>
      </c>
      <c r="G176" s="170">
        <f>IFERROR(((VLOOKUP($C176,Code!$H:$Q,9,FALSE))+(VLOOKUP($C176,Code!$H:$Q,10,FALSE)))/2*0.5/(((VLOOKUP($C176,Code!$H:$Q,7,FALSE))+(VLOOKUP($C176,Code!$H:$Q,8,FALSE)))/2),0)</f>
        <v>0.62636992075535325</v>
      </c>
      <c r="H176" s="171" t="str">
        <f t="shared" si="16"/>
        <v>L</v>
      </c>
      <c r="I176" s="170">
        <f>IFERROR((VLOOKUP($C176,Code!$H:$Q,5,FALSE))/(((VLOOKUP($C176,Code!$H:$Q,7,FALSE))+(VLOOKUP($C176,Code!$H:$Q,8,FALSE)))/2)-1,0)</f>
        <v>-0.10301804080256272</v>
      </c>
      <c r="J176" s="204" t="str">
        <f>IFERROR(POWER((VLOOKUP(C176,Code!H:W,12,FALSE))/(VLOOKUP(C176,Code!H:W,15,FALSE)),1/(P176-1))-1,"")</f>
        <v/>
      </c>
      <c r="K176" s="172" t="str" cm="1">
        <f t="array" ref="K176">IFERROR(IF(C176="","",_xlfn.IFS(AND(VLOOKUP(C176,Code!H:W,13,FALSE)=0,VLOOKUP(C176,Code!H:W,16,FALSE)=0),"無股息",AND(VLOOKUP(C176,Code!H:W,13,FALSE)=0,VLOOKUP(C176,Code!H:W,16,FALSE)&gt;0),"股息沒了",AND(VLOOKUP(C176,Code!H:W,13,FALSE)&gt;0,VLOOKUP(C176,Code!H:W,16,FALSE)=0),"發股息了",AND(VLOOKUP(C176,Code!H:W,13,FALSE)&gt;0,VLOOKUP(C176,Code!H:W,16,FALSE)&gt;0),POWER((VLOOKUP(C176,Code!H:W,13,FALSE))/(VLOOKUP(C176,Code!H:W,16,FALSE)),1/(P176-1))-1)),"")</f>
        <v>無股息</v>
      </c>
      <c r="L176" s="173" t="str">
        <f>IFERROR(VLOOKUP(C176,Code!H:W,13,FALSE)*4/VLOOKUP(C176,Code!H:W,12,FALSE),"")</f>
        <v/>
      </c>
      <c r="M176" s="172" t="str">
        <f t="shared" si="17"/>
        <v/>
      </c>
      <c r="N176" s="172" t="str">
        <f t="shared" si="18"/>
        <v/>
      </c>
      <c r="O176" s="172" t="str">
        <f t="shared" si="19"/>
        <v/>
      </c>
      <c r="P176" s="205">
        <f>IFERROR(YEARFRAC(VLOOKUP(C176,Code!H:W,11,FALSE),VLOOKUP(C176,Code!H:W,14,FALSE),3),"")</f>
        <v>0</v>
      </c>
      <c r="Q176" s="174">
        <v>44547</v>
      </c>
      <c r="R176" s="175" t="str">
        <f t="shared" ca="1" si="20"/>
        <v/>
      </c>
      <c r="S176" s="176">
        <f>IFERROR(VLOOKUP($C176,Code!$H:$Q,5,FALSE),"")</f>
        <v>0.53200000000000003</v>
      </c>
      <c r="T176" s="177" t="str">
        <f t="shared" ca="1" si="21"/>
        <v/>
      </c>
      <c r="U176" s="178" t="str">
        <f t="shared" ca="1" si="22"/>
        <v/>
      </c>
      <c r="V176" s="179">
        <f>IFERROR(VLOOKUP($C176,Code!$H:$Q,6,FALSE),"")</f>
        <v>76.069999999999993</v>
      </c>
      <c r="W176" s="180" t="str">
        <f t="shared" ca="1" si="23"/>
        <v/>
      </c>
      <c r="X176" s="12"/>
      <c r="Y176" s="12"/>
      <c r="Z176" s="12"/>
      <c r="AA176" s="12"/>
      <c r="AB176" s="12"/>
    </row>
    <row r="177" spans="1:28" s="10" customFormat="1" ht="15" hidden="1">
      <c r="A177" s="9"/>
      <c r="B177" s="169" cm="1">
        <f t="array" ref="B177">_xlfn.IFS(OR(Code!R346&lt;&gt;Code!U346,Code!R346=""),0,Code!R346=Code!U346,1)</f>
        <v>0</v>
      </c>
      <c r="C177" s="193" t="str">
        <f>IF(Code!F346="","",Code!F346)</f>
        <v>NWL</v>
      </c>
      <c r="D177" s="155" t="str">
        <f>IFERROR(VLOOKUP($C177,Code!$H:$K,2,FALSE),"")</f>
        <v>XLY</v>
      </c>
      <c r="E177" s="156" t="str">
        <f>IFERROR(VLOOKUP($C177,Code!$H:$K,3,FALSE),"")</f>
        <v>家庭及個人產品</v>
      </c>
      <c r="F177" s="157" t="str">
        <f>IFERROR(VLOOKUP($C177,Code!$H:$K,4,FALSE),"")</f>
        <v>.SPX</v>
      </c>
      <c r="G177" s="170">
        <f>IFERROR(((VLOOKUP($C177,Code!$H:$Q,9,FALSE))+(VLOOKUP($C177,Code!$H:$Q,10,FALSE)))/2*0.5/(((VLOOKUP($C177,Code!$H:$Q,7,FALSE))+(VLOOKUP($C177,Code!$H:$Q,8,FALSE)))/2),0)</f>
        <v>0.63788051440664184</v>
      </c>
      <c r="H177" s="171" t="str">
        <f t="shared" si="16"/>
        <v>L</v>
      </c>
      <c r="I177" s="170">
        <f>IFERROR((VLOOKUP($C177,Code!$H:$Q,5,FALSE))/(((VLOOKUP($C177,Code!$H:$Q,7,FALSE))+(VLOOKUP($C177,Code!$H:$Q,8,FALSE)))/2)-1,0)</f>
        <v>-0.11346247761679962</v>
      </c>
      <c r="J177" s="204">
        <f>IFERROR(POWER((VLOOKUP(C177,Code!H:W,12,FALSE))/(VLOOKUP(C177,Code!H:W,15,FALSE)),1/(P177-1))-1,"")</f>
        <v>-0.11140466211517408</v>
      </c>
      <c r="K177" s="172" cm="1">
        <f t="array" ref="K177">IFERROR(IF(C177="","",_xlfn.IFS(AND(VLOOKUP(C177,Code!H:W,13,FALSE)=0,VLOOKUP(C177,Code!H:W,16,FALSE)=0),"無股息",AND(VLOOKUP(C177,Code!H:W,13,FALSE)=0,VLOOKUP(C177,Code!H:W,16,FALSE)&gt;0),"股息沒了",AND(VLOOKUP(C177,Code!H:W,13,FALSE)&gt;0,VLOOKUP(C177,Code!H:W,16,FALSE)=0),"發股息了",AND(VLOOKUP(C177,Code!H:W,13,FALSE)&gt;0,VLOOKUP(C177,Code!H:W,16,FALSE)&gt;0),POWER((VLOOKUP(C177,Code!H:W,13,FALSE))/(VLOOKUP(C177,Code!H:W,16,FALSE)),1/(P177-1))-1)),"")</f>
        <v>5.2336874119561339E-2</v>
      </c>
      <c r="L177" s="173">
        <f>IFERROR(VLOOKUP(C177,Code!H:W,13,FALSE)*4/VLOOKUP(C177,Code!H:W,12,FALSE),"")</f>
        <v>3.2179083423919709E-2</v>
      </c>
      <c r="M177" s="172">
        <f t="shared" si="17"/>
        <v>-5.9067787995612742E-2</v>
      </c>
      <c r="N177" s="172" t="str">
        <f t="shared" si="18"/>
        <v>-</v>
      </c>
      <c r="O177" s="172" t="str">
        <f t="shared" si="19"/>
        <v>-</v>
      </c>
      <c r="P177" s="205">
        <f>IFERROR(YEARFRAC(VLOOKUP(C177,Code!H:W,11,FALSE),VLOOKUP(C177,Code!H:W,14,FALSE),3),"")</f>
        <v>4.7452054794520544</v>
      </c>
      <c r="Q177" s="174">
        <v>44547</v>
      </c>
      <c r="R177" s="175" t="str">
        <f t="shared" ca="1" si="20"/>
        <v/>
      </c>
      <c r="S177" s="176">
        <f>IFERROR(VLOOKUP($C177,Code!$H:$Q,5,FALSE),"")</f>
        <v>0.27229999999999999</v>
      </c>
      <c r="T177" s="177" t="str">
        <f t="shared" ca="1" si="21"/>
        <v/>
      </c>
      <c r="U177" s="178" t="str">
        <f t="shared" ca="1" si="22"/>
        <v/>
      </c>
      <c r="V177" s="179">
        <f>IFERROR(VLOOKUP($C177,Code!$H:$Q,6,FALSE),"")</f>
        <v>25.52</v>
      </c>
      <c r="W177" s="180" t="str">
        <f t="shared" ca="1" si="23"/>
        <v/>
      </c>
      <c r="X177" s="12"/>
      <c r="Y177" s="12"/>
      <c r="Z177" s="12"/>
      <c r="AA177" s="12"/>
      <c r="AB177" s="12"/>
    </row>
    <row r="178" spans="1:28" s="10" customFormat="1" ht="15" hidden="1">
      <c r="A178" s="9"/>
      <c r="B178" s="169" cm="1">
        <f t="array" ref="B178">_xlfn.IFS(OR(Code!R457&lt;&gt;Code!U457,Code!R457=""),0,Code!R457=Code!U457,1)</f>
        <v>1</v>
      </c>
      <c r="C178" s="193" t="str">
        <f>IF(Code!F457="","",Code!F457)</f>
        <v>UA</v>
      </c>
      <c r="D178" s="155" t="str">
        <f>IFERROR(VLOOKUP($C178,Code!$H:$K,2,FALSE),"")</f>
        <v>XLY</v>
      </c>
      <c r="E178" s="156" t="str">
        <f>IFERROR(VLOOKUP($C178,Code!$H:$K,3,FALSE),"")</f>
        <v>服裝製造</v>
      </c>
      <c r="F178" s="157" t="str">
        <f>IFERROR(VLOOKUP($C178,Code!$H:$K,4,FALSE),"")</f>
        <v>.SPX</v>
      </c>
      <c r="G178" s="170">
        <f>IFERROR(((VLOOKUP($C178,Code!$H:$Q,9,FALSE))+(VLOOKUP($C178,Code!$H:$Q,10,FALSE)))/2*0.5/(((VLOOKUP($C178,Code!$H:$Q,7,FALSE))+(VLOOKUP($C178,Code!$H:$Q,8,FALSE)))/2),0)</f>
        <v>0.71255445102200388</v>
      </c>
      <c r="H178" s="171" t="str">
        <f t="shared" si="16"/>
        <v>XL</v>
      </c>
      <c r="I178" s="170">
        <f>IFERROR((VLOOKUP($C178,Code!$H:$Q,5,FALSE))/(((VLOOKUP($C178,Code!$H:$Q,7,FALSE))+(VLOOKUP($C178,Code!$H:$Q,8,FALSE)))/2)-1,0)</f>
        <v>-0.11403998659667147</v>
      </c>
      <c r="J178" s="204" t="str">
        <f>IFERROR(POWER((VLOOKUP(C178,Code!H:W,12,FALSE))/(VLOOKUP(C178,Code!H:W,15,FALSE)),1/(P178-1))-1,"")</f>
        <v/>
      </c>
      <c r="K178" s="172" t="str" cm="1">
        <f t="array" ref="K178">IFERROR(IF(C178="","",_xlfn.IFS(AND(VLOOKUP(C178,Code!H:W,13,FALSE)=0,VLOOKUP(C178,Code!H:W,16,FALSE)=0),"無股息",AND(VLOOKUP(C178,Code!H:W,13,FALSE)=0,VLOOKUP(C178,Code!H:W,16,FALSE)&gt;0),"股息沒了",AND(VLOOKUP(C178,Code!H:W,13,FALSE)&gt;0,VLOOKUP(C178,Code!H:W,16,FALSE)=0),"發股息了",AND(VLOOKUP(C178,Code!H:W,13,FALSE)&gt;0,VLOOKUP(C178,Code!H:W,16,FALSE)&gt;0),POWER((VLOOKUP(C178,Code!H:W,13,FALSE))/(VLOOKUP(C178,Code!H:W,16,FALSE)),1/(P178-1))-1)),"")</f>
        <v>無股息</v>
      </c>
      <c r="L178" s="173" t="str">
        <f>IFERROR(VLOOKUP(C178,Code!H:W,13,FALSE)*4/VLOOKUP(C178,Code!H:W,12,FALSE),"")</f>
        <v/>
      </c>
      <c r="M178" s="172" t="str">
        <f t="shared" si="17"/>
        <v/>
      </c>
      <c r="N178" s="172" t="str">
        <f t="shared" si="18"/>
        <v/>
      </c>
      <c r="O178" s="172" t="str">
        <f t="shared" si="19"/>
        <v/>
      </c>
      <c r="P178" s="205">
        <f>IFERROR(YEARFRAC(VLOOKUP(C178,Code!H:W,11,FALSE),VLOOKUP(C178,Code!H:W,14,FALSE),3),"")</f>
        <v>0</v>
      </c>
      <c r="Q178" s="174">
        <v>44547</v>
      </c>
      <c r="R178" s="175" t="str">
        <f t="shared" ca="1" si="20"/>
        <v/>
      </c>
      <c r="S178" s="176">
        <f>IFERROR(VLOOKUP($C178,Code!$H:$Q,5,FALSE),"")</f>
        <v>0.39660000000000001</v>
      </c>
      <c r="T178" s="177" t="str">
        <f t="shared" ca="1" si="21"/>
        <v/>
      </c>
      <c r="U178" s="178" t="str">
        <f t="shared" ca="1" si="22"/>
        <v/>
      </c>
      <c r="V178" s="179">
        <f>IFERROR(VLOOKUP($C178,Code!$H:$Q,6,FALSE),"")</f>
        <v>21.23</v>
      </c>
      <c r="W178" s="180" t="str">
        <f t="shared" ca="1" si="23"/>
        <v/>
      </c>
      <c r="X178" s="12"/>
      <c r="Y178" s="12"/>
      <c r="Z178" s="12"/>
      <c r="AA178" s="12"/>
      <c r="AB178" s="12"/>
    </row>
    <row r="179" spans="1:28" s="10" customFormat="1" ht="15" hidden="1">
      <c r="A179" s="9"/>
      <c r="B179" s="169" cm="1">
        <f t="array" ref="B179">_xlfn.IFS(OR(Code!R225&lt;&gt;Code!U225,Code!R225=""),0,Code!R225=Code!U225,1)</f>
        <v>0</v>
      </c>
      <c r="C179" s="193" t="str">
        <f>IF(Code!F225="","",Code!F225)</f>
        <v>HPE</v>
      </c>
      <c r="D179" s="155" t="str">
        <f>IFERROR(VLOOKUP($C179,Code!$H:$K,2,FALSE),"")</f>
        <v>XLK</v>
      </c>
      <c r="E179" s="156" t="str">
        <f>IFERROR(VLOOKUP($C179,Code!$H:$K,3,FALSE),"")</f>
        <v>通信設備</v>
      </c>
      <c r="F179" s="157" t="str">
        <f>IFERROR(VLOOKUP($C179,Code!$H:$K,4,FALSE),"")</f>
        <v>.SPX</v>
      </c>
      <c r="G179" s="170">
        <f>IFERROR(((VLOOKUP($C179,Code!$H:$Q,9,FALSE))+(VLOOKUP($C179,Code!$H:$Q,10,FALSE)))/2*0.5/(((VLOOKUP($C179,Code!$H:$Q,7,FALSE))+(VLOOKUP($C179,Code!$H:$Q,8,FALSE)))/2),0)</f>
        <v>0.56315491362220327</v>
      </c>
      <c r="H179" s="171" t="str">
        <f t="shared" si="16"/>
        <v>M</v>
      </c>
      <c r="I179" s="170">
        <f>IFERROR((VLOOKUP($C179,Code!$H:$Q,5,FALSE))/(((VLOOKUP($C179,Code!$H:$Q,7,FALSE))+(VLOOKUP($C179,Code!$H:$Q,8,FALSE)))/2)-1,0)</f>
        <v>-0.11724723874256593</v>
      </c>
      <c r="J179" s="204">
        <f>IFERROR(POWER((VLOOKUP(C179,Code!H:W,12,FALSE))/(VLOOKUP(C179,Code!H:W,15,FALSE)),1/(P179-1))-1,"")</f>
        <v>9.0725205144143839E-2</v>
      </c>
      <c r="K179" s="172" cm="1">
        <f t="array" ref="K179">IFERROR(IF(C179="","",_xlfn.IFS(AND(VLOOKUP(C179,Code!H:W,13,FALSE)=0,VLOOKUP(C179,Code!H:W,16,FALSE)=0),"無股息",AND(VLOOKUP(C179,Code!H:W,13,FALSE)=0,VLOOKUP(C179,Code!H:W,16,FALSE)&gt;0),"股息沒了",AND(VLOOKUP(C179,Code!H:W,13,FALSE)&gt;0,VLOOKUP(C179,Code!H:W,16,FALSE)=0),"發股息了",AND(VLOOKUP(C179,Code!H:W,13,FALSE)&gt;0,VLOOKUP(C179,Code!H:W,16,FALSE)&gt;0),POWER((VLOOKUP(C179,Code!H:W,13,FALSE))/(VLOOKUP(C179,Code!H:W,16,FALSE)),1/(P179-1))-1)),"")</f>
        <v>0.43110602221444183</v>
      </c>
      <c r="L179" s="173">
        <f>IFERROR(VLOOKUP(C179,Code!H:W,13,FALSE)*4/VLOOKUP(C179,Code!H:W,12,FALSE),"")</f>
        <v>3.0710172519865655E-2</v>
      </c>
      <c r="M179" s="172">
        <f t="shared" si="17"/>
        <v>0.52183122735858567</v>
      </c>
      <c r="N179" s="172" t="str">
        <f t="shared" si="18"/>
        <v>Venture</v>
      </c>
      <c r="O179" s="172" t="str">
        <f t="shared" si="19"/>
        <v>-</v>
      </c>
      <c r="P179" s="205">
        <f>IFERROR(YEARFRAC(VLOOKUP(C179,Code!H:W,11,FALSE),VLOOKUP(C179,Code!H:W,14,FALSE),3),"")</f>
        <v>4.6904109589041099</v>
      </c>
      <c r="Q179" s="174">
        <v>44547</v>
      </c>
      <c r="R179" s="175" t="str">
        <f t="shared" ca="1" si="20"/>
        <v/>
      </c>
      <c r="S179" s="176">
        <f>IFERROR(VLOOKUP($C179,Code!$H:$Q,5,FALSE),"")</f>
        <v>0.31169999999999998</v>
      </c>
      <c r="T179" s="177" t="str">
        <f t="shared" ca="1" si="21"/>
        <v/>
      </c>
      <c r="U179" s="178" t="str">
        <f t="shared" ca="1" si="22"/>
        <v/>
      </c>
      <c r="V179" s="179">
        <f>IFERROR(VLOOKUP($C179,Code!$H:$Q,6,FALSE),"")</f>
        <v>14.69</v>
      </c>
      <c r="W179" s="180" t="str">
        <f t="shared" ca="1" si="23"/>
        <v/>
      </c>
      <c r="X179" s="12"/>
      <c r="Y179" s="12"/>
      <c r="Z179" s="12"/>
      <c r="AA179" s="12"/>
      <c r="AB179" s="12"/>
    </row>
    <row r="180" spans="1:28" s="10" customFormat="1" ht="15" hidden="1">
      <c r="A180" s="9"/>
      <c r="B180" s="169" cm="1">
        <f t="array" ref="B180">_xlfn.IFS(OR(Code!R263&lt;&gt;Code!U263,Code!R263=""),0,Code!R263=Code!U263,1)</f>
        <v>0</v>
      </c>
      <c r="C180" s="193" t="str">
        <f>IF(Code!F263="","",Code!F263)</f>
        <v>KHC</v>
      </c>
      <c r="D180" s="155" t="str">
        <f>IFERROR(VLOOKUP($C180,Code!$H:$K,2,FALSE),"")</f>
        <v>XLP</v>
      </c>
      <c r="E180" s="156" t="str">
        <f>IFERROR(VLOOKUP($C180,Code!$H:$K,3,FALSE),"")</f>
        <v>包裝食品</v>
      </c>
      <c r="F180" s="157" t="str">
        <f>IFERROR(VLOOKUP($C180,Code!$H:$K,4,FALSE),"")</f>
        <v>.SPX</v>
      </c>
      <c r="G180" s="170">
        <f>IFERROR(((VLOOKUP($C180,Code!$H:$Q,9,FALSE))+(VLOOKUP($C180,Code!$H:$Q,10,FALSE)))/2*0.5/(((VLOOKUP($C180,Code!$H:$Q,7,FALSE))+(VLOOKUP($C180,Code!$H:$Q,8,FALSE)))/2),0)</f>
        <v>0.6364982025798267</v>
      </c>
      <c r="H180" s="171" t="str">
        <f t="shared" si="16"/>
        <v>L</v>
      </c>
      <c r="I180" s="170">
        <f>IFERROR((VLOOKUP($C180,Code!$H:$Q,5,FALSE))/(((VLOOKUP($C180,Code!$H:$Q,7,FALSE))+(VLOOKUP($C180,Code!$H:$Q,8,FALSE)))/2)-1,0)</f>
        <v>-0.11736096426305775</v>
      </c>
      <c r="J180" s="204">
        <f>IFERROR(POWER((VLOOKUP(C180,Code!H:W,12,FALSE))/(VLOOKUP(C180,Code!H:W,15,FALSE)),1/(P180-1))-1,"")</f>
        <v>-0.12736394093582615</v>
      </c>
      <c r="K180" s="172" cm="1">
        <f t="array" ref="K180">IFERROR(IF(C180="","",_xlfn.IFS(AND(VLOOKUP(C180,Code!H:W,13,FALSE)=0,VLOOKUP(C180,Code!H:W,16,FALSE)=0),"無股息",AND(VLOOKUP(C180,Code!H:W,13,FALSE)=0,VLOOKUP(C180,Code!H:W,16,FALSE)&gt;0),"股息沒了",AND(VLOOKUP(C180,Code!H:W,13,FALSE)&gt;0,VLOOKUP(C180,Code!H:W,16,FALSE)=0),"發股息了",AND(VLOOKUP(C180,Code!H:W,13,FALSE)&gt;0,VLOOKUP(C180,Code!H:W,16,FALSE)&gt;0),POWER((VLOOKUP(C180,Code!H:W,13,FALSE))/(VLOOKUP(C180,Code!H:W,16,FALSE)),1/(P180-1))-1)),"")</f>
        <v>-0.10225382283493689</v>
      </c>
      <c r="L180" s="173">
        <f>IFERROR(VLOOKUP(C180,Code!H:W,13,FALSE)*4/VLOOKUP(C180,Code!H:W,12,FALSE),"")</f>
        <v>3.6840893132789654E-2</v>
      </c>
      <c r="M180" s="172">
        <f t="shared" si="17"/>
        <v>-0.22961776377076304</v>
      </c>
      <c r="N180" s="172" t="str">
        <f t="shared" si="18"/>
        <v>-</v>
      </c>
      <c r="O180" s="172" t="str">
        <f t="shared" si="19"/>
        <v>-</v>
      </c>
      <c r="P180" s="205">
        <f>IFERROR(YEARFRAC(VLOOKUP(C180,Code!H:W,11,FALSE),VLOOKUP(C180,Code!H:W,14,FALSE),3),"")</f>
        <v>4.7589041095890412</v>
      </c>
      <c r="Q180" s="174">
        <v>44547</v>
      </c>
      <c r="R180" s="175" t="str">
        <f t="shared" ca="1" si="20"/>
        <v/>
      </c>
      <c r="S180" s="176">
        <f>IFERROR(VLOOKUP($C180,Code!$H:$Q,5,FALSE),"")</f>
        <v>0.2087</v>
      </c>
      <c r="T180" s="177" t="str">
        <f t="shared" ca="1" si="21"/>
        <v/>
      </c>
      <c r="U180" s="178" t="str">
        <f t="shared" ca="1" si="22"/>
        <v/>
      </c>
      <c r="V180" s="179">
        <f>IFERROR(VLOOKUP($C180,Code!$H:$Q,6,FALSE),"")</f>
        <v>37.14</v>
      </c>
      <c r="W180" s="180" t="str">
        <f t="shared" ca="1" si="23"/>
        <v/>
      </c>
      <c r="X180" s="12"/>
      <c r="Y180" s="12"/>
      <c r="Z180" s="12"/>
      <c r="AA180" s="12"/>
      <c r="AB180" s="12"/>
    </row>
    <row r="181" spans="1:28" s="10" customFormat="1" ht="15" hidden="1">
      <c r="A181" s="9"/>
      <c r="B181" s="169" cm="1">
        <f t="array" ref="B181">_xlfn.IFS(OR(Code!R313&lt;&gt;Code!U313,Code!R313=""),0,Code!R313=Code!U313,1)</f>
        <v>0</v>
      </c>
      <c r="C181" s="193" t="str">
        <f>IF(Code!F313="","",Code!F313)</f>
        <v>MOS</v>
      </c>
      <c r="D181" s="155" t="str">
        <f>IFERROR(VLOOKUP($C181,Code!$H:$K,2,FALSE),"")</f>
        <v>XLB</v>
      </c>
      <c r="E181" s="156" t="str">
        <f>IFERROR(VLOOKUP($C181,Code!$H:$K,3,FALSE),"")</f>
        <v>農業投入</v>
      </c>
      <c r="F181" s="157" t="str">
        <f>IFERROR(VLOOKUP($C181,Code!$H:$K,4,FALSE),"")</f>
        <v>.SPX</v>
      </c>
      <c r="G181" s="170">
        <f>IFERROR(((VLOOKUP($C181,Code!$H:$Q,9,FALSE))+(VLOOKUP($C181,Code!$H:$Q,10,FALSE)))/2*0.5/(((VLOOKUP($C181,Code!$H:$Q,7,FALSE))+(VLOOKUP($C181,Code!$H:$Q,8,FALSE)))/2),0)</f>
        <v>0.56860651361452219</v>
      </c>
      <c r="H181" s="171" t="str">
        <f t="shared" si="16"/>
        <v>M</v>
      </c>
      <c r="I181" s="170">
        <f>IFERROR((VLOOKUP($C181,Code!$H:$Q,5,FALSE))/(((VLOOKUP($C181,Code!$H:$Q,7,FALSE))+(VLOOKUP($C181,Code!$H:$Q,8,FALSE)))/2)-1,0)</f>
        <v>-0.11756540309663632</v>
      </c>
      <c r="J181" s="204">
        <f>IFERROR(POWER((VLOOKUP(C181,Code!H:W,12,FALSE))/(VLOOKUP(C181,Code!H:W,15,FALSE)),1/(P181-1))-1,"")</f>
        <v>9.0902347161277985E-2</v>
      </c>
      <c r="K181" s="172" cm="1">
        <f t="array" ref="K181">IFERROR(IF(C181="","",_xlfn.IFS(AND(VLOOKUP(C181,Code!H:W,13,FALSE)=0,VLOOKUP(C181,Code!H:W,16,FALSE)=0),"無股息",AND(VLOOKUP(C181,Code!H:W,13,FALSE)=0,VLOOKUP(C181,Code!H:W,16,FALSE)&gt;0),"股息沒了",AND(VLOOKUP(C181,Code!H:W,13,FALSE)&gt;0,VLOOKUP(C181,Code!H:W,16,FALSE)=0),"發股息了",AND(VLOOKUP(C181,Code!H:W,13,FALSE)&gt;0,VLOOKUP(C181,Code!H:W,16,FALSE)&gt;0),POWER((VLOOKUP(C181,Code!H:W,13,FALSE))/(VLOOKUP(C181,Code!H:W,16,FALSE)),1/(P181-1))-1)),"")</f>
        <v>-0.29349663793032876</v>
      </c>
      <c r="L181" s="173">
        <f>IFERROR(VLOOKUP(C181,Code!H:W,13,FALSE)*4/VLOOKUP(C181,Code!H:W,12,FALSE),"")</f>
        <v>8.0428956068697797E-3</v>
      </c>
      <c r="M181" s="172">
        <f t="shared" si="17"/>
        <v>-0.20259429076905078</v>
      </c>
      <c r="N181" s="172" t="str">
        <f t="shared" si="18"/>
        <v>-</v>
      </c>
      <c r="O181" s="172" t="str">
        <f t="shared" si="19"/>
        <v>-</v>
      </c>
      <c r="P181" s="205">
        <f>IFERROR(YEARFRAC(VLOOKUP(C181,Code!H:W,11,FALSE),VLOOKUP(C181,Code!H:W,14,FALSE),3),"")</f>
        <v>4.7397260273972606</v>
      </c>
      <c r="Q181" s="174">
        <v>44547</v>
      </c>
      <c r="R181" s="175" t="str">
        <f t="shared" ca="1" si="20"/>
        <v/>
      </c>
      <c r="S181" s="176">
        <f>IFERROR(VLOOKUP($C181,Code!$H:$Q,5,FALSE),"")</f>
        <v>0.41320000000000001</v>
      </c>
      <c r="T181" s="177" t="str">
        <f t="shared" ca="1" si="21"/>
        <v/>
      </c>
      <c r="U181" s="178" t="str">
        <f t="shared" ca="1" si="22"/>
        <v/>
      </c>
      <c r="V181" s="179">
        <f>IFERROR(VLOOKUP($C181,Code!$H:$Q,6,FALSE),"")</f>
        <v>31.34</v>
      </c>
      <c r="W181" s="180" t="str">
        <f t="shared" ca="1" si="23"/>
        <v/>
      </c>
      <c r="X181" s="12"/>
      <c r="Y181" s="12"/>
      <c r="Z181" s="12"/>
      <c r="AA181" s="12"/>
      <c r="AB181" s="12"/>
    </row>
    <row r="182" spans="1:28" s="10" customFormat="1" ht="15" hidden="1">
      <c r="A182" s="9"/>
      <c r="B182" s="169" cm="1">
        <f t="array" ref="B182">_xlfn.IFS(OR(Code!R222&lt;&gt;Code!U222,Code!R222=""),0,Code!R222=Code!U222,1)</f>
        <v>0</v>
      </c>
      <c r="C182" s="193" t="str">
        <f>IF(Code!F222="","",Code!F222)</f>
        <v>HLT</v>
      </c>
      <c r="D182" s="155" t="str">
        <f>IFERROR(VLOOKUP($C182,Code!$H:$K,2,FALSE),"")</f>
        <v>XLY</v>
      </c>
      <c r="E182" s="156" t="str">
        <f>IFERROR(VLOOKUP($C182,Code!$H:$K,3,FALSE),"")</f>
        <v>住宿</v>
      </c>
      <c r="F182" s="157" t="str">
        <f>IFERROR(VLOOKUP($C182,Code!$H:$K,4,FALSE),"")</f>
        <v>.SPX</v>
      </c>
      <c r="G182" s="170">
        <f>IFERROR(((VLOOKUP($C182,Code!$H:$Q,9,FALSE))+(VLOOKUP($C182,Code!$H:$Q,10,FALSE)))/2*0.5/(((VLOOKUP($C182,Code!$H:$Q,7,FALSE))+(VLOOKUP($C182,Code!$H:$Q,8,FALSE)))/2),0)</f>
        <v>0.54845573095401501</v>
      </c>
      <c r="H182" s="171" t="str">
        <f t="shared" si="16"/>
        <v>M</v>
      </c>
      <c r="I182" s="170">
        <f>IFERROR((VLOOKUP($C182,Code!$H:$Q,5,FALSE))/(((VLOOKUP($C182,Code!$H:$Q,7,FALSE))+(VLOOKUP($C182,Code!$H:$Q,8,FALSE)))/2)-1,0)</f>
        <v>-0.11763898421413865</v>
      </c>
      <c r="J182" s="204">
        <f>IFERROR(POWER((VLOOKUP(C182,Code!H:W,12,FALSE))/(VLOOKUP(C182,Code!H:W,15,FALSE)),1/(P182-1))-1,"")</f>
        <v>0.30940230536816737</v>
      </c>
      <c r="K182" s="172" cm="1">
        <f t="array" ref="K182">IFERROR(IF(C182="","",_xlfn.IFS(AND(VLOOKUP(C182,Code!H:W,13,FALSE)=0,VLOOKUP(C182,Code!H:W,16,FALSE)=0),"無股息",AND(VLOOKUP(C182,Code!H:W,13,FALSE)=0,VLOOKUP(C182,Code!H:W,16,FALSE)&gt;0),"股息沒了",AND(VLOOKUP(C182,Code!H:W,13,FALSE)&gt;0,VLOOKUP(C182,Code!H:W,16,FALSE)=0),"發股息了",AND(VLOOKUP(C182,Code!H:W,13,FALSE)&gt;0,VLOOKUP(C182,Code!H:W,16,FALSE)&gt;0),POWER((VLOOKUP(C182,Code!H:W,13,FALSE))/(VLOOKUP(C182,Code!H:W,16,FALSE)),1/(P182-1))-1)),"")</f>
        <v>1.7261651795994259E-2</v>
      </c>
      <c r="L182" s="173">
        <f>IFERROR(VLOOKUP(C182,Code!H:W,13,FALSE)*4/VLOOKUP(C182,Code!H:W,12,FALSE),"")</f>
        <v>6.2610872225358173E-3</v>
      </c>
      <c r="M182" s="172">
        <f t="shared" si="17"/>
        <v>0.32666395716416163</v>
      </c>
      <c r="N182" s="172" t="str">
        <f t="shared" si="18"/>
        <v>-</v>
      </c>
      <c r="O182" s="172" t="str">
        <f t="shared" si="19"/>
        <v>-</v>
      </c>
      <c r="P182" s="205">
        <f>IFERROR(YEARFRAC(VLOOKUP(C182,Code!H:W,11,FALSE),VLOOKUP(C182,Code!H:W,14,FALSE),3),"")</f>
        <v>3.5315068493150683</v>
      </c>
      <c r="Q182" s="174">
        <v>44547</v>
      </c>
      <c r="R182" s="175" t="str">
        <f t="shared" ca="1" si="20"/>
        <v/>
      </c>
      <c r="S182" s="176">
        <f>IFERROR(VLOOKUP($C182,Code!$H:$Q,5,FALSE),"")</f>
        <v>0.32140000000000002</v>
      </c>
      <c r="T182" s="177" t="str">
        <f t="shared" ca="1" si="21"/>
        <v/>
      </c>
      <c r="U182" s="178" t="str">
        <f t="shared" ca="1" si="22"/>
        <v/>
      </c>
      <c r="V182" s="179">
        <f>IFERROR(VLOOKUP($C182,Code!$H:$Q,6,FALSE),"")</f>
        <v>126.4</v>
      </c>
      <c r="W182" s="180" t="str">
        <f t="shared" ca="1" si="23"/>
        <v/>
      </c>
      <c r="X182" s="12"/>
      <c r="Y182" s="12"/>
      <c r="Z182" s="12"/>
      <c r="AA182" s="12"/>
      <c r="AB182" s="12"/>
    </row>
    <row r="183" spans="1:28" s="10" customFormat="1" ht="15" hidden="1">
      <c r="A183" s="9"/>
      <c r="B183" s="169" cm="1">
        <f t="array" ref="B183">_xlfn.IFS(OR(Code!R288&lt;&gt;Code!U288,Code!R288=""),0,Code!R288=Code!U288,1)</f>
        <v>0</v>
      </c>
      <c r="C183" s="193" t="str">
        <f>IF(Code!F288="","",Code!F288)</f>
        <v>LUV</v>
      </c>
      <c r="D183" s="155" t="str">
        <f>IFERROR(VLOOKUP($C183,Code!$H:$K,2,FALSE),"")</f>
        <v>XLI</v>
      </c>
      <c r="E183" s="156" t="str">
        <f>IFERROR(VLOOKUP($C183,Code!$H:$K,3,FALSE),"")</f>
        <v>航空公司</v>
      </c>
      <c r="F183" s="157" t="str">
        <f>IFERROR(VLOOKUP($C183,Code!$H:$K,4,FALSE),"")</f>
        <v>.SPX</v>
      </c>
      <c r="G183" s="170">
        <f>IFERROR(((VLOOKUP($C183,Code!$H:$Q,9,FALSE))+(VLOOKUP($C183,Code!$H:$Q,10,FALSE)))/2*0.5/(((VLOOKUP($C183,Code!$H:$Q,7,FALSE))+(VLOOKUP($C183,Code!$H:$Q,8,FALSE)))/2),0)</f>
        <v>0.62345679012345678</v>
      </c>
      <c r="H183" s="171" t="str">
        <f t="shared" si="16"/>
        <v>L</v>
      </c>
      <c r="I183" s="170">
        <f>IFERROR((VLOOKUP($C183,Code!$H:$Q,5,FALSE))/(((VLOOKUP($C183,Code!$H:$Q,7,FALSE))+(VLOOKUP($C183,Code!$H:$Q,8,FALSE)))/2)-1,0)</f>
        <v>-0.11767796164959288</v>
      </c>
      <c r="J183" s="204">
        <f>IFERROR(POWER((VLOOKUP(C183,Code!H:W,12,FALSE))/(VLOOKUP(C183,Code!H:W,15,FALSE)),1/(P183-1))-1,"")</f>
        <v>0.10394075536626013</v>
      </c>
      <c r="K183" s="172" cm="1">
        <f t="array" ref="K183">IFERROR(IF(C183="","",_xlfn.IFS(AND(VLOOKUP(C183,Code!H:W,13,FALSE)=0,VLOOKUP(C183,Code!H:W,16,FALSE)=0),"無股息",AND(VLOOKUP(C183,Code!H:W,13,FALSE)=0,VLOOKUP(C183,Code!H:W,16,FALSE)&gt;0),"股息沒了",AND(VLOOKUP(C183,Code!H:W,13,FALSE)&gt;0,VLOOKUP(C183,Code!H:W,16,FALSE)=0),"發股息了",AND(VLOOKUP(C183,Code!H:W,13,FALSE)&gt;0,VLOOKUP(C183,Code!H:W,16,FALSE)&gt;0),POWER((VLOOKUP(C183,Code!H:W,13,FALSE))/(VLOOKUP(C183,Code!H:W,16,FALSE)),1/(P183-1))-1)),"")</f>
        <v>0.25946932959212599</v>
      </c>
      <c r="L183" s="173">
        <f>IFERROR(VLOOKUP(C183,Code!H:W,13,FALSE)*4/VLOOKUP(C183,Code!H:W,12,FALSE),"")</f>
        <v>1.5925680481760601E-2</v>
      </c>
      <c r="M183" s="172">
        <f t="shared" si="17"/>
        <v>0.36341008495838611</v>
      </c>
      <c r="N183" s="172" t="str">
        <f t="shared" si="18"/>
        <v>-</v>
      </c>
      <c r="O183" s="172" t="str">
        <f t="shared" si="19"/>
        <v>Value</v>
      </c>
      <c r="P183" s="205">
        <f>IFERROR(YEARFRAC(VLOOKUP(C183,Code!H:W,11,FALSE),VLOOKUP(C183,Code!H:W,14,FALSE),3),"")</f>
        <v>3.547945205479452</v>
      </c>
      <c r="Q183" s="174">
        <v>44547</v>
      </c>
      <c r="R183" s="175" t="str">
        <f t="shared" ca="1" si="20"/>
        <v/>
      </c>
      <c r="S183" s="176">
        <f>IFERROR(VLOOKUP($C183,Code!$H:$Q,5,FALSE),"")</f>
        <v>0.33589999999999998</v>
      </c>
      <c r="T183" s="177" t="str">
        <f t="shared" ca="1" si="21"/>
        <v/>
      </c>
      <c r="U183" s="178" t="str">
        <f t="shared" ca="1" si="22"/>
        <v/>
      </c>
      <c r="V183" s="179">
        <f>IFERROR(VLOOKUP($C183,Code!$H:$Q,6,FALSE),"")</f>
        <v>50.45</v>
      </c>
      <c r="W183" s="180" t="str">
        <f t="shared" ca="1" si="23"/>
        <v/>
      </c>
      <c r="X183" s="12"/>
      <c r="Y183" s="12"/>
      <c r="Z183" s="12"/>
      <c r="AA183" s="12"/>
      <c r="AB183" s="12"/>
    </row>
    <row r="184" spans="1:28" s="10" customFormat="1" ht="15" hidden="1">
      <c r="A184" s="9"/>
      <c r="B184" s="169" cm="1">
        <f t="array" ref="B184">_xlfn.IFS(OR(Code!R50&lt;&gt;Code!U50,Code!R50=""),0,Code!R50=Code!U50,1)</f>
        <v>0</v>
      </c>
      <c r="C184" s="193" t="str">
        <f>IF(Code!F50="","",Code!F50)</f>
        <v>ATVI</v>
      </c>
      <c r="D184" s="155" t="str">
        <f>IFERROR(VLOOKUP($C184,Code!$H:$K,2,FALSE),"")</f>
        <v>XLC</v>
      </c>
      <c r="E184" s="156" t="str">
        <f>IFERROR(VLOOKUP($C184,Code!$H:$K,3,FALSE),"")</f>
        <v>電子游戲與多媒體</v>
      </c>
      <c r="F184" s="157" t="str">
        <f>IFERROR(VLOOKUP($C184,Code!$H:$K,4,FALSE),"")</f>
        <v>.SPX</v>
      </c>
      <c r="G184" s="170">
        <f>IFERROR(((VLOOKUP($C184,Code!$H:$Q,9,FALSE))+(VLOOKUP($C184,Code!$H:$Q,10,FALSE)))/2*0.5/(((VLOOKUP($C184,Code!$H:$Q,7,FALSE))+(VLOOKUP($C184,Code!$H:$Q,8,FALSE)))/2),0)</f>
        <v>0.60038923126824517</v>
      </c>
      <c r="H184" s="171" t="str">
        <f t="shared" si="16"/>
        <v>L</v>
      </c>
      <c r="I184" s="170">
        <f>IFERROR((VLOOKUP($C184,Code!$H:$Q,5,FALSE))/(((VLOOKUP($C184,Code!$H:$Q,7,FALSE))+(VLOOKUP($C184,Code!$H:$Q,8,FALSE)))/2)-1,0)</f>
        <v>-0.11806681803438224</v>
      </c>
      <c r="J184" s="204">
        <f>IFERROR(POWER((VLOOKUP(C184,Code!H:W,12,FALSE))/(VLOOKUP(C184,Code!H:W,15,FALSE)),1/(P184-1))-1,"")</f>
        <v>0.25344490949193865</v>
      </c>
      <c r="K184" s="172" cm="1">
        <f t="array" ref="K184">IFERROR(IF(C184="","",_xlfn.IFS(AND(VLOOKUP(C184,Code!H:W,13,FALSE)=0,VLOOKUP(C184,Code!H:W,16,FALSE)=0),"無股息",AND(VLOOKUP(C184,Code!H:W,13,FALSE)=0,VLOOKUP(C184,Code!H:W,16,FALSE)&gt;0),"股息沒了",AND(VLOOKUP(C184,Code!H:W,13,FALSE)&gt;0,VLOOKUP(C184,Code!H:W,16,FALSE)=0),"發股息了",AND(VLOOKUP(C184,Code!H:W,13,FALSE)&gt;0,VLOOKUP(C184,Code!H:W,16,FALSE)&gt;0),POWER((VLOOKUP(C184,Code!H:W,13,FALSE))/(VLOOKUP(C184,Code!H:W,16,FALSE)),1/(P184-1))-1)),"")</f>
        <v>0.15862024885448256</v>
      </c>
      <c r="L184" s="173">
        <f>IFERROR(VLOOKUP(C184,Code!H:W,13,FALSE)*4/VLOOKUP(C184,Code!H:W,12,FALSE),"")</f>
        <v>1.9443582092567153E-2</v>
      </c>
      <c r="M184" s="172">
        <f t="shared" si="17"/>
        <v>0.41206515834642121</v>
      </c>
      <c r="N184" s="172" t="str">
        <f t="shared" si="18"/>
        <v>-</v>
      </c>
      <c r="O184" s="172" t="str">
        <f t="shared" si="19"/>
        <v>Value</v>
      </c>
      <c r="P184" s="205">
        <f>IFERROR(YEARFRAC(VLOOKUP(C184,Code!H:W,11,FALSE),VLOOKUP(C184,Code!H:W,14,FALSE),3),"")</f>
        <v>4.0493150684931507</v>
      </c>
      <c r="Q184" s="174">
        <v>44547</v>
      </c>
      <c r="R184" s="175" t="str">
        <f t="shared" ca="1" si="20"/>
        <v/>
      </c>
      <c r="S184" s="176">
        <f>IFERROR(VLOOKUP($C184,Code!$H:$Q,5,FALSE),"")</f>
        <v>0.27189999999999998</v>
      </c>
      <c r="T184" s="177" t="str">
        <f t="shared" ca="1" si="21"/>
        <v/>
      </c>
      <c r="U184" s="178" t="str">
        <f t="shared" ca="1" si="22"/>
        <v/>
      </c>
      <c r="V184" s="179">
        <f>IFERROR(VLOOKUP($C184,Code!$H:$Q,6,FALSE),"")</f>
        <v>80.319999999999993</v>
      </c>
      <c r="W184" s="180" t="str">
        <f t="shared" ca="1" si="23"/>
        <v/>
      </c>
      <c r="X184" s="12"/>
      <c r="Y184" s="12"/>
      <c r="Z184" s="12"/>
      <c r="AA184" s="12"/>
      <c r="AB184" s="12"/>
    </row>
    <row r="185" spans="1:28" s="10" customFormat="1" ht="15" hidden="1">
      <c r="A185" s="9"/>
      <c r="B185" s="169" cm="1">
        <f t="array" ref="B185">_xlfn.IFS(OR(Code!R397&lt;&gt;Code!U397,Code!R397=""),0,Code!R397=Code!U397,1)</f>
        <v>1</v>
      </c>
      <c r="C185" s="193" t="str">
        <f>IF(Code!F397="","",Code!F397)</f>
        <v>REGN</v>
      </c>
      <c r="D185" s="155" t="str">
        <f>IFERROR(VLOOKUP($C185,Code!$H:$K,2,FALSE),"")</f>
        <v>XLV</v>
      </c>
      <c r="E185" s="156" t="str">
        <f>IFERROR(VLOOKUP($C185,Code!$H:$K,3,FALSE),"")</f>
        <v>生物技術</v>
      </c>
      <c r="F185" s="157" t="str">
        <f>IFERROR(VLOOKUP($C185,Code!$H:$K,4,FALSE),"")</f>
        <v>.SPX</v>
      </c>
      <c r="G185" s="170">
        <f>IFERROR(((VLOOKUP($C185,Code!$H:$Q,9,FALSE))+(VLOOKUP($C185,Code!$H:$Q,10,FALSE)))/2*0.5/(((VLOOKUP($C185,Code!$H:$Q,7,FALSE))+(VLOOKUP($C185,Code!$H:$Q,8,FALSE)))/2),0)</f>
        <v>0.56709922456084827</v>
      </c>
      <c r="H185" s="171" t="str">
        <f t="shared" si="16"/>
        <v>M</v>
      </c>
      <c r="I185" s="170">
        <f>IFERROR((VLOOKUP($C185,Code!$H:$Q,5,FALSE))/(((VLOOKUP($C185,Code!$H:$Q,7,FALSE))+(VLOOKUP($C185,Code!$H:$Q,8,FALSE)))/2)-1,0)</f>
        <v>-0.12011394207944293</v>
      </c>
      <c r="J185" s="204" t="str">
        <f>IFERROR(POWER((VLOOKUP(C185,Code!H:W,12,FALSE))/(VLOOKUP(C185,Code!H:W,15,FALSE)),1/(P185-1))-1,"")</f>
        <v/>
      </c>
      <c r="K185" s="172" t="str" cm="1">
        <f t="array" ref="K185">IFERROR(IF(C185="","",_xlfn.IFS(AND(VLOOKUP(C185,Code!H:W,13,FALSE)=0,VLOOKUP(C185,Code!H:W,16,FALSE)=0),"無股息",AND(VLOOKUP(C185,Code!H:W,13,FALSE)=0,VLOOKUP(C185,Code!H:W,16,FALSE)&gt;0),"股息沒了",AND(VLOOKUP(C185,Code!H:W,13,FALSE)&gt;0,VLOOKUP(C185,Code!H:W,16,FALSE)=0),"發股息了",AND(VLOOKUP(C185,Code!H:W,13,FALSE)&gt;0,VLOOKUP(C185,Code!H:W,16,FALSE)&gt;0),POWER((VLOOKUP(C185,Code!H:W,13,FALSE))/(VLOOKUP(C185,Code!H:W,16,FALSE)),1/(P185-1))-1)),"")</f>
        <v>無股息</v>
      </c>
      <c r="L185" s="173" t="str">
        <f>IFERROR(VLOOKUP(C185,Code!H:W,13,FALSE)*4/VLOOKUP(C185,Code!H:W,12,FALSE),"")</f>
        <v/>
      </c>
      <c r="M185" s="172" t="str">
        <f t="shared" si="17"/>
        <v/>
      </c>
      <c r="N185" s="172" t="str">
        <f t="shared" si="18"/>
        <v/>
      </c>
      <c r="O185" s="172" t="str">
        <f t="shared" si="19"/>
        <v/>
      </c>
      <c r="P185" s="205">
        <f>IFERROR(YEARFRAC(VLOOKUP(C185,Code!H:W,11,FALSE),VLOOKUP(C185,Code!H:W,14,FALSE),3),"")</f>
        <v>0</v>
      </c>
      <c r="Q185" s="174">
        <v>44547</v>
      </c>
      <c r="R185" s="175" t="str">
        <f t="shared" ca="1" si="20"/>
        <v/>
      </c>
      <c r="S185" s="176">
        <f>IFERROR(VLOOKUP($C185,Code!$H:$Q,5,FALSE),"")</f>
        <v>0.27800000000000002</v>
      </c>
      <c r="T185" s="177" t="str">
        <f t="shared" ca="1" si="21"/>
        <v/>
      </c>
      <c r="U185" s="178" t="str">
        <f t="shared" ca="1" si="22"/>
        <v/>
      </c>
      <c r="V185" s="179">
        <f>IFERROR(VLOOKUP($C185,Code!$H:$Q,6,FALSE),"")</f>
        <v>602.47</v>
      </c>
      <c r="W185" s="180" t="str">
        <f t="shared" ca="1" si="23"/>
        <v/>
      </c>
      <c r="X185" s="12"/>
      <c r="Y185" s="12"/>
      <c r="Z185" s="12"/>
      <c r="AA185" s="12"/>
      <c r="AB185" s="12"/>
    </row>
    <row r="186" spans="1:28" s="10" customFormat="1" ht="15" hidden="1">
      <c r="A186" s="9"/>
      <c r="B186" s="169" cm="1">
        <f t="array" ref="B186">_xlfn.IFS(OR(Code!R200&lt;&gt;Code!U200,Code!R200=""),0,Code!R200=Code!U200,1)</f>
        <v>0</v>
      </c>
      <c r="C186" s="193" t="str">
        <f>IF(Code!F200="","",Code!F200)</f>
        <v>GIS</v>
      </c>
      <c r="D186" s="155" t="str">
        <f>IFERROR(VLOOKUP($C186,Code!$H:$K,2,FALSE),"")</f>
        <v>XLP</v>
      </c>
      <c r="E186" s="156" t="str">
        <f>IFERROR(VLOOKUP($C186,Code!$H:$K,3,FALSE),"")</f>
        <v>包裝食品</v>
      </c>
      <c r="F186" s="157" t="str">
        <f>IFERROR(VLOOKUP($C186,Code!$H:$K,4,FALSE),"")</f>
        <v>.SPX</v>
      </c>
      <c r="G186" s="170">
        <f>IFERROR(((VLOOKUP($C186,Code!$H:$Q,9,FALSE))+(VLOOKUP($C186,Code!$H:$Q,10,FALSE)))/2*0.5/(((VLOOKUP($C186,Code!$H:$Q,7,FALSE))+(VLOOKUP($C186,Code!$H:$Q,8,FALSE)))/2),0)</f>
        <v>0.60004940711462451</v>
      </c>
      <c r="H186" s="171" t="str">
        <f t="shared" si="16"/>
        <v>L</v>
      </c>
      <c r="I186" s="170">
        <f>IFERROR((VLOOKUP($C186,Code!$H:$Q,5,FALSE))/(((VLOOKUP($C186,Code!$H:$Q,7,FALSE))+(VLOOKUP($C186,Code!$H:$Q,8,FALSE)))/2)-1,0)</f>
        <v>-0.12055335968379455</v>
      </c>
      <c r="J186" s="204">
        <f>IFERROR(POWER((VLOOKUP(C186,Code!H:W,12,FALSE))/(VLOOKUP(C186,Code!H:W,15,FALSE)),1/(P186-1))-1,"")</f>
        <v>3.537873931807578E-2</v>
      </c>
      <c r="K186" s="172" cm="1">
        <f t="array" ref="K186">IFERROR(IF(C186="","",_xlfn.IFS(AND(VLOOKUP(C186,Code!H:W,13,FALSE)=0,VLOOKUP(C186,Code!H:W,16,FALSE)=0),"無股息",AND(VLOOKUP(C186,Code!H:W,13,FALSE)=0,VLOOKUP(C186,Code!H:W,16,FALSE)&gt;0),"股息沒了",AND(VLOOKUP(C186,Code!H:W,13,FALSE)&gt;0,VLOOKUP(C186,Code!H:W,16,FALSE)=0),"發股息了",AND(VLOOKUP(C186,Code!H:W,13,FALSE)&gt;0,VLOOKUP(C186,Code!H:W,16,FALSE)&gt;0),POWER((VLOOKUP(C186,Code!H:W,13,FALSE))/(VLOOKUP(C186,Code!H:W,16,FALSE)),1/(P186-1))-1)),"")</f>
        <v>1.6259032979602184E-2</v>
      </c>
      <c r="L186" s="173">
        <f>IFERROR(VLOOKUP(C186,Code!H:W,13,FALSE)*4/VLOOKUP(C186,Code!H:W,12,FALSE),"")</f>
        <v>3.4193764753898001E-2</v>
      </c>
      <c r="M186" s="172">
        <f t="shared" si="17"/>
        <v>5.1637772297677964E-2</v>
      </c>
      <c r="N186" s="172" t="str">
        <f t="shared" si="18"/>
        <v>-</v>
      </c>
      <c r="O186" s="172" t="str">
        <f t="shared" si="19"/>
        <v>-</v>
      </c>
      <c r="P186" s="205">
        <f>IFERROR(YEARFRAC(VLOOKUP(C186,Code!H:W,11,FALSE),VLOOKUP(C186,Code!H:W,14,FALSE),3),"")</f>
        <v>4.7589041095890412</v>
      </c>
      <c r="Q186" s="174">
        <v>44547</v>
      </c>
      <c r="R186" s="175" t="str">
        <f t="shared" ca="1" si="20"/>
        <v/>
      </c>
      <c r="S186" s="176">
        <f>IFERROR(VLOOKUP($C186,Code!$H:$Q,5,FALSE),"")</f>
        <v>0.17799999999999999</v>
      </c>
      <c r="T186" s="177" t="str">
        <f t="shared" ca="1" si="21"/>
        <v/>
      </c>
      <c r="U186" s="178" t="str">
        <f t="shared" ca="1" si="22"/>
        <v/>
      </c>
      <c r="V186" s="179">
        <f>IFERROR(VLOOKUP($C186,Code!$H:$Q,6,FALSE),"")</f>
        <v>58.3</v>
      </c>
      <c r="W186" s="180" t="str">
        <f t="shared" ca="1" si="23"/>
        <v/>
      </c>
      <c r="X186" s="12"/>
      <c r="Y186" s="12"/>
      <c r="Z186" s="12"/>
      <c r="AA186" s="12"/>
      <c r="AB186" s="12"/>
    </row>
    <row r="187" spans="1:28" s="10" customFormat="1" ht="15" hidden="1">
      <c r="A187" s="9"/>
      <c r="B187" s="169" cm="1">
        <f t="array" ref="B187">_xlfn.IFS(OR(Code!R421&lt;&gt;Code!U421,Code!R421=""),0,Code!R421=Code!U421,1)</f>
        <v>0</v>
      </c>
      <c r="C187" s="193" t="str">
        <f>IF(Code!F421="","",Code!F421)</f>
        <v>SPGI</v>
      </c>
      <c r="D187" s="155" t="str">
        <f>IFERROR(VLOOKUP($C187,Code!$H:$K,2,FALSE),"")</f>
        <v>XLF</v>
      </c>
      <c r="E187" s="156" t="str">
        <f>IFERROR(VLOOKUP($C187,Code!$H:$K,3,FALSE),"")</f>
        <v>金融數據與證券交易所</v>
      </c>
      <c r="F187" s="157" t="str">
        <f>IFERROR(VLOOKUP($C187,Code!$H:$K,4,FALSE),"")</f>
        <v>.SPX</v>
      </c>
      <c r="G187" s="170">
        <f>IFERROR(((VLOOKUP($C187,Code!$H:$Q,9,FALSE))+(VLOOKUP($C187,Code!$H:$Q,10,FALSE)))/2*0.5/(((VLOOKUP($C187,Code!$H:$Q,7,FALSE))+(VLOOKUP($C187,Code!$H:$Q,8,FALSE)))/2),0)</f>
        <v>0.57714165438854981</v>
      </c>
      <c r="H187" s="171" t="str">
        <f t="shared" si="16"/>
        <v>M</v>
      </c>
      <c r="I187" s="170">
        <f>IFERROR((VLOOKUP($C187,Code!$H:$Q,5,FALSE))/(((VLOOKUP($C187,Code!$H:$Q,7,FALSE))+(VLOOKUP($C187,Code!$H:$Q,8,FALSE)))/2)-1,0)</f>
        <v>-0.12060618817091129</v>
      </c>
      <c r="J187" s="204">
        <f>IFERROR(POWER((VLOOKUP(C187,Code!H:W,12,FALSE))/(VLOOKUP(C187,Code!H:W,15,FALSE)),1/(P187-1))-1,"")</f>
        <v>0.37249502310649474</v>
      </c>
      <c r="K187" s="172" cm="1">
        <f t="array" ref="K187">IFERROR(IF(C187="","",_xlfn.IFS(AND(VLOOKUP(C187,Code!H:W,13,FALSE)=0,VLOOKUP(C187,Code!H:W,16,FALSE)=0),"無股息",AND(VLOOKUP(C187,Code!H:W,13,FALSE)=0,VLOOKUP(C187,Code!H:W,16,FALSE)&gt;0),"股息沒了",AND(VLOOKUP(C187,Code!H:W,13,FALSE)&gt;0,VLOOKUP(C187,Code!H:W,16,FALSE)=0),"發股息了",AND(VLOOKUP(C187,Code!H:W,13,FALSE)&gt;0,VLOOKUP(C187,Code!H:W,16,FALSE)&gt;0),POWER((VLOOKUP(C187,Code!H:W,13,FALSE))/(VLOOKUP(C187,Code!H:W,16,FALSE)),1/(P187-1))-1)),"")</f>
        <v>0.22453120100456214</v>
      </c>
      <c r="L187" s="173">
        <f>IFERROR(VLOOKUP(C187,Code!H:W,13,FALSE)*4/VLOOKUP(C187,Code!H:W,12,FALSE),"")</f>
        <v>8.1354500377530132E-3</v>
      </c>
      <c r="M187" s="172">
        <f t="shared" si="17"/>
        <v>0.59702622411105688</v>
      </c>
      <c r="N187" s="172" t="str">
        <f t="shared" si="18"/>
        <v>-</v>
      </c>
      <c r="O187" s="172" t="str">
        <f t="shared" si="19"/>
        <v>Value</v>
      </c>
      <c r="P187" s="205">
        <f>IFERROR(YEARFRAC(VLOOKUP(C187,Code!H:W,11,FALSE),VLOOKUP(C187,Code!H:W,14,FALSE),3),"")</f>
        <v>4.7534246575342465</v>
      </c>
      <c r="Q187" s="174">
        <v>44547</v>
      </c>
      <c r="R187" s="175" t="str">
        <f t="shared" ca="1" si="20"/>
        <v/>
      </c>
      <c r="S187" s="176">
        <f>IFERROR(VLOOKUP($C187,Code!$H:$Q,5,FALSE),"")</f>
        <v>0.2089</v>
      </c>
      <c r="T187" s="177" t="str">
        <f t="shared" ca="1" si="21"/>
        <v/>
      </c>
      <c r="U187" s="178" t="str">
        <f t="shared" ca="1" si="22"/>
        <v/>
      </c>
      <c r="V187" s="179">
        <f>IFERROR(VLOOKUP($C187,Code!$H:$Q,6,FALSE),"")</f>
        <v>441.72</v>
      </c>
      <c r="W187" s="180" t="str">
        <f t="shared" ca="1" si="23"/>
        <v/>
      </c>
      <c r="X187" s="12"/>
      <c r="Y187" s="12"/>
      <c r="Z187" s="12"/>
      <c r="AA187" s="12"/>
      <c r="AB187" s="12"/>
    </row>
    <row r="188" spans="1:28" s="10" customFormat="1" ht="15" hidden="1">
      <c r="A188" s="9"/>
      <c r="B188" s="169" cm="1">
        <f t="array" ref="B188">_xlfn.IFS(OR(Code!R158&lt;&gt;Code!U158,Code!R158=""),0,Code!R158=Code!U158,1)</f>
        <v>0</v>
      </c>
      <c r="C188" s="193" t="str">
        <f>IF(Code!F158="","",Code!F158)</f>
        <v>EIX</v>
      </c>
      <c r="D188" s="155" t="str">
        <f>IFERROR(VLOOKUP($C188,Code!$H:$K,2,FALSE),"")</f>
        <v>XLU</v>
      </c>
      <c r="E188" s="156" t="str">
        <f>IFERROR(VLOOKUP($C188,Code!$H:$K,3,FALSE),"")</f>
        <v>公用事業—受監督的電力</v>
      </c>
      <c r="F188" s="157" t="str">
        <f>IFERROR(VLOOKUP($C188,Code!$H:$K,4,FALSE),"")</f>
        <v>.SPX</v>
      </c>
      <c r="G188" s="170">
        <f>IFERROR(((VLOOKUP($C188,Code!$H:$Q,9,FALSE))+(VLOOKUP($C188,Code!$H:$Q,10,FALSE)))/2*0.5/(((VLOOKUP($C188,Code!$H:$Q,7,FALSE))+(VLOOKUP($C188,Code!$H:$Q,8,FALSE)))/2),0)</f>
        <v>0.63280616382806165</v>
      </c>
      <c r="H188" s="171" t="str">
        <f t="shared" si="16"/>
        <v>L</v>
      </c>
      <c r="I188" s="170">
        <f>IFERROR((VLOOKUP($C188,Code!$H:$Q,5,FALSE))/(((VLOOKUP($C188,Code!$H:$Q,7,FALSE))+(VLOOKUP($C188,Code!$H:$Q,8,FALSE)))/2)-1,0)</f>
        <v>-0.12084347120843464</v>
      </c>
      <c r="J188" s="204">
        <f>IFERROR(POWER((VLOOKUP(C188,Code!H:W,12,FALSE))/(VLOOKUP(C188,Code!H:W,15,FALSE)),1/(P188-1))-1,"")</f>
        <v>-1.978858429951269E-2</v>
      </c>
      <c r="K188" s="172" cm="1">
        <f t="array" ref="K188">IFERROR(IF(C188="","",_xlfn.IFS(AND(VLOOKUP(C188,Code!H:W,13,FALSE)=0,VLOOKUP(C188,Code!H:W,16,FALSE)=0),"無股息",AND(VLOOKUP(C188,Code!H:W,13,FALSE)=0,VLOOKUP(C188,Code!H:W,16,FALSE)&gt;0),"股息沒了",AND(VLOOKUP(C188,Code!H:W,13,FALSE)&gt;0,VLOOKUP(C188,Code!H:W,16,FALSE)=0),"發股息了",AND(VLOOKUP(C188,Code!H:W,13,FALSE)&gt;0,VLOOKUP(C188,Code!H:W,16,FALSE)&gt;0),POWER((VLOOKUP(C188,Code!H:W,13,FALSE))/(VLOOKUP(C188,Code!H:W,16,FALSE)),1/(P188-1))-1)),"")</f>
        <v>8.9657864009085042E-2</v>
      </c>
      <c r="L188" s="173">
        <f>IFERROR(VLOOKUP(C188,Code!H:W,13,FALSE)*4/VLOOKUP(C188,Code!H:W,12,FALSE),"")</f>
        <v>4.6485539622535578E-2</v>
      </c>
      <c r="M188" s="172">
        <f t="shared" si="17"/>
        <v>6.9869279709572352E-2</v>
      </c>
      <c r="N188" s="172" t="str">
        <f t="shared" si="18"/>
        <v>Venture</v>
      </c>
      <c r="O188" s="172" t="str">
        <f t="shared" si="19"/>
        <v>-</v>
      </c>
      <c r="P188" s="205">
        <f>IFERROR(YEARFRAC(VLOOKUP(C188,Code!H:W,11,FALSE),VLOOKUP(C188,Code!H:W,14,FALSE),3),"")</f>
        <v>4.7616438356164386</v>
      </c>
      <c r="Q188" s="174">
        <v>44547</v>
      </c>
      <c r="R188" s="175" t="str">
        <f t="shared" ca="1" si="20"/>
        <v/>
      </c>
      <c r="S188" s="176">
        <f>IFERROR(VLOOKUP($C188,Code!$H:$Q,5,FALSE),"")</f>
        <v>0.21679999999999999</v>
      </c>
      <c r="T188" s="177" t="str">
        <f t="shared" ca="1" si="21"/>
        <v/>
      </c>
      <c r="U188" s="178" t="str">
        <f t="shared" ca="1" si="22"/>
        <v/>
      </c>
      <c r="V188" s="179">
        <f>IFERROR(VLOOKUP($C188,Code!$H:$Q,6,FALSE),"")</f>
        <v>55.2</v>
      </c>
      <c r="W188" s="180" t="str">
        <f t="shared" ca="1" si="23"/>
        <v/>
      </c>
      <c r="X188" s="12"/>
      <c r="Y188" s="12"/>
      <c r="Z188" s="12"/>
      <c r="AA188" s="12"/>
      <c r="AB188" s="12"/>
    </row>
    <row r="189" spans="1:28" s="10" customFormat="1" ht="15" hidden="1">
      <c r="A189" s="9"/>
      <c r="B189" s="169" cm="1">
        <f t="array" ref="B189">_xlfn.IFS(OR(Code!R61&lt;&gt;Code!U61,Code!R61=""),0,Code!R61=Code!U61,1)</f>
        <v>0</v>
      </c>
      <c r="C189" s="193" t="str">
        <f>IF(Code!F61="","",Code!F61)</f>
        <v>BDX</v>
      </c>
      <c r="D189" s="155" t="str">
        <f>IFERROR(VLOOKUP($C189,Code!$H:$K,2,FALSE),"")</f>
        <v>XLV</v>
      </c>
      <c r="E189" s="156" t="str">
        <f>IFERROR(VLOOKUP($C189,Code!$H:$K,3,FALSE),"")</f>
        <v>醫療器械及用品</v>
      </c>
      <c r="F189" s="157" t="str">
        <f>IFERROR(VLOOKUP($C189,Code!$H:$K,4,FALSE),"")</f>
        <v>.SPX</v>
      </c>
      <c r="G189" s="170">
        <f>IFERROR(((VLOOKUP($C189,Code!$H:$Q,9,FALSE))+(VLOOKUP($C189,Code!$H:$Q,10,FALSE)))/2*0.5/(((VLOOKUP($C189,Code!$H:$Q,7,FALSE))+(VLOOKUP($C189,Code!$H:$Q,8,FALSE)))/2),0)</f>
        <v>0.64974046490634163</v>
      </c>
      <c r="H189" s="171" t="str">
        <f t="shared" si="16"/>
        <v>L</v>
      </c>
      <c r="I189" s="170">
        <f>IFERROR((VLOOKUP($C189,Code!$H:$Q,5,FALSE))/(((VLOOKUP($C189,Code!$H:$Q,7,FALSE))+(VLOOKUP($C189,Code!$H:$Q,8,FALSE)))/2)-1,0)</f>
        <v>-0.12164296998420221</v>
      </c>
      <c r="J189" s="204">
        <f>IFERROR(POWER((VLOOKUP(C189,Code!H:W,12,FALSE))/(VLOOKUP(C189,Code!H:W,15,FALSE)),1/(P189-1))-1,"")</f>
        <v>0.10119173489709476</v>
      </c>
      <c r="K189" s="172" cm="1">
        <f t="array" ref="K189">IFERROR(IF(C189="","",_xlfn.IFS(AND(VLOOKUP(C189,Code!H:W,13,FALSE)=0,VLOOKUP(C189,Code!H:W,16,FALSE)=0),"無股息",AND(VLOOKUP(C189,Code!H:W,13,FALSE)=0,VLOOKUP(C189,Code!H:W,16,FALSE)&gt;0),"股息沒了",AND(VLOOKUP(C189,Code!H:W,13,FALSE)&gt;0,VLOOKUP(C189,Code!H:W,16,FALSE)=0),"發股息了",AND(VLOOKUP(C189,Code!H:W,13,FALSE)&gt;0,VLOOKUP(C189,Code!H:W,16,FALSE)&gt;0),POWER((VLOOKUP(C189,Code!H:W,13,FALSE))/(VLOOKUP(C189,Code!H:W,16,FALSE)),1/(P189-1))-1)),"")</f>
        <v>6.2963187382559349E-2</v>
      </c>
      <c r="L189" s="173">
        <f>IFERROR(VLOOKUP(C189,Code!H:W,13,FALSE)*4/VLOOKUP(C189,Code!H:W,12,FALSE),"")</f>
        <v>1.3876698014629048E-2</v>
      </c>
      <c r="M189" s="172">
        <f t="shared" si="17"/>
        <v>0.16415492227965411</v>
      </c>
      <c r="N189" s="172" t="str">
        <f t="shared" si="18"/>
        <v>-</v>
      </c>
      <c r="O189" s="172" t="str">
        <f t="shared" si="19"/>
        <v>-</v>
      </c>
      <c r="P189" s="205">
        <f>IFERROR(YEARFRAC(VLOOKUP(C189,Code!H:W,11,FALSE),VLOOKUP(C189,Code!H:W,14,FALSE),3),"")</f>
        <v>4.7534246575342465</v>
      </c>
      <c r="Q189" s="174">
        <v>44547</v>
      </c>
      <c r="R189" s="175" t="str">
        <f t="shared" ca="1" si="20"/>
        <v/>
      </c>
      <c r="S189" s="176">
        <f>IFERROR(VLOOKUP($C189,Code!$H:$Q,5,FALSE),"")</f>
        <v>0.1946</v>
      </c>
      <c r="T189" s="177" t="str">
        <f t="shared" ca="1" si="21"/>
        <v/>
      </c>
      <c r="U189" s="178" t="str">
        <f t="shared" ca="1" si="22"/>
        <v/>
      </c>
      <c r="V189" s="179">
        <f>IFERROR(VLOOKUP($C189,Code!$H:$Q,6,FALSE),"")</f>
        <v>241.06</v>
      </c>
      <c r="W189" s="180" t="str">
        <f t="shared" ca="1" si="23"/>
        <v/>
      </c>
      <c r="X189" s="12"/>
      <c r="Y189" s="12"/>
      <c r="Z189" s="12"/>
      <c r="AA189" s="12"/>
      <c r="AB189" s="12"/>
    </row>
    <row r="190" spans="1:28" s="10" customFormat="1" ht="15" hidden="1">
      <c r="A190" s="9"/>
      <c r="B190" s="169" cm="1">
        <f t="array" ref="B190">_xlfn.IFS(OR(Code!R135&lt;&gt;Code!U135,Code!R135=""),0,Code!R135=Code!U135,1)</f>
        <v>0</v>
      </c>
      <c r="C190" s="193" t="str">
        <f>IF(Code!F135="","",Code!F135)</f>
        <v>DHR</v>
      </c>
      <c r="D190" s="155" t="str">
        <f>IFERROR(VLOOKUP($C190,Code!$H:$K,2,FALSE),"")</f>
        <v>XLV</v>
      </c>
      <c r="E190" s="156" t="str">
        <f>IFERROR(VLOOKUP($C190,Code!$H:$K,3,FALSE),"")</f>
        <v>診斷與研究</v>
      </c>
      <c r="F190" s="157" t="str">
        <f>IFERROR(VLOOKUP($C190,Code!$H:$K,4,FALSE),"")</f>
        <v>.SPX</v>
      </c>
      <c r="G190" s="170">
        <f>IFERROR(((VLOOKUP($C190,Code!$H:$Q,9,FALSE))+(VLOOKUP($C190,Code!$H:$Q,10,FALSE)))/2*0.5/(((VLOOKUP($C190,Code!$H:$Q,7,FALSE))+(VLOOKUP($C190,Code!$H:$Q,8,FALSE)))/2),0)</f>
        <v>0.59502446982055468</v>
      </c>
      <c r="H190" s="171" t="str">
        <f t="shared" si="16"/>
        <v>M</v>
      </c>
      <c r="I190" s="170">
        <f>IFERROR((VLOOKUP($C190,Code!$H:$Q,5,FALSE))/(((VLOOKUP($C190,Code!$H:$Q,7,FALSE))+(VLOOKUP($C190,Code!$H:$Q,8,FALSE)))/2)-1,0)</f>
        <v>-0.12316476345840133</v>
      </c>
      <c r="J190" s="204">
        <f>IFERROR(POWER((VLOOKUP(C190,Code!H:W,12,FALSE))/(VLOOKUP(C190,Code!H:W,15,FALSE)),1/(P190-1))-1,"")</f>
        <v>0.40130091624242237</v>
      </c>
      <c r="K190" s="172" cm="1">
        <f t="array" ref="K190">IFERROR(IF(C190="","",_xlfn.IFS(AND(VLOOKUP(C190,Code!H:W,13,FALSE)=0,VLOOKUP(C190,Code!H:W,16,FALSE)=0),"無股息",AND(VLOOKUP(C190,Code!H:W,13,FALSE)=0,VLOOKUP(C190,Code!H:W,16,FALSE)&gt;0),"股息沒了",AND(VLOOKUP(C190,Code!H:W,13,FALSE)&gt;0,VLOOKUP(C190,Code!H:W,16,FALSE)=0),"發股息了",AND(VLOOKUP(C190,Code!H:W,13,FALSE)&gt;0,VLOOKUP(C190,Code!H:W,16,FALSE)&gt;0),POWER((VLOOKUP(C190,Code!H:W,13,FALSE))/(VLOOKUP(C190,Code!H:W,16,FALSE)),1/(P190-1))-1)),"")</f>
        <v>0.14880822656176274</v>
      </c>
      <c r="L190" s="173">
        <f>IFERROR(VLOOKUP(C190,Code!H:W,13,FALSE)*4/VLOOKUP(C190,Code!H:W,12,FALSE),"")</f>
        <v>3.1419486845822671E-3</v>
      </c>
      <c r="M190" s="172">
        <f t="shared" si="17"/>
        <v>0.5501091428041851</v>
      </c>
      <c r="N190" s="172" t="str">
        <f t="shared" si="18"/>
        <v>-</v>
      </c>
      <c r="O190" s="172" t="str">
        <f t="shared" si="19"/>
        <v>Value</v>
      </c>
      <c r="P190" s="205">
        <f>IFERROR(YEARFRAC(VLOOKUP(C190,Code!H:W,11,FALSE),VLOOKUP(C190,Code!H:W,14,FALSE),3),"")</f>
        <v>4.7397260273972606</v>
      </c>
      <c r="Q190" s="174">
        <v>44547</v>
      </c>
      <c r="R190" s="175" t="str">
        <f t="shared" ca="1" si="20"/>
        <v/>
      </c>
      <c r="S190" s="176">
        <f>IFERROR(VLOOKUP($C190,Code!$H:$Q,5,FALSE),"")</f>
        <v>0.215</v>
      </c>
      <c r="T190" s="177" t="str">
        <f t="shared" ca="1" si="21"/>
        <v/>
      </c>
      <c r="U190" s="178" t="str">
        <f t="shared" ca="1" si="22"/>
        <v/>
      </c>
      <c r="V190" s="179">
        <f>IFERROR(VLOOKUP($C190,Code!$H:$Q,6,FALSE),"")</f>
        <v>307.14</v>
      </c>
      <c r="W190" s="180" t="str">
        <f t="shared" ca="1" si="23"/>
        <v/>
      </c>
      <c r="X190" s="12"/>
      <c r="Y190" s="12"/>
      <c r="Z190" s="12"/>
      <c r="AA190" s="12"/>
      <c r="AB190" s="12"/>
    </row>
    <row r="191" spans="1:28" s="10" customFormat="1" ht="15" hidden="1">
      <c r="A191" s="9"/>
      <c r="B191" s="169" cm="1">
        <f t="array" ref="B191">_xlfn.IFS(OR(Code!R403&lt;&gt;Code!U403,Code!R403=""),0,Code!R403=Code!U403,1)</f>
        <v>0</v>
      </c>
      <c r="C191" s="193" t="str">
        <f>IF(Code!F403="","",Code!F403)</f>
        <v>ROK</v>
      </c>
      <c r="D191" s="155" t="str">
        <f>IFERROR(VLOOKUP($C191,Code!$H:$K,2,FALSE),"")</f>
        <v>XLI</v>
      </c>
      <c r="E191" s="156" t="str">
        <f>IFERROR(VLOOKUP($C191,Code!$H:$K,3,FALSE),"")</f>
        <v>特種工業機械</v>
      </c>
      <c r="F191" s="157" t="str">
        <f>IFERROR(VLOOKUP($C191,Code!$H:$K,4,FALSE),"")</f>
        <v>.SPX</v>
      </c>
      <c r="G191" s="170">
        <f>IFERROR(((VLOOKUP($C191,Code!$H:$Q,9,FALSE))+(VLOOKUP($C191,Code!$H:$Q,10,FALSE)))/2*0.5/(((VLOOKUP($C191,Code!$H:$Q,7,FALSE))+(VLOOKUP($C191,Code!$H:$Q,8,FALSE)))/2),0)</f>
        <v>0.61987951807228925</v>
      </c>
      <c r="H191" s="171" t="str">
        <f t="shared" si="16"/>
        <v>L</v>
      </c>
      <c r="I191" s="170">
        <f>IFERROR((VLOOKUP($C191,Code!$H:$Q,5,FALSE))/(((VLOOKUP($C191,Code!$H:$Q,7,FALSE))+(VLOOKUP($C191,Code!$H:$Q,8,FALSE)))/2)-1,0)</f>
        <v>-0.12530120481927709</v>
      </c>
      <c r="J191" s="204">
        <f>IFERROR(POWER((VLOOKUP(C191,Code!H:W,12,FALSE))/(VLOOKUP(C191,Code!H:W,15,FALSE)),1/(P191-1))-1,"")</f>
        <v>0.27252852313074905</v>
      </c>
      <c r="K191" s="172" cm="1">
        <f t="array" ref="K191">IFERROR(IF(C191="","",_xlfn.IFS(AND(VLOOKUP(C191,Code!H:W,13,FALSE)=0,VLOOKUP(C191,Code!H:W,16,FALSE)=0),"無股息",AND(VLOOKUP(C191,Code!H:W,13,FALSE)=0,VLOOKUP(C191,Code!H:W,16,FALSE)&gt;0),"股息沒了",AND(VLOOKUP(C191,Code!H:W,13,FALSE)&gt;0,VLOOKUP(C191,Code!H:W,16,FALSE)=0),"發股息了",AND(VLOOKUP(C191,Code!H:W,13,FALSE)&gt;0,VLOOKUP(C191,Code!H:W,16,FALSE)&gt;0),POWER((VLOOKUP(C191,Code!H:W,13,FALSE))/(VLOOKUP(C191,Code!H:W,16,FALSE)),1/(P191-1))-1)),"")</f>
        <v>0.10910353436221976</v>
      </c>
      <c r="L191" s="173">
        <f>IFERROR(VLOOKUP(C191,Code!H:W,13,FALSE)*4/VLOOKUP(C191,Code!H:W,12,FALSE),"")</f>
        <v>1.6002393392429533E-2</v>
      </c>
      <c r="M191" s="172">
        <f t="shared" si="17"/>
        <v>0.3816320574929688</v>
      </c>
      <c r="N191" s="172" t="str">
        <f t="shared" si="18"/>
        <v>-</v>
      </c>
      <c r="O191" s="172" t="str">
        <f t="shared" si="19"/>
        <v>-</v>
      </c>
      <c r="P191" s="205">
        <f>IFERROR(YEARFRAC(VLOOKUP(C191,Code!H:W,11,FALSE),VLOOKUP(C191,Code!H:W,14,FALSE),3),"")</f>
        <v>4.7589041095890412</v>
      </c>
      <c r="Q191" s="174">
        <v>44547</v>
      </c>
      <c r="R191" s="175" t="str">
        <f t="shared" ca="1" si="20"/>
        <v/>
      </c>
      <c r="S191" s="176">
        <f>IFERROR(VLOOKUP($C191,Code!$H:$Q,5,FALSE),"")</f>
        <v>0.21779999999999999</v>
      </c>
      <c r="T191" s="177" t="str">
        <f t="shared" ca="1" si="21"/>
        <v/>
      </c>
      <c r="U191" s="178" t="str">
        <f t="shared" ca="1" si="22"/>
        <v/>
      </c>
      <c r="V191" s="179">
        <f>IFERROR(VLOOKUP($C191,Code!$H:$Q,6,FALSE),"")</f>
        <v>313.70999999999998</v>
      </c>
      <c r="W191" s="180" t="str">
        <f t="shared" ca="1" si="23"/>
        <v/>
      </c>
      <c r="X191" s="12"/>
      <c r="Y191" s="12"/>
      <c r="Z191" s="12"/>
      <c r="AA191" s="12"/>
      <c r="AB191" s="12"/>
    </row>
    <row r="192" spans="1:28" s="10" customFormat="1" ht="15" hidden="1">
      <c r="A192" s="9"/>
      <c r="B192" s="169" cm="1">
        <f t="array" ref="B192">_xlfn.IFS(OR(Code!R182&lt;&gt;Code!U182,Code!R182=""),0,Code!R182=Code!U182,1)</f>
        <v>0</v>
      </c>
      <c r="C192" s="193" t="str">
        <f>IF(Code!F182="","",Code!F182)</f>
        <v>FCX</v>
      </c>
      <c r="D192" s="155" t="str">
        <f>IFERROR(VLOOKUP($C192,Code!$H:$K,2,FALSE),"")</f>
        <v>XLB</v>
      </c>
      <c r="E192" s="156" t="str">
        <f>IFERROR(VLOOKUP($C192,Code!$H:$K,3,FALSE),"")</f>
        <v>銅</v>
      </c>
      <c r="F192" s="157" t="str">
        <f>IFERROR(VLOOKUP($C192,Code!$H:$K,4,FALSE),"")</f>
        <v>.SPX</v>
      </c>
      <c r="G192" s="170">
        <f>IFERROR(((VLOOKUP($C192,Code!$H:$Q,9,FALSE))+(VLOOKUP($C192,Code!$H:$Q,10,FALSE)))/2*0.5/(((VLOOKUP($C192,Code!$H:$Q,7,FALSE))+(VLOOKUP($C192,Code!$H:$Q,8,FALSE)))/2),0)</f>
        <v>0.53694531486909935</v>
      </c>
      <c r="H192" s="171" t="str">
        <f t="shared" si="16"/>
        <v>M</v>
      </c>
      <c r="I192" s="170">
        <f>IFERROR((VLOOKUP($C192,Code!$H:$Q,5,FALSE))/(((VLOOKUP($C192,Code!$H:$Q,7,FALSE))+(VLOOKUP($C192,Code!$H:$Q,8,FALSE)))/2)-1,0)</f>
        <v>-0.12665521075507935</v>
      </c>
      <c r="J192" s="204">
        <f>IFERROR(POWER((VLOOKUP(C192,Code!H:W,12,FALSE))/(VLOOKUP(C192,Code!H:W,15,FALSE)),1/(P192-1))-1,"")</f>
        <v>0.35860074206708159</v>
      </c>
      <c r="K192" s="172" cm="1">
        <f t="array" ref="K192">IFERROR(IF(C192="","",_xlfn.IFS(AND(VLOOKUP(C192,Code!H:W,13,FALSE)=0,VLOOKUP(C192,Code!H:W,16,FALSE)=0),"無股息",AND(VLOOKUP(C192,Code!H:W,13,FALSE)=0,VLOOKUP(C192,Code!H:W,16,FALSE)&gt;0),"股息沒了",AND(VLOOKUP(C192,Code!H:W,13,FALSE)&gt;0,VLOOKUP(C192,Code!H:W,16,FALSE)=0),"發股息了",AND(VLOOKUP(C192,Code!H:W,13,FALSE)&gt;0,VLOOKUP(C192,Code!H:W,16,FALSE)&gt;0),POWER((VLOOKUP(C192,Code!H:W,13,FALSE))/(VLOOKUP(C192,Code!H:W,16,FALSE)),1/(P192-1))-1)),"")</f>
        <v>0.19674491069219835</v>
      </c>
      <c r="L192" s="173">
        <f>IFERROR(VLOOKUP(C192,Code!H:W,13,FALSE)*4/VLOOKUP(C192,Code!H:W,12,FALSE),"")</f>
        <v>8.6906140214876373E-3</v>
      </c>
      <c r="M192" s="172">
        <f t="shared" si="17"/>
        <v>0.55534565275927994</v>
      </c>
      <c r="N192" s="172" t="str">
        <f t="shared" si="18"/>
        <v>-</v>
      </c>
      <c r="O192" s="172" t="str">
        <f t="shared" si="19"/>
        <v>Value</v>
      </c>
      <c r="P192" s="205">
        <f>IFERROR(YEARFRAC(VLOOKUP(C192,Code!H:W,11,FALSE),VLOOKUP(C192,Code!H:W,14,FALSE),3),"")</f>
        <v>3.2575342465753425</v>
      </c>
      <c r="Q192" s="174">
        <v>44547</v>
      </c>
      <c r="R192" s="175" t="str">
        <f t="shared" ca="1" si="20"/>
        <v/>
      </c>
      <c r="S192" s="176">
        <f>IFERROR(VLOOKUP($C192,Code!$H:$Q,5,FALSE),"")</f>
        <v>0.432</v>
      </c>
      <c r="T192" s="177" t="str">
        <f t="shared" ca="1" si="21"/>
        <v/>
      </c>
      <c r="U192" s="178" t="str">
        <f t="shared" ca="1" si="22"/>
        <v/>
      </c>
      <c r="V192" s="179">
        <f>IFERROR(VLOOKUP($C192,Code!$H:$Q,6,FALSE),"")</f>
        <v>35.85</v>
      </c>
      <c r="W192" s="180" t="str">
        <f t="shared" ca="1" si="23"/>
        <v/>
      </c>
      <c r="X192" s="12"/>
      <c r="Y192" s="12"/>
      <c r="Z192" s="12"/>
      <c r="AA192" s="12"/>
      <c r="AB192" s="12"/>
    </row>
    <row r="193" spans="1:28" s="10" customFormat="1" ht="15" hidden="1">
      <c r="A193" s="9"/>
      <c r="B193" s="169" cm="1">
        <f t="array" ref="B193">_xlfn.IFS(OR(Code!R469&lt;&gt;Code!U469,Code!R469=""),0,Code!R469=Code!U469,1)</f>
        <v>0</v>
      </c>
      <c r="C193" s="193" t="str">
        <f>IF(Code!F469="","",Code!F469)</f>
        <v>V</v>
      </c>
      <c r="D193" s="155" t="str">
        <f>IFERROR(VLOOKUP($C193,Code!$H:$K,2,FALSE),"")</f>
        <v>XLK</v>
      </c>
      <c r="E193" s="156" t="str">
        <f>IFERROR(VLOOKUP($C193,Code!$H:$K,3,FALSE),"")</f>
        <v>信貸服務</v>
      </c>
      <c r="F193" s="157" t="str">
        <f>IFERROR(VLOOKUP($C193,Code!$H:$K,4,FALSE),"")</f>
        <v>.SPX</v>
      </c>
      <c r="G193" s="170">
        <f>IFERROR(((VLOOKUP($C193,Code!$H:$Q,9,FALSE))+(VLOOKUP($C193,Code!$H:$Q,10,FALSE)))/2*0.5/(((VLOOKUP($C193,Code!$H:$Q,7,FALSE))+(VLOOKUP($C193,Code!$H:$Q,8,FALSE)))/2),0)</f>
        <v>0.6053376906318082</v>
      </c>
      <c r="H193" s="171" t="str">
        <f t="shared" si="16"/>
        <v>L</v>
      </c>
      <c r="I193" s="170">
        <f>IFERROR((VLOOKUP($C193,Code!$H:$Q,5,FALSE))/(((VLOOKUP($C193,Code!$H:$Q,7,FALSE))+(VLOOKUP($C193,Code!$H:$Q,8,FALSE)))/2)-1,0)</f>
        <v>-0.12766884531590428</v>
      </c>
      <c r="J193" s="204">
        <f>IFERROR(POWER((VLOOKUP(C193,Code!H:W,12,FALSE))/(VLOOKUP(C193,Code!H:W,15,FALSE)),1/(P193-1))-1,"")</f>
        <v>0.3239161285295884</v>
      </c>
      <c r="K193" s="172" cm="1">
        <f t="array" ref="K193">IFERROR(IF(C193="","",_xlfn.IFS(AND(VLOOKUP(C193,Code!H:W,13,FALSE)=0,VLOOKUP(C193,Code!H:W,16,FALSE)=0),"無股息",AND(VLOOKUP(C193,Code!H:W,13,FALSE)=0,VLOOKUP(C193,Code!H:W,16,FALSE)&gt;0),"股息沒了",AND(VLOOKUP(C193,Code!H:W,13,FALSE)&gt;0,VLOOKUP(C193,Code!H:W,16,FALSE)=0),"發股息了",AND(VLOOKUP(C193,Code!H:W,13,FALSE)&gt;0,VLOOKUP(C193,Code!H:W,16,FALSE)&gt;0),POWER((VLOOKUP(C193,Code!H:W,13,FALSE))/(VLOOKUP(C193,Code!H:W,16,FALSE)),1/(P193-1))-1)),"")</f>
        <v>0.247389845873911</v>
      </c>
      <c r="L193" s="173">
        <f>IFERROR(VLOOKUP(C193,Code!H:W,13,FALSE)*4/VLOOKUP(C193,Code!H:W,12,FALSE),"")</f>
        <v>5.7209259344507711E-3</v>
      </c>
      <c r="M193" s="172">
        <f t="shared" si="17"/>
        <v>0.57130597440349939</v>
      </c>
      <c r="N193" s="172" t="str">
        <f t="shared" si="18"/>
        <v>-</v>
      </c>
      <c r="O193" s="172" t="str">
        <f t="shared" si="19"/>
        <v>Value</v>
      </c>
      <c r="P193" s="205">
        <f>IFERROR(YEARFRAC(VLOOKUP(C193,Code!H:W,11,FALSE),VLOOKUP(C193,Code!H:W,14,FALSE),3),"")</f>
        <v>4.7397260273972606</v>
      </c>
      <c r="Q193" s="174">
        <v>44547</v>
      </c>
      <c r="R193" s="175" t="str">
        <f t="shared" ca="1" si="20"/>
        <v/>
      </c>
      <c r="S193" s="176">
        <f>IFERROR(VLOOKUP($C193,Code!$H:$Q,5,FALSE),"")</f>
        <v>0.20019999999999999</v>
      </c>
      <c r="T193" s="177" t="str">
        <f t="shared" ca="1" si="21"/>
        <v/>
      </c>
      <c r="U193" s="178" t="str">
        <f t="shared" ca="1" si="22"/>
        <v/>
      </c>
      <c r="V193" s="179">
        <f>IFERROR(VLOOKUP($C193,Code!$H:$Q,6,FALSE),"")</f>
        <v>240.21</v>
      </c>
      <c r="W193" s="180" t="str">
        <f t="shared" ca="1" si="23"/>
        <v/>
      </c>
      <c r="X193" s="12"/>
      <c r="Y193" s="12"/>
      <c r="Z193" s="12"/>
      <c r="AA193" s="12"/>
      <c r="AB193" s="12"/>
    </row>
    <row r="194" spans="1:28" s="10" customFormat="1" ht="15" hidden="1">
      <c r="A194" s="9"/>
      <c r="B194" s="169" cm="1">
        <f t="array" ref="B194">_xlfn.IFS(OR(Code!R418&lt;&gt;Code!U418,Code!R418=""),0,Code!R418=Code!U418,1)</f>
        <v>1</v>
      </c>
      <c r="C194" s="193" t="str">
        <f>IF(Code!F418="","",Code!F418)</f>
        <v>SNPS</v>
      </c>
      <c r="D194" s="155" t="str">
        <f>IFERROR(VLOOKUP($C194,Code!$H:$K,2,FALSE),"")</f>
        <v>XLK</v>
      </c>
      <c r="E194" s="156" t="str">
        <f>IFERROR(VLOOKUP($C194,Code!$H:$K,3,FALSE),"")</f>
        <v>軟件基礎設施</v>
      </c>
      <c r="F194" s="157" t="str">
        <f>IFERROR(VLOOKUP($C194,Code!$H:$K,4,FALSE),"")</f>
        <v>.SPX</v>
      </c>
      <c r="G194" s="170">
        <f>IFERROR(((VLOOKUP($C194,Code!$H:$Q,9,FALSE))+(VLOOKUP($C194,Code!$H:$Q,10,FALSE)))/2*0.5/(((VLOOKUP($C194,Code!$H:$Q,7,FALSE))+(VLOOKUP($C194,Code!$H:$Q,8,FALSE)))/2),0)</f>
        <v>0.56237524950099804</v>
      </c>
      <c r="H194" s="171" t="str">
        <f t="shared" si="16"/>
        <v>M</v>
      </c>
      <c r="I194" s="170">
        <f>IFERROR((VLOOKUP($C194,Code!$H:$Q,5,FALSE))/(((VLOOKUP($C194,Code!$H:$Q,7,FALSE))+(VLOOKUP($C194,Code!$H:$Q,8,FALSE)))/2)-1,0)</f>
        <v>-0.12774451097804385</v>
      </c>
      <c r="J194" s="204" t="str">
        <f>IFERROR(POWER((VLOOKUP(C194,Code!H:W,12,FALSE))/(VLOOKUP(C194,Code!H:W,15,FALSE)),1/(P194-1))-1,"")</f>
        <v/>
      </c>
      <c r="K194" s="172" t="str" cm="1">
        <f t="array" ref="K194">IFERROR(IF(C194="","",_xlfn.IFS(AND(VLOOKUP(C194,Code!H:W,13,FALSE)=0,VLOOKUP(C194,Code!H:W,16,FALSE)=0),"無股息",AND(VLOOKUP(C194,Code!H:W,13,FALSE)=0,VLOOKUP(C194,Code!H:W,16,FALSE)&gt;0),"股息沒了",AND(VLOOKUP(C194,Code!H:W,13,FALSE)&gt;0,VLOOKUP(C194,Code!H:W,16,FALSE)=0),"發股息了",AND(VLOOKUP(C194,Code!H:W,13,FALSE)&gt;0,VLOOKUP(C194,Code!H:W,16,FALSE)&gt;0),POWER((VLOOKUP(C194,Code!H:W,13,FALSE))/(VLOOKUP(C194,Code!H:W,16,FALSE)),1/(P194-1))-1)),"")</f>
        <v>無股息</v>
      </c>
      <c r="L194" s="173" t="str">
        <f>IFERROR(VLOOKUP(C194,Code!H:W,13,FALSE)*4/VLOOKUP(C194,Code!H:W,12,FALSE),"")</f>
        <v/>
      </c>
      <c r="M194" s="172" t="str">
        <f t="shared" si="17"/>
        <v/>
      </c>
      <c r="N194" s="172" t="str">
        <f t="shared" si="18"/>
        <v/>
      </c>
      <c r="O194" s="172" t="str">
        <f t="shared" si="19"/>
        <v/>
      </c>
      <c r="P194" s="205">
        <f>IFERROR(YEARFRAC(VLOOKUP(C194,Code!H:W,11,FALSE),VLOOKUP(C194,Code!H:W,14,FALSE),3),"")</f>
        <v>0</v>
      </c>
      <c r="Q194" s="174">
        <v>44547</v>
      </c>
      <c r="R194" s="175" t="str">
        <f t="shared" ca="1" si="20"/>
        <v/>
      </c>
      <c r="S194" s="176">
        <f>IFERROR(VLOOKUP($C194,Code!$H:$Q,5,FALSE),"")</f>
        <v>0.26219999999999999</v>
      </c>
      <c r="T194" s="177" t="str">
        <f t="shared" ca="1" si="21"/>
        <v/>
      </c>
      <c r="U194" s="178" t="str">
        <f t="shared" ca="1" si="22"/>
        <v/>
      </c>
      <c r="V194" s="179">
        <f>IFERROR(VLOOKUP($C194,Code!$H:$Q,6,FALSE),"")</f>
        <v>293.2</v>
      </c>
      <c r="W194" s="180" t="str">
        <f t="shared" ca="1" si="23"/>
        <v/>
      </c>
      <c r="X194" s="12"/>
      <c r="Y194" s="12"/>
      <c r="Z194" s="12"/>
      <c r="AA194" s="12"/>
      <c r="AB194" s="12"/>
    </row>
    <row r="195" spans="1:28" s="10" customFormat="1" ht="15" hidden="1">
      <c r="A195" s="9"/>
      <c r="B195" s="169" cm="1">
        <f t="array" ref="B195">_xlfn.IFS(OR(Code!R419&lt;&gt;Code!U419,Code!R419=""),0,Code!R419=Code!U419,1)</f>
        <v>0</v>
      </c>
      <c r="C195" s="193" t="str">
        <f>IF(Code!F419="","",Code!F419)</f>
        <v>SO</v>
      </c>
      <c r="D195" s="155" t="str">
        <f>IFERROR(VLOOKUP($C195,Code!$H:$K,2,FALSE),"")</f>
        <v>XLU</v>
      </c>
      <c r="E195" s="156" t="str">
        <f>IFERROR(VLOOKUP($C195,Code!$H:$K,3,FALSE),"")</f>
        <v>公用事業—受監督的電力</v>
      </c>
      <c r="F195" s="157" t="str">
        <f>IFERROR(VLOOKUP($C195,Code!$H:$K,4,FALSE),"")</f>
        <v>.SPX</v>
      </c>
      <c r="G195" s="170">
        <f>IFERROR(((VLOOKUP($C195,Code!$H:$Q,9,FALSE))+(VLOOKUP($C195,Code!$H:$Q,10,FALSE)))/2*0.5/(((VLOOKUP($C195,Code!$H:$Q,7,FALSE))+(VLOOKUP($C195,Code!$H:$Q,8,FALSE)))/2),0)</f>
        <v>0.60265604249667981</v>
      </c>
      <c r="H195" s="171" t="str">
        <f t="shared" si="16"/>
        <v>L</v>
      </c>
      <c r="I195" s="170">
        <f>IFERROR((VLOOKUP($C195,Code!$H:$Q,5,FALSE))/(((VLOOKUP($C195,Code!$H:$Q,7,FALSE))+(VLOOKUP($C195,Code!$H:$Q,8,FALSE)))/2)-1,0)</f>
        <v>-0.12775564409030549</v>
      </c>
      <c r="J195" s="204">
        <f>IFERROR(POWER((VLOOKUP(C195,Code!H:W,12,FALSE))/(VLOOKUP(C195,Code!H:W,15,FALSE)),1/(P195-1))-1,"")</f>
        <v>0.12329121286464084</v>
      </c>
      <c r="K195" s="172" cm="1">
        <f t="array" ref="K195">IFERROR(IF(C195="","",_xlfn.IFS(AND(VLOOKUP(C195,Code!H:W,13,FALSE)=0,VLOOKUP(C195,Code!H:W,16,FALSE)=0),"無股息",AND(VLOOKUP(C195,Code!H:W,13,FALSE)=0,VLOOKUP(C195,Code!H:W,16,FALSE)&gt;0),"股息沒了",AND(VLOOKUP(C195,Code!H:W,13,FALSE)&gt;0,VLOOKUP(C195,Code!H:W,16,FALSE)=0),"發股息了",AND(VLOOKUP(C195,Code!H:W,13,FALSE)&gt;0,VLOOKUP(C195,Code!H:W,16,FALSE)&gt;0),POWER((VLOOKUP(C195,Code!H:W,13,FALSE))/(VLOOKUP(C195,Code!H:W,16,FALSE)),1/(P195-1))-1)),"")</f>
        <v>4.4679729876138108E-2</v>
      </c>
      <c r="L195" s="173">
        <f>IFERROR(VLOOKUP(C195,Code!H:W,13,FALSE)*4/VLOOKUP(C195,Code!H:W,12,FALSE),"")</f>
        <v>4.0546766629584091E-2</v>
      </c>
      <c r="M195" s="172">
        <f t="shared" si="17"/>
        <v>0.16797094274077895</v>
      </c>
      <c r="N195" s="172" t="str">
        <f t="shared" si="18"/>
        <v>-</v>
      </c>
      <c r="O195" s="172" t="str">
        <f t="shared" si="19"/>
        <v>-</v>
      </c>
      <c r="P195" s="205">
        <f>IFERROR(YEARFRAC(VLOOKUP(C195,Code!H:W,11,FALSE),VLOOKUP(C195,Code!H:W,14,FALSE),3),"")</f>
        <v>4.7589041095890412</v>
      </c>
      <c r="Q195" s="174">
        <v>44547</v>
      </c>
      <c r="R195" s="175" t="str">
        <f t="shared" ca="1" si="20"/>
        <v/>
      </c>
      <c r="S195" s="176">
        <f>IFERROR(VLOOKUP($C195,Code!$H:$Q,5,FALSE),"")</f>
        <v>0.16420000000000001</v>
      </c>
      <c r="T195" s="177" t="str">
        <f t="shared" ca="1" si="21"/>
        <v/>
      </c>
      <c r="U195" s="178" t="str">
        <f t="shared" ca="1" si="22"/>
        <v/>
      </c>
      <c r="V195" s="179">
        <f>IFERROR(VLOOKUP($C195,Code!$H:$Q,6,FALSE),"")</f>
        <v>64.91</v>
      </c>
      <c r="W195" s="180" t="str">
        <f t="shared" ca="1" si="23"/>
        <v/>
      </c>
      <c r="X195" s="12"/>
      <c r="Y195" s="12"/>
      <c r="Z195" s="12"/>
      <c r="AA195" s="12"/>
      <c r="AB195" s="12"/>
    </row>
    <row r="196" spans="1:28" s="10" customFormat="1" ht="15" hidden="1">
      <c r="A196" s="9"/>
      <c r="B196" s="169" cm="1">
        <f t="array" ref="B196">_xlfn.IFS(OR(Code!R461&lt;&gt;Code!U461,Code!R461=""),0,Code!R461=Code!U461,1)</f>
        <v>0</v>
      </c>
      <c r="C196" s="193" t="str">
        <f>IF(Code!F461="","",Code!F461)</f>
        <v>UHS</v>
      </c>
      <c r="D196" s="155" t="str">
        <f>IFERROR(VLOOKUP($C196,Code!$H:$K,2,FALSE),"")</f>
        <v>XLV</v>
      </c>
      <c r="E196" s="156" t="str">
        <f>IFERROR(VLOOKUP($C196,Code!$H:$K,3,FALSE),"")</f>
        <v>醫療設施</v>
      </c>
      <c r="F196" s="157" t="str">
        <f>IFERROR(VLOOKUP($C196,Code!$H:$K,4,FALSE),"")</f>
        <v>.SPX</v>
      </c>
      <c r="G196" s="170">
        <f>IFERROR(((VLOOKUP($C196,Code!$H:$Q,9,FALSE))+(VLOOKUP($C196,Code!$H:$Q,10,FALSE)))/2*0.5/(((VLOOKUP($C196,Code!$H:$Q,7,FALSE))+(VLOOKUP($C196,Code!$H:$Q,8,FALSE)))/2),0)</f>
        <v>0.66685082872928181</v>
      </c>
      <c r="H196" s="171" t="str">
        <f t="shared" ref="H196:H259" si="24">IFERROR(IF(G196&gt;9E+306,"",IF(G196&gt;70%,"XL",IF(G196&gt;60%,"L",IF(G196&gt;50%,"M",IF(G196&gt;0%,"S",""))))),"")</f>
        <v>L</v>
      </c>
      <c r="I196" s="170">
        <f>IFERROR((VLOOKUP($C196,Code!$H:$Q,5,FALSE))/(((VLOOKUP($C196,Code!$H:$Q,7,FALSE))+(VLOOKUP($C196,Code!$H:$Q,8,FALSE)))/2)-1,0)</f>
        <v>-0.12833464877663758</v>
      </c>
      <c r="J196" s="204">
        <f>IFERROR(POWER((VLOOKUP(C196,Code!H:W,12,FALSE))/(VLOOKUP(C196,Code!H:W,15,FALSE)),1/(P196-1))-1,"")</f>
        <v>8.2770952188395475E-2</v>
      </c>
      <c r="K196" s="172" cm="1">
        <f t="array" ref="K196">IFERROR(IF(C196="","",_xlfn.IFS(AND(VLOOKUP(C196,Code!H:W,13,FALSE)=0,VLOOKUP(C196,Code!H:W,16,FALSE)=0),"無股息",AND(VLOOKUP(C196,Code!H:W,13,FALSE)=0,VLOOKUP(C196,Code!H:W,16,FALSE)&gt;0),"股息沒了",AND(VLOOKUP(C196,Code!H:W,13,FALSE)&gt;0,VLOOKUP(C196,Code!H:W,16,FALSE)=0),"發股息了",AND(VLOOKUP(C196,Code!H:W,13,FALSE)&gt;0,VLOOKUP(C196,Code!H:W,16,FALSE)&gt;0),POWER((VLOOKUP(C196,Code!H:W,13,FALSE))/(VLOOKUP(C196,Code!H:W,16,FALSE)),1/(P196-1))-1)),"")</f>
        <v>0.20266015776775226</v>
      </c>
      <c r="L196" s="173">
        <f>IFERROR(VLOOKUP(C196,Code!H:W,13,FALSE)*4/VLOOKUP(C196,Code!H:W,12,FALSE),"")</f>
        <v>4.9834922200421667E-3</v>
      </c>
      <c r="M196" s="172">
        <f t="shared" ref="M196:M259" si="25">IF(SUM(J196:K196)=0,"",SUM(J196:K196))</f>
        <v>0.28543110995614773</v>
      </c>
      <c r="N196" s="172" t="str">
        <f t="shared" ref="N196:N259" si="26">IFERROR(IF(L196&gt;3%,IF((K196+L196)&gt;12%,"Venture","-"),"-"),"")</f>
        <v>-</v>
      </c>
      <c r="O196" s="172" t="str">
        <f t="shared" ref="O196:O259" si="27">IFERROR(IF(OR(L196&lt;3%,L196=""),IF((K196+L196)&gt;15%,"Value","-"),"-"),"")</f>
        <v>Value</v>
      </c>
      <c r="P196" s="205">
        <f>IFERROR(YEARFRAC(VLOOKUP(C196,Code!H:W,11,FALSE),VLOOKUP(C196,Code!H:W,14,FALSE),3),"")</f>
        <v>4.7561643835616438</v>
      </c>
      <c r="Q196" s="174">
        <v>44547</v>
      </c>
      <c r="R196" s="175" t="str">
        <f t="shared" ref="R196:R259" ca="1" si="28">IFERROR(IF(OR(_xlfn.DAYS(Q196,TODAY())+1&lt;0,C196=0),"",_xlfn.DAYS(Q196,TODAY())+1),"")</f>
        <v/>
      </c>
      <c r="S196" s="176">
        <f>IFERROR(VLOOKUP($C196,Code!$H:$Q,5,FALSE),"")</f>
        <v>0.27610000000000001</v>
      </c>
      <c r="T196" s="177" t="str">
        <f t="shared" ref="T196:T259" ca="1" si="29">IFERROR(IF(V196*S196*SQRT(R196/365)=0,"",V196*S196*SQRT(R196/365)),"")</f>
        <v/>
      </c>
      <c r="U196" s="178" t="str">
        <f t="shared" ref="U196:U259" ca="1" si="30">IFERROR(V196-T196,"")</f>
        <v/>
      </c>
      <c r="V196" s="179">
        <f>IFERROR(VLOOKUP($C196,Code!$H:$Q,6,FALSE),"")</f>
        <v>152.88</v>
      </c>
      <c r="W196" s="180" t="str">
        <f t="shared" ref="W196:W259" ca="1" si="31">IFERROR(V196+T196,"")</f>
        <v/>
      </c>
      <c r="X196" s="12"/>
      <c r="Y196" s="12"/>
      <c r="Z196" s="12"/>
      <c r="AA196" s="12"/>
      <c r="AB196" s="12"/>
    </row>
    <row r="197" spans="1:28" s="10" customFormat="1" ht="15" hidden="1">
      <c r="A197" s="9"/>
      <c r="B197" s="169" cm="1">
        <f t="array" ref="B197">_xlfn.IFS(OR(Code!R417&lt;&gt;Code!U417,Code!R417=""),0,Code!R417=Code!U417,1)</f>
        <v>0</v>
      </c>
      <c r="C197" s="193" t="str">
        <f>IF(Code!F417="","",Code!F417)</f>
        <v>SNA</v>
      </c>
      <c r="D197" s="155" t="str">
        <f>IFERROR(VLOOKUP($C197,Code!$H:$K,2,FALSE),"")</f>
        <v>XLI</v>
      </c>
      <c r="E197" s="156" t="str">
        <f>IFERROR(VLOOKUP($C197,Code!$H:$K,3,FALSE),"")</f>
        <v>工具及附件</v>
      </c>
      <c r="F197" s="157" t="str">
        <f>IFERROR(VLOOKUP($C197,Code!$H:$K,4,FALSE),"")</f>
        <v>.SPX</v>
      </c>
      <c r="G197" s="170">
        <f>IFERROR(((VLOOKUP($C197,Code!$H:$Q,9,FALSE))+(VLOOKUP($C197,Code!$H:$Q,10,FALSE)))/2*0.5/(((VLOOKUP($C197,Code!$H:$Q,7,FALSE))+(VLOOKUP($C197,Code!$H:$Q,8,FALSE)))/2),0)</f>
        <v>0.57536538122908965</v>
      </c>
      <c r="H197" s="171" t="str">
        <f t="shared" si="24"/>
        <v>M</v>
      </c>
      <c r="I197" s="170">
        <f>IFERROR((VLOOKUP($C197,Code!$H:$Q,5,FALSE))/(((VLOOKUP($C197,Code!$H:$Q,7,FALSE))+(VLOOKUP($C197,Code!$H:$Q,8,FALSE)))/2)-1,0)</f>
        <v>-0.12907201972178195</v>
      </c>
      <c r="J197" s="204">
        <f>IFERROR(POWER((VLOOKUP(C197,Code!H:W,12,FALSE))/(VLOOKUP(C197,Code!H:W,15,FALSE)),1/(P197-1))-1,"")</f>
        <v>0.17109055337254397</v>
      </c>
      <c r="K197" s="172" cm="1">
        <f t="array" ref="K197">IFERROR(IF(C197="","",_xlfn.IFS(AND(VLOOKUP(C197,Code!H:W,13,FALSE)=0,VLOOKUP(C197,Code!H:W,16,FALSE)=0),"無股息",AND(VLOOKUP(C197,Code!H:W,13,FALSE)=0,VLOOKUP(C197,Code!H:W,16,FALSE)&gt;0),"股息沒了",AND(VLOOKUP(C197,Code!H:W,13,FALSE)&gt;0,VLOOKUP(C197,Code!H:W,16,FALSE)=0),"發股息了",AND(VLOOKUP(C197,Code!H:W,13,FALSE)&gt;0,VLOOKUP(C197,Code!H:W,16,FALSE)&gt;0),POWER((VLOOKUP(C197,Code!H:W,13,FALSE))/(VLOOKUP(C197,Code!H:W,16,FALSE)),1/(P197-1))-1)),"")</f>
        <v>0.20511274430328297</v>
      </c>
      <c r="L197" s="173">
        <f>IFERROR(VLOOKUP(C197,Code!H:W,13,FALSE)*4/VLOOKUP(C197,Code!H:W,12,FALSE),"")</f>
        <v>1.9827516773199664E-2</v>
      </c>
      <c r="M197" s="172">
        <f t="shared" si="25"/>
        <v>0.37620329767582694</v>
      </c>
      <c r="N197" s="172" t="str">
        <f t="shared" si="26"/>
        <v>-</v>
      </c>
      <c r="O197" s="172" t="str">
        <f t="shared" si="27"/>
        <v>Value</v>
      </c>
      <c r="P197" s="205">
        <f>IFERROR(YEARFRAC(VLOOKUP(C197,Code!H:W,11,FALSE),VLOOKUP(C197,Code!H:W,14,FALSE),3),"")</f>
        <v>4.7589041095890412</v>
      </c>
      <c r="Q197" s="174">
        <v>44547</v>
      </c>
      <c r="R197" s="175" t="str">
        <f t="shared" ca="1" si="28"/>
        <v/>
      </c>
      <c r="S197" s="176">
        <f>IFERROR(VLOOKUP($C197,Code!$H:$Q,5,FALSE),"")</f>
        <v>0.24729999999999999</v>
      </c>
      <c r="T197" s="177" t="str">
        <f t="shared" ca="1" si="29"/>
        <v/>
      </c>
      <c r="U197" s="178" t="str">
        <f t="shared" ca="1" si="30"/>
        <v/>
      </c>
      <c r="V197" s="179">
        <f>IFERROR(VLOOKUP($C197,Code!$H:$Q,6,FALSE),"")</f>
        <v>222.95</v>
      </c>
      <c r="W197" s="180" t="str">
        <f t="shared" ca="1" si="31"/>
        <v/>
      </c>
      <c r="X197" s="12"/>
      <c r="Y197" s="12"/>
      <c r="Z197" s="12"/>
      <c r="AA197" s="12"/>
      <c r="AB197" s="12"/>
    </row>
    <row r="198" spans="1:28" s="10" customFormat="1" ht="15" hidden="1">
      <c r="A198" s="9"/>
      <c r="B198" s="169" cm="1">
        <f t="array" ref="B198">_xlfn.IFS(OR(Code!R413&lt;&gt;Code!U413,Code!R413=""),0,Code!R413=Code!U413,1)</f>
        <v>0</v>
      </c>
      <c r="C198" s="193" t="str">
        <f>IF(Code!F413="","",Code!F413)</f>
        <v>SHW</v>
      </c>
      <c r="D198" s="155" t="str">
        <f>IFERROR(VLOOKUP($C198,Code!$H:$K,2,FALSE),"")</f>
        <v>XLB</v>
      </c>
      <c r="E198" s="156" t="str">
        <f>IFERROR(VLOOKUP($C198,Code!$H:$K,3,FALSE),"")</f>
        <v>特種化學品</v>
      </c>
      <c r="F198" s="157" t="str">
        <f>IFERROR(VLOOKUP($C198,Code!$H:$K,4,FALSE),"")</f>
        <v>.SPX</v>
      </c>
      <c r="G198" s="170">
        <f>IFERROR(((VLOOKUP($C198,Code!$H:$Q,9,FALSE))+(VLOOKUP($C198,Code!$H:$Q,10,FALSE)))/2*0.5/(((VLOOKUP($C198,Code!$H:$Q,7,FALSE))+(VLOOKUP($C198,Code!$H:$Q,8,FALSE)))/2),0)</f>
        <v>0.61279262236935439</v>
      </c>
      <c r="H198" s="171" t="str">
        <f t="shared" si="24"/>
        <v>L</v>
      </c>
      <c r="I198" s="170">
        <f>IFERROR((VLOOKUP($C198,Code!$H:$Q,5,FALSE))/(((VLOOKUP($C198,Code!$H:$Q,7,FALSE))+(VLOOKUP($C198,Code!$H:$Q,8,FALSE)))/2)-1,0)</f>
        <v>-0.13076377394183036</v>
      </c>
      <c r="J198" s="204">
        <f>IFERROR(POWER((VLOOKUP(C198,Code!H:W,12,FALSE))/(VLOOKUP(C198,Code!H:W,15,FALSE)),1/(P198-1))-1,"")</f>
        <v>0.3489050222107033</v>
      </c>
      <c r="K198" s="172" cm="1">
        <f t="array" ref="K198">IFERROR(IF(C198="","",_xlfn.IFS(AND(VLOOKUP(C198,Code!H:W,13,FALSE)=0,VLOOKUP(C198,Code!H:W,16,FALSE)=0),"無股息",AND(VLOOKUP(C198,Code!H:W,13,FALSE)=0,VLOOKUP(C198,Code!H:W,16,FALSE)&gt;0),"股息沒了",AND(VLOOKUP(C198,Code!H:W,13,FALSE)&gt;0,VLOOKUP(C198,Code!H:W,16,FALSE)=0),"發股息了",AND(VLOOKUP(C198,Code!H:W,13,FALSE)&gt;0,VLOOKUP(C198,Code!H:W,16,FALSE)&gt;0),POWER((VLOOKUP(C198,Code!H:W,13,FALSE))/(VLOOKUP(C198,Code!H:W,16,FALSE)),1/(P198-1))-1)),"")</f>
        <v>0.19674796305766207</v>
      </c>
      <c r="L198" s="173">
        <f>IFERROR(VLOOKUP(C198,Code!H:W,13,FALSE)*4/VLOOKUP(C198,Code!H:W,12,FALSE),"")</f>
        <v>7.7851305018224442E-3</v>
      </c>
      <c r="M198" s="172">
        <f t="shared" si="25"/>
        <v>0.54565298526836536</v>
      </c>
      <c r="N198" s="172" t="str">
        <f t="shared" si="26"/>
        <v>-</v>
      </c>
      <c r="O198" s="172" t="str">
        <f t="shared" si="27"/>
        <v>Value</v>
      </c>
      <c r="P198" s="205">
        <f>IFERROR(YEARFRAC(VLOOKUP(C198,Code!H:W,11,FALSE),VLOOKUP(C198,Code!H:W,14,FALSE),3),"")</f>
        <v>4.7589041095890412</v>
      </c>
      <c r="Q198" s="174">
        <v>44547</v>
      </c>
      <c r="R198" s="175" t="str">
        <f t="shared" ca="1" si="28"/>
        <v/>
      </c>
      <c r="S198" s="176">
        <f>IFERROR(VLOOKUP($C198,Code!$H:$Q,5,FALSE),"")</f>
        <v>0.18379999999999999</v>
      </c>
      <c r="T198" s="177" t="str">
        <f t="shared" ca="1" si="29"/>
        <v/>
      </c>
      <c r="U198" s="178" t="str">
        <f t="shared" ca="1" si="30"/>
        <v/>
      </c>
      <c r="V198" s="179">
        <f>IFERROR(VLOOKUP($C198,Code!$H:$Q,6,FALSE),"")</f>
        <v>295.66000000000003</v>
      </c>
      <c r="W198" s="180" t="str">
        <f t="shared" ca="1" si="31"/>
        <v/>
      </c>
      <c r="X198" s="12"/>
      <c r="Y198" s="12"/>
      <c r="Z198" s="12"/>
      <c r="AA198" s="12"/>
      <c r="AB198" s="12"/>
    </row>
    <row r="199" spans="1:28" s="10" customFormat="1" ht="15" hidden="1">
      <c r="A199" s="9"/>
      <c r="B199" s="169" cm="1">
        <f t="array" ref="B199">_xlfn.IFS(OR(Code!R230&lt;&gt;Code!U230,Code!R230=""),0,Code!R230=Code!U230,1)</f>
        <v>0</v>
      </c>
      <c r="C199" s="193" t="str">
        <f>IF(Code!F230="","",Code!F230)</f>
        <v>HSY</v>
      </c>
      <c r="D199" s="155" t="str">
        <f>IFERROR(VLOOKUP($C199,Code!$H:$K,2,FALSE),"")</f>
        <v>XLP</v>
      </c>
      <c r="E199" s="156" t="str">
        <f>IFERROR(VLOOKUP($C199,Code!$H:$K,3,FALSE),"")</f>
        <v>糖果店</v>
      </c>
      <c r="F199" s="157" t="str">
        <f>IFERROR(VLOOKUP($C199,Code!$H:$K,4,FALSE),"")</f>
        <v>.SPX</v>
      </c>
      <c r="G199" s="170">
        <f>IFERROR(((VLOOKUP($C199,Code!$H:$Q,9,FALSE))+(VLOOKUP($C199,Code!$H:$Q,10,FALSE)))/2*0.5/(((VLOOKUP($C199,Code!$H:$Q,7,FALSE))+(VLOOKUP($C199,Code!$H:$Q,8,FALSE)))/2),0)</f>
        <v>0.73474526066350709</v>
      </c>
      <c r="H199" s="171" t="str">
        <f t="shared" si="24"/>
        <v>XL</v>
      </c>
      <c r="I199" s="170">
        <f>IFERROR((VLOOKUP($C199,Code!$H:$Q,5,FALSE))/(((VLOOKUP($C199,Code!$H:$Q,7,FALSE))+(VLOOKUP($C199,Code!$H:$Q,8,FALSE)))/2)-1,0)</f>
        <v>-0.13092417061611383</v>
      </c>
      <c r="J199" s="204">
        <f>IFERROR(POWER((VLOOKUP(C199,Code!H:W,12,FALSE))/(VLOOKUP(C199,Code!H:W,15,FALSE)),1/(P199-1))-1,"")</f>
        <v>0.15427630906516865</v>
      </c>
      <c r="K199" s="172" cm="1">
        <f t="array" ref="K199">IFERROR(IF(C199="","",_xlfn.IFS(AND(VLOOKUP(C199,Code!H:W,13,FALSE)=0,VLOOKUP(C199,Code!H:W,16,FALSE)=0),"無股息",AND(VLOOKUP(C199,Code!H:W,13,FALSE)=0,VLOOKUP(C199,Code!H:W,16,FALSE)&gt;0),"股息沒了",AND(VLOOKUP(C199,Code!H:W,13,FALSE)&gt;0,VLOOKUP(C199,Code!H:W,16,FALSE)=0),"發股息了",AND(VLOOKUP(C199,Code!H:W,13,FALSE)&gt;0,VLOOKUP(C199,Code!H:W,16,FALSE)&gt;0),POWER((VLOOKUP(C199,Code!H:W,13,FALSE))/(VLOOKUP(C199,Code!H:W,16,FALSE)),1/(P199-1))-1)),"")</f>
        <v>7.2834416463204876E-2</v>
      </c>
      <c r="L199" s="173">
        <f>IFERROR(VLOOKUP(C199,Code!H:W,13,FALSE)*4/VLOOKUP(C199,Code!H:W,12,FALSE),"")</f>
        <v>1.857992990953693E-2</v>
      </c>
      <c r="M199" s="172">
        <f t="shared" si="25"/>
        <v>0.22711072552837352</v>
      </c>
      <c r="N199" s="172" t="str">
        <f t="shared" si="26"/>
        <v>-</v>
      </c>
      <c r="O199" s="172" t="str">
        <f t="shared" si="27"/>
        <v>-</v>
      </c>
      <c r="P199" s="205">
        <f>IFERROR(YEARFRAC(VLOOKUP(C199,Code!H:W,11,FALSE),VLOOKUP(C199,Code!H:W,14,FALSE),3),"")</f>
        <v>4.7424657534246579</v>
      </c>
      <c r="Q199" s="174">
        <v>44547</v>
      </c>
      <c r="R199" s="175" t="str">
        <f t="shared" ca="1" si="28"/>
        <v/>
      </c>
      <c r="S199" s="176">
        <f>IFERROR(VLOOKUP($C199,Code!$H:$Q,5,FALSE),"")</f>
        <v>0.1467</v>
      </c>
      <c r="T199" s="177" t="str">
        <f t="shared" ca="1" si="29"/>
        <v/>
      </c>
      <c r="U199" s="178" t="str">
        <f t="shared" ca="1" si="30"/>
        <v/>
      </c>
      <c r="V199" s="179">
        <f>IFERROR(VLOOKUP($C199,Code!$H:$Q,6,FALSE),"")</f>
        <v>179.17</v>
      </c>
      <c r="W199" s="180" t="str">
        <f t="shared" ca="1" si="31"/>
        <v/>
      </c>
      <c r="X199" s="12"/>
      <c r="Y199" s="12"/>
      <c r="Z199" s="12"/>
      <c r="AA199" s="12"/>
      <c r="AB199" s="12"/>
    </row>
    <row r="200" spans="1:28" s="10" customFormat="1" ht="15" hidden="1">
      <c r="A200" s="9"/>
      <c r="B200" s="169" cm="1">
        <f t="array" ref="B200">_xlfn.IFS(OR(Code!R373&lt;&gt;Code!U373,Code!R373=""),0,Code!R373=Code!U373,1)</f>
        <v>0</v>
      </c>
      <c r="C200" s="193" t="str">
        <f>IF(Code!F373="","",Code!F373)</f>
        <v>PKG</v>
      </c>
      <c r="D200" s="155" t="str">
        <f>IFERROR(VLOOKUP($C200,Code!$H:$K,2,FALSE),"")</f>
        <v>XLB</v>
      </c>
      <c r="E200" s="156" t="str">
        <f>IFERROR(VLOOKUP($C200,Code!$H:$K,3,FALSE),"")</f>
        <v>包裝和容器</v>
      </c>
      <c r="F200" s="157" t="str">
        <f>IFERROR(VLOOKUP($C200,Code!$H:$K,4,FALSE),"")</f>
        <v>.SPX</v>
      </c>
      <c r="G200" s="170">
        <f>IFERROR(((VLOOKUP($C200,Code!$H:$Q,9,FALSE))+(VLOOKUP($C200,Code!$H:$Q,10,FALSE)))/2*0.5/(((VLOOKUP($C200,Code!$H:$Q,7,FALSE))+(VLOOKUP($C200,Code!$H:$Q,8,FALSE)))/2),0)</f>
        <v>0.57847101867899098</v>
      </c>
      <c r="H200" s="171" t="str">
        <f t="shared" si="24"/>
        <v>M</v>
      </c>
      <c r="I200" s="170">
        <f>IFERROR((VLOOKUP($C200,Code!$H:$Q,5,FALSE))/(((VLOOKUP($C200,Code!$H:$Q,7,FALSE))+(VLOOKUP($C200,Code!$H:$Q,8,FALSE)))/2)-1,0)</f>
        <v>-0.13152320431349884</v>
      </c>
      <c r="J200" s="204">
        <f>IFERROR(POWER((VLOOKUP(C200,Code!H:W,12,FALSE))/(VLOOKUP(C200,Code!H:W,15,FALSE)),1/(P200-1))-1,"")</f>
        <v>0.20413846813452641</v>
      </c>
      <c r="K200" s="172" cm="1">
        <f t="array" ref="K200">IFERROR(IF(C200="","",_xlfn.IFS(AND(VLOOKUP(C200,Code!H:W,13,FALSE)=0,VLOOKUP(C200,Code!H:W,16,FALSE)=0),"無股息",AND(VLOOKUP(C200,Code!H:W,13,FALSE)=0,VLOOKUP(C200,Code!H:W,16,FALSE)&gt;0),"股息沒了",AND(VLOOKUP(C200,Code!H:W,13,FALSE)&gt;0,VLOOKUP(C200,Code!H:W,16,FALSE)=0),"發股息了",AND(VLOOKUP(C200,Code!H:W,13,FALSE)&gt;0,VLOOKUP(C200,Code!H:W,16,FALSE)&gt;0),POWER((VLOOKUP(C200,Code!H:W,13,FALSE))/(VLOOKUP(C200,Code!H:W,16,FALSE)),1/(P200-1))-1)),"")</f>
        <v>0.13099416560640642</v>
      </c>
      <c r="L200" s="173">
        <f>IFERROR(VLOOKUP(C200,Code!H:W,13,FALSE)*4/VLOOKUP(C200,Code!H:W,12,FALSE),"")</f>
        <v>2.8805991519647373E-2</v>
      </c>
      <c r="M200" s="172">
        <f t="shared" si="25"/>
        <v>0.33513263374093283</v>
      </c>
      <c r="N200" s="172" t="str">
        <f t="shared" si="26"/>
        <v>-</v>
      </c>
      <c r="O200" s="172" t="str">
        <f t="shared" si="27"/>
        <v>Value</v>
      </c>
      <c r="P200" s="205">
        <f>IFERROR(YEARFRAC(VLOOKUP(C200,Code!H:W,11,FALSE),VLOOKUP(C200,Code!H:W,14,FALSE),3),"")</f>
        <v>4.7534246575342465</v>
      </c>
      <c r="Q200" s="174">
        <v>44547</v>
      </c>
      <c r="R200" s="175" t="str">
        <f t="shared" ca="1" si="28"/>
        <v/>
      </c>
      <c r="S200" s="176">
        <f>IFERROR(VLOOKUP($C200,Code!$H:$Q,5,FALSE),"")</f>
        <v>0.22550000000000001</v>
      </c>
      <c r="T200" s="177" t="str">
        <f t="shared" ca="1" si="29"/>
        <v/>
      </c>
      <c r="U200" s="178" t="str">
        <f t="shared" ca="1" si="30"/>
        <v/>
      </c>
      <c r="V200" s="179">
        <f>IFERROR(VLOOKUP($C200,Code!$H:$Q,6,FALSE),"")</f>
        <v>138.54</v>
      </c>
      <c r="W200" s="180" t="str">
        <f t="shared" ca="1" si="31"/>
        <v/>
      </c>
      <c r="X200" s="12"/>
      <c r="Y200" s="12"/>
      <c r="Z200" s="12"/>
      <c r="AA200" s="12"/>
      <c r="AB200" s="12"/>
    </row>
    <row r="201" spans="1:28" s="10" customFormat="1" ht="15" hidden="1">
      <c r="A201" s="9"/>
      <c r="B201" s="169" cm="1">
        <f t="array" ref="B201">_xlfn.IFS(OR(Code!R37&lt;&gt;Code!U37,Code!R37=""),0,Code!R37=Code!U37,1)</f>
        <v>0</v>
      </c>
      <c r="C201" s="193" t="str">
        <f>IF(Code!F37="","",Code!F37)</f>
        <v>AMT</v>
      </c>
      <c r="D201" s="155" t="str">
        <f>IFERROR(VLOOKUP($C201,Code!$H:$K,2,FALSE),"")</f>
        <v>XLRE</v>
      </c>
      <c r="E201" s="156" t="str">
        <f>IFERROR(VLOOKUP($C201,Code!$H:$K,3,FALSE),"")</f>
        <v>REIT-專業</v>
      </c>
      <c r="F201" s="157" t="str">
        <f>IFERROR(VLOOKUP($C201,Code!$H:$K,4,FALSE),"")</f>
        <v>.SPX</v>
      </c>
      <c r="G201" s="170">
        <f>IFERROR(((VLOOKUP($C201,Code!$H:$Q,9,FALSE))+(VLOOKUP($C201,Code!$H:$Q,10,FALSE)))/2*0.5/(((VLOOKUP($C201,Code!$H:$Q,7,FALSE))+(VLOOKUP($C201,Code!$H:$Q,8,FALSE)))/2),0)</f>
        <v>0.63680820610687028</v>
      </c>
      <c r="H201" s="171" t="str">
        <f t="shared" si="24"/>
        <v>L</v>
      </c>
      <c r="I201" s="170">
        <f>IFERROR((VLOOKUP($C201,Code!$H:$Q,5,FALSE))/(((VLOOKUP($C201,Code!$H:$Q,7,FALSE))+(VLOOKUP($C201,Code!$H:$Q,8,FALSE)))/2)-1,0)</f>
        <v>-0.13263358778625967</v>
      </c>
      <c r="J201" s="204">
        <f>IFERROR(POWER((VLOOKUP(C201,Code!H:W,12,FALSE))/(VLOOKUP(C201,Code!H:W,15,FALSE)),1/(P201-1))-1,"")</f>
        <v>0.29646615226112849</v>
      </c>
      <c r="K201" s="172" cm="1">
        <f t="array" ref="K201">IFERROR(IF(C201="","",_xlfn.IFS(AND(VLOOKUP(C201,Code!H:W,13,FALSE)=0,VLOOKUP(C201,Code!H:W,16,FALSE)=0),"無股息",AND(VLOOKUP(C201,Code!H:W,13,FALSE)=0,VLOOKUP(C201,Code!H:W,16,FALSE)&gt;0),"股息沒了",AND(VLOOKUP(C201,Code!H:W,13,FALSE)&gt;0,VLOOKUP(C201,Code!H:W,16,FALSE)=0),"發股息了",AND(VLOOKUP(C201,Code!H:W,13,FALSE)&gt;0,VLOOKUP(C201,Code!H:W,16,FALSE)&gt;0),POWER((VLOOKUP(C201,Code!H:W,13,FALSE))/(VLOOKUP(C201,Code!H:W,16,FALSE)),1/(P201-1))-1)),"")</f>
        <v>0.25223204499055929</v>
      </c>
      <c r="L201" s="173">
        <f>IFERROR(VLOOKUP(C201,Code!H:W,13,FALSE)*4/VLOOKUP(C201,Code!H:W,12,FALSE),"")</f>
        <v>1.8849021616739726E-2</v>
      </c>
      <c r="M201" s="172">
        <f t="shared" si="25"/>
        <v>0.54869819725168778</v>
      </c>
      <c r="N201" s="172" t="str">
        <f t="shared" si="26"/>
        <v>-</v>
      </c>
      <c r="O201" s="172" t="str">
        <f t="shared" si="27"/>
        <v>Value</v>
      </c>
      <c r="P201" s="205">
        <f>IFERROR(YEARFRAC(VLOOKUP(C201,Code!H:W,11,FALSE),VLOOKUP(C201,Code!H:W,14,FALSE),3),"")</f>
        <v>4.720547945205479</v>
      </c>
      <c r="Q201" s="174">
        <v>44547</v>
      </c>
      <c r="R201" s="175" t="str">
        <f t="shared" ca="1" si="28"/>
        <v/>
      </c>
      <c r="S201" s="176">
        <f>IFERROR(VLOOKUP($C201,Code!$H:$Q,5,FALSE),"")</f>
        <v>0.18179999999999999</v>
      </c>
      <c r="T201" s="177" t="str">
        <f t="shared" ca="1" si="29"/>
        <v/>
      </c>
      <c r="U201" s="178" t="str">
        <f t="shared" ca="1" si="30"/>
        <v/>
      </c>
      <c r="V201" s="179">
        <f>IFERROR(VLOOKUP($C201,Code!$H:$Q,6,FALSE),"")</f>
        <v>282.76</v>
      </c>
      <c r="W201" s="180" t="str">
        <f t="shared" ca="1" si="31"/>
        <v/>
      </c>
      <c r="X201" s="12"/>
      <c r="Y201" s="12"/>
      <c r="Z201" s="12"/>
      <c r="AA201" s="12"/>
      <c r="AB201" s="12"/>
    </row>
    <row r="202" spans="1:28" s="10" customFormat="1" ht="15" hidden="1">
      <c r="A202" s="9"/>
      <c r="B202" s="169" cm="1">
        <f t="array" ref="B202">_xlfn.IFS(OR(Code!R246&lt;&gt;Code!U246,Code!R246=""),0,Code!R246=Code!U246,1)</f>
        <v>1</v>
      </c>
      <c r="C202" s="193" t="str">
        <f>IF(Code!F246="","",Code!F246)</f>
        <v>IQV</v>
      </c>
      <c r="D202" s="155" t="str">
        <f>IFERROR(VLOOKUP($C202,Code!$H:$K,2,FALSE),"")</f>
        <v>XLV</v>
      </c>
      <c r="E202" s="156" t="str">
        <f>IFERROR(VLOOKUP($C202,Code!$H:$K,3,FALSE),"")</f>
        <v>診斷與研究</v>
      </c>
      <c r="F202" s="157" t="str">
        <f>IFERROR(VLOOKUP($C202,Code!$H:$K,4,FALSE),"")</f>
        <v>.SPX</v>
      </c>
      <c r="G202" s="170">
        <f>IFERROR(((VLOOKUP($C202,Code!$H:$Q,9,FALSE))+(VLOOKUP($C202,Code!$H:$Q,10,FALSE)))/2*0.5/(((VLOOKUP($C202,Code!$H:$Q,7,FALSE))+(VLOOKUP($C202,Code!$H:$Q,8,FALSE)))/2),0)</f>
        <v>0.56146118721461191</v>
      </c>
      <c r="H202" s="171" t="str">
        <f t="shared" si="24"/>
        <v>M</v>
      </c>
      <c r="I202" s="170">
        <f>IFERROR((VLOOKUP($C202,Code!$H:$Q,5,FALSE))/(((VLOOKUP($C202,Code!$H:$Q,7,FALSE))+(VLOOKUP($C202,Code!$H:$Q,8,FALSE)))/2)-1,0)</f>
        <v>-0.13315068493150684</v>
      </c>
      <c r="J202" s="204" t="str">
        <f>IFERROR(POWER((VLOOKUP(C202,Code!H:W,12,FALSE))/(VLOOKUP(C202,Code!H:W,15,FALSE)),1/(P202-1))-1,"")</f>
        <v/>
      </c>
      <c r="K202" s="172" t="str" cm="1">
        <f t="array" ref="K202">IFERROR(IF(C202="","",_xlfn.IFS(AND(VLOOKUP(C202,Code!H:W,13,FALSE)=0,VLOOKUP(C202,Code!H:W,16,FALSE)=0),"無股息",AND(VLOOKUP(C202,Code!H:W,13,FALSE)=0,VLOOKUP(C202,Code!H:W,16,FALSE)&gt;0),"股息沒了",AND(VLOOKUP(C202,Code!H:W,13,FALSE)&gt;0,VLOOKUP(C202,Code!H:W,16,FALSE)=0),"發股息了",AND(VLOOKUP(C202,Code!H:W,13,FALSE)&gt;0,VLOOKUP(C202,Code!H:W,16,FALSE)&gt;0),POWER((VLOOKUP(C202,Code!H:W,13,FALSE))/(VLOOKUP(C202,Code!H:W,16,FALSE)),1/(P202-1))-1)),"")</f>
        <v>無股息</v>
      </c>
      <c r="L202" s="173" t="str">
        <f>IFERROR(VLOOKUP(C202,Code!H:W,13,FALSE)*4/VLOOKUP(C202,Code!H:W,12,FALSE),"")</f>
        <v/>
      </c>
      <c r="M202" s="172" t="str">
        <f t="shared" si="25"/>
        <v/>
      </c>
      <c r="N202" s="172" t="str">
        <f t="shared" si="26"/>
        <v/>
      </c>
      <c r="O202" s="172" t="str">
        <f t="shared" si="27"/>
        <v/>
      </c>
      <c r="P202" s="205">
        <f>IFERROR(YEARFRAC(VLOOKUP(C202,Code!H:W,11,FALSE),VLOOKUP(C202,Code!H:W,14,FALSE),3),"")</f>
        <v>0</v>
      </c>
      <c r="Q202" s="174">
        <v>44547</v>
      </c>
      <c r="R202" s="175" t="str">
        <f t="shared" ca="1" si="28"/>
        <v/>
      </c>
      <c r="S202" s="176">
        <f>IFERROR(VLOOKUP($C202,Code!$H:$Q,5,FALSE),"")</f>
        <v>0.23730000000000001</v>
      </c>
      <c r="T202" s="177" t="str">
        <f t="shared" ca="1" si="29"/>
        <v/>
      </c>
      <c r="U202" s="178" t="str">
        <f t="shared" ca="1" si="30"/>
        <v/>
      </c>
      <c r="V202" s="179">
        <f>IFERROR(VLOOKUP($C202,Code!$H:$Q,6,FALSE),"")</f>
        <v>248.41</v>
      </c>
      <c r="W202" s="180" t="str">
        <f t="shared" ca="1" si="31"/>
        <v/>
      </c>
      <c r="X202" s="12"/>
      <c r="Y202" s="12"/>
      <c r="Z202" s="12"/>
      <c r="AA202" s="12"/>
      <c r="AB202" s="12"/>
    </row>
    <row r="203" spans="1:28" s="10" customFormat="1" ht="15" hidden="1">
      <c r="A203" s="9"/>
      <c r="B203" s="169" cm="1">
        <f t="array" ref="B203">_xlfn.IFS(OR(Code!R168&lt;&gt;Code!U168,Code!R168=""),0,Code!R168=Code!U168,1)</f>
        <v>0</v>
      </c>
      <c r="C203" s="193" t="str">
        <f>IF(Code!F168="","",Code!F168)</f>
        <v>ETN</v>
      </c>
      <c r="D203" s="155" t="str">
        <f>IFERROR(VLOOKUP($C203,Code!$H:$K,2,FALSE),"")</f>
        <v>XLI</v>
      </c>
      <c r="E203" s="156" t="str">
        <f>IFERROR(VLOOKUP($C203,Code!$H:$K,3,FALSE),"")</f>
        <v>特種工業機械</v>
      </c>
      <c r="F203" s="157" t="str">
        <f>IFERROR(VLOOKUP($C203,Code!$H:$K,4,FALSE),"")</f>
        <v>.SPX</v>
      </c>
      <c r="G203" s="170">
        <f>IFERROR(((VLOOKUP($C203,Code!$H:$Q,9,FALSE))+(VLOOKUP($C203,Code!$H:$Q,10,FALSE)))/2*0.5/(((VLOOKUP($C203,Code!$H:$Q,7,FALSE))+(VLOOKUP($C203,Code!$H:$Q,8,FALSE)))/2),0)</f>
        <v>0.65899978898501799</v>
      </c>
      <c r="H203" s="171" t="str">
        <f t="shared" si="24"/>
        <v>L</v>
      </c>
      <c r="I203" s="170">
        <f>IFERROR((VLOOKUP($C203,Code!$H:$Q,5,FALSE))/(((VLOOKUP($C203,Code!$H:$Q,7,FALSE))+(VLOOKUP($C203,Code!$H:$Q,8,FALSE)))/2)-1,0)</f>
        <v>-0.13399451361046633</v>
      </c>
      <c r="J203" s="204">
        <f>IFERROR(POWER((VLOOKUP(C203,Code!H:W,12,FALSE))/(VLOOKUP(C203,Code!H:W,15,FALSE)),1/(P203-1))-1,"")</f>
        <v>0.33134635439229254</v>
      </c>
      <c r="K203" s="172" cm="1">
        <f t="array" ref="K203">IFERROR(IF(C203="","",_xlfn.IFS(AND(VLOOKUP(C203,Code!H:W,13,FALSE)=0,VLOOKUP(C203,Code!H:W,16,FALSE)=0),"無股息",AND(VLOOKUP(C203,Code!H:W,13,FALSE)=0,VLOOKUP(C203,Code!H:W,16,FALSE)&gt;0),"股息沒了",AND(VLOOKUP(C203,Code!H:W,13,FALSE)&gt;0,VLOOKUP(C203,Code!H:W,16,FALSE)=0),"發股息了",AND(VLOOKUP(C203,Code!H:W,13,FALSE)&gt;0,VLOOKUP(C203,Code!H:W,16,FALSE)&gt;0),POWER((VLOOKUP(C203,Code!H:W,13,FALSE))/(VLOOKUP(C203,Code!H:W,16,FALSE)),1/(P203-1))-1)),"")</f>
        <v>8.5008863133661183E-2</v>
      </c>
      <c r="L203" s="173">
        <f>IFERROR(VLOOKUP(C203,Code!H:W,13,FALSE)*4/VLOOKUP(C203,Code!H:W,12,FALSE),"")</f>
        <v>2.085047967331552E-2</v>
      </c>
      <c r="M203" s="172">
        <f t="shared" si="25"/>
        <v>0.41635521752595372</v>
      </c>
      <c r="N203" s="172" t="str">
        <f t="shared" si="26"/>
        <v>-</v>
      </c>
      <c r="O203" s="172" t="str">
        <f t="shared" si="27"/>
        <v>-</v>
      </c>
      <c r="P203" s="205">
        <f>IFERROR(YEARFRAC(VLOOKUP(C203,Code!H:W,11,FALSE),VLOOKUP(C203,Code!H:W,14,FALSE),3),"")</f>
        <v>4.5260273972602736</v>
      </c>
      <c r="Q203" s="174">
        <v>44547</v>
      </c>
      <c r="R203" s="175" t="str">
        <f t="shared" ca="1" si="28"/>
        <v/>
      </c>
      <c r="S203" s="176">
        <f>IFERROR(VLOOKUP($C203,Code!$H:$Q,5,FALSE),"")</f>
        <v>0.20519999999999999</v>
      </c>
      <c r="T203" s="177" t="str">
        <f t="shared" ca="1" si="29"/>
        <v/>
      </c>
      <c r="U203" s="178" t="str">
        <f t="shared" ca="1" si="30"/>
        <v/>
      </c>
      <c r="V203" s="179">
        <f>IFERROR(VLOOKUP($C203,Code!$H:$Q,6,FALSE),"")</f>
        <v>161.91999999999999</v>
      </c>
      <c r="W203" s="180" t="str">
        <f t="shared" ca="1" si="31"/>
        <v/>
      </c>
      <c r="X203" s="12"/>
      <c r="Y203" s="12"/>
      <c r="Z203" s="12"/>
      <c r="AA203" s="12"/>
      <c r="AB203" s="12"/>
    </row>
    <row r="204" spans="1:28" s="10" customFormat="1" ht="15" hidden="1">
      <c r="A204" s="9"/>
      <c r="B204" s="169" cm="1">
        <f t="array" ref="B204">_xlfn.IFS(OR(Code!R88&lt;&gt;Code!U88,Code!R88=""),0,Code!R88=Code!U88,1)</f>
        <v>0</v>
      </c>
      <c r="C204" s="193" t="str">
        <f>IF(Code!F88="","",Code!F88)</f>
        <v>CDW</v>
      </c>
      <c r="D204" s="155" t="str">
        <f>IFERROR(VLOOKUP($C204,Code!$H:$K,2,FALSE),"")</f>
        <v>XLK</v>
      </c>
      <c r="E204" s="156" t="str">
        <f>IFERROR(VLOOKUP($C204,Code!$H:$K,3,FALSE),"")</f>
        <v>信息技術處</v>
      </c>
      <c r="F204" s="157" t="str">
        <f>IFERROR(VLOOKUP($C204,Code!$H:$K,4,FALSE),"")</f>
        <v>.SPX</v>
      </c>
      <c r="G204" s="170">
        <f>IFERROR(((VLOOKUP($C204,Code!$H:$Q,9,FALSE))+(VLOOKUP($C204,Code!$H:$Q,10,FALSE)))/2*0.5/(((VLOOKUP($C204,Code!$H:$Q,7,FALSE))+(VLOOKUP($C204,Code!$H:$Q,8,FALSE)))/2),0)</f>
        <v>0.61433157099697899</v>
      </c>
      <c r="H204" s="171" t="str">
        <f t="shared" si="24"/>
        <v>L</v>
      </c>
      <c r="I204" s="170">
        <f>IFERROR((VLOOKUP($C204,Code!$H:$Q,5,FALSE))/(((VLOOKUP($C204,Code!$H:$Q,7,FALSE))+(VLOOKUP($C204,Code!$H:$Q,8,FALSE)))/2)-1,0)</f>
        <v>-0.13406344410876125</v>
      </c>
      <c r="J204" s="204">
        <f>IFERROR(POWER((VLOOKUP(C204,Code!H:W,12,FALSE))/(VLOOKUP(C204,Code!H:W,15,FALSE)),1/(P204-1))-1,"")</f>
        <v>0.44299687417043754</v>
      </c>
      <c r="K204" s="172" cm="1">
        <f t="array" ref="K204">IFERROR(IF(C204="","",_xlfn.IFS(AND(VLOOKUP(C204,Code!H:W,13,FALSE)=0,VLOOKUP(C204,Code!H:W,16,FALSE)=0),"無股息",AND(VLOOKUP(C204,Code!H:W,13,FALSE)=0,VLOOKUP(C204,Code!H:W,16,FALSE)&gt;0),"股息沒了",AND(VLOOKUP(C204,Code!H:W,13,FALSE)&gt;0,VLOOKUP(C204,Code!H:W,16,FALSE)=0),"發股息了",AND(VLOOKUP(C204,Code!H:W,13,FALSE)&gt;0,VLOOKUP(C204,Code!H:W,16,FALSE)&gt;0),POWER((VLOOKUP(C204,Code!H:W,13,FALSE))/(VLOOKUP(C204,Code!H:W,16,FALSE)),1/(P204-1))-1)),"")</f>
        <v>0.41741810317351424</v>
      </c>
      <c r="L204" s="173">
        <f>IFERROR(VLOOKUP(C204,Code!H:W,13,FALSE)*4/VLOOKUP(C204,Code!H:W,12,FALSE),"")</f>
        <v>9.4921690980911723E-3</v>
      </c>
      <c r="M204" s="172">
        <f t="shared" si="25"/>
        <v>0.86041497734395178</v>
      </c>
      <c r="N204" s="172" t="str">
        <f t="shared" si="26"/>
        <v>-</v>
      </c>
      <c r="O204" s="172" t="str">
        <f t="shared" si="27"/>
        <v>Value</v>
      </c>
      <c r="P204" s="205">
        <f>IFERROR(YEARFRAC(VLOOKUP(C204,Code!H:W,11,FALSE),VLOOKUP(C204,Code!H:W,14,FALSE),3),"")</f>
        <v>4.7534246575342465</v>
      </c>
      <c r="Q204" s="174">
        <v>44547</v>
      </c>
      <c r="R204" s="175" t="str">
        <f t="shared" ca="1" si="28"/>
        <v/>
      </c>
      <c r="S204" s="176">
        <f>IFERROR(VLOOKUP($C204,Code!$H:$Q,5,FALSE),"")</f>
        <v>0.2293</v>
      </c>
      <c r="T204" s="177" t="str">
        <f t="shared" ca="1" si="29"/>
        <v/>
      </c>
      <c r="U204" s="178" t="str">
        <f t="shared" ca="1" si="30"/>
        <v/>
      </c>
      <c r="V204" s="179">
        <f>IFERROR(VLOOKUP($C204,Code!$H:$Q,6,FALSE),"")</f>
        <v>190.62</v>
      </c>
      <c r="W204" s="180" t="str">
        <f t="shared" ca="1" si="31"/>
        <v/>
      </c>
      <c r="X204" s="12"/>
      <c r="Y204" s="12"/>
      <c r="Z204" s="12"/>
      <c r="AA204" s="12"/>
      <c r="AB204" s="12"/>
    </row>
    <row r="205" spans="1:28" s="10" customFormat="1" ht="15" hidden="1">
      <c r="A205" s="9"/>
      <c r="B205" s="169" cm="1">
        <f t="array" ref="B205">_xlfn.IFS(OR(Code!R274&lt;&gt;Code!U274,Code!R274=""),0,Code!R274=Code!U274,1)</f>
        <v>0</v>
      </c>
      <c r="C205" s="193" t="str">
        <f>IF(Code!F274="","",Code!F274)</f>
        <v>LDOS</v>
      </c>
      <c r="D205" s="155" t="str">
        <f>IFERROR(VLOOKUP($C205,Code!$H:$K,2,FALSE),"")</f>
        <v>XLI</v>
      </c>
      <c r="E205" s="156" t="str">
        <f>IFERROR(VLOOKUP($C205,Code!$H:$K,3,FALSE),"")</f>
        <v>信息技術處</v>
      </c>
      <c r="F205" s="157" t="str">
        <f>IFERROR(VLOOKUP($C205,Code!$H:$K,4,FALSE),"")</f>
        <v>.SPX</v>
      </c>
      <c r="G205" s="170">
        <f>IFERROR(((VLOOKUP($C205,Code!$H:$Q,9,FALSE))+(VLOOKUP($C205,Code!$H:$Q,10,FALSE)))/2*0.5/(((VLOOKUP($C205,Code!$H:$Q,7,FALSE))+(VLOOKUP($C205,Code!$H:$Q,8,FALSE)))/2),0)</f>
        <v>0.56492564381574173</v>
      </c>
      <c r="H205" s="171" t="str">
        <f t="shared" si="24"/>
        <v>M</v>
      </c>
      <c r="I205" s="170">
        <f>IFERROR((VLOOKUP($C205,Code!$H:$Q,5,FALSE))/(((VLOOKUP($C205,Code!$H:$Q,7,FALSE))+(VLOOKUP($C205,Code!$H:$Q,8,FALSE)))/2)-1,0)</f>
        <v>-0.13565469713456657</v>
      </c>
      <c r="J205" s="204">
        <f>IFERROR(POWER((VLOOKUP(C205,Code!H:W,12,FALSE))/(VLOOKUP(C205,Code!H:W,15,FALSE)),1/(P205-1))-1,"")</f>
        <v>0.3377951684860756</v>
      </c>
      <c r="K205" s="172" cm="1">
        <f t="array" ref="K205">IFERROR(IF(C205="","",_xlfn.IFS(AND(VLOOKUP(C205,Code!H:W,13,FALSE)=0,VLOOKUP(C205,Code!H:W,16,FALSE)=0),"無股息",AND(VLOOKUP(C205,Code!H:W,13,FALSE)=0,VLOOKUP(C205,Code!H:W,16,FALSE)&gt;0),"股息沒了",AND(VLOOKUP(C205,Code!H:W,13,FALSE)&gt;0,VLOOKUP(C205,Code!H:W,16,FALSE)=0),"發股息了",AND(VLOOKUP(C205,Code!H:W,13,FALSE)&gt;0,VLOOKUP(C205,Code!H:W,16,FALSE)&gt;0),POWER((VLOOKUP(C205,Code!H:W,13,FALSE))/(VLOOKUP(C205,Code!H:W,16,FALSE)),1/(P205-1))-1)),"")</f>
        <v>-0.61885530621686169</v>
      </c>
      <c r="L205" s="173">
        <f>IFERROR(VLOOKUP(C205,Code!H:W,13,FALSE)*4/VLOOKUP(C205,Code!H:W,12,FALSE),"")</f>
        <v>1.2746017234280788E-2</v>
      </c>
      <c r="M205" s="172">
        <f t="shared" si="25"/>
        <v>-0.28106013773078609</v>
      </c>
      <c r="N205" s="172" t="str">
        <f t="shared" si="26"/>
        <v>-</v>
      </c>
      <c r="O205" s="172" t="str">
        <f t="shared" si="27"/>
        <v>-</v>
      </c>
      <c r="P205" s="205">
        <f>IFERROR(YEARFRAC(VLOOKUP(C205,Code!H:W,11,FALSE),VLOOKUP(C205,Code!H:W,14,FALSE),3),"")</f>
        <v>4.8273972602739725</v>
      </c>
      <c r="Q205" s="174">
        <v>44547</v>
      </c>
      <c r="R205" s="175" t="str">
        <f t="shared" ca="1" si="28"/>
        <v/>
      </c>
      <c r="S205" s="176">
        <f>IFERROR(VLOOKUP($C205,Code!$H:$Q,5,FALSE),"")</f>
        <v>0.23830000000000001</v>
      </c>
      <c r="T205" s="177" t="str">
        <f t="shared" ca="1" si="29"/>
        <v/>
      </c>
      <c r="U205" s="178" t="str">
        <f t="shared" ca="1" si="30"/>
        <v/>
      </c>
      <c r="V205" s="179">
        <f>IFERROR(VLOOKUP($C205,Code!$H:$Q,6,FALSE),"")</f>
        <v>94.79</v>
      </c>
      <c r="W205" s="180" t="str">
        <f t="shared" ca="1" si="31"/>
        <v/>
      </c>
      <c r="X205" s="12"/>
      <c r="Y205" s="12"/>
      <c r="Z205" s="12"/>
      <c r="AA205" s="12"/>
      <c r="AB205" s="12"/>
    </row>
    <row r="206" spans="1:28" s="10" customFormat="1" ht="15" hidden="1">
      <c r="A206" s="9"/>
      <c r="B206" s="169" cm="1">
        <f t="array" ref="B206">_xlfn.IFS(OR(Code!R142&lt;&gt;Code!U142,Code!R142=""),0,Code!R142=Code!U142,1)</f>
        <v>0</v>
      </c>
      <c r="C206" s="193" t="str">
        <f>IF(Code!F142="","",Code!F142)</f>
        <v>DOV</v>
      </c>
      <c r="D206" s="155" t="str">
        <f>IFERROR(VLOOKUP($C206,Code!$H:$K,2,FALSE),"")</f>
        <v>XLI</v>
      </c>
      <c r="E206" s="156" t="str">
        <f>IFERROR(VLOOKUP($C206,Code!$H:$K,3,FALSE),"")</f>
        <v>特種工業機械</v>
      </c>
      <c r="F206" s="157" t="str">
        <f>IFERROR(VLOOKUP($C206,Code!$H:$K,4,FALSE),"")</f>
        <v>.SPX</v>
      </c>
      <c r="G206" s="170">
        <f>IFERROR(((VLOOKUP($C206,Code!$H:$Q,9,FALSE))+(VLOOKUP($C206,Code!$H:$Q,10,FALSE)))/2*0.5/(((VLOOKUP($C206,Code!$H:$Q,7,FALSE))+(VLOOKUP($C206,Code!$H:$Q,8,FALSE)))/2),0)</f>
        <v>0.72885108366348172</v>
      </c>
      <c r="H206" s="171" t="str">
        <f t="shared" si="24"/>
        <v>XL</v>
      </c>
      <c r="I206" s="170">
        <f>IFERROR((VLOOKUP($C206,Code!$H:$Q,5,FALSE))/(((VLOOKUP($C206,Code!$H:$Q,7,FALSE))+(VLOOKUP($C206,Code!$H:$Q,8,FALSE)))/2)-1,0)</f>
        <v>-0.13726404101608025</v>
      </c>
      <c r="J206" s="204">
        <f>IFERROR(POWER((VLOOKUP(C206,Code!H:W,12,FALSE))/(VLOOKUP(C206,Code!H:W,15,FALSE)),1/(P206-1))-1,"")</f>
        <v>0.31334661263784525</v>
      </c>
      <c r="K206" s="172" cm="1">
        <f t="array" ref="K206">IFERROR(IF(C206="","",_xlfn.IFS(AND(VLOOKUP(C206,Code!H:W,13,FALSE)=0,VLOOKUP(C206,Code!H:W,16,FALSE)=0),"無股息",AND(VLOOKUP(C206,Code!H:W,13,FALSE)=0,VLOOKUP(C206,Code!H:W,16,FALSE)&gt;0),"股息沒了",AND(VLOOKUP(C206,Code!H:W,13,FALSE)&gt;0,VLOOKUP(C206,Code!H:W,16,FALSE)=0),"發股息了",AND(VLOOKUP(C206,Code!H:W,13,FALSE)&gt;0,VLOOKUP(C206,Code!H:W,16,FALSE)&gt;0),POWER((VLOOKUP(C206,Code!H:W,13,FALSE))/(VLOOKUP(C206,Code!H:W,16,FALSE)),1/(P206-1))-1)),"")</f>
        <v>9.248448642373952E-2</v>
      </c>
      <c r="L206" s="173">
        <f>IFERROR(VLOOKUP(C206,Code!H:W,13,FALSE)*4/VLOOKUP(C206,Code!H:W,12,FALSE),"")</f>
        <v>1.3178036605657239E-2</v>
      </c>
      <c r="M206" s="172">
        <f t="shared" si="25"/>
        <v>0.40583109906158477</v>
      </c>
      <c r="N206" s="172" t="str">
        <f t="shared" si="26"/>
        <v>-</v>
      </c>
      <c r="O206" s="172" t="str">
        <f t="shared" si="27"/>
        <v>-</v>
      </c>
      <c r="P206" s="205">
        <f>IFERROR(YEARFRAC(VLOOKUP(C206,Code!H:W,11,FALSE),VLOOKUP(C206,Code!H:W,14,FALSE),3),"")</f>
        <v>4.7452054794520544</v>
      </c>
      <c r="Q206" s="174">
        <v>44547</v>
      </c>
      <c r="R206" s="175" t="str">
        <f t="shared" ca="1" si="28"/>
        <v/>
      </c>
      <c r="S206" s="176">
        <f>IFERROR(VLOOKUP($C206,Code!$H:$Q,5,FALSE),"")</f>
        <v>0.18509999999999999</v>
      </c>
      <c r="T206" s="177" t="str">
        <f t="shared" ca="1" si="29"/>
        <v/>
      </c>
      <c r="U206" s="178" t="str">
        <f t="shared" ca="1" si="30"/>
        <v/>
      </c>
      <c r="V206" s="179">
        <f>IFERROR(VLOOKUP($C206,Code!$H:$Q,6,FALSE),"")</f>
        <v>169.19</v>
      </c>
      <c r="W206" s="180" t="str">
        <f t="shared" ca="1" si="31"/>
        <v/>
      </c>
      <c r="X206" s="12"/>
      <c r="Y206" s="12"/>
      <c r="Z206" s="12"/>
      <c r="AA206" s="12"/>
      <c r="AB206" s="12"/>
    </row>
    <row r="207" spans="1:28" s="10" customFormat="1" ht="15" hidden="1">
      <c r="A207" s="9"/>
      <c r="B207" s="169" cm="1">
        <f t="array" ref="B207">_xlfn.IFS(OR(Code!R299&lt;&gt;Code!U299,Code!R299=""),0,Code!R299=Code!U299,1)</f>
        <v>0</v>
      </c>
      <c r="C207" s="193" t="str">
        <f>IF(Code!F299="","",Code!F299)</f>
        <v>MCK</v>
      </c>
      <c r="D207" s="155" t="str">
        <f>IFERROR(VLOOKUP($C207,Code!$H:$K,2,FALSE),"")</f>
        <v>XLV</v>
      </c>
      <c r="E207" s="156" t="str">
        <f>IFERROR(VLOOKUP($C207,Code!$H:$K,3,FALSE),"")</f>
        <v>醫療分銷</v>
      </c>
      <c r="F207" s="157" t="str">
        <f>IFERROR(VLOOKUP($C207,Code!$H:$K,4,FALSE),"")</f>
        <v>.SPX</v>
      </c>
      <c r="G207" s="170">
        <f>IFERROR(((VLOOKUP($C207,Code!$H:$Q,9,FALSE))+(VLOOKUP($C207,Code!$H:$Q,10,FALSE)))/2*0.5/(((VLOOKUP($C207,Code!$H:$Q,7,FALSE))+(VLOOKUP($C207,Code!$H:$Q,8,FALSE)))/2),0)</f>
        <v>0.64575876879026495</v>
      </c>
      <c r="H207" s="171" t="str">
        <f t="shared" si="24"/>
        <v>L</v>
      </c>
      <c r="I207" s="170">
        <f>IFERROR((VLOOKUP($C207,Code!$H:$Q,5,FALSE))/(((VLOOKUP($C207,Code!$H:$Q,7,FALSE))+(VLOOKUP($C207,Code!$H:$Q,8,FALSE)))/2)-1,0)</f>
        <v>-0.13743736578382248</v>
      </c>
      <c r="J207" s="204">
        <f>IFERROR(POWER((VLOOKUP(C207,Code!H:W,12,FALSE))/(VLOOKUP(C207,Code!H:W,15,FALSE)),1/(P207-1))-1,"")</f>
        <v>2.6453084360632984E-2</v>
      </c>
      <c r="K207" s="172" cm="1">
        <f t="array" ref="K207">IFERROR(IF(C207="","",_xlfn.IFS(AND(VLOOKUP(C207,Code!H:W,13,FALSE)=0,VLOOKUP(C207,Code!H:W,16,FALSE)=0),"無股息",AND(VLOOKUP(C207,Code!H:W,13,FALSE)=0,VLOOKUP(C207,Code!H:W,16,FALSE)&gt;0),"股息沒了",AND(VLOOKUP(C207,Code!H:W,13,FALSE)&gt;0,VLOOKUP(C207,Code!H:W,16,FALSE)=0),"發股息了",AND(VLOOKUP(C207,Code!H:W,13,FALSE)&gt;0,VLOOKUP(C207,Code!H:W,16,FALSE)&gt;0),POWER((VLOOKUP(C207,Code!H:W,13,FALSE))/(VLOOKUP(C207,Code!H:W,16,FALSE)),1/(P207-1))-1)),"")</f>
        <v>0.11434016176482609</v>
      </c>
      <c r="L207" s="173">
        <f>IFERROR(VLOOKUP(C207,Code!H:W,13,FALSE)*4/VLOOKUP(C207,Code!H:W,12,FALSE),"")</f>
        <v>8.7322626193136535E-3</v>
      </c>
      <c r="M207" s="172">
        <f t="shared" si="25"/>
        <v>0.14079324612545907</v>
      </c>
      <c r="N207" s="172" t="str">
        <f t="shared" si="26"/>
        <v>-</v>
      </c>
      <c r="O207" s="172" t="str">
        <f t="shared" si="27"/>
        <v>-</v>
      </c>
      <c r="P207" s="205">
        <f>IFERROR(YEARFRAC(VLOOKUP(C207,Code!H:W,11,FALSE),VLOOKUP(C207,Code!H:W,14,FALSE),3),"")</f>
        <v>4.7452054794520544</v>
      </c>
      <c r="Q207" s="174">
        <v>44547</v>
      </c>
      <c r="R207" s="175" t="str">
        <f t="shared" ca="1" si="28"/>
        <v/>
      </c>
      <c r="S207" s="176">
        <f>IFERROR(VLOOKUP($C207,Code!$H:$Q,5,FALSE),"")</f>
        <v>0.24099999999999999</v>
      </c>
      <c r="T207" s="177" t="str">
        <f t="shared" ca="1" si="29"/>
        <v/>
      </c>
      <c r="U207" s="178" t="str">
        <f t="shared" ca="1" si="30"/>
        <v/>
      </c>
      <c r="V207" s="179">
        <f>IFERROR(VLOOKUP($C207,Code!$H:$Q,6,FALSE),"")</f>
        <v>198.05</v>
      </c>
      <c r="W207" s="180" t="str">
        <f t="shared" ca="1" si="31"/>
        <v/>
      </c>
      <c r="X207" s="12"/>
      <c r="Y207" s="12"/>
      <c r="Z207" s="12"/>
      <c r="AA207" s="12"/>
      <c r="AB207" s="12"/>
    </row>
    <row r="208" spans="1:28" s="10" customFormat="1" ht="15" hidden="1">
      <c r="A208" s="9"/>
      <c r="B208" s="169" cm="1">
        <f t="array" ref="B208">_xlfn.IFS(OR(Code!R406&lt;&gt;Code!U406,Code!R406=""),0,Code!R406=Code!U406,1)</f>
        <v>0</v>
      </c>
      <c r="C208" s="193" t="str">
        <f>IF(Code!F406="","",Code!F406)</f>
        <v>ROST</v>
      </c>
      <c r="D208" s="155" t="str">
        <f>IFERROR(VLOOKUP($C208,Code!$H:$K,2,FALSE),"")</f>
        <v>XLY</v>
      </c>
      <c r="E208" s="156" t="str">
        <f>IFERROR(VLOOKUP($C208,Code!$H:$K,3,FALSE),"")</f>
        <v>服裝零售</v>
      </c>
      <c r="F208" s="157" t="str">
        <f>IFERROR(VLOOKUP($C208,Code!$H:$K,4,FALSE),"")</f>
        <v>.SPX</v>
      </c>
      <c r="G208" s="170">
        <f>IFERROR(((VLOOKUP($C208,Code!$H:$Q,9,FALSE))+(VLOOKUP($C208,Code!$H:$Q,10,FALSE)))/2*0.5/(((VLOOKUP($C208,Code!$H:$Q,7,FALSE))+(VLOOKUP($C208,Code!$H:$Q,8,FALSE)))/2),0)</f>
        <v>0.4435395648474536</v>
      </c>
      <c r="H208" s="171" t="str">
        <f t="shared" si="24"/>
        <v>S</v>
      </c>
      <c r="I208" s="170">
        <f>IFERROR((VLOOKUP($C208,Code!$H:$Q,5,FALSE))/(((VLOOKUP($C208,Code!$H:$Q,7,FALSE))+(VLOOKUP($C208,Code!$H:$Q,8,FALSE)))/2)-1,0)</f>
        <v>-0.13796037437705111</v>
      </c>
      <c r="J208" s="204">
        <f>IFERROR(POWER((VLOOKUP(C208,Code!H:W,12,FALSE))/(VLOOKUP(C208,Code!H:W,15,FALSE)),1/(P208-1))-1,"")</f>
        <v>0.20089557944368996</v>
      </c>
      <c r="K208" s="172" cm="1">
        <f t="array" ref="K208">IFERROR(IF(C208="","",_xlfn.IFS(AND(VLOOKUP(C208,Code!H:W,13,FALSE)=0,VLOOKUP(C208,Code!H:W,16,FALSE)=0),"無股息",AND(VLOOKUP(C208,Code!H:W,13,FALSE)=0,VLOOKUP(C208,Code!H:W,16,FALSE)&gt;0),"股息沒了",AND(VLOOKUP(C208,Code!H:W,13,FALSE)&gt;0,VLOOKUP(C208,Code!H:W,16,FALSE)=0),"發股息了",AND(VLOOKUP(C208,Code!H:W,13,FALSE)&gt;0,VLOOKUP(C208,Code!H:W,16,FALSE)&gt;0),POWER((VLOOKUP(C208,Code!H:W,13,FALSE))/(VLOOKUP(C208,Code!H:W,16,FALSE)),1/(P208-1))-1)),"")</f>
        <v>0.21921512143486166</v>
      </c>
      <c r="L208" s="173">
        <f>IFERROR(VLOOKUP(C208,Code!H:W,13,FALSE)*4/VLOOKUP(C208,Code!H:W,12,FALSE),"")</f>
        <v>9.5621539030988929E-3</v>
      </c>
      <c r="M208" s="172">
        <f t="shared" si="25"/>
        <v>0.42011070087855162</v>
      </c>
      <c r="N208" s="172" t="str">
        <f t="shared" si="26"/>
        <v>-</v>
      </c>
      <c r="O208" s="172" t="str">
        <f t="shared" si="27"/>
        <v>Value</v>
      </c>
      <c r="P208" s="205">
        <f>IFERROR(YEARFRAC(VLOOKUP(C208,Code!H:W,11,FALSE),VLOOKUP(C208,Code!H:W,14,FALSE),3),"")</f>
        <v>4.7698630136986298</v>
      </c>
      <c r="Q208" s="174">
        <v>44547</v>
      </c>
      <c r="R208" s="175" t="str">
        <f t="shared" ca="1" si="28"/>
        <v/>
      </c>
      <c r="S208" s="176">
        <f>IFERROR(VLOOKUP($C208,Code!$H:$Q,5,FALSE),"")</f>
        <v>0.35460000000000003</v>
      </c>
      <c r="T208" s="177" t="str">
        <f t="shared" ca="1" si="29"/>
        <v/>
      </c>
      <c r="U208" s="178" t="str">
        <f t="shared" ca="1" si="30"/>
        <v/>
      </c>
      <c r="V208" s="179">
        <f>IFERROR(VLOOKUP($C208,Code!$H:$Q,6,FALSE),"")</f>
        <v>120.67</v>
      </c>
      <c r="W208" s="180" t="str">
        <f t="shared" ca="1" si="31"/>
        <v/>
      </c>
      <c r="X208" s="12"/>
      <c r="Y208" s="12"/>
      <c r="Z208" s="12"/>
      <c r="AA208" s="12"/>
      <c r="AB208" s="12"/>
    </row>
    <row r="209" spans="1:28" s="10" customFormat="1" ht="15" hidden="1">
      <c r="A209" s="9"/>
      <c r="B209" s="169" cm="1">
        <f t="array" ref="B209">_xlfn.IFS(OR(Code!R148&lt;&gt;Code!U148,Code!R148=""),0,Code!R148=Code!U148,1)</f>
        <v>0</v>
      </c>
      <c r="C209" s="193" t="str">
        <f>IF(Code!F148="","",Code!F148)</f>
        <v>DUK</v>
      </c>
      <c r="D209" s="155" t="str">
        <f>IFERROR(VLOOKUP($C209,Code!$H:$K,2,FALSE),"")</f>
        <v>XLU</v>
      </c>
      <c r="E209" s="156" t="str">
        <f>IFERROR(VLOOKUP($C209,Code!$H:$K,3,FALSE),"")</f>
        <v>公用事業—受監督的電力</v>
      </c>
      <c r="F209" s="157" t="str">
        <f>IFERROR(VLOOKUP($C209,Code!$H:$K,4,FALSE),"")</f>
        <v>.SPX</v>
      </c>
      <c r="G209" s="170">
        <f>IFERROR(((VLOOKUP($C209,Code!$H:$Q,9,FALSE))+(VLOOKUP($C209,Code!$H:$Q,10,FALSE)))/2*0.5/(((VLOOKUP($C209,Code!$H:$Q,7,FALSE))+(VLOOKUP($C209,Code!$H:$Q,8,FALSE)))/2),0)</f>
        <v>0.59515167228415866</v>
      </c>
      <c r="H209" s="171" t="str">
        <f t="shared" si="24"/>
        <v>M</v>
      </c>
      <c r="I209" s="170">
        <f>IFERROR((VLOOKUP($C209,Code!$H:$Q,5,FALSE))/(((VLOOKUP($C209,Code!$H:$Q,7,FALSE))+(VLOOKUP($C209,Code!$H:$Q,8,FALSE)))/2)-1,0)</f>
        <v>-0.1381903033445685</v>
      </c>
      <c r="J209" s="204">
        <f>IFERROR(POWER((VLOOKUP(C209,Code!H:W,12,FALSE))/(VLOOKUP(C209,Code!H:W,15,FALSE)),1/(P209-1))-1,"")</f>
        <v>0.11536504804603465</v>
      </c>
      <c r="K209" s="172" cm="1">
        <f t="array" ref="K209">IFERROR(IF(C209="","",_xlfn.IFS(AND(VLOOKUP(C209,Code!H:W,13,FALSE)=0,VLOOKUP(C209,Code!H:W,16,FALSE)=0),"無股息",AND(VLOOKUP(C209,Code!H:W,13,FALSE)=0,VLOOKUP(C209,Code!H:W,16,FALSE)&gt;0),"股息沒了",AND(VLOOKUP(C209,Code!H:W,13,FALSE)&gt;0,VLOOKUP(C209,Code!H:W,16,FALSE)=0),"發股息了",AND(VLOOKUP(C209,Code!H:W,13,FALSE)&gt;0,VLOOKUP(C209,Code!H:W,16,FALSE)&gt;0),POWER((VLOOKUP(C209,Code!H:W,13,FALSE))/(VLOOKUP(C209,Code!H:W,16,FALSE)),1/(P209-1))-1)),"")</f>
        <v>3.2721260095322613E-2</v>
      </c>
      <c r="L209" s="173">
        <f>IFERROR(VLOOKUP(C209,Code!H:W,13,FALSE)*4/VLOOKUP(C209,Code!H:W,12,FALSE),"")</f>
        <v>3.7475728155339803E-2</v>
      </c>
      <c r="M209" s="172">
        <f t="shared" si="25"/>
        <v>0.14808630814135726</v>
      </c>
      <c r="N209" s="172" t="str">
        <f t="shared" si="26"/>
        <v>-</v>
      </c>
      <c r="O209" s="172" t="str">
        <f t="shared" si="27"/>
        <v>-</v>
      </c>
      <c r="P209" s="205">
        <f>IFERROR(YEARFRAC(VLOOKUP(C209,Code!H:W,11,FALSE),VLOOKUP(C209,Code!H:W,14,FALSE),3),"")</f>
        <v>4.7589041095890412</v>
      </c>
      <c r="Q209" s="174">
        <v>44547</v>
      </c>
      <c r="R209" s="175" t="str">
        <f t="shared" ca="1" si="28"/>
        <v/>
      </c>
      <c r="S209" s="176">
        <f>IFERROR(VLOOKUP($C209,Code!$H:$Q,5,FALSE),"")</f>
        <v>0.16619999999999999</v>
      </c>
      <c r="T209" s="177" t="str">
        <f t="shared" ca="1" si="29"/>
        <v/>
      </c>
      <c r="U209" s="178" t="str">
        <f t="shared" ca="1" si="30"/>
        <v/>
      </c>
      <c r="V209" s="179">
        <f>IFERROR(VLOOKUP($C209,Code!$H:$Q,6,FALSE),"")</f>
        <v>107.81</v>
      </c>
      <c r="W209" s="180" t="str">
        <f t="shared" ca="1" si="31"/>
        <v/>
      </c>
      <c r="X209" s="12"/>
      <c r="Y209" s="12"/>
      <c r="Z209" s="12"/>
      <c r="AA209" s="12"/>
      <c r="AB209" s="12"/>
    </row>
    <row r="210" spans="1:28" s="10" customFormat="1" ht="15" hidden="1">
      <c r="A210" s="9"/>
      <c r="B210" s="169" cm="1">
        <f t="array" ref="B210">_xlfn.IFS(OR(Code!R459&lt;&gt;Code!U459,Code!R459=""),0,Code!R459=Code!U459,1)</f>
        <v>1</v>
      </c>
      <c r="C210" s="193" t="str">
        <f>IF(Code!F459="","",Code!F459)</f>
        <v>UAL</v>
      </c>
      <c r="D210" s="155" t="str">
        <f>IFERROR(VLOOKUP($C210,Code!$H:$K,2,FALSE),"")</f>
        <v>XLI</v>
      </c>
      <c r="E210" s="156" t="str">
        <f>IFERROR(VLOOKUP($C210,Code!$H:$K,3,FALSE),"")</f>
        <v>航空公司</v>
      </c>
      <c r="F210" s="157" t="str">
        <f>IFERROR(VLOOKUP($C210,Code!$H:$K,4,FALSE),"")</f>
        <v>.SPX</v>
      </c>
      <c r="G210" s="170">
        <f>IFERROR(((VLOOKUP($C210,Code!$H:$Q,9,FALSE))+(VLOOKUP($C210,Code!$H:$Q,10,FALSE)))/2*0.5/(((VLOOKUP($C210,Code!$H:$Q,7,FALSE))+(VLOOKUP($C210,Code!$H:$Q,8,FALSE)))/2),0)</f>
        <v>0.64064615979880046</v>
      </c>
      <c r="H210" s="171" t="str">
        <f t="shared" si="24"/>
        <v>L</v>
      </c>
      <c r="I210" s="170">
        <f>IFERROR((VLOOKUP($C210,Code!$H:$Q,5,FALSE))/(((VLOOKUP($C210,Code!$H:$Q,7,FALSE))+(VLOOKUP($C210,Code!$H:$Q,8,FALSE)))/2)-1,0)</f>
        <v>-0.13909847165796096</v>
      </c>
      <c r="J210" s="204" t="str">
        <f>IFERROR(POWER((VLOOKUP(C210,Code!H:W,12,FALSE))/(VLOOKUP(C210,Code!H:W,15,FALSE)),1/(P210-1))-1,"")</f>
        <v/>
      </c>
      <c r="K210" s="172" t="str" cm="1">
        <f t="array" ref="K210">IFERROR(IF(C210="","",_xlfn.IFS(AND(VLOOKUP(C210,Code!H:W,13,FALSE)=0,VLOOKUP(C210,Code!H:W,16,FALSE)=0),"無股息",AND(VLOOKUP(C210,Code!H:W,13,FALSE)=0,VLOOKUP(C210,Code!H:W,16,FALSE)&gt;0),"股息沒了",AND(VLOOKUP(C210,Code!H:W,13,FALSE)&gt;0,VLOOKUP(C210,Code!H:W,16,FALSE)=0),"發股息了",AND(VLOOKUP(C210,Code!H:W,13,FALSE)&gt;0,VLOOKUP(C210,Code!H:W,16,FALSE)&gt;0),POWER((VLOOKUP(C210,Code!H:W,13,FALSE))/(VLOOKUP(C210,Code!H:W,16,FALSE)),1/(P210-1))-1)),"")</f>
        <v>無股息</v>
      </c>
      <c r="L210" s="173" t="str">
        <f>IFERROR(VLOOKUP(C210,Code!H:W,13,FALSE)*4/VLOOKUP(C210,Code!H:W,12,FALSE),"")</f>
        <v/>
      </c>
      <c r="M210" s="172" t="str">
        <f t="shared" si="25"/>
        <v/>
      </c>
      <c r="N210" s="172" t="str">
        <f t="shared" si="26"/>
        <v/>
      </c>
      <c r="O210" s="172" t="str">
        <f t="shared" si="27"/>
        <v/>
      </c>
      <c r="P210" s="205">
        <f>IFERROR(YEARFRAC(VLOOKUP(C210,Code!H:W,11,FALSE),VLOOKUP(C210,Code!H:W,14,FALSE),3),"")</f>
        <v>0</v>
      </c>
      <c r="Q210" s="174">
        <v>44547</v>
      </c>
      <c r="R210" s="175" t="str">
        <f t="shared" ca="1" si="28"/>
        <v/>
      </c>
      <c r="S210" s="176">
        <f>IFERROR(VLOOKUP($C210,Code!$H:$Q,5,FALSE),"")</f>
        <v>0.44500000000000001</v>
      </c>
      <c r="T210" s="177" t="str">
        <f t="shared" ca="1" si="29"/>
        <v/>
      </c>
      <c r="U210" s="178" t="str">
        <f t="shared" ca="1" si="30"/>
        <v/>
      </c>
      <c r="V210" s="179">
        <f>IFERROR(VLOOKUP($C210,Code!$H:$Q,6,FALSE),"")</f>
        <v>47.24</v>
      </c>
      <c r="W210" s="180" t="str">
        <f t="shared" ca="1" si="31"/>
        <v/>
      </c>
      <c r="X210" s="12"/>
      <c r="Y210" s="12"/>
      <c r="Z210" s="12"/>
      <c r="AA210" s="12"/>
      <c r="AB210" s="12"/>
    </row>
    <row r="211" spans="1:28" s="10" customFormat="1" ht="15" hidden="1">
      <c r="A211" s="9"/>
      <c r="B211" s="169" cm="1">
        <f t="array" ref="B211">_xlfn.IFS(OR(Code!R235&lt;&gt;Code!U235,Code!R235=""),0,Code!R235=Code!U235,1)</f>
        <v>1</v>
      </c>
      <c r="C211" s="193" t="str">
        <f>IF(Code!F235="","",Code!F235)</f>
        <v>IDXX</v>
      </c>
      <c r="D211" s="155" t="str">
        <f>IFERROR(VLOOKUP($C211,Code!$H:$K,2,FALSE),"")</f>
        <v>XLV</v>
      </c>
      <c r="E211" s="156" t="str">
        <f>IFERROR(VLOOKUP($C211,Code!$H:$K,3,FALSE),"")</f>
        <v>診斷與研究</v>
      </c>
      <c r="F211" s="157" t="str">
        <f>IFERROR(VLOOKUP($C211,Code!$H:$K,4,FALSE),"")</f>
        <v>.SPX</v>
      </c>
      <c r="G211" s="170">
        <f>IFERROR(((VLOOKUP($C211,Code!$H:$Q,9,FALSE))+(VLOOKUP($C211,Code!$H:$Q,10,FALSE)))/2*0.5/(((VLOOKUP($C211,Code!$H:$Q,7,FALSE))+(VLOOKUP($C211,Code!$H:$Q,8,FALSE)))/2),0)</f>
        <v>0.55194054500412881</v>
      </c>
      <c r="H211" s="171" t="str">
        <f t="shared" si="24"/>
        <v>M</v>
      </c>
      <c r="I211" s="170">
        <f>IFERROR((VLOOKUP($C211,Code!$H:$Q,5,FALSE))/(((VLOOKUP($C211,Code!$H:$Q,7,FALSE))+(VLOOKUP($C211,Code!$H:$Q,8,FALSE)))/2)-1,0)</f>
        <v>-0.14021469859620161</v>
      </c>
      <c r="J211" s="204" t="str">
        <f>IFERROR(POWER((VLOOKUP(C211,Code!H:W,12,FALSE))/(VLOOKUP(C211,Code!H:W,15,FALSE)),1/(P211-1))-1,"")</f>
        <v/>
      </c>
      <c r="K211" s="172" t="str" cm="1">
        <f t="array" ref="K211">IFERROR(IF(C211="","",_xlfn.IFS(AND(VLOOKUP(C211,Code!H:W,13,FALSE)=0,VLOOKUP(C211,Code!H:W,16,FALSE)=0),"無股息",AND(VLOOKUP(C211,Code!H:W,13,FALSE)=0,VLOOKUP(C211,Code!H:W,16,FALSE)&gt;0),"股息沒了",AND(VLOOKUP(C211,Code!H:W,13,FALSE)&gt;0,VLOOKUP(C211,Code!H:W,16,FALSE)=0),"發股息了",AND(VLOOKUP(C211,Code!H:W,13,FALSE)&gt;0,VLOOKUP(C211,Code!H:W,16,FALSE)&gt;0),POWER((VLOOKUP(C211,Code!H:W,13,FALSE))/(VLOOKUP(C211,Code!H:W,16,FALSE)),1/(P211-1))-1)),"")</f>
        <v>無股息</v>
      </c>
      <c r="L211" s="173" t="str">
        <f>IFERROR(VLOOKUP(C211,Code!H:W,13,FALSE)*4/VLOOKUP(C211,Code!H:W,12,FALSE),"")</f>
        <v/>
      </c>
      <c r="M211" s="172" t="str">
        <f t="shared" si="25"/>
        <v/>
      </c>
      <c r="N211" s="172" t="str">
        <f t="shared" si="26"/>
        <v/>
      </c>
      <c r="O211" s="172" t="str">
        <f t="shared" si="27"/>
        <v/>
      </c>
      <c r="P211" s="205">
        <f>IFERROR(YEARFRAC(VLOOKUP(C211,Code!H:W,11,FALSE),VLOOKUP(C211,Code!H:W,14,FALSE),3),"")</f>
        <v>0</v>
      </c>
      <c r="Q211" s="174">
        <v>44547</v>
      </c>
      <c r="R211" s="175" t="str">
        <f t="shared" ca="1" si="28"/>
        <v/>
      </c>
      <c r="S211" s="176">
        <f>IFERROR(VLOOKUP($C211,Code!$H:$Q,5,FALSE),"")</f>
        <v>0.26029999999999998</v>
      </c>
      <c r="T211" s="177" t="str">
        <f t="shared" ca="1" si="29"/>
        <v/>
      </c>
      <c r="U211" s="178" t="str">
        <f t="shared" ca="1" si="30"/>
        <v/>
      </c>
      <c r="V211" s="179">
        <f>IFERROR(VLOOKUP($C211,Code!$H:$Q,6,FALSE),"")</f>
        <v>705.76</v>
      </c>
      <c r="W211" s="180" t="str">
        <f t="shared" ca="1" si="31"/>
        <v/>
      </c>
      <c r="X211" s="12"/>
      <c r="Y211" s="12"/>
      <c r="Z211" s="12"/>
      <c r="AA211" s="12"/>
      <c r="AB211" s="12"/>
    </row>
    <row r="212" spans="1:28" s="10" customFormat="1" ht="15" hidden="1">
      <c r="A212" s="9"/>
      <c r="B212" s="169" cm="1">
        <f t="array" ref="B212">_xlfn.IFS(OR(Code!R266&lt;&gt;Code!U266,Code!R266=""),0,Code!R266=Code!U266,1)</f>
        <v>0</v>
      </c>
      <c r="C212" s="193" t="str">
        <f>IF(Code!F266="","",Code!F266)</f>
        <v>KMB</v>
      </c>
      <c r="D212" s="155" t="str">
        <f>IFERROR(VLOOKUP($C212,Code!$H:$K,2,FALSE),"")</f>
        <v>XLP</v>
      </c>
      <c r="E212" s="156" t="str">
        <f>IFERROR(VLOOKUP($C212,Code!$H:$K,3,FALSE),"")</f>
        <v>家庭及個人產品</v>
      </c>
      <c r="F212" s="157" t="str">
        <f>IFERROR(VLOOKUP($C212,Code!$H:$K,4,FALSE),"")</f>
        <v>.SPX</v>
      </c>
      <c r="G212" s="170">
        <f>IFERROR(((VLOOKUP($C212,Code!$H:$Q,9,FALSE))+(VLOOKUP($C212,Code!$H:$Q,10,FALSE)))/2*0.5/(((VLOOKUP($C212,Code!$H:$Q,7,FALSE))+(VLOOKUP($C212,Code!$H:$Q,8,FALSE)))/2),0)</f>
        <v>0.56491002570694082</v>
      </c>
      <c r="H212" s="171" t="str">
        <f t="shared" si="24"/>
        <v>M</v>
      </c>
      <c r="I212" s="170">
        <f>IFERROR((VLOOKUP($C212,Code!$H:$Q,5,FALSE))/(((VLOOKUP($C212,Code!$H:$Q,7,FALSE))+(VLOOKUP($C212,Code!$H:$Q,8,FALSE)))/2)-1,0)</f>
        <v>-0.14035989717223663</v>
      </c>
      <c r="J212" s="204">
        <f>IFERROR(POWER((VLOOKUP(C212,Code!H:W,12,FALSE))/(VLOOKUP(C212,Code!H:W,15,FALSE)),1/(P212-1))-1,"")</f>
        <v>4.7461229330895138E-2</v>
      </c>
      <c r="K212" s="172" cm="1">
        <f t="array" ref="K212">IFERROR(IF(C212="","",_xlfn.IFS(AND(VLOOKUP(C212,Code!H:W,13,FALSE)=0,VLOOKUP(C212,Code!H:W,16,FALSE)=0),"無股息",AND(VLOOKUP(C212,Code!H:W,13,FALSE)=0,VLOOKUP(C212,Code!H:W,16,FALSE)&gt;0),"股息沒了",AND(VLOOKUP(C212,Code!H:W,13,FALSE)&gt;0,VLOOKUP(C212,Code!H:W,16,FALSE)=0),"發股息了",AND(VLOOKUP(C212,Code!H:W,13,FALSE)&gt;0,VLOOKUP(C212,Code!H:W,16,FALSE)&gt;0),POWER((VLOOKUP(C212,Code!H:W,13,FALSE))/(VLOOKUP(C212,Code!H:W,16,FALSE)),1/(P212-1))-1)),"")</f>
        <v>5.9008446513559631E-2</v>
      </c>
      <c r="L212" s="173">
        <f>IFERROR(VLOOKUP(C212,Code!H:W,13,FALSE)*4/VLOOKUP(C212,Code!H:W,12,FALSE),"")</f>
        <v>3.5185183528138146E-2</v>
      </c>
      <c r="M212" s="172">
        <f t="shared" si="25"/>
        <v>0.10646967584445477</v>
      </c>
      <c r="N212" s="172" t="str">
        <f t="shared" si="26"/>
        <v>-</v>
      </c>
      <c r="O212" s="172" t="str">
        <f t="shared" si="27"/>
        <v>-</v>
      </c>
      <c r="P212" s="205">
        <f>IFERROR(YEARFRAC(VLOOKUP(C212,Code!H:W,11,FALSE),VLOOKUP(C212,Code!H:W,14,FALSE),3),"")</f>
        <v>4.7397260273972606</v>
      </c>
      <c r="Q212" s="174">
        <v>44547</v>
      </c>
      <c r="R212" s="175" t="str">
        <f t="shared" ca="1" si="28"/>
        <v/>
      </c>
      <c r="S212" s="176">
        <f>IFERROR(VLOOKUP($C212,Code!$H:$Q,5,FALSE),"")</f>
        <v>0.16719999999999999</v>
      </c>
      <c r="T212" s="177" t="str">
        <f t="shared" ca="1" si="29"/>
        <v/>
      </c>
      <c r="U212" s="178" t="str">
        <f t="shared" ca="1" si="30"/>
        <v/>
      </c>
      <c r="V212" s="179">
        <f>IFERROR(VLOOKUP($C212,Code!$H:$Q,6,FALSE),"")</f>
        <v>133.25</v>
      </c>
      <c r="W212" s="180" t="str">
        <f t="shared" ca="1" si="31"/>
        <v/>
      </c>
      <c r="X212" s="12"/>
      <c r="Y212" s="12"/>
      <c r="Z212" s="12"/>
      <c r="AA212" s="12"/>
      <c r="AB212" s="12"/>
    </row>
    <row r="213" spans="1:28" s="10" customFormat="1" ht="15" hidden="1">
      <c r="A213" s="9"/>
      <c r="B213" s="169" cm="1">
        <f t="array" ref="B213">_xlfn.IFS(OR(Code!R372&lt;&gt;Code!U372,Code!R372=""),0,Code!R372=Code!U372,1)</f>
        <v>0</v>
      </c>
      <c r="C213" s="193" t="str">
        <f>IF(Code!F372="","",Code!F372)</f>
        <v>PHM</v>
      </c>
      <c r="D213" s="155" t="str">
        <f>IFERROR(VLOOKUP($C213,Code!$H:$K,2,FALSE),"")</f>
        <v>XLY</v>
      </c>
      <c r="E213" s="156" t="str">
        <f>IFERROR(VLOOKUP($C213,Code!$H:$K,3,FALSE),"")</f>
        <v>住宅建設</v>
      </c>
      <c r="F213" s="157" t="str">
        <f>IFERROR(VLOOKUP($C213,Code!$H:$K,4,FALSE),"")</f>
        <v>.SPX</v>
      </c>
      <c r="G213" s="170">
        <f>IFERROR(((VLOOKUP($C213,Code!$H:$Q,9,FALSE))+(VLOOKUP($C213,Code!$H:$Q,10,FALSE)))/2*0.5/(((VLOOKUP($C213,Code!$H:$Q,7,FALSE))+(VLOOKUP($C213,Code!$H:$Q,8,FALSE)))/2),0)</f>
        <v>0.57351146073511461</v>
      </c>
      <c r="H213" s="171" t="str">
        <f t="shared" si="24"/>
        <v>M</v>
      </c>
      <c r="I213" s="170">
        <f>IFERROR((VLOOKUP($C213,Code!$H:$Q,5,FALSE))/(((VLOOKUP($C213,Code!$H:$Q,7,FALSE))+(VLOOKUP($C213,Code!$H:$Q,8,FALSE)))/2)-1,0)</f>
        <v>-0.14091957140919587</v>
      </c>
      <c r="J213" s="204">
        <f>IFERROR(POWER((VLOOKUP(C213,Code!H:W,12,FALSE))/(VLOOKUP(C213,Code!H:W,15,FALSE)),1/(P213-1))-1,"")</f>
        <v>0.33493356183720802</v>
      </c>
      <c r="K213" s="172" cm="1">
        <f t="array" ref="K213">IFERROR(IF(C213="","",_xlfn.IFS(AND(VLOOKUP(C213,Code!H:W,13,FALSE)=0,VLOOKUP(C213,Code!H:W,16,FALSE)=0),"無股息",AND(VLOOKUP(C213,Code!H:W,13,FALSE)=0,VLOOKUP(C213,Code!H:W,16,FALSE)&gt;0),"股息沒了",AND(VLOOKUP(C213,Code!H:W,13,FALSE)&gt;0,VLOOKUP(C213,Code!H:W,16,FALSE)=0),"發股息了",AND(VLOOKUP(C213,Code!H:W,13,FALSE)&gt;0,VLOOKUP(C213,Code!H:W,16,FALSE)&gt;0),POWER((VLOOKUP(C213,Code!H:W,13,FALSE))/(VLOOKUP(C213,Code!H:W,16,FALSE)),1/(P213-1))-1)),"")</f>
        <v>0.1256032516333998</v>
      </c>
      <c r="L213" s="173">
        <f>IFERROR(VLOOKUP(C213,Code!H:W,13,FALSE)*4/VLOOKUP(C213,Code!H:W,12,FALSE),"")</f>
        <v>1.0372290842571852E-2</v>
      </c>
      <c r="M213" s="172">
        <f t="shared" si="25"/>
        <v>0.46053681347060782</v>
      </c>
      <c r="N213" s="172" t="str">
        <f t="shared" si="26"/>
        <v>-</v>
      </c>
      <c r="O213" s="172" t="str">
        <f t="shared" si="27"/>
        <v>-</v>
      </c>
      <c r="P213" s="205">
        <f>IFERROR(YEARFRAC(VLOOKUP(C213,Code!H:W,11,FALSE),VLOOKUP(C213,Code!H:W,14,FALSE),3),"")</f>
        <v>4.7342465753424658</v>
      </c>
      <c r="Q213" s="174">
        <v>44547</v>
      </c>
      <c r="R213" s="175" t="str">
        <f t="shared" ca="1" si="28"/>
        <v/>
      </c>
      <c r="S213" s="176">
        <f>IFERROR(VLOOKUP($C213,Code!$H:$Q,5,FALSE),"")</f>
        <v>0.31669999999999998</v>
      </c>
      <c r="T213" s="177" t="str">
        <f t="shared" ca="1" si="29"/>
        <v/>
      </c>
      <c r="U213" s="178" t="str">
        <f t="shared" ca="1" si="30"/>
        <v/>
      </c>
      <c r="V213" s="179">
        <f>IFERROR(VLOOKUP($C213,Code!$H:$Q,6,FALSE),"")</f>
        <v>53.49</v>
      </c>
      <c r="W213" s="180" t="str">
        <f t="shared" ca="1" si="31"/>
        <v/>
      </c>
      <c r="X213" s="12"/>
      <c r="Y213" s="12"/>
      <c r="Z213" s="12"/>
      <c r="AA213" s="12"/>
      <c r="AB213" s="12"/>
    </row>
    <row r="214" spans="1:28" s="10" customFormat="1" ht="15" hidden="1">
      <c r="A214" s="9"/>
      <c r="B214" s="169" cm="1">
        <f t="array" ref="B214">_xlfn.IFS(OR(Code!R255&lt;&gt;Code!U255,Code!R255=""),0,Code!R255=Code!U255,1)</f>
        <v>0</v>
      </c>
      <c r="C214" s="193" t="str">
        <f>IF(Code!F255="","",Code!F255)</f>
        <v>JCI</v>
      </c>
      <c r="D214" s="155" t="str">
        <f>IFERROR(VLOOKUP($C214,Code!$H:$K,2,FALSE),"")</f>
        <v>XLI</v>
      </c>
      <c r="E214" s="156" t="str">
        <f>IFERROR(VLOOKUP($C214,Code!$H:$K,3,FALSE),"")</f>
        <v>工程建設</v>
      </c>
      <c r="F214" s="157" t="str">
        <f>IFERROR(VLOOKUP($C214,Code!$H:$K,4,FALSE),"")</f>
        <v>.SPX</v>
      </c>
      <c r="G214" s="170">
        <f>IFERROR(((VLOOKUP($C214,Code!$H:$Q,9,FALSE))+(VLOOKUP($C214,Code!$H:$Q,10,FALSE)))/2*0.5/(((VLOOKUP($C214,Code!$H:$Q,7,FALSE))+(VLOOKUP($C214,Code!$H:$Q,8,FALSE)))/2),0)</f>
        <v>0.64074228523769805</v>
      </c>
      <c r="H214" s="171" t="str">
        <f t="shared" si="24"/>
        <v>L</v>
      </c>
      <c r="I214" s="170">
        <f>IFERROR((VLOOKUP($C214,Code!$H:$Q,5,FALSE))/(((VLOOKUP($C214,Code!$H:$Q,7,FALSE))+(VLOOKUP($C214,Code!$H:$Q,8,FALSE)))/2)-1,0)</f>
        <v>-0.14136780650542125</v>
      </c>
      <c r="J214" s="204">
        <f>IFERROR(POWER((VLOOKUP(C214,Code!H:W,12,FALSE))/(VLOOKUP(C214,Code!H:W,15,FALSE)),1/(P214-1))-1,"")</f>
        <v>0.14513319420394977</v>
      </c>
      <c r="K214" s="172" t="str" cm="1">
        <f t="array" ref="K214">IFERROR(IF(C214="","",_xlfn.IFS(AND(VLOOKUP(C214,Code!H:W,13,FALSE)=0,VLOOKUP(C214,Code!H:W,16,FALSE)=0),"無股息",AND(VLOOKUP(C214,Code!H:W,13,FALSE)=0,VLOOKUP(C214,Code!H:W,16,FALSE)&gt;0),"股息沒了",AND(VLOOKUP(C214,Code!H:W,13,FALSE)&gt;0,VLOOKUP(C214,Code!H:W,16,FALSE)=0),"發股息了",AND(VLOOKUP(C214,Code!H:W,13,FALSE)&gt;0,VLOOKUP(C214,Code!H:W,16,FALSE)&gt;0),POWER((VLOOKUP(C214,Code!H:W,13,FALSE))/(VLOOKUP(C214,Code!H:W,16,FALSE)),1/(P214-1))-1)),"")</f>
        <v>發股息了</v>
      </c>
      <c r="L214" s="173">
        <f>IFERROR(VLOOKUP(C214,Code!H:W,13,FALSE)*4/VLOOKUP(C214,Code!H:W,12,FALSE),"")</f>
        <v>1.6759775901343567E-2</v>
      </c>
      <c r="M214" s="172">
        <f t="shared" si="25"/>
        <v>0.14513319420394977</v>
      </c>
      <c r="N214" s="172" t="str">
        <f t="shared" si="26"/>
        <v>-</v>
      </c>
      <c r="O214" s="172" t="str">
        <f t="shared" si="27"/>
        <v/>
      </c>
      <c r="P214" s="205">
        <f>IFERROR(YEARFRAC(VLOOKUP(C214,Code!H:W,11,FALSE),VLOOKUP(C214,Code!H:W,14,FALSE),3),"")</f>
        <v>4.7835616438356166</v>
      </c>
      <c r="Q214" s="174">
        <v>44547</v>
      </c>
      <c r="R214" s="175" t="str">
        <f t="shared" ca="1" si="28"/>
        <v/>
      </c>
      <c r="S214" s="176">
        <f>IFERROR(VLOOKUP($C214,Code!$H:$Q,5,FALSE),"")</f>
        <v>0.2059</v>
      </c>
      <c r="T214" s="177" t="str">
        <f t="shared" ca="1" si="29"/>
        <v/>
      </c>
      <c r="U214" s="178" t="str">
        <f t="shared" ca="1" si="30"/>
        <v/>
      </c>
      <c r="V214" s="179">
        <f>IFERROR(VLOOKUP($C214,Code!$H:$Q,6,FALSE),"")</f>
        <v>72.42</v>
      </c>
      <c r="W214" s="180" t="str">
        <f t="shared" ca="1" si="31"/>
        <v/>
      </c>
      <c r="X214" s="12"/>
      <c r="Y214" s="12"/>
      <c r="Z214" s="12"/>
      <c r="AA214" s="12"/>
      <c r="AB214" s="12"/>
    </row>
    <row r="215" spans="1:28" s="10" customFormat="1" ht="15" hidden="1">
      <c r="A215" s="9"/>
      <c r="B215" s="169" cm="1">
        <f t="array" ref="B215">_xlfn.IFS(OR(Code!R351&lt;&gt;Code!U351,Code!R351=""),0,Code!R351=Code!U351,1)</f>
        <v>0</v>
      </c>
      <c r="C215" s="193" t="str">
        <f>IF(Code!F351="","",Code!F351)</f>
        <v>ODFL</v>
      </c>
      <c r="D215" s="155" t="str">
        <f>IFERROR(VLOOKUP($C215,Code!$H:$K,2,FALSE),"")</f>
        <v>XLI</v>
      </c>
      <c r="E215" s="156" t="str">
        <f>IFERROR(VLOOKUP($C215,Code!$H:$K,3,FALSE),"")</f>
        <v>貨車運輸</v>
      </c>
      <c r="F215" s="157" t="str">
        <f>IFERROR(VLOOKUP($C215,Code!$H:$K,4,FALSE),"")</f>
        <v>.SPX</v>
      </c>
      <c r="G215" s="170">
        <f>IFERROR(((VLOOKUP($C215,Code!$H:$Q,9,FALSE))+(VLOOKUP($C215,Code!$H:$Q,10,FALSE)))/2*0.5/(((VLOOKUP($C215,Code!$H:$Q,7,FALSE))+(VLOOKUP($C215,Code!$H:$Q,8,FALSE)))/2),0)</f>
        <v>0.59831618334892422</v>
      </c>
      <c r="H215" s="171" t="str">
        <f t="shared" si="24"/>
        <v>M</v>
      </c>
      <c r="I215" s="170">
        <f>IFERROR((VLOOKUP($C215,Code!$H:$Q,5,FALSE))/(((VLOOKUP($C215,Code!$H:$Q,7,FALSE))+(VLOOKUP($C215,Code!$H:$Q,8,FALSE)))/2)-1,0)</f>
        <v>-0.14349859681945742</v>
      </c>
      <c r="J215" s="204">
        <f>IFERROR(POWER((VLOOKUP(C215,Code!H:W,12,FALSE))/(VLOOKUP(C215,Code!H:W,15,FALSE)),1/(P215-1))-1,"")</f>
        <v>0.5805905158360265</v>
      </c>
      <c r="K215" s="172" cm="1">
        <f t="array" ref="K215">IFERROR(IF(C215="","",_xlfn.IFS(AND(VLOOKUP(C215,Code!H:W,13,FALSE)=0,VLOOKUP(C215,Code!H:W,16,FALSE)=0),"無股息",AND(VLOOKUP(C215,Code!H:W,13,FALSE)=0,VLOOKUP(C215,Code!H:W,16,FALSE)&gt;0),"股息沒了",AND(VLOOKUP(C215,Code!H:W,13,FALSE)&gt;0,VLOOKUP(C215,Code!H:W,16,FALSE)=0),"發股息了",AND(VLOOKUP(C215,Code!H:W,13,FALSE)&gt;0,VLOOKUP(C215,Code!H:W,16,FALSE)&gt;0),POWER((VLOOKUP(C215,Code!H:W,13,FALSE))/(VLOOKUP(C215,Code!H:W,16,FALSE)),1/(P215-1))-1)),"")</f>
        <v>0.40188733815980204</v>
      </c>
      <c r="L215" s="173">
        <f>IFERROR(VLOOKUP(C215,Code!H:W,13,FALSE)*4/VLOOKUP(C215,Code!H:W,12,FALSE),"")</f>
        <v>2.9867462451758429E-3</v>
      </c>
      <c r="M215" s="172">
        <f t="shared" si="25"/>
        <v>0.98247785399582854</v>
      </c>
      <c r="N215" s="172" t="str">
        <f t="shared" si="26"/>
        <v>-</v>
      </c>
      <c r="O215" s="172" t="str">
        <f t="shared" si="27"/>
        <v>Value</v>
      </c>
      <c r="P215" s="205">
        <f>IFERROR(YEARFRAC(VLOOKUP(C215,Code!H:W,11,FALSE),VLOOKUP(C215,Code!H:W,14,FALSE),3),"")</f>
        <v>4.2520547945205482</v>
      </c>
      <c r="Q215" s="174">
        <v>44547</v>
      </c>
      <c r="R215" s="175" t="str">
        <f t="shared" ca="1" si="28"/>
        <v/>
      </c>
      <c r="S215" s="176">
        <f>IFERROR(VLOOKUP($C215,Code!$H:$Q,5,FALSE),"")</f>
        <v>0.22889999999999999</v>
      </c>
      <c r="T215" s="177" t="str">
        <f t="shared" ca="1" si="29"/>
        <v/>
      </c>
      <c r="U215" s="178" t="str">
        <f t="shared" ca="1" si="30"/>
        <v/>
      </c>
      <c r="V215" s="179">
        <f>IFERROR(VLOOKUP($C215,Code!$H:$Q,6,FALSE),"")</f>
        <v>272.19</v>
      </c>
      <c r="W215" s="180" t="str">
        <f t="shared" ca="1" si="31"/>
        <v/>
      </c>
      <c r="X215" s="12"/>
      <c r="Y215" s="12"/>
      <c r="Z215" s="12"/>
      <c r="AA215" s="12"/>
      <c r="AB215" s="12"/>
    </row>
    <row r="216" spans="1:28" s="10" customFormat="1" ht="15" hidden="1">
      <c r="A216" s="9"/>
      <c r="B216" s="169" cm="1">
        <f t="array" ref="B216">_xlfn.IFS(OR(Code!R497&lt;&gt;Code!U497,Code!R497=""),0,Code!R497=Code!U497,1)</f>
        <v>0</v>
      </c>
      <c r="C216" s="193" t="str">
        <f>IF(Code!F497="","",Code!F497)</f>
        <v>WY</v>
      </c>
      <c r="D216" s="155" t="str">
        <f>IFERROR(VLOOKUP($C216,Code!$H:$K,2,FALSE),"")</f>
        <v>XLRE</v>
      </c>
      <c r="E216" s="156" t="str">
        <f>IFERROR(VLOOKUP($C216,Code!$H:$K,3,FALSE),"")</f>
        <v>REIT-專業</v>
      </c>
      <c r="F216" s="157" t="str">
        <f>IFERROR(VLOOKUP($C216,Code!$H:$K,4,FALSE),"")</f>
        <v>.SPX</v>
      </c>
      <c r="G216" s="170">
        <f>IFERROR(((VLOOKUP($C216,Code!$H:$Q,9,FALSE))+(VLOOKUP($C216,Code!$H:$Q,10,FALSE)))/2*0.5/(((VLOOKUP($C216,Code!$H:$Q,7,FALSE))+(VLOOKUP($C216,Code!$H:$Q,8,FALSE)))/2),0)</f>
        <v>0.6279466753373435</v>
      </c>
      <c r="H216" s="171" t="str">
        <f t="shared" si="24"/>
        <v>L</v>
      </c>
      <c r="I216" s="170">
        <f>IFERROR((VLOOKUP($C216,Code!$H:$Q,5,FALSE))/(((VLOOKUP($C216,Code!$H:$Q,7,FALSE))+(VLOOKUP($C216,Code!$H:$Q,8,FALSE)))/2)-1,0)</f>
        <v>-0.1445293448219801</v>
      </c>
      <c r="J216" s="204">
        <f>IFERROR(POWER((VLOOKUP(C216,Code!H:W,12,FALSE))/(VLOOKUP(C216,Code!H:W,15,FALSE)),1/(P216-1))-1,"")</f>
        <v>8.336717483463385E-2</v>
      </c>
      <c r="K216" s="172" cm="1">
        <f t="array" ref="K216">IFERROR(IF(C216="","",_xlfn.IFS(AND(VLOOKUP(C216,Code!H:W,13,FALSE)=0,VLOOKUP(C216,Code!H:W,16,FALSE)=0),"無股息",AND(VLOOKUP(C216,Code!H:W,13,FALSE)=0,VLOOKUP(C216,Code!H:W,16,FALSE)&gt;0),"股息沒了",AND(VLOOKUP(C216,Code!H:W,13,FALSE)&gt;0,VLOOKUP(C216,Code!H:W,16,FALSE)=0),"發股息了",AND(VLOOKUP(C216,Code!H:W,13,FALSE)&gt;0,VLOOKUP(C216,Code!H:W,16,FALSE)&gt;0),POWER((VLOOKUP(C216,Code!H:W,13,FALSE))/(VLOOKUP(C216,Code!H:W,16,FALSE)),1/(P216-1))-1)),"")</f>
        <v>-0.14840693556269535</v>
      </c>
      <c r="L216" s="173">
        <f>IFERROR(VLOOKUP(C216,Code!H:W,13,FALSE)*4/VLOOKUP(C216,Code!H:W,12,FALSE),"")</f>
        <v>1.873794386456051E-2</v>
      </c>
      <c r="M216" s="172">
        <f t="shared" si="25"/>
        <v>-6.5039760728061502E-2</v>
      </c>
      <c r="N216" s="172" t="str">
        <f t="shared" si="26"/>
        <v>-</v>
      </c>
      <c r="O216" s="172" t="str">
        <f t="shared" si="27"/>
        <v>-</v>
      </c>
      <c r="P216" s="205">
        <f>IFERROR(YEARFRAC(VLOOKUP(C216,Code!H:W,11,FALSE),VLOOKUP(C216,Code!H:W,14,FALSE),3),"")</f>
        <v>4.7397260273972606</v>
      </c>
      <c r="Q216" s="174">
        <v>44547</v>
      </c>
      <c r="R216" s="175" t="str">
        <f t="shared" ca="1" si="28"/>
        <v/>
      </c>
      <c r="S216" s="176">
        <f>IFERROR(VLOOKUP($C216,Code!$H:$Q,5,FALSE),"")</f>
        <v>0.2631</v>
      </c>
      <c r="T216" s="177" t="str">
        <f t="shared" ca="1" si="29"/>
        <v/>
      </c>
      <c r="U216" s="178" t="str">
        <f t="shared" ca="1" si="30"/>
        <v/>
      </c>
      <c r="V216" s="179">
        <f>IFERROR(VLOOKUP($C216,Code!$H:$Q,6,FALSE),"")</f>
        <v>34.49</v>
      </c>
      <c r="W216" s="180" t="str">
        <f t="shared" ca="1" si="31"/>
        <v/>
      </c>
      <c r="X216" s="12"/>
      <c r="Y216" s="12"/>
      <c r="Z216" s="12"/>
      <c r="AA216" s="12"/>
      <c r="AB216" s="12"/>
    </row>
    <row r="217" spans="1:28" s="10" customFormat="1" ht="15" hidden="1">
      <c r="A217" s="9"/>
      <c r="B217" s="169" cm="1">
        <f t="array" ref="B217">_xlfn.IFS(OR(Code!R389&lt;&gt;Code!U389,Code!R389=""),0,Code!R389=Code!U389,1)</f>
        <v>0</v>
      </c>
      <c r="C217" s="193" t="str">
        <f>IF(Code!F389="","",Code!F389)</f>
        <v>PWR</v>
      </c>
      <c r="D217" s="155" t="str">
        <f>IFERROR(VLOOKUP($C217,Code!$H:$K,2,FALSE),"")</f>
        <v>XLI</v>
      </c>
      <c r="E217" s="156" t="str">
        <f>IFERROR(VLOOKUP($C217,Code!$H:$K,3,FALSE),"")</f>
        <v>工程建設</v>
      </c>
      <c r="F217" s="157" t="str">
        <f>IFERROR(VLOOKUP($C217,Code!$H:$K,4,FALSE),"")</f>
        <v>.SPX</v>
      </c>
      <c r="G217" s="170">
        <f>IFERROR(((VLOOKUP($C217,Code!$H:$Q,9,FALSE))+(VLOOKUP($C217,Code!$H:$Q,10,FALSE)))/2*0.5/(((VLOOKUP($C217,Code!$H:$Q,7,FALSE))+(VLOOKUP($C217,Code!$H:$Q,8,FALSE)))/2),0)</f>
        <v>0.59520816967792622</v>
      </c>
      <c r="H217" s="171" t="str">
        <f t="shared" si="24"/>
        <v>M</v>
      </c>
      <c r="I217" s="170">
        <f>IFERROR((VLOOKUP($C217,Code!$H:$Q,5,FALSE))/(((VLOOKUP($C217,Code!$H:$Q,7,FALSE))+(VLOOKUP($C217,Code!$H:$Q,8,FALSE)))/2)-1,0)</f>
        <v>-0.14532600157109177</v>
      </c>
      <c r="J217" s="204">
        <f>IFERROR(POWER((VLOOKUP(C217,Code!H:W,12,FALSE))/(VLOOKUP(C217,Code!H:W,15,FALSE)),1/(P217-1))-1,"")</f>
        <v>1.1001502833481522</v>
      </c>
      <c r="K217" s="172" cm="1">
        <f t="array" ref="K217">IFERROR(IF(C217="","",_xlfn.IFS(AND(VLOOKUP(C217,Code!H:W,13,FALSE)=0,VLOOKUP(C217,Code!H:W,16,FALSE)=0),"無股息",AND(VLOOKUP(C217,Code!H:W,13,FALSE)=0,VLOOKUP(C217,Code!H:W,16,FALSE)&gt;0),"股息沒了",AND(VLOOKUP(C217,Code!H:W,13,FALSE)&gt;0,VLOOKUP(C217,Code!H:W,16,FALSE)=0),"發股息了",AND(VLOOKUP(C217,Code!H:W,13,FALSE)&gt;0,VLOOKUP(C217,Code!H:W,16,FALSE)&gt;0),POWER((VLOOKUP(C217,Code!H:W,13,FALSE))/(VLOOKUP(C217,Code!H:W,16,FALSE)),1/(P217-1))-1)),"")</f>
        <v>0.31069450895140904</v>
      </c>
      <c r="L217" s="173">
        <f>IFERROR(VLOOKUP(C217,Code!H:W,13,FALSE)*4/VLOOKUP(C217,Code!H:W,12,FALSE),"")</f>
        <v>2.6498840765008334E-3</v>
      </c>
      <c r="M217" s="172">
        <f t="shared" si="25"/>
        <v>1.4108447922995613</v>
      </c>
      <c r="N217" s="172" t="str">
        <f t="shared" si="26"/>
        <v>-</v>
      </c>
      <c r="O217" s="172" t="str">
        <f t="shared" si="27"/>
        <v>Value</v>
      </c>
      <c r="P217" s="205">
        <f>IFERROR(YEARFRAC(VLOOKUP(C217,Code!H:W,11,FALSE),VLOOKUP(C217,Code!H:W,14,FALSE),3),"")</f>
        <v>2.4986301369863013</v>
      </c>
      <c r="Q217" s="174">
        <v>44547</v>
      </c>
      <c r="R217" s="175" t="str">
        <f t="shared" ca="1" si="28"/>
        <v/>
      </c>
      <c r="S217" s="176">
        <f>IFERROR(VLOOKUP($C217,Code!$H:$Q,5,FALSE),"")</f>
        <v>0.27200000000000002</v>
      </c>
      <c r="T217" s="177" t="str">
        <f t="shared" ca="1" si="29"/>
        <v/>
      </c>
      <c r="U217" s="178" t="str">
        <f t="shared" ca="1" si="30"/>
        <v/>
      </c>
      <c r="V217" s="179">
        <f>IFERROR(VLOOKUP($C217,Code!$H:$Q,6,FALSE),"")</f>
        <v>92.53</v>
      </c>
      <c r="W217" s="180" t="str">
        <f t="shared" ca="1" si="31"/>
        <v/>
      </c>
      <c r="X217" s="12"/>
      <c r="Y217" s="12"/>
      <c r="Z217" s="12"/>
      <c r="AA217" s="12"/>
      <c r="AB217" s="12"/>
    </row>
    <row r="218" spans="1:28" s="10" customFormat="1" ht="15" hidden="1">
      <c r="A218" s="9"/>
      <c r="B218" s="169" cm="1">
        <f t="array" ref="B218">_xlfn.IFS(OR(Code!R330&lt;&gt;Code!U330,Code!R330=""),0,Code!R330=Code!U330,1)</f>
        <v>0</v>
      </c>
      <c r="C218" s="193" t="str">
        <f>IF(Code!F330="","",Code!F330)</f>
        <v>NEM</v>
      </c>
      <c r="D218" s="155" t="str">
        <f>IFERROR(VLOOKUP($C218,Code!$H:$K,2,FALSE),"")</f>
        <v>XLB</v>
      </c>
      <c r="E218" s="156" t="str">
        <f>IFERROR(VLOOKUP($C218,Code!$H:$K,3,FALSE),"")</f>
        <v>黃金</v>
      </c>
      <c r="F218" s="157" t="str">
        <f>IFERROR(VLOOKUP($C218,Code!$H:$K,4,FALSE),"")</f>
        <v>.SPX</v>
      </c>
      <c r="G218" s="170">
        <f>IFERROR(((VLOOKUP($C218,Code!$H:$Q,9,FALSE))+(VLOOKUP($C218,Code!$H:$Q,10,FALSE)))/2*0.5/(((VLOOKUP($C218,Code!$H:$Q,7,FALSE))+(VLOOKUP($C218,Code!$H:$Q,8,FALSE)))/2),0)</f>
        <v>0.56493715758942964</v>
      </c>
      <c r="H218" s="171" t="str">
        <f t="shared" si="24"/>
        <v>M</v>
      </c>
      <c r="I218" s="170">
        <f>IFERROR((VLOOKUP($C218,Code!$H:$Q,5,FALSE))/(((VLOOKUP($C218,Code!$H:$Q,7,FALSE))+(VLOOKUP($C218,Code!$H:$Q,8,FALSE)))/2)-1,0)</f>
        <v>-0.14534321624234625</v>
      </c>
      <c r="J218" s="204">
        <f>IFERROR(POWER((VLOOKUP(C218,Code!H:W,12,FALSE))/(VLOOKUP(C218,Code!H:W,15,FALSE)),1/(P218-1))-1,"")</f>
        <v>0.21408801854358694</v>
      </c>
      <c r="K218" s="172" cm="1">
        <f t="array" ref="K218">IFERROR(IF(C218="","",_xlfn.IFS(AND(VLOOKUP(C218,Code!H:W,13,FALSE)=0,VLOOKUP(C218,Code!H:W,16,FALSE)=0),"無股息",AND(VLOOKUP(C218,Code!H:W,13,FALSE)=0,VLOOKUP(C218,Code!H:W,16,FALSE)&gt;0),"股息沒了",AND(VLOOKUP(C218,Code!H:W,13,FALSE)&gt;0,VLOOKUP(C218,Code!H:W,16,FALSE)=0),"發股息了",AND(VLOOKUP(C218,Code!H:W,13,FALSE)&gt;0,VLOOKUP(C218,Code!H:W,16,FALSE)&gt;0),POWER((VLOOKUP(C218,Code!H:W,13,FALSE))/(VLOOKUP(C218,Code!H:W,16,FALSE)),1/(P218-1))-1)),"")</f>
        <v>1.2951610510831508</v>
      </c>
      <c r="L218" s="173">
        <f>IFERROR(VLOOKUP(C218,Code!H:W,13,FALSE)*4/VLOOKUP(C218,Code!H:W,12,FALSE),"")</f>
        <v>3.0261349275795209E-2</v>
      </c>
      <c r="M218" s="172">
        <f t="shared" si="25"/>
        <v>1.5092490696267378</v>
      </c>
      <c r="N218" s="172" t="str">
        <f t="shared" si="26"/>
        <v>Venture</v>
      </c>
      <c r="O218" s="172" t="str">
        <f t="shared" si="27"/>
        <v>-</v>
      </c>
      <c r="P218" s="205">
        <f>IFERROR(YEARFRAC(VLOOKUP(C218,Code!H:W,11,FALSE),VLOOKUP(C218,Code!H:W,14,FALSE),3),"")</f>
        <v>4.720547945205479</v>
      </c>
      <c r="Q218" s="174">
        <v>44547</v>
      </c>
      <c r="R218" s="175" t="str">
        <f t="shared" ca="1" si="28"/>
        <v/>
      </c>
      <c r="S218" s="176">
        <f>IFERROR(VLOOKUP($C218,Code!$H:$Q,5,FALSE),"")</f>
        <v>0.26519999999999999</v>
      </c>
      <c r="T218" s="177" t="str">
        <f t="shared" ca="1" si="29"/>
        <v/>
      </c>
      <c r="U218" s="178" t="str">
        <f t="shared" ca="1" si="30"/>
        <v/>
      </c>
      <c r="V218" s="179">
        <f>IFERROR(VLOOKUP($C218,Code!$H:$Q,6,FALSE),"")</f>
        <v>61.25</v>
      </c>
      <c r="W218" s="180" t="str">
        <f t="shared" ca="1" si="31"/>
        <v/>
      </c>
      <c r="X218" s="12"/>
      <c r="Y218" s="12"/>
      <c r="Z218" s="12"/>
      <c r="AA218" s="12"/>
      <c r="AB218" s="12"/>
    </row>
    <row r="219" spans="1:28" s="10" customFormat="1" ht="15" hidden="1">
      <c r="A219" s="9"/>
      <c r="B219" s="169" cm="1">
        <f t="array" ref="B219">_xlfn.IFS(OR(Code!R128&lt;&gt;Code!U128,Code!R128=""),0,Code!R128=Code!U128,1)</f>
        <v>0</v>
      </c>
      <c r="C219" s="193" t="str">
        <f>IF(Code!F128="","",Code!F128)</f>
        <v>DAL</v>
      </c>
      <c r="D219" s="155" t="str">
        <f>IFERROR(VLOOKUP($C219,Code!$H:$K,2,FALSE),"")</f>
        <v>XLI</v>
      </c>
      <c r="E219" s="156" t="str">
        <f>IFERROR(VLOOKUP($C219,Code!$H:$K,3,FALSE),"")</f>
        <v>航空公司</v>
      </c>
      <c r="F219" s="157" t="str">
        <f>IFERROR(VLOOKUP($C219,Code!$H:$K,4,FALSE),"")</f>
        <v>.SPX</v>
      </c>
      <c r="G219" s="170">
        <f>IFERROR(((VLOOKUP($C219,Code!$H:$Q,9,FALSE))+(VLOOKUP($C219,Code!$H:$Q,10,FALSE)))/2*0.5/(((VLOOKUP($C219,Code!$H:$Q,7,FALSE))+(VLOOKUP($C219,Code!$H:$Q,8,FALSE)))/2),0)</f>
        <v>0.59221602711271459</v>
      </c>
      <c r="H219" s="171" t="str">
        <f t="shared" si="24"/>
        <v>M</v>
      </c>
      <c r="I219" s="170">
        <f>IFERROR((VLOOKUP($C219,Code!$H:$Q,5,FALSE))/(((VLOOKUP($C219,Code!$H:$Q,7,FALSE))+(VLOOKUP($C219,Code!$H:$Q,8,FALSE)))/2)-1,0)</f>
        <v>-0.14573084071280207</v>
      </c>
      <c r="J219" s="204">
        <f>IFERROR(POWER((VLOOKUP(C219,Code!H:W,12,FALSE))/(VLOOKUP(C219,Code!H:W,15,FALSE)),1/(P219-1))-1,"")</f>
        <v>0.24600304691895469</v>
      </c>
      <c r="K219" s="172" cm="1">
        <f t="array" ref="K219">IFERROR(IF(C219="","",_xlfn.IFS(AND(VLOOKUP(C219,Code!H:W,13,FALSE)=0,VLOOKUP(C219,Code!H:W,16,FALSE)=0),"無股息",AND(VLOOKUP(C219,Code!H:W,13,FALSE)=0,VLOOKUP(C219,Code!H:W,16,FALSE)&gt;0),"股息沒了",AND(VLOOKUP(C219,Code!H:W,13,FALSE)&gt;0,VLOOKUP(C219,Code!H:W,16,FALSE)=0),"發股息了",AND(VLOOKUP(C219,Code!H:W,13,FALSE)&gt;0,VLOOKUP(C219,Code!H:W,16,FALSE)&gt;0),POWER((VLOOKUP(C219,Code!H:W,13,FALSE))/(VLOOKUP(C219,Code!H:W,16,FALSE)),1/(P219-1))-1)),"")</f>
        <v>0.31150049660888235</v>
      </c>
      <c r="L219" s="173">
        <f>IFERROR(VLOOKUP(C219,Code!H:W,13,FALSE)*4/VLOOKUP(C219,Code!H:W,12,FALSE),"")</f>
        <v>2.7550846799575826E-2</v>
      </c>
      <c r="M219" s="172">
        <f t="shared" si="25"/>
        <v>0.55750354352783704</v>
      </c>
      <c r="N219" s="172" t="str">
        <f t="shared" si="26"/>
        <v>-</v>
      </c>
      <c r="O219" s="172" t="str">
        <f t="shared" si="27"/>
        <v>Value</v>
      </c>
      <c r="P219" s="205">
        <f>IFERROR(YEARFRAC(VLOOKUP(C219,Code!H:W,11,FALSE),VLOOKUP(C219,Code!H:W,14,FALSE),3),"")</f>
        <v>3.5287671232876714</v>
      </c>
      <c r="Q219" s="174">
        <v>44547</v>
      </c>
      <c r="R219" s="175" t="str">
        <f t="shared" ca="1" si="28"/>
        <v/>
      </c>
      <c r="S219" s="176">
        <f>IFERROR(VLOOKUP($C219,Code!$H:$Q,5,FALSE),"")</f>
        <v>0.39069999999999999</v>
      </c>
      <c r="T219" s="177" t="str">
        <f t="shared" ca="1" si="29"/>
        <v/>
      </c>
      <c r="U219" s="178" t="str">
        <f t="shared" ca="1" si="30"/>
        <v/>
      </c>
      <c r="V219" s="179">
        <f>IFERROR(VLOOKUP($C219,Code!$H:$Q,6,FALSE),"")</f>
        <v>39.99</v>
      </c>
      <c r="W219" s="180" t="str">
        <f t="shared" ca="1" si="31"/>
        <v/>
      </c>
      <c r="X219" s="12"/>
      <c r="Y219" s="12"/>
      <c r="Z219" s="12"/>
      <c r="AA219" s="12"/>
      <c r="AB219" s="12"/>
    </row>
    <row r="220" spans="1:28" s="10" customFormat="1" ht="15" hidden="1">
      <c r="A220" s="9"/>
      <c r="B220" s="169" cm="1">
        <f t="array" ref="B220">_xlfn.IFS(OR(Code!R381&lt;&gt;Code!U381,Code!R381=""),0,Code!R381=Code!U381,1)</f>
        <v>0</v>
      </c>
      <c r="C220" s="193" t="str">
        <f>IF(Code!F381="","",Code!F381)</f>
        <v>PPG</v>
      </c>
      <c r="D220" s="155" t="str">
        <f>IFERROR(VLOOKUP($C220,Code!$H:$K,2,FALSE),"")</f>
        <v>XLB</v>
      </c>
      <c r="E220" s="156" t="str">
        <f>IFERROR(VLOOKUP($C220,Code!$H:$K,3,FALSE),"")</f>
        <v>特種化學品</v>
      </c>
      <c r="F220" s="157" t="str">
        <f>IFERROR(VLOOKUP($C220,Code!$H:$K,4,FALSE),"")</f>
        <v>.SPX</v>
      </c>
      <c r="G220" s="170">
        <f>IFERROR(((VLOOKUP($C220,Code!$H:$Q,9,FALSE))+(VLOOKUP($C220,Code!$H:$Q,10,FALSE)))/2*0.5/(((VLOOKUP($C220,Code!$H:$Q,7,FALSE))+(VLOOKUP($C220,Code!$H:$Q,8,FALSE)))/2),0)</f>
        <v>0.63170984455958545</v>
      </c>
      <c r="H220" s="171" t="str">
        <f t="shared" si="24"/>
        <v>L</v>
      </c>
      <c r="I220" s="170">
        <f>IFERROR((VLOOKUP($C220,Code!$H:$Q,5,FALSE))/(((VLOOKUP($C220,Code!$H:$Q,7,FALSE))+(VLOOKUP($C220,Code!$H:$Q,8,FALSE)))/2)-1,0)</f>
        <v>-0.14735751295336796</v>
      </c>
      <c r="J220" s="204">
        <f>IFERROR(POWER((VLOOKUP(C220,Code!H:W,12,FALSE))/(VLOOKUP(C220,Code!H:W,15,FALSE)),1/(P220-1))-1,"")</f>
        <v>0.18007904957234744</v>
      </c>
      <c r="K220" s="172" cm="1">
        <f t="array" ref="K220">IFERROR(IF(C220="","",_xlfn.IFS(AND(VLOOKUP(C220,Code!H:W,13,FALSE)=0,VLOOKUP(C220,Code!H:W,16,FALSE)=0),"無股息",AND(VLOOKUP(C220,Code!H:W,13,FALSE)=0,VLOOKUP(C220,Code!H:W,16,FALSE)&gt;0),"股息沒了",AND(VLOOKUP(C220,Code!H:W,13,FALSE)&gt;0,VLOOKUP(C220,Code!H:W,16,FALSE)=0),"發股息了",AND(VLOOKUP(C220,Code!H:W,13,FALSE)&gt;0,VLOOKUP(C220,Code!H:W,16,FALSE)&gt;0),POWER((VLOOKUP(C220,Code!H:W,13,FALSE))/(VLOOKUP(C220,Code!H:W,16,FALSE)),1/(P220-1))-1)),"")</f>
        <v>8.3364813926606551E-2</v>
      </c>
      <c r="L220" s="173">
        <f>IFERROR(VLOOKUP(C220,Code!H:W,13,FALSE)*4/VLOOKUP(C220,Code!H:W,12,FALSE),"")</f>
        <v>1.2034096238758347E-2</v>
      </c>
      <c r="M220" s="172">
        <f t="shared" si="25"/>
        <v>0.26344386349895399</v>
      </c>
      <c r="N220" s="172" t="str">
        <f t="shared" si="26"/>
        <v>-</v>
      </c>
      <c r="O220" s="172" t="str">
        <f t="shared" si="27"/>
        <v>-</v>
      </c>
      <c r="P220" s="205">
        <f>IFERROR(YEARFRAC(VLOOKUP(C220,Code!H:W,11,FALSE),VLOOKUP(C220,Code!H:W,14,FALSE),3),"")</f>
        <v>4.7479452054794518</v>
      </c>
      <c r="Q220" s="174">
        <v>44547</v>
      </c>
      <c r="R220" s="175" t="str">
        <f t="shared" ca="1" si="28"/>
        <v/>
      </c>
      <c r="S220" s="176">
        <f>IFERROR(VLOOKUP($C220,Code!$H:$Q,5,FALSE),"")</f>
        <v>0.20569999999999999</v>
      </c>
      <c r="T220" s="177" t="str">
        <f t="shared" ca="1" si="29"/>
        <v/>
      </c>
      <c r="U220" s="178" t="str">
        <f t="shared" ca="1" si="30"/>
        <v/>
      </c>
      <c r="V220" s="179">
        <f>IFERROR(VLOOKUP($C220,Code!$H:$Q,6,FALSE),"")</f>
        <v>164.2</v>
      </c>
      <c r="W220" s="180" t="str">
        <f t="shared" ca="1" si="31"/>
        <v/>
      </c>
      <c r="X220" s="12"/>
      <c r="Y220" s="12"/>
      <c r="Z220" s="12"/>
      <c r="AA220" s="12"/>
      <c r="AB220" s="12"/>
    </row>
    <row r="221" spans="1:28" s="10" customFormat="1" ht="15" hidden="1">
      <c r="A221" s="9"/>
      <c r="B221" s="169" cm="1">
        <f t="array" ref="B221">_xlfn.IFS(OR(Code!R362&lt;&gt;Code!U362,Code!R362=""),0,Code!R362=Code!U362,1)</f>
        <v>0</v>
      </c>
      <c r="C221" s="193" t="str">
        <f>IF(Code!F362="","",Code!F362)</f>
        <v>PCAR</v>
      </c>
      <c r="D221" s="155" t="str">
        <f>IFERROR(VLOOKUP($C221,Code!$H:$K,2,FALSE),"")</f>
        <v>XLI</v>
      </c>
      <c r="E221" s="156" t="str">
        <f>IFERROR(VLOOKUP($C221,Code!$H:$K,3,FALSE),"")</f>
        <v>農重工程機械</v>
      </c>
      <c r="F221" s="157" t="str">
        <f>IFERROR(VLOOKUP($C221,Code!$H:$K,4,FALSE),"")</f>
        <v>.SPX</v>
      </c>
      <c r="G221" s="170">
        <f>IFERROR(((VLOOKUP($C221,Code!$H:$Q,9,FALSE))+(VLOOKUP($C221,Code!$H:$Q,10,FALSE)))/2*0.5/(((VLOOKUP($C221,Code!$H:$Q,7,FALSE))+(VLOOKUP($C221,Code!$H:$Q,8,FALSE)))/2),0)</f>
        <v>0.54795655375552277</v>
      </c>
      <c r="H221" s="171" t="str">
        <f t="shared" si="24"/>
        <v>M</v>
      </c>
      <c r="I221" s="170">
        <f>IFERROR((VLOOKUP($C221,Code!$H:$Q,5,FALSE))/(((VLOOKUP($C221,Code!$H:$Q,7,FALSE))+(VLOOKUP($C221,Code!$H:$Q,8,FALSE)))/2)-1,0)</f>
        <v>-0.14874815905743743</v>
      </c>
      <c r="J221" s="204">
        <f>IFERROR(POWER((VLOOKUP(C221,Code!H:W,12,FALSE))/(VLOOKUP(C221,Code!H:W,15,FALSE)),1/(P221-1))-1,"")</f>
        <v>0.19545864400628621</v>
      </c>
      <c r="K221" s="172" cm="1">
        <f t="array" ref="K221">IFERROR(IF(C221="","",_xlfn.IFS(AND(VLOOKUP(C221,Code!H:W,13,FALSE)=0,VLOOKUP(C221,Code!H:W,16,FALSE)=0),"無股息",AND(VLOOKUP(C221,Code!H:W,13,FALSE)=0,VLOOKUP(C221,Code!H:W,16,FALSE)&gt;0),"股息沒了",AND(VLOOKUP(C221,Code!H:W,13,FALSE)&gt;0,VLOOKUP(C221,Code!H:W,16,FALSE)=0),"發股息了",AND(VLOOKUP(C221,Code!H:W,13,FALSE)&gt;0,VLOOKUP(C221,Code!H:W,16,FALSE)&gt;0),POWER((VLOOKUP(C221,Code!H:W,13,FALSE))/(VLOOKUP(C221,Code!H:W,16,FALSE)),1/(P221-1))-1)),"")</f>
        <v>9.7239015921562588E-2</v>
      </c>
      <c r="L221" s="173">
        <f>IFERROR(VLOOKUP(C221,Code!H:W,13,FALSE)*4/VLOOKUP(C221,Code!H:W,12,FALSE),"")</f>
        <v>1.4352046953785575E-2</v>
      </c>
      <c r="M221" s="172">
        <f t="shared" si="25"/>
        <v>0.2926976599278488</v>
      </c>
      <c r="N221" s="172" t="str">
        <f t="shared" si="26"/>
        <v>-</v>
      </c>
      <c r="O221" s="172" t="str">
        <f t="shared" si="27"/>
        <v>-</v>
      </c>
      <c r="P221" s="205">
        <f>IFERROR(YEARFRAC(VLOOKUP(C221,Code!H:W,11,FALSE),VLOOKUP(C221,Code!H:W,14,FALSE),3),"")</f>
        <v>4.7534246575342465</v>
      </c>
      <c r="Q221" s="174">
        <v>44547</v>
      </c>
      <c r="R221" s="175" t="str">
        <f t="shared" ca="1" si="28"/>
        <v/>
      </c>
      <c r="S221" s="176">
        <f>IFERROR(VLOOKUP($C221,Code!$H:$Q,5,FALSE),"")</f>
        <v>0.23119999999999999</v>
      </c>
      <c r="T221" s="177" t="str">
        <f t="shared" ca="1" si="29"/>
        <v/>
      </c>
      <c r="U221" s="178" t="str">
        <f t="shared" ca="1" si="30"/>
        <v/>
      </c>
      <c r="V221" s="179">
        <f>IFERROR(VLOOKUP($C221,Code!$H:$Q,6,FALSE),"")</f>
        <v>80.290000000000006</v>
      </c>
      <c r="W221" s="180" t="str">
        <f t="shared" ca="1" si="31"/>
        <v/>
      </c>
      <c r="X221" s="12"/>
      <c r="Y221" s="12"/>
      <c r="Z221" s="12"/>
      <c r="AA221" s="12"/>
      <c r="AB221" s="12"/>
    </row>
    <row r="222" spans="1:28" s="10" customFormat="1" ht="15" hidden="1">
      <c r="A222" s="9"/>
      <c r="B222" s="169" cm="1">
        <f t="array" ref="B222">_xlfn.IFS(OR(Code!R327&lt;&gt;Code!U327,Code!R327=""),0,Code!R327=Code!U327,1)</f>
        <v>1</v>
      </c>
      <c r="C222" s="193" t="str">
        <f>IF(Code!F327="","",Code!F327)</f>
        <v>NCLH</v>
      </c>
      <c r="D222" s="155" t="str">
        <f>IFERROR(VLOOKUP($C222,Code!$H:$K,2,FALSE),"")</f>
        <v>XLY</v>
      </c>
      <c r="E222" s="156" t="str">
        <f>IFERROR(VLOOKUP($C222,Code!$H:$K,3,FALSE),"")</f>
        <v>旅行服務</v>
      </c>
      <c r="F222" s="157" t="str">
        <f>IFERROR(VLOOKUP($C222,Code!$H:$K,4,FALSE),"")</f>
        <v>.SPX</v>
      </c>
      <c r="G222" s="170">
        <f>IFERROR(((VLOOKUP($C222,Code!$H:$Q,9,FALSE))+(VLOOKUP($C222,Code!$H:$Q,10,FALSE)))/2*0.5/(((VLOOKUP($C222,Code!$H:$Q,7,FALSE))+(VLOOKUP($C222,Code!$H:$Q,8,FALSE)))/2),0)</f>
        <v>0.55602686461647233</v>
      </c>
      <c r="H222" s="171" t="str">
        <f t="shared" si="24"/>
        <v>M</v>
      </c>
      <c r="I222" s="170">
        <f>IFERROR((VLOOKUP($C222,Code!$H:$Q,5,FALSE))/(((VLOOKUP($C222,Code!$H:$Q,7,FALSE))+(VLOOKUP($C222,Code!$H:$Q,8,FALSE)))/2)-1,0)</f>
        <v>-0.15022976316719683</v>
      </c>
      <c r="J222" s="204" t="str">
        <f>IFERROR(POWER((VLOOKUP(C222,Code!H:W,12,FALSE))/(VLOOKUP(C222,Code!H:W,15,FALSE)),1/(P222-1))-1,"")</f>
        <v/>
      </c>
      <c r="K222" s="172" t="str" cm="1">
        <f t="array" ref="K222">IFERROR(IF(C222="","",_xlfn.IFS(AND(VLOOKUP(C222,Code!H:W,13,FALSE)=0,VLOOKUP(C222,Code!H:W,16,FALSE)=0),"無股息",AND(VLOOKUP(C222,Code!H:W,13,FALSE)=0,VLOOKUP(C222,Code!H:W,16,FALSE)&gt;0),"股息沒了",AND(VLOOKUP(C222,Code!H:W,13,FALSE)&gt;0,VLOOKUP(C222,Code!H:W,16,FALSE)=0),"發股息了",AND(VLOOKUP(C222,Code!H:W,13,FALSE)&gt;0,VLOOKUP(C222,Code!H:W,16,FALSE)&gt;0),POWER((VLOOKUP(C222,Code!H:W,13,FALSE))/(VLOOKUP(C222,Code!H:W,16,FALSE)),1/(P222-1))-1)),"")</f>
        <v>無股息</v>
      </c>
      <c r="L222" s="173" t="str">
        <f>IFERROR(VLOOKUP(C222,Code!H:W,13,FALSE)*4/VLOOKUP(C222,Code!H:W,12,FALSE),"")</f>
        <v/>
      </c>
      <c r="M222" s="172" t="str">
        <f t="shared" si="25"/>
        <v/>
      </c>
      <c r="N222" s="172" t="str">
        <f t="shared" si="26"/>
        <v/>
      </c>
      <c r="O222" s="172" t="str">
        <f t="shared" si="27"/>
        <v/>
      </c>
      <c r="P222" s="205">
        <f>IFERROR(YEARFRAC(VLOOKUP(C222,Code!H:W,11,FALSE),VLOOKUP(C222,Code!H:W,14,FALSE),3),"")</f>
        <v>0</v>
      </c>
      <c r="Q222" s="174">
        <v>44547</v>
      </c>
      <c r="R222" s="175" t="str">
        <f t="shared" ca="1" si="28"/>
        <v/>
      </c>
      <c r="S222" s="176">
        <f>IFERROR(VLOOKUP($C222,Code!$H:$Q,5,FALSE),"")</f>
        <v>0.60099999999999998</v>
      </c>
      <c r="T222" s="177" t="str">
        <f t="shared" ca="1" si="29"/>
        <v/>
      </c>
      <c r="U222" s="178" t="str">
        <f t="shared" ca="1" si="30"/>
        <v/>
      </c>
      <c r="V222" s="179">
        <f>IFERROR(VLOOKUP($C222,Code!$H:$Q,6,FALSE),"")</f>
        <v>24.18</v>
      </c>
      <c r="W222" s="180" t="str">
        <f t="shared" ca="1" si="31"/>
        <v/>
      </c>
      <c r="X222" s="12"/>
      <c r="Y222" s="12"/>
      <c r="Z222" s="12"/>
      <c r="AA222" s="12"/>
      <c r="AB222" s="12"/>
    </row>
    <row r="223" spans="1:28" s="10" customFormat="1" ht="15" hidden="1">
      <c r="A223" s="9"/>
      <c r="B223" s="169" cm="1">
        <f t="array" ref="B223">_xlfn.IFS(OR(Code!R251&lt;&gt;Code!U251,Code!R251=""),0,Code!R251=Code!U251,1)</f>
        <v>0</v>
      </c>
      <c r="C223" s="193" t="str">
        <f>IF(Code!F251="","",Code!F251)</f>
        <v>ITW</v>
      </c>
      <c r="D223" s="155" t="str">
        <f>IFERROR(VLOOKUP($C223,Code!$H:$K,2,FALSE),"")</f>
        <v>XLI</v>
      </c>
      <c r="E223" s="156" t="str">
        <f>IFERROR(VLOOKUP($C223,Code!$H:$K,3,FALSE),"")</f>
        <v>特種工業機械</v>
      </c>
      <c r="F223" s="157" t="str">
        <f>IFERROR(VLOOKUP($C223,Code!$H:$K,4,FALSE),"")</f>
        <v>.SPX</v>
      </c>
      <c r="G223" s="170">
        <f>IFERROR(((VLOOKUP($C223,Code!$H:$Q,9,FALSE))+(VLOOKUP($C223,Code!$H:$Q,10,FALSE)))/2*0.5/(((VLOOKUP($C223,Code!$H:$Q,7,FALSE))+(VLOOKUP($C223,Code!$H:$Q,8,FALSE)))/2),0)</f>
        <v>0.63776108894625672</v>
      </c>
      <c r="H223" s="171" t="str">
        <f t="shared" si="24"/>
        <v>L</v>
      </c>
      <c r="I223" s="170">
        <f>IFERROR((VLOOKUP($C223,Code!$H:$Q,5,FALSE))/(((VLOOKUP($C223,Code!$H:$Q,7,FALSE))+(VLOOKUP($C223,Code!$H:$Q,8,FALSE)))/2)-1,0)</f>
        <v>-0.15043417038253926</v>
      </c>
      <c r="J223" s="204">
        <f>IFERROR(POWER((VLOOKUP(C223,Code!H:W,12,FALSE))/(VLOOKUP(C223,Code!H:W,15,FALSE)),1/(P223-1))-1,"")</f>
        <v>0.215319484794533</v>
      </c>
      <c r="K223" s="172" cm="1">
        <f t="array" ref="K223">IFERROR(IF(C223="","",_xlfn.IFS(AND(VLOOKUP(C223,Code!H:W,13,FALSE)=0,VLOOKUP(C223,Code!H:W,16,FALSE)=0),"無股息",AND(VLOOKUP(C223,Code!H:W,13,FALSE)=0,VLOOKUP(C223,Code!H:W,16,FALSE)&gt;0),"股息沒了",AND(VLOOKUP(C223,Code!H:W,13,FALSE)&gt;0,VLOOKUP(C223,Code!H:W,16,FALSE)=0),"發股息了",AND(VLOOKUP(C223,Code!H:W,13,FALSE)&gt;0,VLOOKUP(C223,Code!H:W,16,FALSE)&gt;0),POWER((VLOOKUP(C223,Code!H:W,13,FALSE))/(VLOOKUP(C223,Code!H:W,16,FALSE)),1/(P223-1))-1)),"")</f>
        <v>0.16146207453210981</v>
      </c>
      <c r="L223" s="173">
        <f>IFERROR(VLOOKUP(C223,Code!H:W,13,FALSE)*4/VLOOKUP(C223,Code!H:W,12,FALSE),"")</f>
        <v>2.044843049327354E-2</v>
      </c>
      <c r="M223" s="172">
        <f t="shared" si="25"/>
        <v>0.37678155932664281</v>
      </c>
      <c r="N223" s="172" t="str">
        <f t="shared" si="26"/>
        <v>-</v>
      </c>
      <c r="O223" s="172" t="str">
        <f t="shared" si="27"/>
        <v>Value</v>
      </c>
      <c r="P223" s="205">
        <f>IFERROR(YEARFRAC(VLOOKUP(C223,Code!H:W,11,FALSE),VLOOKUP(C223,Code!H:W,14,FALSE),3),"")</f>
        <v>4.7534246575342465</v>
      </c>
      <c r="Q223" s="174">
        <v>44547</v>
      </c>
      <c r="R223" s="175" t="str">
        <f t="shared" ca="1" si="28"/>
        <v/>
      </c>
      <c r="S223" s="176">
        <f>IFERROR(VLOOKUP($C223,Code!$H:$Q,5,FALSE),"")</f>
        <v>0.18099999999999999</v>
      </c>
      <c r="T223" s="177" t="str">
        <f t="shared" ca="1" si="29"/>
        <v/>
      </c>
      <c r="U223" s="178" t="str">
        <f t="shared" ca="1" si="30"/>
        <v/>
      </c>
      <c r="V223" s="179">
        <f>IFERROR(VLOOKUP($C223,Code!$H:$Q,6,FALSE),"")</f>
        <v>226.98</v>
      </c>
      <c r="W223" s="180" t="str">
        <f t="shared" ca="1" si="31"/>
        <v/>
      </c>
      <c r="X223" s="12"/>
      <c r="Y223" s="12"/>
      <c r="Z223" s="12"/>
      <c r="AA223" s="12"/>
      <c r="AB223" s="12"/>
    </row>
    <row r="224" spans="1:28" s="10" customFormat="1" ht="15">
      <c r="A224" s="9"/>
      <c r="B224" s="169" cm="1">
        <f t="array" ref="B224">_xlfn.IFS(OR(Code!R5&lt;&gt;Code!U5,Code!R5=""),0,Code!R5=Code!U5,1)</f>
        <v>0</v>
      </c>
      <c r="C224" s="193" t="str">
        <f>IF(Code!F5="","",Code!F5)</f>
        <v>AAL</v>
      </c>
      <c r="D224" s="155" t="str">
        <f>IFERROR(VLOOKUP($C224,Code!$H:$K,2,FALSE),"")</f>
        <v>XLI</v>
      </c>
      <c r="E224" s="156" t="str">
        <f>IFERROR(VLOOKUP($C224,Code!$H:$K,3,FALSE),"")</f>
        <v>航空公司</v>
      </c>
      <c r="F224" s="157" t="str">
        <f>IFERROR(VLOOKUP($C224,Code!$H:$K,4,FALSE),"")</f>
        <v>.SPX</v>
      </c>
      <c r="G224" s="170">
        <f>IFERROR(((VLOOKUP($C224,Code!$H:$Q,9,FALSE))+(VLOOKUP($C224,Code!$H:$Q,10,FALSE)))/2*0.5/(((VLOOKUP($C224,Code!$H:$Q,7,FALSE))+(VLOOKUP($C224,Code!$H:$Q,8,FALSE)))/2),0)</f>
        <v>0.71858495720269522</v>
      </c>
      <c r="H224" s="171" t="str">
        <f t="shared" si="24"/>
        <v>XL</v>
      </c>
      <c r="I224" s="170">
        <f>IFERROR((VLOOKUP($C224,Code!$H:$Q,5,FALSE))/(((VLOOKUP($C224,Code!$H:$Q,7,FALSE))+(VLOOKUP($C224,Code!$H:$Q,8,FALSE)))/2)-1,0)</f>
        <v>-0.15334183208887275</v>
      </c>
      <c r="J224" s="204">
        <f>IFERROR(POWER((VLOOKUP(C224,Code!H:W,12,FALSE))/(VLOOKUP(C224,Code!H:W,15,FALSE)),1/(P224-1))-1,"")</f>
        <v>-0.12129817151034539</v>
      </c>
      <c r="K224" s="172" cm="1">
        <f t="array" ref="K224">IFERROR(IF(C224="","",_xlfn.IFS(AND(VLOOKUP(C224,Code!H:W,13,FALSE)=0,VLOOKUP(C224,Code!H:W,16,FALSE)=0),"無股息",AND(VLOOKUP(C224,Code!H:W,13,FALSE)=0,VLOOKUP(C224,Code!H:W,16,FALSE)&gt;0),"股息沒了",AND(VLOOKUP(C224,Code!H:W,13,FALSE)&gt;0,VLOOKUP(C224,Code!H:W,16,FALSE)=0),"發股息了",AND(VLOOKUP(C224,Code!H:W,13,FALSE)&gt;0,VLOOKUP(C224,Code!H:W,16,FALSE)&gt;0),POWER((VLOOKUP(C224,Code!H:W,13,FALSE))/(VLOOKUP(C224,Code!H:W,16,FALSE)),1/(P224-1))-1)),"")</f>
        <v>0</v>
      </c>
      <c r="L224" s="173">
        <f>IFERROR(VLOOKUP(C224,Code!H:W,13,FALSE)*4/VLOOKUP(C224,Code!H:W,12,FALSE),"")</f>
        <v>1.4069644590442715E-2</v>
      </c>
      <c r="M224" s="172">
        <f t="shared" si="25"/>
        <v>-0.12129817151034539</v>
      </c>
      <c r="N224" s="172" t="str">
        <f t="shared" si="26"/>
        <v>-</v>
      </c>
      <c r="O224" s="172" t="str">
        <f t="shared" si="27"/>
        <v>-</v>
      </c>
      <c r="P224" s="205">
        <f>IFERROR(YEARFRAC(VLOOKUP(C224,Code!H:W,11,FALSE),VLOOKUP(C224,Code!H:W,14,FALSE),3),"")</f>
        <v>3.2547945205479452</v>
      </c>
      <c r="Q224" s="174">
        <v>44547</v>
      </c>
      <c r="R224" s="175" t="str">
        <f t="shared" ca="1" si="28"/>
        <v/>
      </c>
      <c r="S224" s="176">
        <f>IFERROR(VLOOKUP($C224,Code!$H:$Q,5,FALSE),"")</f>
        <v>0.46489999999999998</v>
      </c>
      <c r="T224" s="177" t="str">
        <f t="shared" ca="1" si="29"/>
        <v/>
      </c>
      <c r="U224" s="178" t="str">
        <f t="shared" ca="1" si="30"/>
        <v/>
      </c>
      <c r="V224" s="179">
        <f>IFERROR(VLOOKUP($C224,Code!$H:$Q,6,FALSE),"")</f>
        <v>20.7</v>
      </c>
      <c r="W224" s="180" t="str">
        <f t="shared" ca="1" si="31"/>
        <v/>
      </c>
      <c r="X224" s="12"/>
      <c r="Y224" s="12"/>
      <c r="Z224" s="12"/>
      <c r="AA224" s="12"/>
      <c r="AB224" s="12"/>
    </row>
    <row r="225" spans="1:28" s="10" customFormat="1" ht="15" hidden="1">
      <c r="A225" s="9"/>
      <c r="B225" s="169" cm="1">
        <f t="array" ref="B225">_xlfn.IFS(OR(Code!R369&lt;&gt;Code!U369,Code!R369=""),0,Code!R369=Code!U369,1)</f>
        <v>0</v>
      </c>
      <c r="C225" s="193" t="str">
        <f>IF(Code!F369="","",Code!F369)</f>
        <v>PG</v>
      </c>
      <c r="D225" s="155" t="str">
        <f>IFERROR(VLOOKUP($C225,Code!$H:$K,2,FALSE),"")</f>
        <v>XLP</v>
      </c>
      <c r="E225" s="156" t="str">
        <f>IFERROR(VLOOKUP($C225,Code!$H:$K,3,FALSE),"")</f>
        <v>家庭及個人產品</v>
      </c>
      <c r="F225" s="157" t="str">
        <f>IFERROR(VLOOKUP($C225,Code!$H:$K,4,FALSE),"")</f>
        <v>.SPX</v>
      </c>
      <c r="G225" s="170">
        <f>IFERROR(((VLOOKUP($C225,Code!$H:$Q,9,FALSE))+(VLOOKUP($C225,Code!$H:$Q,10,FALSE)))/2*0.5/(((VLOOKUP($C225,Code!$H:$Q,7,FALSE))+(VLOOKUP($C225,Code!$H:$Q,8,FALSE)))/2),0)</f>
        <v>0.68735927951109677</v>
      </c>
      <c r="H225" s="171" t="str">
        <f t="shared" si="24"/>
        <v>L</v>
      </c>
      <c r="I225" s="170">
        <f>IFERROR((VLOOKUP($C225,Code!$H:$Q,5,FALSE))/(((VLOOKUP($C225,Code!$H:$Q,7,FALSE))+(VLOOKUP($C225,Code!$H:$Q,8,FALSE)))/2)-1,0)</f>
        <v>-0.15406883242200065</v>
      </c>
      <c r="J225" s="204">
        <f>IFERROR(POWER((VLOOKUP(C225,Code!H:W,12,FALSE))/(VLOOKUP(C225,Code!H:W,15,FALSE)),1/(P225-1))-1,"")</f>
        <v>0.17714716492890892</v>
      </c>
      <c r="K225" s="172" cm="1">
        <f t="array" ref="K225">IFERROR(IF(C225="","",_xlfn.IFS(AND(VLOOKUP(C225,Code!H:W,13,FALSE)=0,VLOOKUP(C225,Code!H:W,16,FALSE)=0),"無股息",AND(VLOOKUP(C225,Code!H:W,13,FALSE)=0,VLOOKUP(C225,Code!H:W,16,FALSE)&gt;0),"股息沒了",AND(VLOOKUP(C225,Code!H:W,13,FALSE)&gt;0,VLOOKUP(C225,Code!H:W,16,FALSE)=0),"發股息了",AND(VLOOKUP(C225,Code!H:W,13,FALSE)&gt;0,VLOOKUP(C225,Code!H:W,16,FALSE)&gt;0),POWER((VLOOKUP(C225,Code!H:W,13,FALSE))/(VLOOKUP(C225,Code!H:W,16,FALSE)),1/(P225-1))-1)),"")</f>
        <v>7.1963980215428824E-2</v>
      </c>
      <c r="L225" s="173">
        <f>IFERROR(VLOOKUP(C225,Code!H:W,13,FALSE)*4/VLOOKUP(C225,Code!H:W,12,FALSE),"")</f>
        <v>2.5253990732445265E-2</v>
      </c>
      <c r="M225" s="172">
        <f t="shared" si="25"/>
        <v>0.24911114514433774</v>
      </c>
      <c r="N225" s="172" t="str">
        <f t="shared" si="26"/>
        <v>-</v>
      </c>
      <c r="O225" s="172" t="str">
        <f t="shared" si="27"/>
        <v>-</v>
      </c>
      <c r="P225" s="205">
        <f>IFERROR(YEARFRAC(VLOOKUP(C225,Code!H:W,11,FALSE),VLOOKUP(C225,Code!H:W,14,FALSE),3),"")</f>
        <v>4.7589041095890412</v>
      </c>
      <c r="Q225" s="174">
        <v>44547</v>
      </c>
      <c r="R225" s="175" t="str">
        <f t="shared" ca="1" si="28"/>
        <v/>
      </c>
      <c r="S225" s="176">
        <f>IFERROR(VLOOKUP($C225,Code!$H:$Q,5,FALSE),"")</f>
        <v>0.13150000000000001</v>
      </c>
      <c r="T225" s="177" t="str">
        <f t="shared" ca="1" si="29"/>
        <v/>
      </c>
      <c r="U225" s="178" t="str">
        <f t="shared" ca="1" si="30"/>
        <v/>
      </c>
      <c r="V225" s="179">
        <f>IFERROR(VLOOKUP($C225,Code!$H:$Q,6,FALSE),"")</f>
        <v>142.26</v>
      </c>
      <c r="W225" s="180" t="str">
        <f t="shared" ca="1" si="31"/>
        <v/>
      </c>
      <c r="X225" s="12"/>
      <c r="Y225" s="12"/>
      <c r="Z225" s="12"/>
      <c r="AA225" s="12"/>
      <c r="AB225" s="12"/>
    </row>
    <row r="226" spans="1:28" s="10" customFormat="1" ht="15" hidden="1">
      <c r="A226" s="9"/>
      <c r="B226" s="169" cm="1">
        <f t="array" ref="B226">_xlfn.IFS(OR(Code!R193&lt;&gt;Code!U193,Code!R193=""),0,Code!R193=Code!U193,1)</f>
        <v>0</v>
      </c>
      <c r="C226" s="193" t="str">
        <f>IF(Code!F193="","",Code!F193)</f>
        <v>FRC</v>
      </c>
      <c r="D226" s="155" t="str">
        <f>IFERROR(VLOOKUP($C226,Code!$H:$K,2,FALSE),"")</f>
        <v>XLF</v>
      </c>
      <c r="E226" s="156" t="str">
        <f>IFERROR(VLOOKUP($C226,Code!$H:$K,3,FALSE),"")</f>
        <v>銀行-區域</v>
      </c>
      <c r="F226" s="157" t="str">
        <f>IFERROR(VLOOKUP($C226,Code!$H:$K,4,FALSE),"")</f>
        <v>.SPX</v>
      </c>
      <c r="G226" s="170">
        <f>IFERROR(((VLOOKUP($C226,Code!$H:$Q,9,FALSE))+(VLOOKUP($C226,Code!$H:$Q,10,FALSE)))/2*0.5/(((VLOOKUP($C226,Code!$H:$Q,7,FALSE))+(VLOOKUP($C226,Code!$H:$Q,8,FALSE)))/2),0)</f>
        <v>0.54493884063109377</v>
      </c>
      <c r="H226" s="171" t="str">
        <f t="shared" si="24"/>
        <v>M</v>
      </c>
      <c r="I226" s="170">
        <f>IFERROR((VLOOKUP($C226,Code!$H:$Q,5,FALSE))/(((VLOOKUP($C226,Code!$H:$Q,7,FALSE))+(VLOOKUP($C226,Code!$H:$Q,8,FALSE)))/2)-1,0)</f>
        <v>-0.15582343556107081</v>
      </c>
      <c r="J226" s="204">
        <f>IFERROR(POWER((VLOOKUP(C226,Code!H:W,12,FALSE))/(VLOOKUP(C226,Code!H:W,15,FALSE)),1/(P226-1))-1,"")</f>
        <v>0.30307495422491493</v>
      </c>
      <c r="K226" s="172" cm="1">
        <f t="array" ref="K226">IFERROR(IF(C226="","",_xlfn.IFS(AND(VLOOKUP(C226,Code!H:W,13,FALSE)=0,VLOOKUP(C226,Code!H:W,16,FALSE)=0),"無股息",AND(VLOOKUP(C226,Code!H:W,13,FALSE)=0,VLOOKUP(C226,Code!H:W,16,FALSE)&gt;0),"股息沒了",AND(VLOOKUP(C226,Code!H:W,13,FALSE)&gt;0,VLOOKUP(C226,Code!H:W,16,FALSE)=0),"發股息了",AND(VLOOKUP(C226,Code!H:W,13,FALSE)&gt;0,VLOOKUP(C226,Code!H:W,16,FALSE)&gt;0),POWER((VLOOKUP(C226,Code!H:W,13,FALSE))/(VLOOKUP(C226,Code!H:W,16,FALSE)),1/(P226-1))-1)),"")</f>
        <v>8.8412087607849577E-2</v>
      </c>
      <c r="L226" s="173">
        <f>IFERROR(VLOOKUP(C226,Code!H:W,13,FALSE)*4/VLOOKUP(C226,Code!H:W,12,FALSE),"")</f>
        <v>4.4529906980220677E-3</v>
      </c>
      <c r="M226" s="172">
        <f t="shared" si="25"/>
        <v>0.3914870418327645</v>
      </c>
      <c r="N226" s="172" t="str">
        <f t="shared" si="26"/>
        <v>-</v>
      </c>
      <c r="O226" s="172" t="str">
        <f t="shared" si="27"/>
        <v>-</v>
      </c>
      <c r="P226" s="205">
        <f>IFERROR(YEARFRAC(VLOOKUP(C226,Code!H:W,11,FALSE),VLOOKUP(C226,Code!H:W,14,FALSE),3),"")</f>
        <v>4.7589041095890412</v>
      </c>
      <c r="Q226" s="174">
        <v>44547</v>
      </c>
      <c r="R226" s="175" t="str">
        <f t="shared" ca="1" si="28"/>
        <v/>
      </c>
      <c r="S226" s="176">
        <f>IFERROR(VLOOKUP($C226,Code!$H:$Q,5,FALSE),"")</f>
        <v>0.23810000000000001</v>
      </c>
      <c r="T226" s="177" t="str">
        <f t="shared" ca="1" si="29"/>
        <v/>
      </c>
      <c r="U226" s="178" t="str">
        <f t="shared" ca="1" si="30"/>
        <v/>
      </c>
      <c r="V226" s="179">
        <f>IFERROR(VLOOKUP($C226,Code!$H:$Q,6,FALSE),"")</f>
        <v>199.16</v>
      </c>
      <c r="W226" s="180" t="str">
        <f t="shared" ca="1" si="31"/>
        <v/>
      </c>
      <c r="X226" s="12"/>
      <c r="Y226" s="12"/>
      <c r="Z226" s="12"/>
      <c r="AA226" s="12"/>
      <c r="AB226" s="12"/>
    </row>
    <row r="227" spans="1:28" s="10" customFormat="1" ht="15" hidden="1">
      <c r="A227" s="9"/>
      <c r="B227" s="169" cm="1">
        <f t="array" ref="B227">_xlfn.IFS(OR(Code!R254&lt;&gt;Code!U254,Code!R254=""),0,Code!R254=Code!U254,1)</f>
        <v>0</v>
      </c>
      <c r="C227" s="193" t="str">
        <f>IF(Code!F254="","",Code!F254)</f>
        <v>JBHT</v>
      </c>
      <c r="D227" s="155" t="str">
        <f>IFERROR(VLOOKUP($C227,Code!$H:$K,2,FALSE),"")</f>
        <v>XLI</v>
      </c>
      <c r="E227" s="156" t="str">
        <f>IFERROR(VLOOKUP($C227,Code!$H:$K,3,FALSE),"")</f>
        <v>綜合貨運物流</v>
      </c>
      <c r="F227" s="157" t="str">
        <f>IFERROR(VLOOKUP($C227,Code!$H:$K,4,FALSE),"")</f>
        <v>.SPX</v>
      </c>
      <c r="G227" s="170">
        <f>IFERROR(((VLOOKUP($C227,Code!$H:$Q,9,FALSE))+(VLOOKUP($C227,Code!$H:$Q,10,FALSE)))/2*0.5/(((VLOOKUP($C227,Code!$H:$Q,7,FALSE))+(VLOOKUP($C227,Code!$H:$Q,8,FALSE)))/2),0)</f>
        <v>0.52220060145055724</v>
      </c>
      <c r="H227" s="171" t="str">
        <f t="shared" si="24"/>
        <v>M</v>
      </c>
      <c r="I227" s="170">
        <f>IFERROR((VLOOKUP($C227,Code!$H:$Q,5,FALSE))/(((VLOOKUP($C227,Code!$H:$Q,7,FALSE))+(VLOOKUP($C227,Code!$H:$Q,8,FALSE)))/2)-1,0)</f>
        <v>-0.15584645321068458</v>
      </c>
      <c r="J227" s="204">
        <f>IFERROR(POWER((VLOOKUP(C227,Code!H:W,12,FALSE))/(VLOOKUP(C227,Code!H:W,15,FALSE)),1/(P227-1))-1,"")</f>
        <v>0.22349858884651752</v>
      </c>
      <c r="K227" s="172" cm="1">
        <f t="array" ref="K227">IFERROR(IF(C227="","",_xlfn.IFS(AND(VLOOKUP(C227,Code!H:W,13,FALSE)=0,VLOOKUP(C227,Code!H:W,16,FALSE)=0),"無股息",AND(VLOOKUP(C227,Code!H:W,13,FALSE)=0,VLOOKUP(C227,Code!H:W,16,FALSE)&gt;0),"股息沒了",AND(VLOOKUP(C227,Code!H:W,13,FALSE)&gt;0,VLOOKUP(C227,Code!H:W,16,FALSE)=0),"發股息了",AND(VLOOKUP(C227,Code!H:W,13,FALSE)&gt;0,VLOOKUP(C227,Code!H:W,16,FALSE)&gt;0),POWER((VLOOKUP(C227,Code!H:W,13,FALSE))/(VLOOKUP(C227,Code!H:W,16,FALSE)),1/(P227-1))-1)),"")</f>
        <v>8.6011772649547735E-2</v>
      </c>
      <c r="L227" s="173">
        <f>IFERROR(VLOOKUP(C227,Code!H:W,13,FALSE)*4/VLOOKUP(C227,Code!H:W,12,FALSE),"")</f>
        <v>7.1912269138456062E-3</v>
      </c>
      <c r="M227" s="172">
        <f t="shared" si="25"/>
        <v>0.30951036149606526</v>
      </c>
      <c r="N227" s="172" t="str">
        <f t="shared" si="26"/>
        <v>-</v>
      </c>
      <c r="O227" s="172" t="str">
        <f t="shared" si="27"/>
        <v>-</v>
      </c>
      <c r="P227" s="205">
        <f>IFERROR(YEARFRAC(VLOOKUP(C227,Code!H:W,11,FALSE),VLOOKUP(C227,Code!H:W,14,FALSE),3),"")</f>
        <v>4.7589041095890412</v>
      </c>
      <c r="Q227" s="174">
        <v>44547</v>
      </c>
      <c r="R227" s="175" t="str">
        <f t="shared" ca="1" si="28"/>
        <v/>
      </c>
      <c r="S227" s="176">
        <f>IFERROR(VLOOKUP($C227,Code!$H:$Q,5,FALSE),"")</f>
        <v>0.23860000000000001</v>
      </c>
      <c r="T227" s="177" t="str">
        <f t="shared" ca="1" si="29"/>
        <v/>
      </c>
      <c r="U227" s="178" t="str">
        <f t="shared" ca="1" si="30"/>
        <v/>
      </c>
      <c r="V227" s="179">
        <f>IFERROR(VLOOKUP($C227,Code!$H:$Q,6,FALSE),"")</f>
        <v>166.87</v>
      </c>
      <c r="W227" s="180" t="str">
        <f t="shared" ca="1" si="31"/>
        <v/>
      </c>
      <c r="X227" s="12"/>
      <c r="Y227" s="12"/>
      <c r="Z227" s="12"/>
      <c r="AA227" s="12"/>
      <c r="AB227" s="12"/>
    </row>
    <row r="228" spans="1:28" s="10" customFormat="1" ht="15" hidden="1">
      <c r="A228" s="9"/>
      <c r="B228" s="169" cm="1">
        <f t="array" ref="B228">_xlfn.IFS(OR(Code!R199&lt;&gt;Code!U199,Code!R199=""),0,Code!R199=Code!U199,1)</f>
        <v>0</v>
      </c>
      <c r="C228" s="193" t="str">
        <f>IF(Code!F199="","",Code!F199)</f>
        <v>GILD</v>
      </c>
      <c r="D228" s="155" t="str">
        <f>IFERROR(VLOOKUP($C228,Code!$H:$K,2,FALSE),"")</f>
        <v>XLV</v>
      </c>
      <c r="E228" s="156" t="str">
        <f>IFERROR(VLOOKUP($C228,Code!$H:$K,3,FALSE),"")</f>
        <v>藥品製造商— 常規</v>
      </c>
      <c r="F228" s="157" t="str">
        <f>IFERROR(VLOOKUP($C228,Code!$H:$K,4,FALSE),"")</f>
        <v>.SPX</v>
      </c>
      <c r="G228" s="170">
        <f>IFERROR(((VLOOKUP($C228,Code!$H:$Q,9,FALSE))+(VLOOKUP($C228,Code!$H:$Q,10,FALSE)))/2*0.5/(((VLOOKUP($C228,Code!$H:$Q,7,FALSE))+(VLOOKUP($C228,Code!$H:$Q,8,FALSE)))/2),0)</f>
        <v>0.68043426953032815</v>
      </c>
      <c r="H228" s="171" t="str">
        <f t="shared" si="24"/>
        <v>L</v>
      </c>
      <c r="I228" s="170">
        <f>IFERROR((VLOOKUP($C228,Code!$H:$Q,5,FALSE))/(((VLOOKUP($C228,Code!$H:$Q,7,FALSE))+(VLOOKUP($C228,Code!$H:$Q,8,FALSE)))/2)-1,0)</f>
        <v>-0.15600660844937453</v>
      </c>
      <c r="J228" s="204">
        <f>IFERROR(POWER((VLOOKUP(C228,Code!H:W,12,FALSE))/(VLOOKUP(C228,Code!H:W,15,FALSE)),1/(P228-1))-1,"")</f>
        <v>9.5079937251822955E-3</v>
      </c>
      <c r="K228" s="172" cm="1">
        <f t="array" ref="K228">IFERROR(IF(C228="","",_xlfn.IFS(AND(VLOOKUP(C228,Code!H:W,13,FALSE)=0,VLOOKUP(C228,Code!H:W,16,FALSE)=0),"無股息",AND(VLOOKUP(C228,Code!H:W,13,FALSE)=0,VLOOKUP(C228,Code!H:W,16,FALSE)&gt;0),"股息沒了",AND(VLOOKUP(C228,Code!H:W,13,FALSE)&gt;0,VLOOKUP(C228,Code!H:W,16,FALSE)=0),"發股息了",AND(VLOOKUP(C228,Code!H:W,13,FALSE)&gt;0,VLOOKUP(C228,Code!H:W,16,FALSE)&gt;0),POWER((VLOOKUP(C228,Code!H:W,13,FALSE))/(VLOOKUP(C228,Code!H:W,16,FALSE)),1/(P228-1))-1)),"")</f>
        <v>0.11626525290083434</v>
      </c>
      <c r="L228" s="173">
        <f>IFERROR(VLOOKUP(C228,Code!H:W,13,FALSE)*4/VLOOKUP(C228,Code!H:W,12,FALSE),"")</f>
        <v>4.1672779697907329E-2</v>
      </c>
      <c r="M228" s="172">
        <f t="shared" si="25"/>
        <v>0.12577324662601663</v>
      </c>
      <c r="N228" s="172" t="str">
        <f t="shared" si="26"/>
        <v>Venture</v>
      </c>
      <c r="O228" s="172" t="str">
        <f t="shared" si="27"/>
        <v>-</v>
      </c>
      <c r="P228" s="205">
        <f>IFERROR(YEARFRAC(VLOOKUP(C228,Code!H:W,11,FALSE),VLOOKUP(C228,Code!H:W,14,FALSE),3),"")</f>
        <v>4.7506849315068491</v>
      </c>
      <c r="Q228" s="174">
        <v>44547</v>
      </c>
      <c r="R228" s="175" t="str">
        <f t="shared" ca="1" si="28"/>
        <v/>
      </c>
      <c r="S228" s="176">
        <f>IFERROR(VLOOKUP($C228,Code!$H:$Q,5,FALSE),"")</f>
        <v>0.17879999999999999</v>
      </c>
      <c r="T228" s="177" t="str">
        <f t="shared" ca="1" si="29"/>
        <v/>
      </c>
      <c r="U228" s="178" t="str">
        <f t="shared" ca="1" si="30"/>
        <v/>
      </c>
      <c r="V228" s="179">
        <f>IFERROR(VLOOKUP($C228,Code!$H:$Q,6,FALSE),"")</f>
        <v>68.88</v>
      </c>
      <c r="W228" s="180" t="str">
        <f t="shared" ca="1" si="31"/>
        <v/>
      </c>
      <c r="X228" s="12"/>
      <c r="Y228" s="12"/>
      <c r="Z228" s="12"/>
      <c r="AA228" s="12"/>
      <c r="AB228" s="12"/>
    </row>
    <row r="229" spans="1:28" s="10" customFormat="1" ht="15" hidden="1">
      <c r="A229" s="9"/>
      <c r="B229" s="169" cm="1">
        <f t="array" ref="B229">_xlfn.IFS(OR(Code!R179&lt;&gt;Code!U179,Code!R179=""),0,Code!R179=Code!U179,1)</f>
        <v>0</v>
      </c>
      <c r="C229" s="193" t="str">
        <f>IF(Code!F179="","",Code!F179)</f>
        <v>FAST</v>
      </c>
      <c r="D229" s="155" t="str">
        <f>IFERROR(VLOOKUP($C229,Code!$H:$K,2,FALSE),"")</f>
        <v>XLI</v>
      </c>
      <c r="E229" s="156" t="str">
        <f>IFERROR(VLOOKUP($C229,Code!$H:$K,3,FALSE),"")</f>
        <v>產業佈局</v>
      </c>
      <c r="F229" s="157" t="str">
        <f>IFERROR(VLOOKUP($C229,Code!$H:$K,4,FALSE),"")</f>
        <v>.SPX</v>
      </c>
      <c r="G229" s="170">
        <f>IFERROR(((VLOOKUP($C229,Code!$H:$Q,9,FALSE))+(VLOOKUP($C229,Code!$H:$Q,10,FALSE)))/2*0.5/(((VLOOKUP($C229,Code!$H:$Q,7,FALSE))+(VLOOKUP($C229,Code!$H:$Q,8,FALSE)))/2),0)</f>
        <v>0.61350902676903929</v>
      </c>
      <c r="H229" s="171" t="str">
        <f t="shared" si="24"/>
        <v>L</v>
      </c>
      <c r="I229" s="170">
        <f>IFERROR((VLOOKUP($C229,Code!$H:$Q,5,FALSE))/(((VLOOKUP($C229,Code!$H:$Q,7,FALSE))+(VLOOKUP($C229,Code!$H:$Q,8,FALSE)))/2)-1,0)</f>
        <v>-0.1562564847478729</v>
      </c>
      <c r="J229" s="204">
        <f>IFERROR(POWER((VLOOKUP(C229,Code!H:W,12,FALSE))/(VLOOKUP(C229,Code!H:W,15,FALSE)),1/(P229-1))-1,"")</f>
        <v>0.36577968771648717</v>
      </c>
      <c r="K229" s="172" cm="1">
        <f t="array" ref="K229">IFERROR(IF(C229="","",_xlfn.IFS(AND(VLOOKUP(C229,Code!H:W,13,FALSE)=0,VLOOKUP(C229,Code!H:W,16,FALSE)=0),"無股息",AND(VLOOKUP(C229,Code!H:W,13,FALSE)=0,VLOOKUP(C229,Code!H:W,16,FALSE)&gt;0),"股息沒了",AND(VLOOKUP(C229,Code!H:W,13,FALSE)&gt;0,VLOOKUP(C229,Code!H:W,16,FALSE)=0),"發股息了",AND(VLOOKUP(C229,Code!H:W,13,FALSE)&gt;0,VLOOKUP(C229,Code!H:W,16,FALSE)&gt;0),POWER((VLOOKUP(C229,Code!H:W,13,FALSE))/(VLOOKUP(C229,Code!H:W,16,FALSE)),1/(P229-1))-1)),"")</f>
        <v>0.18034312959199994</v>
      </c>
      <c r="L229" s="173">
        <f>IFERROR(VLOOKUP(C229,Code!H:W,13,FALSE)*4/VLOOKUP(C229,Code!H:W,12,FALSE),"")</f>
        <v>2.0607176291519001E-2</v>
      </c>
      <c r="M229" s="172">
        <f t="shared" si="25"/>
        <v>0.54612281730848711</v>
      </c>
      <c r="N229" s="172" t="str">
        <f t="shared" si="26"/>
        <v>-</v>
      </c>
      <c r="O229" s="172" t="str">
        <f t="shared" si="27"/>
        <v>Value</v>
      </c>
      <c r="P229" s="205">
        <f>IFERROR(YEARFRAC(VLOOKUP(C229,Code!H:W,11,FALSE),VLOOKUP(C229,Code!H:W,14,FALSE),3),"")</f>
        <v>4.7643835616438359</v>
      </c>
      <c r="Q229" s="174">
        <v>44547</v>
      </c>
      <c r="R229" s="175" t="str">
        <f t="shared" ca="1" si="28"/>
        <v/>
      </c>
      <c r="S229" s="176">
        <f>IFERROR(VLOOKUP($C229,Code!$H:$Q,5,FALSE),"")</f>
        <v>0.20330000000000001</v>
      </c>
      <c r="T229" s="177" t="str">
        <f t="shared" ca="1" si="29"/>
        <v/>
      </c>
      <c r="U229" s="178" t="str">
        <f t="shared" ca="1" si="30"/>
        <v/>
      </c>
      <c r="V229" s="179">
        <f>IFERROR(VLOOKUP($C229,Code!$H:$Q,6,FALSE),"")</f>
        <v>55.45</v>
      </c>
      <c r="W229" s="180" t="str">
        <f t="shared" ca="1" si="31"/>
        <v/>
      </c>
      <c r="X229" s="12"/>
      <c r="Y229" s="12"/>
      <c r="Z229" s="12"/>
      <c r="AA229" s="12"/>
      <c r="AB229" s="12"/>
    </row>
    <row r="230" spans="1:28" s="10" customFormat="1" ht="15" hidden="1">
      <c r="A230" s="9"/>
      <c r="B230" s="169" cm="1">
        <f t="array" ref="B230">_xlfn.IFS(OR(Code!R54&lt;&gt;Code!U54,Code!R54=""),0,Code!R54=Code!U54,1)</f>
        <v>0</v>
      </c>
      <c r="C230" s="193" t="str">
        <f>IF(Code!F54="","",Code!F54)</f>
        <v>AWK</v>
      </c>
      <c r="D230" s="155" t="str">
        <f>IFERROR(VLOOKUP($C230,Code!$H:$K,2,FALSE),"")</f>
        <v>XLU</v>
      </c>
      <c r="E230" s="156" t="str">
        <f>IFERROR(VLOOKUP($C230,Code!$H:$K,3,FALSE),"")</f>
        <v>公用事業-受管制的水</v>
      </c>
      <c r="F230" s="157" t="str">
        <f>IFERROR(VLOOKUP($C230,Code!$H:$K,4,FALSE),"")</f>
        <v>.SPX</v>
      </c>
      <c r="G230" s="170">
        <f>IFERROR(((VLOOKUP($C230,Code!$H:$Q,9,FALSE))+(VLOOKUP($C230,Code!$H:$Q,10,FALSE)))/2*0.5/(((VLOOKUP($C230,Code!$H:$Q,7,FALSE))+(VLOOKUP($C230,Code!$H:$Q,8,FALSE)))/2),0)</f>
        <v>0.5434216239687365</v>
      </c>
      <c r="H230" s="171" t="str">
        <f t="shared" si="24"/>
        <v>M</v>
      </c>
      <c r="I230" s="170">
        <f>IFERROR((VLOOKUP($C230,Code!$H:$Q,5,FALSE))/(((VLOOKUP($C230,Code!$H:$Q,7,FALSE))+(VLOOKUP($C230,Code!$H:$Q,8,FALSE)))/2)-1,0)</f>
        <v>-0.15631784628745116</v>
      </c>
      <c r="J230" s="204">
        <f>IFERROR(POWER((VLOOKUP(C230,Code!H:W,12,FALSE))/(VLOOKUP(C230,Code!H:W,15,FALSE)),1/(P230-1))-1,"")</f>
        <v>0.27943892216356181</v>
      </c>
      <c r="K230" s="172" cm="1">
        <f t="array" ref="K230">IFERROR(IF(C230="","",_xlfn.IFS(AND(VLOOKUP(C230,Code!H:W,13,FALSE)=0,VLOOKUP(C230,Code!H:W,16,FALSE)=0),"無股息",AND(VLOOKUP(C230,Code!H:W,13,FALSE)=0,VLOOKUP(C230,Code!H:W,16,FALSE)&gt;0),"股息沒了",AND(VLOOKUP(C230,Code!H:W,13,FALSE)&gt;0,VLOOKUP(C230,Code!H:W,16,FALSE)=0),"發股息了",AND(VLOOKUP(C230,Code!H:W,13,FALSE)&gt;0,VLOOKUP(C230,Code!H:W,16,FALSE)&gt;0),POWER((VLOOKUP(C230,Code!H:W,13,FALSE))/(VLOOKUP(C230,Code!H:W,16,FALSE)),1/(P230-1))-1)),"")</f>
        <v>0.145048164327231</v>
      </c>
      <c r="L230" s="173">
        <f>IFERROR(VLOOKUP(C230,Code!H:W,13,FALSE)*4/VLOOKUP(C230,Code!H:W,12,FALSE),"")</f>
        <v>1.5461538461538461E-2</v>
      </c>
      <c r="M230" s="172">
        <f t="shared" si="25"/>
        <v>0.42448708649079281</v>
      </c>
      <c r="N230" s="172" t="str">
        <f t="shared" si="26"/>
        <v>-</v>
      </c>
      <c r="O230" s="172" t="str">
        <f t="shared" si="27"/>
        <v>Value</v>
      </c>
      <c r="P230" s="205">
        <f>IFERROR(YEARFRAC(VLOOKUP(C230,Code!H:W,11,FALSE),VLOOKUP(C230,Code!H:W,14,FALSE),3),"")</f>
        <v>4.506849315068493</v>
      </c>
      <c r="Q230" s="174">
        <v>44547</v>
      </c>
      <c r="R230" s="175" t="str">
        <f t="shared" ca="1" si="28"/>
        <v/>
      </c>
      <c r="S230" s="176">
        <f>IFERROR(VLOOKUP($C230,Code!$H:$Q,5,FALSE),"")</f>
        <v>0.1943</v>
      </c>
      <c r="T230" s="177" t="str">
        <f t="shared" ca="1" si="29"/>
        <v/>
      </c>
      <c r="U230" s="178" t="str">
        <f t="shared" ca="1" si="30"/>
        <v/>
      </c>
      <c r="V230" s="179">
        <f>IFERROR(VLOOKUP($C230,Code!$H:$Q,6,FALSE),"")</f>
        <v>179.67</v>
      </c>
      <c r="W230" s="180" t="str">
        <f t="shared" ca="1" si="31"/>
        <v/>
      </c>
      <c r="X230" s="12"/>
      <c r="Y230" s="12"/>
      <c r="Z230" s="12"/>
      <c r="AA230" s="12"/>
      <c r="AB230" s="12"/>
    </row>
    <row r="231" spans="1:28" s="10" customFormat="1" ht="15" hidden="1">
      <c r="A231" s="9"/>
      <c r="B231" s="169" cm="1">
        <f t="array" ref="B231">_xlfn.IFS(OR(Code!R26&lt;&gt;Code!U26,Code!R26=""),0,Code!R26=Code!U26,1)</f>
        <v>0</v>
      </c>
      <c r="C231" s="193" t="str">
        <f>IF(Code!F26="","",Code!F26)</f>
        <v>ALB</v>
      </c>
      <c r="D231" s="155" t="str">
        <f>IFERROR(VLOOKUP($C231,Code!$H:$K,2,FALSE),"")</f>
        <v>XLB</v>
      </c>
      <c r="E231" s="156" t="str">
        <f>IFERROR(VLOOKUP($C231,Code!$H:$K,3,FALSE),"")</f>
        <v>特種化學品</v>
      </c>
      <c r="F231" s="157" t="str">
        <f>IFERROR(VLOOKUP($C231,Code!$H:$K,4,FALSE),"")</f>
        <v>.SPX</v>
      </c>
      <c r="G231" s="170">
        <f>IFERROR(((VLOOKUP($C231,Code!$H:$Q,9,FALSE))+(VLOOKUP($C231,Code!$H:$Q,10,FALSE)))/2*0.5/(((VLOOKUP($C231,Code!$H:$Q,7,FALSE))+(VLOOKUP($C231,Code!$H:$Q,8,FALSE)))/2),0)</f>
        <v>0.50885635302549415</v>
      </c>
      <c r="H231" s="171" t="str">
        <f t="shared" si="24"/>
        <v>M</v>
      </c>
      <c r="I231" s="170">
        <f>IFERROR((VLOOKUP($C231,Code!$H:$Q,5,FALSE))/(((VLOOKUP($C231,Code!$H:$Q,7,FALSE))+(VLOOKUP($C231,Code!$H:$Q,8,FALSE)))/2)-1,0)</f>
        <v>-0.15634278693559944</v>
      </c>
      <c r="J231" s="204">
        <f>IFERROR(POWER((VLOOKUP(C231,Code!H:W,12,FALSE))/(VLOOKUP(C231,Code!H:W,15,FALSE)),1/(P231-1))-1,"")</f>
        <v>0.25866480517146151</v>
      </c>
      <c r="K231" s="172" cm="1">
        <f t="array" ref="K231">IFERROR(IF(C231="","",_xlfn.IFS(AND(VLOOKUP(C231,Code!H:W,13,FALSE)=0,VLOOKUP(C231,Code!H:W,16,FALSE)=0),"無股息",AND(VLOOKUP(C231,Code!H:W,13,FALSE)=0,VLOOKUP(C231,Code!H:W,16,FALSE)&gt;0),"股息沒了",AND(VLOOKUP(C231,Code!H:W,13,FALSE)&gt;0,VLOOKUP(C231,Code!H:W,16,FALSE)=0),"發股息了",AND(VLOOKUP(C231,Code!H:W,13,FALSE)&gt;0,VLOOKUP(C231,Code!H:W,16,FALSE)&gt;0),POWER((VLOOKUP(C231,Code!H:W,13,FALSE))/(VLOOKUP(C231,Code!H:W,16,FALSE)),1/(P231-1))-1)),"")</f>
        <v>6.789344592346902E-2</v>
      </c>
      <c r="L231" s="173">
        <f>IFERROR(VLOOKUP(C231,Code!H:W,13,FALSE)*4/VLOOKUP(C231,Code!H:W,12,FALSE),"")</f>
        <v>9.2978901618188808E-3</v>
      </c>
      <c r="M231" s="172">
        <f t="shared" si="25"/>
        <v>0.32655825109493053</v>
      </c>
      <c r="N231" s="172" t="str">
        <f t="shared" si="26"/>
        <v>-</v>
      </c>
      <c r="O231" s="172" t="str">
        <f t="shared" si="27"/>
        <v>-</v>
      </c>
      <c r="P231" s="205">
        <f>IFERROR(YEARFRAC(VLOOKUP(C231,Code!H:W,11,FALSE),VLOOKUP(C231,Code!H:W,14,FALSE),3),"")</f>
        <v>4.7424657534246579</v>
      </c>
      <c r="Q231" s="174">
        <v>44547</v>
      </c>
      <c r="R231" s="175" t="str">
        <f t="shared" ca="1" si="28"/>
        <v/>
      </c>
      <c r="S231" s="176">
        <f>IFERROR(VLOOKUP($C231,Code!$H:$Q,5,FALSE),"")</f>
        <v>0.41199999999999998</v>
      </c>
      <c r="T231" s="177" t="str">
        <f t="shared" ca="1" si="29"/>
        <v/>
      </c>
      <c r="U231" s="178" t="str">
        <f t="shared" ca="1" si="30"/>
        <v/>
      </c>
      <c r="V231" s="179">
        <f>IFERROR(VLOOKUP($C231,Code!$H:$Q,6,FALSE),"")</f>
        <v>218.62</v>
      </c>
      <c r="W231" s="180" t="str">
        <f t="shared" ca="1" si="31"/>
        <v/>
      </c>
      <c r="X231" s="12"/>
      <c r="Y231" s="12"/>
      <c r="Z231" s="12"/>
      <c r="AA231" s="12"/>
      <c r="AB231" s="12"/>
    </row>
    <row r="232" spans="1:28" s="10" customFormat="1" ht="15" hidden="1">
      <c r="A232" s="9"/>
      <c r="B232" s="169" cm="1">
        <f t="array" ref="B232">_xlfn.IFS(OR(Code!R359&lt;&gt;Code!U359,Code!R359=""),0,Code!R359=Code!U359,1)</f>
        <v>1</v>
      </c>
      <c r="C232" s="193" t="str">
        <f>IF(Code!F359="","",Code!F359)</f>
        <v>PAYC</v>
      </c>
      <c r="D232" s="155" t="str">
        <f>IFERROR(VLOOKUP($C232,Code!$H:$K,2,FALSE),"")</f>
        <v>XLK</v>
      </c>
      <c r="E232" s="156" t="str">
        <f>IFERROR(VLOOKUP($C232,Code!$H:$K,3,FALSE),"")</f>
        <v>軟件-應用</v>
      </c>
      <c r="F232" s="157" t="str">
        <f>IFERROR(VLOOKUP($C232,Code!$H:$K,4,FALSE),"")</f>
        <v>.SPX</v>
      </c>
      <c r="G232" s="170">
        <f>IFERROR(((VLOOKUP($C232,Code!$H:$Q,9,FALSE))+(VLOOKUP($C232,Code!$H:$Q,10,FALSE)))/2*0.5/(((VLOOKUP($C232,Code!$H:$Q,7,FALSE))+(VLOOKUP($C232,Code!$H:$Q,8,FALSE)))/2),0)</f>
        <v>0.61269985701286889</v>
      </c>
      <c r="H232" s="171" t="str">
        <f t="shared" si="24"/>
        <v>L</v>
      </c>
      <c r="I232" s="170">
        <f>IFERROR((VLOOKUP($C232,Code!$H:$Q,5,FALSE))/(((VLOOKUP($C232,Code!$H:$Q,7,FALSE))+(VLOOKUP($C232,Code!$H:$Q,8,FALSE)))/2)-1,0)</f>
        <v>-0.15663590276875072</v>
      </c>
      <c r="J232" s="204" t="str">
        <f>IFERROR(POWER((VLOOKUP(C232,Code!H:W,12,FALSE))/(VLOOKUP(C232,Code!H:W,15,FALSE)),1/(P232-1))-1,"")</f>
        <v/>
      </c>
      <c r="K232" s="172" t="str" cm="1">
        <f t="array" ref="K232">IFERROR(IF(C232="","",_xlfn.IFS(AND(VLOOKUP(C232,Code!H:W,13,FALSE)=0,VLOOKUP(C232,Code!H:W,16,FALSE)=0),"無股息",AND(VLOOKUP(C232,Code!H:W,13,FALSE)=0,VLOOKUP(C232,Code!H:W,16,FALSE)&gt;0),"股息沒了",AND(VLOOKUP(C232,Code!H:W,13,FALSE)&gt;0,VLOOKUP(C232,Code!H:W,16,FALSE)=0),"發股息了",AND(VLOOKUP(C232,Code!H:W,13,FALSE)&gt;0,VLOOKUP(C232,Code!H:W,16,FALSE)&gt;0),POWER((VLOOKUP(C232,Code!H:W,13,FALSE))/(VLOOKUP(C232,Code!H:W,16,FALSE)),1/(P232-1))-1)),"")</f>
        <v>無股息</v>
      </c>
      <c r="L232" s="173" t="str">
        <f>IFERROR(VLOOKUP(C232,Code!H:W,13,FALSE)*4/VLOOKUP(C232,Code!H:W,12,FALSE),"")</f>
        <v/>
      </c>
      <c r="M232" s="172" t="str">
        <f t="shared" si="25"/>
        <v/>
      </c>
      <c r="N232" s="172" t="str">
        <f t="shared" si="26"/>
        <v/>
      </c>
      <c r="O232" s="172" t="str">
        <f t="shared" si="27"/>
        <v/>
      </c>
      <c r="P232" s="205">
        <f>IFERROR(YEARFRAC(VLOOKUP(C232,Code!H:W,11,FALSE),VLOOKUP(C232,Code!H:W,14,FALSE),3),"")</f>
        <v>0</v>
      </c>
      <c r="Q232" s="174">
        <v>44547</v>
      </c>
      <c r="R232" s="175" t="str">
        <f t="shared" ca="1" si="28"/>
        <v/>
      </c>
      <c r="S232" s="176">
        <f>IFERROR(VLOOKUP($C232,Code!$H:$Q,5,FALSE),"")</f>
        <v>0.32440000000000002</v>
      </c>
      <c r="T232" s="177" t="str">
        <f t="shared" ca="1" si="29"/>
        <v/>
      </c>
      <c r="U232" s="178" t="str">
        <f t="shared" ca="1" si="30"/>
        <v/>
      </c>
      <c r="V232" s="179">
        <f>IFERROR(VLOOKUP($C232,Code!$H:$Q,6,FALSE),"")</f>
        <v>457.27</v>
      </c>
      <c r="W232" s="180" t="str">
        <f t="shared" ca="1" si="31"/>
        <v/>
      </c>
      <c r="X232" s="12"/>
      <c r="Y232" s="12"/>
      <c r="Z232" s="12"/>
      <c r="AA232" s="12"/>
      <c r="AB232" s="12"/>
    </row>
    <row r="233" spans="1:28" s="10" customFormat="1" ht="15" hidden="1">
      <c r="A233" s="9"/>
      <c r="B233" s="169" cm="1">
        <f t="array" ref="B233">_xlfn.IFS(OR(Code!R164&lt;&gt;Code!U164,Code!R164=""),0,Code!R164=Code!U164,1)</f>
        <v>0</v>
      </c>
      <c r="C233" s="193" t="str">
        <f>IF(Code!F164="","",Code!F164)</f>
        <v>EQIX</v>
      </c>
      <c r="D233" s="155" t="str">
        <f>IFERROR(VLOOKUP($C233,Code!$H:$K,2,FALSE),"")</f>
        <v>XLRE</v>
      </c>
      <c r="E233" s="156" t="str">
        <f>IFERROR(VLOOKUP($C233,Code!$H:$K,3,FALSE),"")</f>
        <v>REIT-專業</v>
      </c>
      <c r="F233" s="157" t="str">
        <f>IFERROR(VLOOKUP($C233,Code!$H:$K,4,FALSE),"")</f>
        <v>.SPX</v>
      </c>
      <c r="G233" s="170">
        <f>IFERROR(((VLOOKUP($C233,Code!$H:$Q,9,FALSE))+(VLOOKUP($C233,Code!$H:$Q,10,FALSE)))/2*0.5/(((VLOOKUP($C233,Code!$H:$Q,7,FALSE))+(VLOOKUP($C233,Code!$H:$Q,8,FALSE)))/2),0)</f>
        <v>0.54708349218452157</v>
      </c>
      <c r="H233" s="171" t="str">
        <f t="shared" si="24"/>
        <v>M</v>
      </c>
      <c r="I233" s="170">
        <f>IFERROR((VLOOKUP($C233,Code!$H:$Q,5,FALSE))/(((VLOOKUP($C233,Code!$H:$Q,7,FALSE))+(VLOOKUP($C233,Code!$H:$Q,8,FALSE)))/2)-1,0)</f>
        <v>-0.15783454060236357</v>
      </c>
      <c r="J233" s="204">
        <f>IFERROR(POWER((VLOOKUP(C233,Code!H:W,12,FALSE))/(VLOOKUP(C233,Code!H:W,15,FALSE)),1/(P233-1))-1,"")</f>
        <v>0.22454761609880047</v>
      </c>
      <c r="K233" s="172" cm="1">
        <f t="array" ref="K233">IFERROR(IF(C233="","",_xlfn.IFS(AND(VLOOKUP(C233,Code!H:W,13,FALSE)=0,VLOOKUP(C233,Code!H:W,16,FALSE)=0),"無股息",AND(VLOOKUP(C233,Code!H:W,13,FALSE)=0,VLOOKUP(C233,Code!H:W,16,FALSE)&gt;0),"股息沒了",AND(VLOOKUP(C233,Code!H:W,13,FALSE)&gt;0,VLOOKUP(C233,Code!H:W,16,FALSE)=0),"發股息了",AND(VLOOKUP(C233,Code!H:W,13,FALSE)&gt;0,VLOOKUP(C233,Code!H:W,16,FALSE)&gt;0),POWER((VLOOKUP(C233,Code!H:W,13,FALSE))/(VLOOKUP(C233,Code!H:W,16,FALSE)),1/(P233-1))-1)),"")</f>
        <v>0.14142948677392608</v>
      </c>
      <c r="L233" s="173">
        <f>IFERROR(VLOOKUP(C233,Code!H:W,13,FALSE)*4/VLOOKUP(C233,Code!H:W,12,FALSE),"")</f>
        <v>1.6048536655435992E-2</v>
      </c>
      <c r="M233" s="172">
        <f t="shared" si="25"/>
        <v>0.36597710287272656</v>
      </c>
      <c r="N233" s="172" t="str">
        <f t="shared" si="26"/>
        <v>-</v>
      </c>
      <c r="O233" s="172" t="str">
        <f t="shared" si="27"/>
        <v>Value</v>
      </c>
      <c r="P233" s="205">
        <f>IFERROR(YEARFRAC(VLOOKUP(C233,Code!H:W,11,FALSE),VLOOKUP(C233,Code!H:W,14,FALSE),3),"")</f>
        <v>4.7397260273972606</v>
      </c>
      <c r="Q233" s="174">
        <v>44547</v>
      </c>
      <c r="R233" s="175" t="str">
        <f t="shared" ca="1" si="28"/>
        <v/>
      </c>
      <c r="S233" s="176">
        <f>IFERROR(VLOOKUP($C233,Code!$H:$Q,5,FALSE),"")</f>
        <v>0.22090000000000001</v>
      </c>
      <c r="T233" s="177" t="str">
        <f t="shared" ca="1" si="29"/>
        <v/>
      </c>
      <c r="U233" s="178" t="str">
        <f t="shared" ca="1" si="30"/>
        <v/>
      </c>
      <c r="V233" s="179">
        <f>IFERROR(VLOOKUP($C233,Code!$H:$Q,6,FALSE),"")</f>
        <v>830.62</v>
      </c>
      <c r="W233" s="180" t="str">
        <f t="shared" ca="1" si="31"/>
        <v/>
      </c>
      <c r="X233" s="12"/>
      <c r="Y233" s="12"/>
      <c r="Z233" s="12"/>
      <c r="AA233" s="12"/>
      <c r="AB233" s="12"/>
    </row>
    <row r="234" spans="1:28" s="10" customFormat="1" ht="15" hidden="1">
      <c r="A234" s="9"/>
      <c r="B234" s="169" cm="1">
        <f t="array" ref="B234">_xlfn.IFS(OR(Code!R256&lt;&gt;Code!U256,Code!R256=""),0,Code!R256=Code!U256,1)</f>
        <v>0</v>
      </c>
      <c r="C234" s="193" t="str">
        <f>IF(Code!F256="","",Code!F256)</f>
        <v>JKHY</v>
      </c>
      <c r="D234" s="155" t="str">
        <f>IFERROR(VLOOKUP($C234,Code!$H:$K,2,FALSE),"")</f>
        <v>XLK</v>
      </c>
      <c r="E234" s="156" t="str">
        <f>IFERROR(VLOOKUP($C234,Code!$H:$K,3,FALSE),"")</f>
        <v>信息技術處</v>
      </c>
      <c r="F234" s="157" t="str">
        <f>IFERROR(VLOOKUP($C234,Code!$H:$K,4,FALSE),"")</f>
        <v>.SPX</v>
      </c>
      <c r="G234" s="170">
        <f>IFERROR(((VLOOKUP($C234,Code!$H:$Q,9,FALSE))+(VLOOKUP($C234,Code!$H:$Q,10,FALSE)))/2*0.5/(((VLOOKUP($C234,Code!$H:$Q,7,FALSE))+(VLOOKUP($C234,Code!$H:$Q,8,FALSE)))/2),0)</f>
        <v>0.51329291044776115</v>
      </c>
      <c r="H234" s="171" t="str">
        <f t="shared" si="24"/>
        <v>M</v>
      </c>
      <c r="I234" s="170">
        <f>IFERROR((VLOOKUP($C234,Code!$H:$Q,5,FALSE))/(((VLOOKUP($C234,Code!$H:$Q,7,FALSE))+(VLOOKUP($C234,Code!$H:$Q,8,FALSE)))/2)-1,0)</f>
        <v>-0.15796019900497515</v>
      </c>
      <c r="J234" s="204">
        <f>IFERROR(POWER((VLOOKUP(C234,Code!H:W,12,FALSE))/(VLOOKUP(C234,Code!H:W,15,FALSE)),1/(P234-1))-1,"")</f>
        <v>0.17850010685043238</v>
      </c>
      <c r="K234" s="172" cm="1">
        <f t="array" ref="K234">IFERROR(IF(C234="","",_xlfn.IFS(AND(VLOOKUP(C234,Code!H:W,13,FALSE)=0,VLOOKUP(C234,Code!H:W,16,FALSE)=0),"無股息",AND(VLOOKUP(C234,Code!H:W,13,FALSE)=0,VLOOKUP(C234,Code!H:W,16,FALSE)&gt;0),"股息沒了",AND(VLOOKUP(C234,Code!H:W,13,FALSE)&gt;0,VLOOKUP(C234,Code!H:W,16,FALSE)=0),"發股息了",AND(VLOOKUP(C234,Code!H:W,13,FALSE)&gt;0,VLOOKUP(C234,Code!H:W,16,FALSE)&gt;0),POWER((VLOOKUP(C234,Code!H:W,13,FALSE))/(VLOOKUP(C234,Code!H:W,16,FALSE)),1/(P234-1))-1)),"")</f>
        <v>0.14218334542474831</v>
      </c>
      <c r="L234" s="173">
        <f>IFERROR(VLOOKUP(C234,Code!H:W,13,FALSE)*4/VLOOKUP(C234,Code!H:W,12,FALSE),"")</f>
        <v>1.1827472606370201E-2</v>
      </c>
      <c r="M234" s="172">
        <f t="shared" si="25"/>
        <v>0.32068345227518069</v>
      </c>
      <c r="N234" s="172" t="str">
        <f t="shared" si="26"/>
        <v>-</v>
      </c>
      <c r="O234" s="172" t="str">
        <f t="shared" si="27"/>
        <v>Value</v>
      </c>
      <c r="P234" s="205">
        <f>IFERROR(YEARFRAC(VLOOKUP(C234,Code!H:W,11,FALSE),VLOOKUP(C234,Code!H:W,14,FALSE),3),"")</f>
        <v>4.7342465753424658</v>
      </c>
      <c r="Q234" s="174">
        <v>44547</v>
      </c>
      <c r="R234" s="175" t="str">
        <f t="shared" ca="1" si="28"/>
        <v/>
      </c>
      <c r="S234" s="176">
        <f>IFERROR(VLOOKUP($C234,Code!$H:$Q,5,FALSE),"")</f>
        <v>0.27079999999999999</v>
      </c>
      <c r="T234" s="177" t="str">
        <f t="shared" ca="1" si="29"/>
        <v/>
      </c>
      <c r="U234" s="178" t="str">
        <f t="shared" ca="1" si="30"/>
        <v/>
      </c>
      <c r="V234" s="179">
        <f>IFERROR(VLOOKUP($C234,Code!$H:$Q,6,FALSE),"")</f>
        <v>173.52</v>
      </c>
      <c r="W234" s="180" t="str">
        <f t="shared" ca="1" si="31"/>
        <v/>
      </c>
      <c r="X234" s="12"/>
      <c r="Y234" s="12"/>
      <c r="Z234" s="12"/>
      <c r="AA234" s="12"/>
      <c r="AB234" s="12"/>
    </row>
    <row r="235" spans="1:28" s="10" customFormat="1" ht="15" hidden="1">
      <c r="A235" s="9"/>
      <c r="B235" s="169" cm="1">
        <f t="array" ref="B235">_xlfn.IFS(OR(Code!R282&lt;&gt;Code!U282,Code!R282=""),0,Code!R282=Code!U282,1)</f>
        <v>0</v>
      </c>
      <c r="C235" s="193" t="str">
        <f>IF(Code!F282="","",Code!F282)</f>
        <v>LMT</v>
      </c>
      <c r="D235" s="155" t="str">
        <f>IFERROR(VLOOKUP($C235,Code!$H:$K,2,FALSE),"")</f>
        <v>XLI</v>
      </c>
      <c r="E235" s="156" t="str">
        <f>IFERROR(VLOOKUP($C235,Code!$H:$K,3,FALSE),"")</f>
        <v>航天軍工</v>
      </c>
      <c r="F235" s="157" t="str">
        <f>IFERROR(VLOOKUP($C235,Code!$H:$K,4,FALSE),"")</f>
        <v>.SPX</v>
      </c>
      <c r="G235" s="170">
        <f>IFERROR(((VLOOKUP($C235,Code!$H:$Q,9,FALSE))+(VLOOKUP($C235,Code!$H:$Q,10,FALSE)))/2*0.5/(((VLOOKUP($C235,Code!$H:$Q,7,FALSE))+(VLOOKUP($C235,Code!$H:$Q,8,FALSE)))/2),0)</f>
        <v>0.65061107117181882</v>
      </c>
      <c r="H235" s="171" t="str">
        <f t="shared" si="24"/>
        <v>L</v>
      </c>
      <c r="I235" s="170">
        <f>IFERROR((VLOOKUP($C235,Code!$H:$Q,5,FALSE))/(((VLOOKUP($C235,Code!$H:$Q,7,FALSE))+(VLOOKUP($C235,Code!$H:$Q,8,FALSE)))/2)-1,0)</f>
        <v>-0.15935777618020608</v>
      </c>
      <c r="J235" s="204">
        <f>IFERROR(POWER((VLOOKUP(C235,Code!H:W,12,FALSE))/(VLOOKUP(C235,Code!H:W,15,FALSE)),1/(P235-1))-1,"")</f>
        <v>0.17078988191081135</v>
      </c>
      <c r="K235" s="172" cm="1">
        <f t="array" ref="K235">IFERROR(IF(C235="","",_xlfn.IFS(AND(VLOOKUP(C235,Code!H:W,13,FALSE)=0,VLOOKUP(C235,Code!H:W,16,FALSE)=0),"無股息",AND(VLOOKUP(C235,Code!H:W,13,FALSE)=0,VLOOKUP(C235,Code!H:W,16,FALSE)&gt;0),"股息沒了",AND(VLOOKUP(C235,Code!H:W,13,FALSE)&gt;0,VLOOKUP(C235,Code!H:W,16,FALSE)=0),"發股息了",AND(VLOOKUP(C235,Code!H:W,13,FALSE)&gt;0,VLOOKUP(C235,Code!H:W,16,FALSE)&gt;0),POWER((VLOOKUP(C235,Code!H:W,13,FALSE))/(VLOOKUP(C235,Code!H:W,16,FALSE)),1/(P235-1))-1)),"")</f>
        <v>0.12909701683635522</v>
      </c>
      <c r="L235" s="173">
        <f>IFERROR(VLOOKUP(C235,Code!H:W,13,FALSE)*4/VLOOKUP(C235,Code!H:W,12,FALSE),"")</f>
        <v>2.721088348465699E-2</v>
      </c>
      <c r="M235" s="172">
        <f t="shared" si="25"/>
        <v>0.29988689874716656</v>
      </c>
      <c r="N235" s="172" t="str">
        <f t="shared" si="26"/>
        <v>-</v>
      </c>
      <c r="O235" s="172" t="str">
        <f t="shared" si="27"/>
        <v>Value</v>
      </c>
      <c r="P235" s="205">
        <f>IFERROR(YEARFRAC(VLOOKUP(C235,Code!H:W,11,FALSE),VLOOKUP(C235,Code!H:W,14,FALSE),3),"")</f>
        <v>4.7452054794520544</v>
      </c>
      <c r="Q235" s="174">
        <v>44547</v>
      </c>
      <c r="R235" s="175" t="str">
        <f t="shared" ca="1" si="28"/>
        <v/>
      </c>
      <c r="S235" s="176">
        <f>IFERROR(VLOOKUP($C235,Code!$H:$Q,5,FALSE),"")</f>
        <v>0.1754</v>
      </c>
      <c r="T235" s="177" t="str">
        <f t="shared" ca="1" si="29"/>
        <v/>
      </c>
      <c r="U235" s="178" t="str">
        <f t="shared" ca="1" si="30"/>
        <v/>
      </c>
      <c r="V235" s="179">
        <f>IFERROR(VLOOKUP($C235,Code!$H:$Q,6,FALSE),"")</f>
        <v>363.16</v>
      </c>
      <c r="W235" s="180" t="str">
        <f t="shared" ca="1" si="31"/>
        <v/>
      </c>
      <c r="X235" s="12"/>
      <c r="Y235" s="12"/>
      <c r="Z235" s="12"/>
      <c r="AA235" s="12"/>
      <c r="AB235" s="12"/>
    </row>
    <row r="236" spans="1:28" s="10" customFormat="1" ht="15" hidden="1">
      <c r="A236" s="9"/>
      <c r="B236" s="169" cm="1">
        <f t="array" ref="B236">_xlfn.IFS(OR(Code!R499&lt;&gt;Code!U499,Code!R499=""),0,Code!R499=Code!U499,1)</f>
        <v>0</v>
      </c>
      <c r="C236" s="193" t="str">
        <f>IF(Code!F499="","",Code!F499)</f>
        <v>XEL</v>
      </c>
      <c r="D236" s="155" t="str">
        <f>IFERROR(VLOOKUP($C236,Code!$H:$K,2,FALSE),"")</f>
        <v>XLU</v>
      </c>
      <c r="E236" s="156" t="str">
        <f>IFERROR(VLOOKUP($C236,Code!$H:$K,3,FALSE),"")</f>
        <v>公用事業—受監督的電力</v>
      </c>
      <c r="F236" s="157" t="str">
        <f>IFERROR(VLOOKUP($C236,Code!$H:$K,4,FALSE),"")</f>
        <v>.SPX</v>
      </c>
      <c r="G236" s="170">
        <f>IFERROR(((VLOOKUP($C236,Code!$H:$Q,9,FALSE))+(VLOOKUP($C236,Code!$H:$Q,10,FALSE)))/2*0.5/(((VLOOKUP($C236,Code!$H:$Q,7,FALSE))+(VLOOKUP($C236,Code!$H:$Q,8,FALSE)))/2),0)</f>
        <v>0.56001481847369716</v>
      </c>
      <c r="H236" s="171" t="str">
        <f t="shared" si="24"/>
        <v>M</v>
      </c>
      <c r="I236" s="170">
        <f>IFERROR((VLOOKUP($C236,Code!$H:$Q,5,FALSE))/(((VLOOKUP($C236,Code!$H:$Q,7,FALSE))+(VLOOKUP($C236,Code!$H:$Q,8,FALSE)))/2)-1,0)</f>
        <v>-0.15979254136823917</v>
      </c>
      <c r="J236" s="204">
        <f>IFERROR(POWER((VLOOKUP(C236,Code!H:W,12,FALSE))/(VLOOKUP(C236,Code!H:W,15,FALSE)),1/(P236-1))-1,"")</f>
        <v>0.1957073655167918</v>
      </c>
      <c r="K236" s="172" cm="1">
        <f t="array" ref="K236">IFERROR(IF(C236="","",_xlfn.IFS(AND(VLOOKUP(C236,Code!H:W,13,FALSE)=0,VLOOKUP(C236,Code!H:W,16,FALSE)=0),"無股息",AND(VLOOKUP(C236,Code!H:W,13,FALSE)=0,VLOOKUP(C236,Code!H:W,16,FALSE)&gt;0),"股息沒了",AND(VLOOKUP(C236,Code!H:W,13,FALSE)&gt;0,VLOOKUP(C236,Code!H:W,16,FALSE)=0),"發股息了",AND(VLOOKUP(C236,Code!H:W,13,FALSE)&gt;0,VLOOKUP(C236,Code!H:W,16,FALSE)&gt;0),POWER((VLOOKUP(C236,Code!H:W,13,FALSE))/(VLOOKUP(C236,Code!H:W,16,FALSE)),1/(P236-1))-1)),"")</f>
        <v>8.2608922322073619E-2</v>
      </c>
      <c r="L236" s="173">
        <f>IFERROR(VLOOKUP(C236,Code!H:W,13,FALSE)*4/VLOOKUP(C236,Code!H:W,12,FALSE),"")</f>
        <v>2.6519976135501964E-2</v>
      </c>
      <c r="M236" s="172">
        <f t="shared" si="25"/>
        <v>0.27831628783886542</v>
      </c>
      <c r="N236" s="172" t="str">
        <f t="shared" si="26"/>
        <v>-</v>
      </c>
      <c r="O236" s="172" t="str">
        <f t="shared" si="27"/>
        <v>-</v>
      </c>
      <c r="P236" s="205">
        <f>IFERROR(YEARFRAC(VLOOKUP(C236,Code!H:W,11,FALSE),VLOOKUP(C236,Code!H:W,14,FALSE),3),"")</f>
        <v>4.7534246575342465</v>
      </c>
      <c r="Q236" s="174">
        <v>44547</v>
      </c>
      <c r="R236" s="175" t="str">
        <f t="shared" ca="1" si="28"/>
        <v/>
      </c>
      <c r="S236" s="176">
        <f>IFERROR(VLOOKUP($C236,Code!$H:$Q,5,FALSE),"")</f>
        <v>0.1701</v>
      </c>
      <c r="T236" s="177" t="str">
        <f t="shared" ca="1" si="29"/>
        <v/>
      </c>
      <c r="U236" s="178" t="str">
        <f t="shared" ca="1" si="30"/>
        <v/>
      </c>
      <c r="V236" s="179">
        <f>IFERROR(VLOOKUP($C236,Code!$H:$Q,6,FALSE),"")</f>
        <v>68.83</v>
      </c>
      <c r="W236" s="180" t="str">
        <f t="shared" ca="1" si="31"/>
        <v/>
      </c>
      <c r="X236" s="12"/>
      <c r="Y236" s="12"/>
      <c r="Z236" s="12"/>
      <c r="AA236" s="12"/>
      <c r="AB236" s="12"/>
    </row>
    <row r="237" spans="1:28" s="10" customFormat="1" ht="15" hidden="1">
      <c r="A237" s="9"/>
      <c r="B237" s="169" cm="1">
        <f t="array" ref="B237">_xlfn.IFS(OR(Code!R310&lt;&gt;Code!U310,Code!R310=""),0,Code!R310=Code!U310,1)</f>
        <v>0</v>
      </c>
      <c r="C237" s="193" t="str">
        <f>IF(Code!F310="","",Code!F310)</f>
        <v>MMM</v>
      </c>
      <c r="D237" s="155" t="str">
        <f>IFERROR(VLOOKUP($C237,Code!$H:$K,2,FALSE),"")</f>
        <v>XLI</v>
      </c>
      <c r="E237" s="156" t="str">
        <f>IFERROR(VLOOKUP($C237,Code!$H:$K,3,FALSE),"")</f>
        <v>特種工業機械</v>
      </c>
      <c r="F237" s="157" t="str">
        <f>IFERROR(VLOOKUP($C237,Code!$H:$K,4,FALSE),"")</f>
        <v>.SPX</v>
      </c>
      <c r="G237" s="170">
        <f>IFERROR(((VLOOKUP($C237,Code!$H:$Q,9,FALSE))+(VLOOKUP($C237,Code!$H:$Q,10,FALSE)))/2*0.5/(((VLOOKUP($C237,Code!$H:$Q,7,FALSE))+(VLOOKUP($C237,Code!$H:$Q,8,FALSE)))/2),0)</f>
        <v>0.60912931236798873</v>
      </c>
      <c r="H237" s="171" t="str">
        <f t="shared" si="24"/>
        <v>L</v>
      </c>
      <c r="I237" s="170">
        <f>IFERROR((VLOOKUP($C237,Code!$H:$Q,5,FALSE))/(((VLOOKUP($C237,Code!$H:$Q,7,FALSE))+(VLOOKUP($C237,Code!$H:$Q,8,FALSE)))/2)-1,0)</f>
        <v>-0.159821638113119</v>
      </c>
      <c r="J237" s="204">
        <f>IFERROR(POWER((VLOOKUP(C237,Code!H:W,12,FALSE))/(VLOOKUP(C237,Code!H:W,15,FALSE)),1/(P237-1))-1,"")</f>
        <v>7.028440426823046E-2</v>
      </c>
      <c r="K237" s="172" cm="1">
        <f t="array" ref="K237">IFERROR(IF(C237="","",_xlfn.IFS(AND(VLOOKUP(C237,Code!H:W,13,FALSE)=0,VLOOKUP(C237,Code!H:W,16,FALSE)=0),"無股息",AND(VLOOKUP(C237,Code!H:W,13,FALSE)=0,VLOOKUP(C237,Code!H:W,16,FALSE)&gt;0),"股息沒了",AND(VLOOKUP(C237,Code!H:W,13,FALSE)&gt;0,VLOOKUP(C237,Code!H:W,16,FALSE)=0),"發股息了",AND(VLOOKUP(C237,Code!H:W,13,FALSE)&gt;0,VLOOKUP(C237,Code!H:W,16,FALSE)&gt;0),POWER((VLOOKUP(C237,Code!H:W,13,FALSE))/(VLOOKUP(C237,Code!H:W,16,FALSE)),1/(P237-1))-1)),"")</f>
        <v>7.9538349895334148E-2</v>
      </c>
      <c r="L237" s="173">
        <f>IFERROR(VLOOKUP(C237,Code!H:W,13,FALSE)*4/VLOOKUP(C237,Code!H:W,12,FALSE),"")</f>
        <v>2.9357799053735662E-2</v>
      </c>
      <c r="M237" s="172">
        <f t="shared" si="25"/>
        <v>0.14982275416356461</v>
      </c>
      <c r="N237" s="172" t="str">
        <f t="shared" si="26"/>
        <v>-</v>
      </c>
      <c r="O237" s="172" t="str">
        <f t="shared" si="27"/>
        <v>-</v>
      </c>
      <c r="P237" s="205">
        <f>IFERROR(YEARFRAC(VLOOKUP(C237,Code!H:W,11,FALSE),VLOOKUP(C237,Code!H:W,14,FALSE),3),"")</f>
        <v>4.7589041095890412</v>
      </c>
      <c r="Q237" s="174">
        <v>44547</v>
      </c>
      <c r="R237" s="175" t="str">
        <f t="shared" ca="1" si="28"/>
        <v/>
      </c>
      <c r="S237" s="176">
        <f>IFERROR(VLOOKUP($C237,Code!$H:$Q,5,FALSE),"")</f>
        <v>0.17899999999999999</v>
      </c>
      <c r="T237" s="177" t="str">
        <f t="shared" ca="1" si="29"/>
        <v/>
      </c>
      <c r="U237" s="178" t="str">
        <f t="shared" ca="1" si="30"/>
        <v/>
      </c>
      <c r="V237" s="179">
        <f>IFERROR(VLOOKUP($C237,Code!$H:$Q,6,FALSE),"")</f>
        <v>198.62</v>
      </c>
      <c r="W237" s="180" t="str">
        <f t="shared" ca="1" si="31"/>
        <v/>
      </c>
      <c r="X237" s="12"/>
      <c r="Y237" s="12"/>
      <c r="Z237" s="12"/>
      <c r="AA237" s="12"/>
      <c r="AB237" s="12"/>
    </row>
    <row r="238" spans="1:28" s="10" customFormat="1" ht="15" hidden="1">
      <c r="A238" s="9"/>
      <c r="B238" s="169" cm="1">
        <f t="array" ref="B238">_xlfn.IFS(OR(Code!R304&lt;&gt;Code!U304,Code!R304=""),0,Code!R304=Code!U304,1)</f>
        <v>0</v>
      </c>
      <c r="C238" s="193" t="str">
        <f>IF(Code!F304="","",Code!F304)</f>
        <v>MGM</v>
      </c>
      <c r="D238" s="155" t="str">
        <f>IFERROR(VLOOKUP($C238,Code!$H:$K,2,FALSE),"")</f>
        <v>XLY</v>
      </c>
      <c r="E238" s="156" t="str">
        <f>IFERROR(VLOOKUP($C238,Code!$H:$K,3,FALSE),"")</f>
        <v>度假村和賭場</v>
      </c>
      <c r="F238" s="157" t="str">
        <f>IFERROR(VLOOKUP($C238,Code!$H:$K,4,FALSE),"")</f>
        <v>.SPX</v>
      </c>
      <c r="G238" s="170">
        <f>IFERROR(((VLOOKUP($C238,Code!$H:$Q,9,FALSE))+(VLOOKUP($C238,Code!$H:$Q,10,FALSE)))/2*0.5/(((VLOOKUP($C238,Code!$H:$Q,7,FALSE))+(VLOOKUP($C238,Code!$H:$Q,8,FALSE)))/2),0)</f>
        <v>0.55804410165133977</v>
      </c>
      <c r="H238" s="171" t="str">
        <f t="shared" si="24"/>
        <v>M</v>
      </c>
      <c r="I238" s="170">
        <f>IFERROR((VLOOKUP($C238,Code!$H:$Q,5,FALSE))/(((VLOOKUP($C238,Code!$H:$Q,7,FALSE))+(VLOOKUP($C238,Code!$H:$Q,8,FALSE)))/2)-1,0)</f>
        <v>-0.16048650252150709</v>
      </c>
      <c r="J238" s="204">
        <f>IFERROR(POWER((VLOOKUP(C238,Code!H:W,12,FALSE))/(VLOOKUP(C238,Code!H:W,15,FALSE)),1/(P238-1))-1,"")</f>
        <v>0.19499231048621413</v>
      </c>
      <c r="K238" s="172" cm="1">
        <f t="array" ref="K238">IFERROR(IF(C238="","",_xlfn.IFS(AND(VLOOKUP(C238,Code!H:W,13,FALSE)=0,VLOOKUP(C238,Code!H:W,16,FALSE)=0),"無股息",AND(VLOOKUP(C238,Code!H:W,13,FALSE)=0,VLOOKUP(C238,Code!H:W,16,FALSE)&gt;0),"股息沒了",AND(VLOOKUP(C238,Code!H:W,13,FALSE)&gt;0,VLOOKUP(C238,Code!H:W,16,FALSE)=0),"發股息了",AND(VLOOKUP(C238,Code!H:W,13,FALSE)&gt;0,VLOOKUP(C238,Code!H:W,16,FALSE)&gt;0),POWER((VLOOKUP(C238,Code!H:W,13,FALSE))/(VLOOKUP(C238,Code!H:W,16,FALSE)),1/(P238-1))-1)),"")</f>
        <v>-0.66902215030328571</v>
      </c>
      <c r="L238" s="173">
        <f>IFERROR(VLOOKUP(C238,Code!H:W,13,FALSE)*4/VLOOKUP(C238,Code!H:W,12,FALSE),"")</f>
        <v>2.7560862994195623E-4</v>
      </c>
      <c r="M238" s="172">
        <f t="shared" si="25"/>
        <v>-0.47402983981707159</v>
      </c>
      <c r="N238" s="172" t="str">
        <f t="shared" si="26"/>
        <v>-</v>
      </c>
      <c r="O238" s="172" t="str">
        <f t="shared" si="27"/>
        <v>-</v>
      </c>
      <c r="P238" s="205">
        <f>IFERROR(YEARFRAC(VLOOKUP(C238,Code!H:W,11,FALSE),VLOOKUP(C238,Code!H:W,14,FALSE),3),"")</f>
        <v>4.2575342465753421</v>
      </c>
      <c r="Q238" s="174">
        <v>44547</v>
      </c>
      <c r="R238" s="175" t="str">
        <f t="shared" ca="1" si="28"/>
        <v/>
      </c>
      <c r="S238" s="176">
        <f>IFERROR(VLOOKUP($C238,Code!$H:$Q,5,FALSE),"")</f>
        <v>0.42449999999999999</v>
      </c>
      <c r="T238" s="177" t="str">
        <f t="shared" ca="1" si="29"/>
        <v/>
      </c>
      <c r="U238" s="178" t="str">
        <f t="shared" ca="1" si="30"/>
        <v/>
      </c>
      <c r="V238" s="179">
        <f>IFERROR(VLOOKUP($C238,Code!$H:$Q,6,FALSE),"")</f>
        <v>39.630000000000003</v>
      </c>
      <c r="W238" s="180" t="str">
        <f t="shared" ca="1" si="31"/>
        <v/>
      </c>
      <c r="X238" s="12"/>
      <c r="Y238" s="12"/>
      <c r="Z238" s="12"/>
      <c r="AA238" s="12"/>
      <c r="AB238" s="12"/>
    </row>
    <row r="239" spans="1:28" s="10" customFormat="1" ht="15" hidden="1">
      <c r="A239" s="9"/>
      <c r="B239" s="169" cm="1">
        <f t="array" ref="B239">_xlfn.IFS(OR(Code!R363&lt;&gt;Code!U363,Code!R363=""),0,Code!R363=Code!U363,1)</f>
        <v>0</v>
      </c>
      <c r="C239" s="193" t="str">
        <f>IF(Code!F363="","",Code!F363)</f>
        <v>PEAK</v>
      </c>
      <c r="D239" s="155" t="str">
        <f>IFERROR(VLOOKUP($C239,Code!$H:$K,2,FALSE),"")</f>
        <v>XLRE</v>
      </c>
      <c r="E239" s="156" t="str">
        <f>IFERROR(VLOOKUP($C239,Code!$H:$K,3,FALSE),"")</f>
        <v>REIT-保健設施</v>
      </c>
      <c r="F239" s="157" t="str">
        <f>IFERROR(VLOOKUP($C239,Code!$H:$K,4,FALSE),"")</f>
        <v>.SPX</v>
      </c>
      <c r="G239" s="170">
        <f>IFERROR(((VLOOKUP($C239,Code!$H:$Q,9,FALSE))+(VLOOKUP($C239,Code!$H:$Q,10,FALSE)))/2*0.5/(((VLOOKUP($C239,Code!$H:$Q,7,FALSE))+(VLOOKUP($C239,Code!$H:$Q,8,FALSE)))/2),0)</f>
        <v>0.65160623708435095</v>
      </c>
      <c r="H239" s="171" t="str">
        <f t="shared" si="24"/>
        <v>L</v>
      </c>
      <c r="I239" s="170">
        <f>IFERROR((VLOOKUP($C239,Code!$H:$Q,5,FALSE))/(((VLOOKUP($C239,Code!$H:$Q,7,FALSE))+(VLOOKUP($C239,Code!$H:$Q,8,FALSE)))/2)-1,0)</f>
        <v>-0.16062370843509299</v>
      </c>
      <c r="J239" s="204">
        <f>IFERROR(POWER((VLOOKUP(C239,Code!H:W,12,FALSE))/(VLOOKUP(C239,Code!H:W,15,FALSE)),1/(P239-1))-1,"")</f>
        <v>9.9590555273113557E-2</v>
      </c>
      <c r="K239" s="172" t="str" cm="1">
        <f t="array" ref="K239">IFERROR(IF(C239="","",_xlfn.IFS(AND(VLOOKUP(C239,Code!H:W,13,FALSE)=0,VLOOKUP(C239,Code!H:W,16,FALSE)=0),"無股息",AND(VLOOKUP(C239,Code!H:W,13,FALSE)=0,VLOOKUP(C239,Code!H:W,16,FALSE)&gt;0),"股息沒了",AND(VLOOKUP(C239,Code!H:W,13,FALSE)&gt;0,VLOOKUP(C239,Code!H:W,16,FALSE)=0),"發股息了",AND(VLOOKUP(C239,Code!H:W,13,FALSE)&gt;0,VLOOKUP(C239,Code!H:W,16,FALSE)&gt;0),POWER((VLOOKUP(C239,Code!H:W,13,FALSE))/(VLOOKUP(C239,Code!H:W,16,FALSE)),1/(P239-1))-1)),"")</f>
        <v>發股息了</v>
      </c>
      <c r="L239" s="173">
        <f>IFERROR(VLOOKUP(C239,Code!H:W,13,FALSE)*4/VLOOKUP(C239,Code!H:W,12,FALSE),"")</f>
        <v>3.5799522184137282E-2</v>
      </c>
      <c r="M239" s="172">
        <f t="shared" si="25"/>
        <v>9.9590555273113557E-2</v>
      </c>
      <c r="N239" s="172" t="str">
        <f t="shared" si="26"/>
        <v/>
      </c>
      <c r="O239" s="172" t="str">
        <f t="shared" si="27"/>
        <v>-</v>
      </c>
      <c r="P239" s="205">
        <f>IFERROR(YEARFRAC(VLOOKUP(C239,Code!H:W,11,FALSE),VLOOKUP(C239,Code!H:W,14,FALSE),3),"")</f>
        <v>4.515068493150685</v>
      </c>
      <c r="Q239" s="174">
        <v>44547</v>
      </c>
      <c r="R239" s="175" t="str">
        <f t="shared" ca="1" si="28"/>
        <v/>
      </c>
      <c r="S239" s="176">
        <f>IFERROR(VLOOKUP($C239,Code!$H:$Q,5,FALSE),"")</f>
        <v>0.22339999999999999</v>
      </c>
      <c r="T239" s="177" t="str">
        <f t="shared" ca="1" si="29"/>
        <v/>
      </c>
      <c r="U239" s="178" t="str">
        <f t="shared" ca="1" si="30"/>
        <v/>
      </c>
      <c r="V239" s="179">
        <f>IFERROR(VLOOKUP($C239,Code!$H:$Q,6,FALSE),"")</f>
        <v>36.729999999999997</v>
      </c>
      <c r="W239" s="180" t="str">
        <f t="shared" ca="1" si="31"/>
        <v/>
      </c>
      <c r="X239" s="12"/>
      <c r="Y239" s="12"/>
      <c r="Z239" s="12"/>
      <c r="AA239" s="12"/>
      <c r="AB239" s="12"/>
    </row>
    <row r="240" spans="1:28" s="10" customFormat="1" ht="15" hidden="1">
      <c r="A240" s="9"/>
      <c r="B240" s="169" cm="1">
        <f t="array" ref="B240">_xlfn.IFS(OR(Code!R75&lt;&gt;Code!U75,Code!R75=""),0,Code!R75=Code!U75,1)</f>
        <v>0</v>
      </c>
      <c r="C240" s="193" t="str">
        <f>IF(Code!F75="","",Code!F75)</f>
        <v>BWA</v>
      </c>
      <c r="D240" s="155" t="str">
        <f>IFERROR(VLOOKUP($C240,Code!$H:$K,2,FALSE),"")</f>
        <v>XLY</v>
      </c>
      <c r="E240" s="156" t="str">
        <f>IFERROR(VLOOKUP($C240,Code!$H:$K,3,FALSE),"")</f>
        <v>汽車零件</v>
      </c>
      <c r="F240" s="157" t="str">
        <f>IFERROR(VLOOKUP($C240,Code!$H:$K,4,FALSE),"")</f>
        <v>.SPX</v>
      </c>
      <c r="G240" s="170">
        <f>IFERROR(((VLOOKUP($C240,Code!$H:$Q,9,FALSE))+(VLOOKUP($C240,Code!$H:$Q,10,FALSE)))/2*0.5/(((VLOOKUP($C240,Code!$H:$Q,7,FALSE))+(VLOOKUP($C240,Code!$H:$Q,8,FALSE)))/2),0)</f>
        <v>0.57208172596085149</v>
      </c>
      <c r="H240" s="171" t="str">
        <f t="shared" si="24"/>
        <v>M</v>
      </c>
      <c r="I240" s="170">
        <f>IFERROR((VLOOKUP($C240,Code!$H:$Q,5,FALSE))/(((VLOOKUP($C240,Code!$H:$Q,7,FALSE))+(VLOOKUP($C240,Code!$H:$Q,8,FALSE)))/2)-1,0)</f>
        <v>-0.16073724817831114</v>
      </c>
      <c r="J240" s="204">
        <f>IFERROR(POWER((VLOOKUP(C240,Code!H:W,12,FALSE))/(VLOOKUP(C240,Code!H:W,15,FALSE)),1/(P240-1))-1,"")</f>
        <v>0.13608871333401629</v>
      </c>
      <c r="K240" s="172" cm="1">
        <f t="array" ref="K240">IFERROR(IF(C240="","",_xlfn.IFS(AND(VLOOKUP(C240,Code!H:W,13,FALSE)=0,VLOOKUP(C240,Code!H:W,16,FALSE)=0),"無股息",AND(VLOOKUP(C240,Code!H:W,13,FALSE)=0,VLOOKUP(C240,Code!H:W,16,FALSE)&gt;0),"股息沒了",AND(VLOOKUP(C240,Code!H:W,13,FALSE)&gt;0,VLOOKUP(C240,Code!H:W,16,FALSE)=0),"發股息了",AND(VLOOKUP(C240,Code!H:W,13,FALSE)&gt;0,VLOOKUP(C240,Code!H:W,16,FALSE)&gt;0),POWER((VLOOKUP(C240,Code!H:W,13,FALSE))/(VLOOKUP(C240,Code!H:W,16,FALSE)),1/(P240-1))-1)),"")</f>
        <v>7.425633746982041E-2</v>
      </c>
      <c r="L240" s="173">
        <f>IFERROR(VLOOKUP(C240,Code!H:W,13,FALSE)*4/VLOOKUP(C240,Code!H:W,12,FALSE),"")</f>
        <v>1.3257944781867608E-2</v>
      </c>
      <c r="M240" s="172">
        <f t="shared" si="25"/>
        <v>0.2103450508038367</v>
      </c>
      <c r="N240" s="172" t="str">
        <f t="shared" si="26"/>
        <v>-</v>
      </c>
      <c r="O240" s="172" t="str">
        <f t="shared" si="27"/>
        <v>-</v>
      </c>
      <c r="P240" s="205">
        <f>IFERROR(YEARFRAC(VLOOKUP(C240,Code!H:W,11,FALSE),VLOOKUP(C240,Code!H:W,14,FALSE),3),"")</f>
        <v>4.7452054794520544</v>
      </c>
      <c r="Q240" s="174">
        <v>44547</v>
      </c>
      <c r="R240" s="175" t="str">
        <f t="shared" ca="1" si="28"/>
        <v/>
      </c>
      <c r="S240" s="176">
        <f>IFERROR(VLOOKUP($C240,Code!$H:$Q,5,FALSE),"")</f>
        <v>0.29370000000000002</v>
      </c>
      <c r="T240" s="177" t="str">
        <f t="shared" ca="1" si="29"/>
        <v/>
      </c>
      <c r="U240" s="178" t="str">
        <f t="shared" ca="1" si="30"/>
        <v/>
      </c>
      <c r="V240" s="179">
        <f>IFERROR(VLOOKUP($C240,Code!$H:$Q,6,FALSE),"")</f>
        <v>45.95</v>
      </c>
      <c r="W240" s="180" t="str">
        <f t="shared" ca="1" si="31"/>
        <v/>
      </c>
      <c r="X240" s="12"/>
      <c r="Y240" s="12"/>
      <c r="Z240" s="12"/>
      <c r="AA240" s="12"/>
      <c r="AB240" s="12"/>
    </row>
    <row r="241" spans="1:28" s="10" customFormat="1" ht="15" hidden="1">
      <c r="A241" s="9"/>
      <c r="B241" s="169" cm="1">
        <f t="array" ref="B241">_xlfn.IFS(OR(Code!R119&lt;&gt;Code!U119,Code!R119=""),0,Code!R119=Code!U119,1)</f>
        <v>0</v>
      </c>
      <c r="C241" s="193" t="str">
        <f>IF(Code!F119="","",Code!F119)</f>
        <v>CTAS</v>
      </c>
      <c r="D241" s="155" t="str">
        <f>IFERROR(VLOOKUP($C241,Code!$H:$K,2,FALSE),"")</f>
        <v>XLI</v>
      </c>
      <c r="E241" s="156" t="str">
        <f>IFERROR(VLOOKUP($C241,Code!$H:$K,3,FALSE),"")</f>
        <v>專業商業服務</v>
      </c>
      <c r="F241" s="157" t="str">
        <f>IFERROR(VLOOKUP($C241,Code!$H:$K,4,FALSE),"")</f>
        <v>.SPX</v>
      </c>
      <c r="G241" s="170">
        <f>IFERROR(((VLOOKUP($C241,Code!$H:$Q,9,FALSE))+(VLOOKUP($C241,Code!$H:$Q,10,FALSE)))/2*0.5/(((VLOOKUP($C241,Code!$H:$Q,7,FALSE))+(VLOOKUP($C241,Code!$H:$Q,8,FALSE)))/2),0)</f>
        <v>0.61913904607922388</v>
      </c>
      <c r="H241" s="171" t="str">
        <f t="shared" si="24"/>
        <v>L</v>
      </c>
      <c r="I241" s="170">
        <f>IFERROR((VLOOKUP($C241,Code!$H:$Q,5,FALSE))/(((VLOOKUP($C241,Code!$H:$Q,7,FALSE))+(VLOOKUP($C241,Code!$H:$Q,8,FALSE)))/2)-1,0)</f>
        <v>-0.16127728375101058</v>
      </c>
      <c r="J241" s="204">
        <f>IFERROR(POWER((VLOOKUP(C241,Code!H:W,12,FALSE))/(VLOOKUP(C241,Code!H:W,15,FALSE)),1/(P241-1))-1,"")</f>
        <v>0.43857007369306089</v>
      </c>
      <c r="K241" s="172" cm="1">
        <f t="array" ref="K241">IFERROR(IF(C241="","",_xlfn.IFS(AND(VLOOKUP(C241,Code!H:W,13,FALSE)=0,VLOOKUP(C241,Code!H:W,16,FALSE)=0),"無股息",AND(VLOOKUP(C241,Code!H:W,13,FALSE)=0,VLOOKUP(C241,Code!H:W,16,FALSE)&gt;0),"股息沒了",AND(VLOOKUP(C241,Code!H:W,13,FALSE)&gt;0,VLOOKUP(C241,Code!H:W,16,FALSE)=0),"發股息了",AND(VLOOKUP(C241,Code!H:W,13,FALSE)&gt;0,VLOOKUP(C241,Code!H:W,16,FALSE)&gt;0),POWER((VLOOKUP(C241,Code!H:W,13,FALSE))/(VLOOKUP(C241,Code!H:W,16,FALSE)),1/(P241-1))-1)),"")</f>
        <v>-0.14984812757668498</v>
      </c>
      <c r="L241" s="173">
        <f>IFERROR(VLOOKUP(C241,Code!H:W,13,FALSE)*4/VLOOKUP(C241,Code!H:W,12,FALSE),"")</f>
        <v>8.4935309662143195E-3</v>
      </c>
      <c r="M241" s="172">
        <f t="shared" si="25"/>
        <v>0.28872194611637592</v>
      </c>
      <c r="N241" s="172" t="str">
        <f t="shared" si="26"/>
        <v>-</v>
      </c>
      <c r="O241" s="172" t="str">
        <f t="shared" si="27"/>
        <v>-</v>
      </c>
      <c r="P241" s="205">
        <f>IFERROR(YEARFRAC(VLOOKUP(C241,Code!H:W,11,FALSE),VLOOKUP(C241,Code!H:W,14,FALSE),3),"")</f>
        <v>4.5287671232876709</v>
      </c>
      <c r="Q241" s="174">
        <v>44547</v>
      </c>
      <c r="R241" s="175" t="str">
        <f t="shared" ca="1" si="28"/>
        <v/>
      </c>
      <c r="S241" s="176">
        <f>IFERROR(VLOOKUP($C241,Code!$H:$Q,5,FALSE),"")</f>
        <v>0.20749999999999999</v>
      </c>
      <c r="T241" s="177" t="str">
        <f t="shared" ca="1" si="29"/>
        <v/>
      </c>
      <c r="U241" s="178" t="str">
        <f t="shared" ca="1" si="30"/>
        <v/>
      </c>
      <c r="V241" s="179">
        <f>IFERROR(VLOOKUP($C241,Code!$H:$Q,6,FALSE),"")</f>
        <v>391.65</v>
      </c>
      <c r="W241" s="180" t="str">
        <f t="shared" ca="1" si="31"/>
        <v/>
      </c>
      <c r="X241" s="12"/>
      <c r="Y241" s="12"/>
      <c r="Z241" s="12"/>
      <c r="AA241" s="12"/>
      <c r="AB241" s="12"/>
    </row>
    <row r="242" spans="1:28" s="10" customFormat="1" ht="15" hidden="1">
      <c r="A242" s="9"/>
      <c r="B242" s="169" cm="1">
        <f t="array" ref="B242">_xlfn.IFS(OR(Code!R19&lt;&gt;Code!U19,Code!R19=""),0,Code!R19=Code!U19,1)</f>
        <v>0</v>
      </c>
      <c r="C242" s="193" t="str">
        <f>IF(Code!F19="","",Code!F19)</f>
        <v>AEP</v>
      </c>
      <c r="D242" s="155" t="str">
        <f>IFERROR(VLOOKUP($C242,Code!$H:$K,2,FALSE),"")</f>
        <v>XLU</v>
      </c>
      <c r="E242" s="156" t="str">
        <f>IFERROR(VLOOKUP($C242,Code!$H:$K,3,FALSE),"")</f>
        <v>公用事業—受監督的電力</v>
      </c>
      <c r="F242" s="157" t="str">
        <f>IFERROR(VLOOKUP($C242,Code!$H:$K,4,FALSE),"")</f>
        <v>.SPX</v>
      </c>
      <c r="G242" s="170">
        <f>IFERROR(((VLOOKUP($C242,Code!$H:$Q,9,FALSE))+(VLOOKUP($C242,Code!$H:$Q,10,FALSE)))/2*0.5/(((VLOOKUP($C242,Code!$H:$Q,7,FALSE))+(VLOOKUP($C242,Code!$H:$Q,8,FALSE)))/2),0)</f>
        <v>0.57665242523247051</v>
      </c>
      <c r="H242" s="171" t="str">
        <f t="shared" si="24"/>
        <v>M</v>
      </c>
      <c r="I242" s="170">
        <f>IFERROR((VLOOKUP($C242,Code!$H:$Q,5,FALSE))/(((VLOOKUP($C242,Code!$H:$Q,7,FALSE))+(VLOOKUP($C242,Code!$H:$Q,8,FALSE)))/2)-1,0)</f>
        <v>-0.16159839155566713</v>
      </c>
      <c r="J242" s="204">
        <f>IFERROR(POWER((VLOOKUP(C242,Code!H:W,12,FALSE))/(VLOOKUP(C242,Code!H:W,15,FALSE)),1/(P242-1))-1,"")</f>
        <v>0.11952119640118219</v>
      </c>
      <c r="K242" s="172" cm="1">
        <f t="array" ref="K242">IFERROR(IF(C242="","",_xlfn.IFS(AND(VLOOKUP(C242,Code!H:W,13,FALSE)=0,VLOOKUP(C242,Code!H:W,16,FALSE)=0),"無股息",AND(VLOOKUP(C242,Code!H:W,13,FALSE)=0,VLOOKUP(C242,Code!H:W,16,FALSE)&gt;0),"股息沒了",AND(VLOOKUP(C242,Code!H:W,13,FALSE)&gt;0,VLOOKUP(C242,Code!H:W,16,FALSE)=0),"發股息了",AND(VLOOKUP(C242,Code!H:W,13,FALSE)&gt;0,VLOOKUP(C242,Code!H:W,16,FALSE)&gt;0),POWER((VLOOKUP(C242,Code!H:W,13,FALSE))/(VLOOKUP(C242,Code!H:W,16,FALSE)),1/(P242-1))-1)),"")</f>
        <v>7.7199180908087417E-2</v>
      </c>
      <c r="L242" s="173">
        <f>IFERROR(VLOOKUP(C242,Code!H:W,13,FALSE)*4/VLOOKUP(C242,Code!H:W,12,FALSE),"")</f>
        <v>3.394884639427774E-2</v>
      </c>
      <c r="M242" s="172">
        <f t="shared" si="25"/>
        <v>0.19672037730926961</v>
      </c>
      <c r="N242" s="172" t="str">
        <f t="shared" si="26"/>
        <v>-</v>
      </c>
      <c r="O242" s="172" t="str">
        <f t="shared" si="27"/>
        <v>-</v>
      </c>
      <c r="P242" s="205">
        <f>IFERROR(YEARFRAC(VLOOKUP(C242,Code!H:W,11,FALSE),VLOOKUP(C242,Code!H:W,14,FALSE),3),"")</f>
        <v>4.7479452054794518</v>
      </c>
      <c r="Q242" s="174">
        <v>44547</v>
      </c>
      <c r="R242" s="175" t="str">
        <f t="shared" ca="1" si="28"/>
        <v/>
      </c>
      <c r="S242" s="176">
        <f>IFERROR(VLOOKUP($C242,Code!$H:$Q,5,FALSE),"")</f>
        <v>0.1668</v>
      </c>
      <c r="T242" s="177" t="str">
        <f t="shared" ca="1" si="29"/>
        <v/>
      </c>
      <c r="U242" s="178" t="str">
        <f t="shared" ca="1" si="30"/>
        <v/>
      </c>
      <c r="V242" s="179">
        <f>IFERROR(VLOOKUP($C242,Code!$H:$Q,6,FALSE),"")</f>
        <v>89.48</v>
      </c>
      <c r="W242" s="180" t="str">
        <f t="shared" ca="1" si="31"/>
        <v/>
      </c>
      <c r="X242" s="12"/>
      <c r="Y242" s="12"/>
      <c r="Z242" s="12"/>
      <c r="AA242" s="12"/>
      <c r="AB242" s="12"/>
    </row>
    <row r="243" spans="1:28" s="10" customFormat="1" ht="15" hidden="1">
      <c r="A243" s="9"/>
      <c r="B243" s="169" cm="1">
        <f t="array" ref="B243">_xlfn.IFS(OR(Code!R30&lt;&gt;Code!U30,Code!R30=""),0,Code!R30=Code!U30,1)</f>
        <v>0</v>
      </c>
      <c r="C243" s="193" t="str">
        <f>IF(Code!F30="","",Code!F30)</f>
        <v>ALLE</v>
      </c>
      <c r="D243" s="155" t="str">
        <f>IFERROR(VLOOKUP($C243,Code!$H:$K,2,FALSE),"")</f>
        <v>XLI</v>
      </c>
      <c r="E243" s="156" t="str">
        <f>IFERROR(VLOOKUP($C243,Code!$H:$K,3,FALSE),"")</f>
        <v>保安及保護服務</v>
      </c>
      <c r="F243" s="157" t="str">
        <f>IFERROR(VLOOKUP($C243,Code!$H:$K,4,FALSE),"")</f>
        <v>.SPX</v>
      </c>
      <c r="G243" s="170">
        <f>IFERROR(((VLOOKUP($C243,Code!$H:$Q,9,FALSE))+(VLOOKUP($C243,Code!$H:$Q,10,FALSE)))/2*0.5/(((VLOOKUP($C243,Code!$H:$Q,7,FALSE))+(VLOOKUP($C243,Code!$H:$Q,8,FALSE)))/2),0)</f>
        <v>0.65209659303631595</v>
      </c>
      <c r="H243" s="171" t="str">
        <f t="shared" si="24"/>
        <v>L</v>
      </c>
      <c r="I243" s="170">
        <f>IFERROR((VLOOKUP($C243,Code!$H:$Q,5,FALSE))/(((VLOOKUP($C243,Code!$H:$Q,7,FALSE))+(VLOOKUP($C243,Code!$H:$Q,8,FALSE)))/2)-1,0)</f>
        <v>-0.16211156870086108</v>
      </c>
      <c r="J243" s="204">
        <f>IFERROR(POWER((VLOOKUP(C243,Code!H:W,12,FALSE))/(VLOOKUP(C243,Code!H:W,15,FALSE)),1/(P243-1))-1,"")</f>
        <v>0.23095841727465927</v>
      </c>
      <c r="K243" s="172" cm="1">
        <f t="array" ref="K243">IFERROR(IF(C243="","",_xlfn.IFS(AND(VLOOKUP(C243,Code!H:W,13,FALSE)=0,VLOOKUP(C243,Code!H:W,16,FALSE)=0),"無股息",AND(VLOOKUP(C243,Code!H:W,13,FALSE)=0,VLOOKUP(C243,Code!H:W,16,FALSE)&gt;0),"股息沒了",AND(VLOOKUP(C243,Code!H:W,13,FALSE)&gt;0,VLOOKUP(C243,Code!H:W,16,FALSE)=0),"發股息了",AND(VLOOKUP(C243,Code!H:W,13,FALSE)&gt;0,VLOOKUP(C243,Code!H:W,16,FALSE)&gt;0),POWER((VLOOKUP(C243,Code!H:W,13,FALSE))/(VLOOKUP(C243,Code!H:W,16,FALSE)),1/(P243-1))-1)),"")</f>
        <v>0.33974926911458736</v>
      </c>
      <c r="L243" s="173">
        <f>IFERROR(VLOOKUP(C243,Code!H:W,13,FALSE)*4/VLOOKUP(C243,Code!H:W,12,FALSE),"")</f>
        <v>1.0397111913357401E-2</v>
      </c>
      <c r="M243" s="172">
        <f t="shared" si="25"/>
        <v>0.57070768638924663</v>
      </c>
      <c r="N243" s="172" t="str">
        <f t="shared" si="26"/>
        <v>-</v>
      </c>
      <c r="O243" s="172" t="str">
        <f t="shared" si="27"/>
        <v>Value</v>
      </c>
      <c r="P243" s="205">
        <f>IFERROR(YEARFRAC(VLOOKUP(C243,Code!H:W,11,FALSE),VLOOKUP(C243,Code!H:W,14,FALSE),3),"")</f>
        <v>4.7561643835616438</v>
      </c>
      <c r="Q243" s="174">
        <v>44547</v>
      </c>
      <c r="R243" s="175" t="str">
        <f t="shared" ca="1" si="28"/>
        <v/>
      </c>
      <c r="S243" s="176">
        <f>IFERROR(VLOOKUP($C243,Code!$H:$Q,5,FALSE),"")</f>
        <v>0.2238</v>
      </c>
      <c r="T243" s="177" t="str">
        <f t="shared" ca="1" si="29"/>
        <v/>
      </c>
      <c r="U243" s="178" t="str">
        <f t="shared" ca="1" si="30"/>
        <v/>
      </c>
      <c r="V243" s="179">
        <f>IFERROR(VLOOKUP($C243,Code!$H:$Q,6,FALSE),"")</f>
        <v>137.30000000000001</v>
      </c>
      <c r="W243" s="180" t="str">
        <f t="shared" ca="1" si="31"/>
        <v/>
      </c>
      <c r="X243" s="12"/>
      <c r="Y243" s="12"/>
      <c r="Z243" s="12"/>
      <c r="AA243" s="12"/>
      <c r="AB243" s="12"/>
    </row>
    <row r="244" spans="1:28" s="10" customFormat="1" ht="15" hidden="1">
      <c r="A244" s="9"/>
      <c r="B244" s="169" cm="1">
        <f t="array" ref="B244">_xlfn.IFS(OR(Code!R106&lt;&gt;Code!U106,Code!R106=""),0,Code!R106=Code!U106,1)</f>
        <v>1</v>
      </c>
      <c r="C244" s="193" t="str">
        <f>IF(Code!F106="","",Code!F106)</f>
        <v>CNC</v>
      </c>
      <c r="D244" s="155" t="str">
        <f>IFERROR(VLOOKUP($C244,Code!$H:$K,2,FALSE),"")</f>
        <v>XLV</v>
      </c>
      <c r="E244" s="156" t="str">
        <f>IFERROR(VLOOKUP($C244,Code!$H:$K,3,FALSE),"")</f>
        <v>醫療保健計劃</v>
      </c>
      <c r="F244" s="157" t="str">
        <f>IFERROR(VLOOKUP($C244,Code!$H:$K,4,FALSE),"")</f>
        <v>.SPX</v>
      </c>
      <c r="G244" s="170">
        <f>IFERROR(((VLOOKUP($C244,Code!$H:$Q,9,FALSE))+(VLOOKUP($C244,Code!$H:$Q,10,FALSE)))/2*0.5/(((VLOOKUP($C244,Code!$H:$Q,7,FALSE))+(VLOOKUP($C244,Code!$H:$Q,8,FALSE)))/2),0)</f>
        <v>0.6594964148741036</v>
      </c>
      <c r="H244" s="171" t="str">
        <f t="shared" si="24"/>
        <v>L</v>
      </c>
      <c r="I244" s="170">
        <f>IFERROR((VLOOKUP($C244,Code!$H:$Q,5,FALSE))/(((VLOOKUP($C244,Code!$H:$Q,7,FALSE))+(VLOOKUP($C244,Code!$H:$Q,8,FALSE)))/2)-1,0)</f>
        <v>-0.16224779056194771</v>
      </c>
      <c r="J244" s="204">
        <f>IFERROR(POWER((VLOOKUP(C244,Code!H:W,12,FALSE))/(VLOOKUP(C244,Code!H:W,15,FALSE)),1/(P244-1))-1,"")</f>
        <v>0</v>
      </c>
      <c r="K244" s="172" t="str" cm="1">
        <f t="array" ref="K244">IFERROR(IF(C244="","",_xlfn.IFS(AND(VLOOKUP(C244,Code!H:W,13,FALSE)=0,VLOOKUP(C244,Code!H:W,16,FALSE)=0),"無股息",AND(VLOOKUP(C244,Code!H:W,13,FALSE)=0,VLOOKUP(C244,Code!H:W,16,FALSE)&gt;0),"股息沒了",AND(VLOOKUP(C244,Code!H:W,13,FALSE)&gt;0,VLOOKUP(C244,Code!H:W,16,FALSE)=0),"發股息了",AND(VLOOKUP(C244,Code!H:W,13,FALSE)&gt;0,VLOOKUP(C244,Code!H:W,16,FALSE)&gt;0),POWER((VLOOKUP(C244,Code!H:W,13,FALSE))/(VLOOKUP(C244,Code!H:W,16,FALSE)),1/(P244-1))-1)),"")</f>
        <v>無股息</v>
      </c>
      <c r="L244" s="173">
        <f>IFERROR(VLOOKUP(C244,Code!H:W,13,FALSE)*4/VLOOKUP(C244,Code!H:W,12,FALSE),"")</f>
        <v>0</v>
      </c>
      <c r="M244" s="172" t="str">
        <f t="shared" si="25"/>
        <v/>
      </c>
      <c r="N244" s="172" t="str">
        <f t="shared" si="26"/>
        <v>-</v>
      </c>
      <c r="O244" s="172" t="str">
        <f t="shared" si="27"/>
        <v/>
      </c>
      <c r="P244" s="205">
        <f>IFERROR(YEARFRAC(VLOOKUP(C244,Code!H:W,11,FALSE),VLOOKUP(C244,Code!H:W,14,FALSE),3),"")</f>
        <v>0</v>
      </c>
      <c r="Q244" s="174">
        <v>44547</v>
      </c>
      <c r="R244" s="175" t="str">
        <f t="shared" ca="1" si="28"/>
        <v/>
      </c>
      <c r="S244" s="176">
        <f>IFERROR(VLOOKUP($C244,Code!$H:$Q,5,FALSE),"")</f>
        <v>0.25119999999999998</v>
      </c>
      <c r="T244" s="177" t="str">
        <f t="shared" ca="1" si="29"/>
        <v/>
      </c>
      <c r="U244" s="178" t="str">
        <f t="shared" ca="1" si="30"/>
        <v/>
      </c>
      <c r="V244" s="179">
        <f>IFERROR(VLOOKUP($C244,Code!$H:$Q,6,FALSE),"")</f>
        <v>67.23</v>
      </c>
      <c r="W244" s="180" t="str">
        <f t="shared" ca="1" si="31"/>
        <v/>
      </c>
      <c r="X244" s="12"/>
      <c r="Y244" s="12"/>
      <c r="Z244" s="12"/>
      <c r="AA244" s="12"/>
      <c r="AB244" s="12"/>
    </row>
    <row r="245" spans="1:28" s="10" customFormat="1" ht="15" hidden="1">
      <c r="A245" s="9"/>
      <c r="B245" s="169" cm="1">
        <f t="array" ref="B245">_xlfn.IFS(OR(Code!R371&lt;&gt;Code!U371,Code!R371=""),0,Code!R371=Code!U371,1)</f>
        <v>0</v>
      </c>
      <c r="C245" s="193" t="str">
        <f>IF(Code!F371="","",Code!F371)</f>
        <v>PH</v>
      </c>
      <c r="D245" s="155" t="str">
        <f>IFERROR(VLOOKUP($C245,Code!$H:$K,2,FALSE),"")</f>
        <v>XLI</v>
      </c>
      <c r="E245" s="156" t="str">
        <f>IFERROR(VLOOKUP($C245,Code!$H:$K,3,FALSE),"")</f>
        <v>特種工業機械</v>
      </c>
      <c r="F245" s="157" t="str">
        <f>IFERROR(VLOOKUP($C245,Code!$H:$K,4,FALSE),"")</f>
        <v>.SPX</v>
      </c>
      <c r="G245" s="170">
        <f>IFERROR(((VLOOKUP($C245,Code!$H:$Q,9,FALSE))+(VLOOKUP($C245,Code!$H:$Q,10,FALSE)))/2*0.5/(((VLOOKUP($C245,Code!$H:$Q,7,FALSE))+(VLOOKUP($C245,Code!$H:$Q,8,FALSE)))/2),0)</f>
        <v>0.61025474606522789</v>
      </c>
      <c r="H245" s="171" t="str">
        <f t="shared" si="24"/>
        <v>L</v>
      </c>
      <c r="I245" s="170">
        <f>IFERROR((VLOOKUP($C245,Code!$H:$Q,5,FALSE))/(((VLOOKUP($C245,Code!$H:$Q,7,FALSE))+(VLOOKUP($C245,Code!$H:$Q,8,FALSE)))/2)-1,0)</f>
        <v>-0.16242089891286726</v>
      </c>
      <c r="J245" s="204">
        <f>IFERROR(POWER((VLOOKUP(C245,Code!H:W,12,FALSE))/(VLOOKUP(C245,Code!H:W,15,FALSE)),1/(P245-1))-1,"")</f>
        <v>0.31825125865660997</v>
      </c>
      <c r="K245" s="172" cm="1">
        <f t="array" ref="K245">IFERROR(IF(C245="","",_xlfn.IFS(AND(VLOOKUP(C245,Code!H:W,13,FALSE)=0,VLOOKUP(C245,Code!H:W,16,FALSE)=0),"無股息",AND(VLOOKUP(C245,Code!H:W,13,FALSE)=0,VLOOKUP(C245,Code!H:W,16,FALSE)&gt;0),"股息沒了",AND(VLOOKUP(C245,Code!H:W,13,FALSE)&gt;0,VLOOKUP(C245,Code!H:W,16,FALSE)=0),"發股息了",AND(VLOOKUP(C245,Code!H:W,13,FALSE)&gt;0,VLOOKUP(C245,Code!H:W,16,FALSE)&gt;0),POWER((VLOOKUP(C245,Code!H:W,13,FALSE))/(VLOOKUP(C245,Code!H:W,16,FALSE)),1/(P245-1))-1)),"")</f>
        <v>0.14215008169271015</v>
      </c>
      <c r="L245" s="173">
        <f>IFERROR(VLOOKUP(C245,Code!H:W,13,FALSE)*4/VLOOKUP(C245,Code!H:W,12,FALSE),"")</f>
        <v>1.3035086862176677E-2</v>
      </c>
      <c r="M245" s="172">
        <f t="shared" si="25"/>
        <v>0.46040134034932012</v>
      </c>
      <c r="N245" s="172" t="str">
        <f t="shared" si="26"/>
        <v>-</v>
      </c>
      <c r="O245" s="172" t="str">
        <f t="shared" si="27"/>
        <v>Value</v>
      </c>
      <c r="P245" s="205">
        <f>IFERROR(YEARFRAC(VLOOKUP(C245,Code!H:W,11,FALSE),VLOOKUP(C245,Code!H:W,14,FALSE),3),"")</f>
        <v>4.6986301369863011</v>
      </c>
      <c r="Q245" s="174">
        <v>44547</v>
      </c>
      <c r="R245" s="175" t="str">
        <f t="shared" ca="1" si="28"/>
        <v/>
      </c>
      <c r="S245" s="176">
        <f>IFERROR(VLOOKUP($C245,Code!$H:$Q,5,FALSE),"")</f>
        <v>0.2581</v>
      </c>
      <c r="T245" s="177" t="str">
        <f t="shared" ca="1" si="29"/>
        <v/>
      </c>
      <c r="U245" s="178" t="str">
        <f t="shared" ca="1" si="30"/>
        <v/>
      </c>
      <c r="V245" s="179">
        <f>IFERROR(VLOOKUP($C245,Code!$H:$Q,6,FALSE),"")</f>
        <v>300.23</v>
      </c>
      <c r="W245" s="180" t="str">
        <f t="shared" ca="1" si="31"/>
        <v/>
      </c>
      <c r="X245" s="12"/>
      <c r="Y245" s="12"/>
      <c r="Z245" s="12"/>
      <c r="AA245" s="12"/>
      <c r="AB245" s="12"/>
    </row>
    <row r="246" spans="1:28" s="10" customFormat="1" ht="15" hidden="1">
      <c r="A246" s="9"/>
      <c r="B246" s="169" cm="1">
        <f t="array" ref="B246">_xlfn.IFS(OR(Code!R356&lt;&gt;Code!U356,Code!R356=""),0,Code!R356=Code!U356,1)</f>
        <v>1</v>
      </c>
      <c r="C246" s="193" t="str">
        <f>IF(Code!F356="","",Code!F356)</f>
        <v>ORLY</v>
      </c>
      <c r="D246" s="155" t="str">
        <f>IFERROR(VLOOKUP($C246,Code!$H:$K,2,FALSE),"")</f>
        <v>XLY</v>
      </c>
      <c r="E246" s="156" t="str">
        <f>IFERROR(VLOOKUP($C246,Code!$H:$K,3,FALSE),"")</f>
        <v>專業零售</v>
      </c>
      <c r="F246" s="157" t="str">
        <f>IFERROR(VLOOKUP($C246,Code!$H:$K,4,FALSE),"")</f>
        <v>.SPX</v>
      </c>
      <c r="G246" s="170">
        <f>IFERROR(((VLOOKUP($C246,Code!$H:$Q,9,FALSE))+(VLOOKUP($C246,Code!$H:$Q,10,FALSE)))/2*0.5/(((VLOOKUP($C246,Code!$H:$Q,7,FALSE))+(VLOOKUP($C246,Code!$H:$Q,8,FALSE)))/2),0)</f>
        <v>0.65132858068697341</v>
      </c>
      <c r="H246" s="171" t="str">
        <f t="shared" si="24"/>
        <v>L</v>
      </c>
      <c r="I246" s="170">
        <f>IFERROR((VLOOKUP($C246,Code!$H:$Q,5,FALSE))/(((VLOOKUP($C246,Code!$H:$Q,7,FALSE))+(VLOOKUP($C246,Code!$H:$Q,8,FALSE)))/2)-1,0)</f>
        <v>-0.16267012313674656</v>
      </c>
      <c r="J246" s="204" t="str">
        <f>IFERROR(POWER((VLOOKUP(C246,Code!H:W,12,FALSE))/(VLOOKUP(C246,Code!H:W,15,FALSE)),1/(P246-1))-1,"")</f>
        <v/>
      </c>
      <c r="K246" s="172" t="str" cm="1">
        <f t="array" ref="K246">IFERROR(IF(C246="","",_xlfn.IFS(AND(VLOOKUP(C246,Code!H:W,13,FALSE)=0,VLOOKUP(C246,Code!H:W,16,FALSE)=0),"無股息",AND(VLOOKUP(C246,Code!H:W,13,FALSE)=0,VLOOKUP(C246,Code!H:W,16,FALSE)&gt;0),"股息沒了",AND(VLOOKUP(C246,Code!H:W,13,FALSE)&gt;0,VLOOKUP(C246,Code!H:W,16,FALSE)=0),"發股息了",AND(VLOOKUP(C246,Code!H:W,13,FALSE)&gt;0,VLOOKUP(C246,Code!H:W,16,FALSE)&gt;0),POWER((VLOOKUP(C246,Code!H:W,13,FALSE))/(VLOOKUP(C246,Code!H:W,16,FALSE)),1/(P246-1))-1)),"")</f>
        <v>無股息</v>
      </c>
      <c r="L246" s="173" t="str">
        <f>IFERROR(VLOOKUP(C246,Code!H:W,13,FALSE)*4/VLOOKUP(C246,Code!H:W,12,FALSE),"")</f>
        <v/>
      </c>
      <c r="M246" s="172" t="str">
        <f t="shared" si="25"/>
        <v/>
      </c>
      <c r="N246" s="172" t="str">
        <f t="shared" si="26"/>
        <v/>
      </c>
      <c r="O246" s="172" t="str">
        <f t="shared" si="27"/>
        <v/>
      </c>
      <c r="P246" s="205">
        <f>IFERROR(YEARFRAC(VLOOKUP(C246,Code!H:W,11,FALSE),VLOOKUP(C246,Code!H:W,14,FALSE),3),"")</f>
        <v>0</v>
      </c>
      <c r="Q246" s="174">
        <v>44547</v>
      </c>
      <c r="R246" s="175" t="str">
        <f t="shared" ca="1" si="28"/>
        <v/>
      </c>
      <c r="S246" s="176">
        <f>IFERROR(VLOOKUP($C246,Code!$H:$Q,5,FALSE),"")</f>
        <v>0.1938</v>
      </c>
      <c r="T246" s="177" t="str">
        <f t="shared" ca="1" si="29"/>
        <v/>
      </c>
      <c r="U246" s="178" t="str">
        <f t="shared" ca="1" si="30"/>
        <v/>
      </c>
      <c r="V246" s="179">
        <f>IFERROR(VLOOKUP($C246,Code!$H:$Q,6,FALSE),"")</f>
        <v>605.15</v>
      </c>
      <c r="W246" s="180" t="str">
        <f t="shared" ca="1" si="31"/>
        <v/>
      </c>
      <c r="X246" s="12"/>
      <c r="Y246" s="12"/>
      <c r="Z246" s="12"/>
      <c r="AA246" s="12"/>
      <c r="AB246" s="12"/>
    </row>
    <row r="247" spans="1:28" s="10" customFormat="1" ht="15" hidden="1">
      <c r="A247" s="9"/>
      <c r="B247" s="169" cm="1">
        <f t="array" ref="B247">_xlfn.IFS(OR(Code!R336&lt;&gt;Code!U336,Code!R336=""),0,Code!R336=Code!U336,1)</f>
        <v>0</v>
      </c>
      <c r="C247" s="193" t="str">
        <f>IF(Code!F336="","",Code!F336)</f>
        <v>NOC</v>
      </c>
      <c r="D247" s="155" t="str">
        <f>IFERROR(VLOOKUP($C247,Code!$H:$K,2,FALSE),"")</f>
        <v>XLI</v>
      </c>
      <c r="E247" s="156" t="str">
        <f>IFERROR(VLOOKUP($C247,Code!$H:$K,3,FALSE),"")</f>
        <v>航天軍工</v>
      </c>
      <c r="F247" s="157" t="str">
        <f>IFERROR(VLOOKUP($C247,Code!$H:$K,4,FALSE),"")</f>
        <v>.SPX</v>
      </c>
      <c r="G247" s="170">
        <f>IFERROR(((VLOOKUP($C247,Code!$H:$Q,9,FALSE))+(VLOOKUP($C247,Code!$H:$Q,10,FALSE)))/2*0.5/(((VLOOKUP($C247,Code!$H:$Q,7,FALSE))+(VLOOKUP($C247,Code!$H:$Q,8,FALSE)))/2),0)</f>
        <v>0.62986425339366514</v>
      </c>
      <c r="H247" s="171" t="str">
        <f t="shared" si="24"/>
        <v>L</v>
      </c>
      <c r="I247" s="170">
        <f>IFERROR((VLOOKUP($C247,Code!$H:$Q,5,FALSE))/(((VLOOKUP($C247,Code!$H:$Q,7,FALSE))+(VLOOKUP($C247,Code!$H:$Q,8,FALSE)))/2)-1,0)</f>
        <v>-0.16515837104072395</v>
      </c>
      <c r="J247" s="204">
        <f>IFERROR(POWER((VLOOKUP(C247,Code!H:W,12,FALSE))/(VLOOKUP(C247,Code!H:W,15,FALSE)),1/(P247-1))-1,"")</f>
        <v>0.17748920539257584</v>
      </c>
      <c r="K247" s="172" cm="1">
        <f t="array" ref="K247">IFERROR(IF(C247="","",_xlfn.IFS(AND(VLOOKUP(C247,Code!H:W,13,FALSE)=0,VLOOKUP(C247,Code!H:W,16,FALSE)=0),"無股息",AND(VLOOKUP(C247,Code!H:W,13,FALSE)=0,VLOOKUP(C247,Code!H:W,16,FALSE)&gt;0),"股息沒了",AND(VLOOKUP(C247,Code!H:W,13,FALSE)&gt;0,VLOOKUP(C247,Code!H:W,16,FALSE)=0),"發股息了",AND(VLOOKUP(C247,Code!H:W,13,FALSE)&gt;0,VLOOKUP(C247,Code!H:W,16,FALSE)&gt;0),POWER((VLOOKUP(C247,Code!H:W,13,FALSE))/(VLOOKUP(C247,Code!H:W,16,FALSE)),1/(P247-1))-1)),"")</f>
        <v>0.1595493973230353</v>
      </c>
      <c r="L247" s="173">
        <f>IFERROR(VLOOKUP(C247,Code!H:W,13,FALSE)*4/VLOOKUP(C247,Code!H:W,12,FALSE),"")</f>
        <v>1.7164566878430512E-2</v>
      </c>
      <c r="M247" s="172">
        <f t="shared" si="25"/>
        <v>0.33703860271561115</v>
      </c>
      <c r="N247" s="172" t="str">
        <f t="shared" si="26"/>
        <v>-</v>
      </c>
      <c r="O247" s="172" t="str">
        <f t="shared" si="27"/>
        <v>Value</v>
      </c>
      <c r="P247" s="205">
        <f>IFERROR(YEARFRAC(VLOOKUP(C247,Code!H:W,11,FALSE),VLOOKUP(C247,Code!H:W,14,FALSE),3),"")</f>
        <v>4.7589041095890412</v>
      </c>
      <c r="Q247" s="174">
        <v>44547</v>
      </c>
      <c r="R247" s="175" t="str">
        <f t="shared" ca="1" si="28"/>
        <v/>
      </c>
      <c r="S247" s="176">
        <f>IFERROR(VLOOKUP($C247,Code!$H:$Q,5,FALSE),"")</f>
        <v>0.1845</v>
      </c>
      <c r="T247" s="177" t="str">
        <f t="shared" ca="1" si="29"/>
        <v/>
      </c>
      <c r="U247" s="178" t="str">
        <f t="shared" ca="1" si="30"/>
        <v/>
      </c>
      <c r="V247" s="179">
        <f>IFERROR(VLOOKUP($C247,Code!$H:$Q,6,FALSE),"")</f>
        <v>358.72</v>
      </c>
      <c r="W247" s="180" t="str">
        <f t="shared" ca="1" si="31"/>
        <v/>
      </c>
      <c r="X247" s="12"/>
      <c r="Y247" s="12"/>
      <c r="Z247" s="12"/>
      <c r="AA247" s="12"/>
      <c r="AB247" s="12"/>
    </row>
    <row r="248" spans="1:28" s="10" customFormat="1" ht="15" hidden="1">
      <c r="A248" s="9"/>
      <c r="B248" s="169" cm="1">
        <f t="array" ref="B248">_xlfn.IFS(OR(Code!R247&lt;&gt;Code!U247,Code!R247=""),0,Code!R247=Code!U247,1)</f>
        <v>1</v>
      </c>
      <c r="C248" s="193" t="str">
        <f>IF(Code!F247="","",Code!F247)</f>
        <v>IR</v>
      </c>
      <c r="D248" s="155" t="str">
        <f>IFERROR(VLOOKUP($C248,Code!$H:$K,2,FALSE),"")</f>
        <v>XLI</v>
      </c>
      <c r="E248" s="156" t="str">
        <f>IFERROR(VLOOKUP($C248,Code!$H:$K,3,FALSE),"")</f>
        <v>特種工業機械</v>
      </c>
      <c r="F248" s="157" t="str">
        <f>IFERROR(VLOOKUP($C248,Code!$H:$K,4,FALSE),"")</f>
        <v>.SPX</v>
      </c>
      <c r="G248" s="170">
        <f>IFERROR(((VLOOKUP($C248,Code!$H:$Q,9,FALSE))+(VLOOKUP($C248,Code!$H:$Q,10,FALSE)))/2*0.5/(((VLOOKUP($C248,Code!$H:$Q,7,FALSE))+(VLOOKUP($C248,Code!$H:$Q,8,FALSE)))/2),0)</f>
        <v>0.62675833728465302</v>
      </c>
      <c r="H248" s="171" t="str">
        <f t="shared" si="24"/>
        <v>L</v>
      </c>
      <c r="I248" s="170">
        <f>IFERROR((VLOOKUP($C248,Code!$H:$Q,5,FALSE))/(((VLOOKUP($C248,Code!$H:$Q,7,FALSE))+(VLOOKUP($C248,Code!$H:$Q,8,FALSE)))/2)-1,0)</f>
        <v>-0.16579737632369207</v>
      </c>
      <c r="J248" s="204" t="str">
        <f>IFERROR(POWER((VLOOKUP(C248,Code!H:W,12,FALSE))/(VLOOKUP(C248,Code!H:W,15,FALSE)),1/(P248-1))-1,"")</f>
        <v/>
      </c>
      <c r="K248" s="172" t="str" cm="1">
        <f t="array" ref="K248">IFERROR(IF(C248="","",_xlfn.IFS(AND(VLOOKUP(C248,Code!H:W,13,FALSE)=0,VLOOKUP(C248,Code!H:W,16,FALSE)=0),"無股息",AND(VLOOKUP(C248,Code!H:W,13,FALSE)=0,VLOOKUP(C248,Code!H:W,16,FALSE)&gt;0),"股息沒了",AND(VLOOKUP(C248,Code!H:W,13,FALSE)&gt;0,VLOOKUP(C248,Code!H:W,16,FALSE)=0),"發股息了",AND(VLOOKUP(C248,Code!H:W,13,FALSE)&gt;0,VLOOKUP(C248,Code!H:W,16,FALSE)&gt;0),POWER((VLOOKUP(C248,Code!H:W,13,FALSE))/(VLOOKUP(C248,Code!H:W,16,FALSE)),1/(P248-1))-1)),"")</f>
        <v>無股息</v>
      </c>
      <c r="L248" s="173" t="str">
        <f>IFERROR(VLOOKUP(C248,Code!H:W,13,FALSE)*4/VLOOKUP(C248,Code!H:W,12,FALSE),"")</f>
        <v/>
      </c>
      <c r="M248" s="172" t="str">
        <f t="shared" si="25"/>
        <v/>
      </c>
      <c r="N248" s="172" t="str">
        <f t="shared" si="26"/>
        <v/>
      </c>
      <c r="O248" s="172" t="str">
        <f t="shared" si="27"/>
        <v/>
      </c>
      <c r="P248" s="205">
        <f>IFERROR(YEARFRAC(VLOOKUP(C248,Code!H:W,11,FALSE),VLOOKUP(C248,Code!H:W,14,FALSE),3),"")</f>
        <v>0</v>
      </c>
      <c r="Q248" s="174">
        <v>44547</v>
      </c>
      <c r="R248" s="175" t="str">
        <f t="shared" ca="1" si="28"/>
        <v/>
      </c>
      <c r="S248" s="176">
        <f>IFERROR(VLOOKUP($C248,Code!$H:$Q,5,FALSE),"")</f>
        <v>0.26390000000000002</v>
      </c>
      <c r="T248" s="177" t="str">
        <f t="shared" ca="1" si="29"/>
        <v/>
      </c>
      <c r="U248" s="178" t="str">
        <f t="shared" ca="1" si="30"/>
        <v/>
      </c>
      <c r="V248" s="179">
        <f>IFERROR(VLOOKUP($C248,Code!$H:$Q,6,FALSE),"")</f>
        <v>50.1</v>
      </c>
      <c r="W248" s="180" t="str">
        <f t="shared" ca="1" si="31"/>
        <v/>
      </c>
      <c r="X248" s="12"/>
      <c r="Y248" s="12"/>
      <c r="Z248" s="12"/>
      <c r="AA248" s="12"/>
      <c r="AB248" s="12"/>
    </row>
    <row r="249" spans="1:28" s="10" customFormat="1" ht="15" hidden="1">
      <c r="A249" s="9"/>
      <c r="B249" s="169" cm="1">
        <f t="array" ref="B249">_xlfn.IFS(OR(Code!R324&lt;&gt;Code!U324,Code!R324=""),0,Code!R324=Code!U324,1)</f>
        <v>1</v>
      </c>
      <c r="C249" s="193" t="str">
        <f>IF(Code!F324="","",Code!F324)</f>
        <v>MTD</v>
      </c>
      <c r="D249" s="155" t="str">
        <f>IFERROR(VLOOKUP($C249,Code!$H:$K,2,FALSE),"")</f>
        <v>XLV</v>
      </c>
      <c r="E249" s="156" t="str">
        <f>IFERROR(VLOOKUP($C249,Code!$H:$K,3,FALSE),"")</f>
        <v>診斷與研究</v>
      </c>
      <c r="F249" s="157" t="str">
        <f>IFERROR(VLOOKUP($C249,Code!$H:$K,4,FALSE),"")</f>
        <v>.SPX</v>
      </c>
      <c r="G249" s="170">
        <f>IFERROR(((VLOOKUP($C249,Code!$H:$Q,9,FALSE))+(VLOOKUP($C249,Code!$H:$Q,10,FALSE)))/2*0.5/(((VLOOKUP($C249,Code!$H:$Q,7,FALSE))+(VLOOKUP($C249,Code!$H:$Q,8,FALSE)))/2),0)</f>
        <v>0.54461742927662804</v>
      </c>
      <c r="H249" s="171" t="str">
        <f t="shared" si="24"/>
        <v>M</v>
      </c>
      <c r="I249" s="170">
        <f>IFERROR((VLOOKUP($C249,Code!$H:$Q,5,FALSE))/(((VLOOKUP($C249,Code!$H:$Q,7,FALSE))+(VLOOKUP($C249,Code!$H:$Q,8,FALSE)))/2)-1,0)</f>
        <v>-0.16612872602999829</v>
      </c>
      <c r="J249" s="204" t="str">
        <f>IFERROR(POWER((VLOOKUP(C249,Code!H:W,12,FALSE))/(VLOOKUP(C249,Code!H:W,15,FALSE)),1/(P249-1))-1,"")</f>
        <v/>
      </c>
      <c r="K249" s="172" t="str" cm="1">
        <f t="array" ref="K249">IFERROR(IF(C249="","",_xlfn.IFS(AND(VLOOKUP(C249,Code!H:W,13,FALSE)=0,VLOOKUP(C249,Code!H:W,16,FALSE)=0),"無股息",AND(VLOOKUP(C249,Code!H:W,13,FALSE)=0,VLOOKUP(C249,Code!H:W,16,FALSE)&gt;0),"股息沒了",AND(VLOOKUP(C249,Code!H:W,13,FALSE)&gt;0,VLOOKUP(C249,Code!H:W,16,FALSE)=0),"發股息了",AND(VLOOKUP(C249,Code!H:W,13,FALSE)&gt;0,VLOOKUP(C249,Code!H:W,16,FALSE)&gt;0),POWER((VLOOKUP(C249,Code!H:W,13,FALSE))/(VLOOKUP(C249,Code!H:W,16,FALSE)),1/(P249-1))-1)),"")</f>
        <v>無股息</v>
      </c>
      <c r="L249" s="173" t="str">
        <f>IFERROR(VLOOKUP(C249,Code!H:W,13,FALSE)*4/VLOOKUP(C249,Code!H:W,12,FALSE),"")</f>
        <v/>
      </c>
      <c r="M249" s="172" t="str">
        <f t="shared" si="25"/>
        <v/>
      </c>
      <c r="N249" s="172" t="str">
        <f t="shared" si="26"/>
        <v/>
      </c>
      <c r="O249" s="172" t="str">
        <f t="shared" si="27"/>
        <v/>
      </c>
      <c r="P249" s="205">
        <f>IFERROR(YEARFRAC(VLOOKUP(C249,Code!H:W,11,FALSE),VLOOKUP(C249,Code!H:W,14,FALSE),3),"")</f>
        <v>0</v>
      </c>
      <c r="Q249" s="174">
        <v>44547</v>
      </c>
      <c r="R249" s="175" t="str">
        <f t="shared" ca="1" si="28"/>
        <v/>
      </c>
      <c r="S249" s="176">
        <f>IFERROR(VLOOKUP($C249,Code!$H:$Q,5,FALSE),"")</f>
        <v>0.21959999999999999</v>
      </c>
      <c r="T249" s="177" t="str">
        <f t="shared" ca="1" si="29"/>
        <v/>
      </c>
      <c r="U249" s="178" t="str">
        <f t="shared" ca="1" si="30"/>
        <v/>
      </c>
      <c r="V249" s="179">
        <f>IFERROR(VLOOKUP($C249,Code!$H:$Q,6,FALSE),"")</f>
        <v>1527.56</v>
      </c>
      <c r="W249" s="180" t="str">
        <f t="shared" ca="1" si="31"/>
        <v/>
      </c>
      <c r="X249" s="12"/>
      <c r="Y249" s="12"/>
      <c r="Z249" s="12"/>
      <c r="AA249" s="12"/>
      <c r="AB249" s="12"/>
    </row>
    <row r="250" spans="1:28" s="10" customFormat="1" ht="15" hidden="1">
      <c r="A250" s="9"/>
      <c r="B250" s="169" cm="1">
        <f t="array" ref="B250">_xlfn.IFS(OR(Code!R81&lt;&gt;Code!U81,Code!R81=""),0,Code!R81=Code!U81,1)</f>
        <v>0</v>
      </c>
      <c r="C250" s="193" t="str">
        <f>IF(Code!F81="","",Code!F81)</f>
        <v>CAT</v>
      </c>
      <c r="D250" s="155" t="str">
        <f>IFERROR(VLOOKUP($C250,Code!$H:$K,2,FALSE),"")</f>
        <v>XLI</v>
      </c>
      <c r="E250" s="156" t="str">
        <f>IFERROR(VLOOKUP($C250,Code!$H:$K,3,FALSE),"")</f>
        <v>農重工程機械</v>
      </c>
      <c r="F250" s="157" t="str">
        <f>IFERROR(VLOOKUP($C250,Code!$H:$K,4,FALSE),"")</f>
        <v>.SPX</v>
      </c>
      <c r="G250" s="170">
        <f>IFERROR(((VLOOKUP($C250,Code!$H:$Q,9,FALSE))+(VLOOKUP($C250,Code!$H:$Q,10,FALSE)))/2*0.5/(((VLOOKUP($C250,Code!$H:$Q,7,FALSE))+(VLOOKUP($C250,Code!$H:$Q,8,FALSE)))/2),0)</f>
        <v>0.5228976531942634</v>
      </c>
      <c r="H250" s="171" t="str">
        <f t="shared" si="24"/>
        <v>M</v>
      </c>
      <c r="I250" s="170">
        <f>IFERROR((VLOOKUP($C250,Code!$H:$Q,5,FALSE))/(((VLOOKUP($C250,Code!$H:$Q,7,FALSE))+(VLOOKUP($C250,Code!$H:$Q,8,FALSE)))/2)-1,0)</f>
        <v>-0.16753585397653192</v>
      </c>
      <c r="J250" s="204">
        <f>IFERROR(POWER((VLOOKUP(C250,Code!H:W,12,FALSE))/(VLOOKUP(C250,Code!H:W,15,FALSE)),1/(P250-1))-1,"")</f>
        <v>0.29765024990840927</v>
      </c>
      <c r="K250" s="172" cm="1">
        <f t="array" ref="K250">IFERROR(IF(C250="","",_xlfn.IFS(AND(VLOOKUP(C250,Code!H:W,13,FALSE)=0,VLOOKUP(C250,Code!H:W,16,FALSE)=0),"無股息",AND(VLOOKUP(C250,Code!H:W,13,FALSE)=0,VLOOKUP(C250,Code!H:W,16,FALSE)&gt;0),"股息沒了",AND(VLOOKUP(C250,Code!H:W,13,FALSE)&gt;0,VLOOKUP(C250,Code!H:W,16,FALSE)=0),"發股息了",AND(VLOOKUP(C250,Code!H:W,13,FALSE)&gt;0,VLOOKUP(C250,Code!H:W,16,FALSE)&gt;0),POWER((VLOOKUP(C250,Code!H:W,13,FALSE))/(VLOOKUP(C250,Code!H:W,16,FALSE)),1/(P250-1))-1)),"")</f>
        <v>0.10249972222712755</v>
      </c>
      <c r="L250" s="173">
        <f>IFERROR(VLOOKUP(C250,Code!H:W,13,FALSE)*4/VLOOKUP(C250,Code!H:W,12,FALSE),"")</f>
        <v>2.186330490430918E-2</v>
      </c>
      <c r="M250" s="172">
        <f t="shared" si="25"/>
        <v>0.40014997213553682</v>
      </c>
      <c r="N250" s="172" t="str">
        <f t="shared" si="26"/>
        <v>-</v>
      </c>
      <c r="O250" s="172" t="str">
        <f t="shared" si="27"/>
        <v>-</v>
      </c>
      <c r="P250" s="205">
        <f>IFERROR(YEARFRAC(VLOOKUP(C250,Code!H:W,11,FALSE),VLOOKUP(C250,Code!H:W,14,FALSE),3),"")</f>
        <v>4.7479452054794518</v>
      </c>
      <c r="Q250" s="174">
        <v>44547</v>
      </c>
      <c r="R250" s="175" t="str">
        <f t="shared" ca="1" si="28"/>
        <v/>
      </c>
      <c r="S250" s="176">
        <f>IFERROR(VLOOKUP($C250,Code!$H:$Q,5,FALSE),"")</f>
        <v>0.25540000000000002</v>
      </c>
      <c r="T250" s="177" t="str">
        <f t="shared" ca="1" si="29"/>
        <v/>
      </c>
      <c r="U250" s="178" t="str">
        <f t="shared" ca="1" si="30"/>
        <v/>
      </c>
      <c r="V250" s="179">
        <f>IFERROR(VLOOKUP($C250,Code!$H:$Q,6,FALSE),"")</f>
        <v>207.19</v>
      </c>
      <c r="W250" s="180" t="str">
        <f t="shared" ca="1" si="31"/>
        <v/>
      </c>
      <c r="X250" s="12"/>
      <c r="Y250" s="12"/>
      <c r="Z250" s="12"/>
      <c r="AA250" s="12"/>
      <c r="AB250" s="12"/>
    </row>
    <row r="251" spans="1:28" s="10" customFormat="1" ht="15" hidden="1">
      <c r="A251" s="9"/>
      <c r="B251" s="169" cm="1">
        <f t="array" ref="B251">_xlfn.IFS(OR(Code!R185&lt;&gt;Code!U185,Code!R185=""),0,Code!R185=Code!U185,1)</f>
        <v>1</v>
      </c>
      <c r="C251" s="193" t="str">
        <f>IF(Code!F185="","",Code!F185)</f>
        <v>FFIV</v>
      </c>
      <c r="D251" s="155" t="str">
        <f>IFERROR(VLOOKUP($C251,Code!$H:$K,2,FALSE),"")</f>
        <v>XLK</v>
      </c>
      <c r="E251" s="156" t="str">
        <f>IFERROR(VLOOKUP($C251,Code!$H:$K,3,FALSE),"")</f>
        <v>軟件基礎設施</v>
      </c>
      <c r="F251" s="157" t="str">
        <f>IFERROR(VLOOKUP($C251,Code!$H:$K,4,FALSE),"")</f>
        <v>.SPX</v>
      </c>
      <c r="G251" s="170">
        <f>IFERROR(((VLOOKUP($C251,Code!$H:$Q,9,FALSE))+(VLOOKUP($C251,Code!$H:$Q,10,FALSE)))/2*0.5/(((VLOOKUP($C251,Code!$H:$Q,7,FALSE))+(VLOOKUP($C251,Code!$H:$Q,8,FALSE)))/2),0)</f>
        <v>0.6670490645958348</v>
      </c>
      <c r="H251" s="171" t="str">
        <f t="shared" si="24"/>
        <v>L</v>
      </c>
      <c r="I251" s="170">
        <f>IFERROR((VLOOKUP($C251,Code!$H:$Q,5,FALSE))/(((VLOOKUP($C251,Code!$H:$Q,7,FALSE))+(VLOOKUP($C251,Code!$H:$Q,8,FALSE)))/2)-1,0)</f>
        <v>-0.16872573243911049</v>
      </c>
      <c r="J251" s="204" t="str">
        <f>IFERROR(POWER((VLOOKUP(C251,Code!H:W,12,FALSE))/(VLOOKUP(C251,Code!H:W,15,FALSE)),1/(P251-1))-1,"")</f>
        <v/>
      </c>
      <c r="K251" s="172" t="str" cm="1">
        <f t="array" ref="K251">IFERROR(IF(C251="","",_xlfn.IFS(AND(VLOOKUP(C251,Code!H:W,13,FALSE)=0,VLOOKUP(C251,Code!H:W,16,FALSE)=0),"無股息",AND(VLOOKUP(C251,Code!H:W,13,FALSE)=0,VLOOKUP(C251,Code!H:W,16,FALSE)&gt;0),"股息沒了",AND(VLOOKUP(C251,Code!H:W,13,FALSE)&gt;0,VLOOKUP(C251,Code!H:W,16,FALSE)=0),"發股息了",AND(VLOOKUP(C251,Code!H:W,13,FALSE)&gt;0,VLOOKUP(C251,Code!H:W,16,FALSE)&gt;0),POWER((VLOOKUP(C251,Code!H:W,13,FALSE))/(VLOOKUP(C251,Code!H:W,16,FALSE)),1/(P251-1))-1)),"")</f>
        <v>無股息</v>
      </c>
      <c r="L251" s="173" t="str">
        <f>IFERROR(VLOOKUP(C251,Code!H:W,13,FALSE)*4/VLOOKUP(C251,Code!H:W,12,FALSE),"")</f>
        <v/>
      </c>
      <c r="M251" s="172" t="str">
        <f t="shared" si="25"/>
        <v/>
      </c>
      <c r="N251" s="172" t="str">
        <f t="shared" si="26"/>
        <v/>
      </c>
      <c r="O251" s="172" t="str">
        <f t="shared" si="27"/>
        <v/>
      </c>
      <c r="P251" s="205">
        <f>IFERROR(YEARFRAC(VLOOKUP(C251,Code!H:W,11,FALSE),VLOOKUP(C251,Code!H:W,14,FALSE),3),"")</f>
        <v>0</v>
      </c>
      <c r="Q251" s="174">
        <v>44547</v>
      </c>
      <c r="R251" s="175" t="str">
        <f t="shared" ca="1" si="28"/>
        <v/>
      </c>
      <c r="S251" s="176">
        <f>IFERROR(VLOOKUP($C251,Code!$H:$Q,5,FALSE),"")</f>
        <v>0.23549999999999999</v>
      </c>
      <c r="T251" s="177" t="str">
        <f t="shared" ca="1" si="29"/>
        <v/>
      </c>
      <c r="U251" s="178" t="str">
        <f t="shared" ca="1" si="30"/>
        <v/>
      </c>
      <c r="V251" s="179">
        <f>IFERROR(VLOOKUP($C251,Code!$H:$Q,6,FALSE),"")</f>
        <v>211.38</v>
      </c>
      <c r="W251" s="180" t="str">
        <f t="shared" ca="1" si="31"/>
        <v/>
      </c>
      <c r="X251" s="12"/>
      <c r="Y251" s="12"/>
      <c r="Z251" s="12"/>
      <c r="AA251" s="12"/>
      <c r="AB251" s="12"/>
    </row>
    <row r="252" spans="1:28" s="10" customFormat="1" ht="15" hidden="1">
      <c r="A252" s="9"/>
      <c r="B252" s="169" cm="1">
        <f t="array" ref="B252">_xlfn.IFS(OR(Code!R270&lt;&gt;Code!U270,Code!R270=""),0,Code!R270=Code!U270,1)</f>
        <v>0</v>
      </c>
      <c r="C252" s="193" t="str">
        <f>IF(Code!F270="","",Code!F270)</f>
        <v>KR</v>
      </c>
      <c r="D252" s="155" t="str">
        <f>IFERROR(VLOOKUP($C252,Code!$H:$K,2,FALSE),"")</f>
        <v>XLP</v>
      </c>
      <c r="E252" s="156" t="str">
        <f>IFERROR(VLOOKUP($C252,Code!$H:$K,3,FALSE),"")</f>
        <v>雜貨店</v>
      </c>
      <c r="F252" s="157" t="str">
        <f>IFERROR(VLOOKUP($C252,Code!$H:$K,4,FALSE),"")</f>
        <v>.SPX</v>
      </c>
      <c r="G252" s="170">
        <f>IFERROR(((VLOOKUP($C252,Code!$H:$Q,9,FALSE))+(VLOOKUP($C252,Code!$H:$Q,10,FALSE)))/2*0.5/(((VLOOKUP($C252,Code!$H:$Q,7,FALSE))+(VLOOKUP($C252,Code!$H:$Q,8,FALSE)))/2),0)</f>
        <v>0.56985661887295769</v>
      </c>
      <c r="H252" s="171" t="str">
        <f t="shared" si="24"/>
        <v>M</v>
      </c>
      <c r="I252" s="170">
        <f>IFERROR((VLOOKUP($C252,Code!$H:$Q,5,FALSE))/(((VLOOKUP($C252,Code!$H:$Q,7,FALSE))+(VLOOKUP($C252,Code!$H:$Q,8,FALSE)))/2)-1,0)</f>
        <v>-0.16905635211737247</v>
      </c>
      <c r="J252" s="204">
        <f>IFERROR(POWER((VLOOKUP(C252,Code!H:W,12,FALSE))/(VLOOKUP(C252,Code!H:W,15,FALSE)),1/(P252-1))-1,"")</f>
        <v>6.2134124206403296E-2</v>
      </c>
      <c r="K252" s="172" cm="1">
        <f t="array" ref="K252">IFERROR(IF(C252="","",_xlfn.IFS(AND(VLOOKUP(C252,Code!H:W,13,FALSE)=0,VLOOKUP(C252,Code!H:W,16,FALSE)=0),"無股息",AND(VLOOKUP(C252,Code!H:W,13,FALSE)=0,VLOOKUP(C252,Code!H:W,16,FALSE)&gt;0),"股息沒了",AND(VLOOKUP(C252,Code!H:W,13,FALSE)&gt;0,VLOOKUP(C252,Code!H:W,16,FALSE)=0),"發股息了",AND(VLOOKUP(C252,Code!H:W,13,FALSE)&gt;0,VLOOKUP(C252,Code!H:W,16,FALSE)&gt;0),POWER((VLOOKUP(C252,Code!H:W,13,FALSE))/(VLOOKUP(C252,Code!H:W,16,FALSE)),1/(P252-1))-1)),"")</f>
        <v>0.11398823721015661</v>
      </c>
      <c r="L252" s="173">
        <f>IFERROR(VLOOKUP(C252,Code!H:W,13,FALSE)*4/VLOOKUP(C252,Code!H:W,12,FALSE),"")</f>
        <v>1.9559901470756948E-2</v>
      </c>
      <c r="M252" s="172">
        <f t="shared" si="25"/>
        <v>0.1761223614165599</v>
      </c>
      <c r="N252" s="172" t="str">
        <f t="shared" si="26"/>
        <v>-</v>
      </c>
      <c r="O252" s="172" t="str">
        <f t="shared" si="27"/>
        <v>-</v>
      </c>
      <c r="P252" s="205">
        <f>IFERROR(YEARFRAC(VLOOKUP(C252,Code!H:W,11,FALSE),VLOOKUP(C252,Code!H:W,14,FALSE),3),"")</f>
        <v>4.7561643835616438</v>
      </c>
      <c r="Q252" s="174">
        <v>44547</v>
      </c>
      <c r="R252" s="175" t="str">
        <f t="shared" ca="1" si="28"/>
        <v/>
      </c>
      <c r="S252" s="176">
        <f>IFERROR(VLOOKUP($C252,Code!$H:$Q,5,FALSE),"")</f>
        <v>0.2492</v>
      </c>
      <c r="T252" s="177" t="str">
        <f t="shared" ca="1" si="29"/>
        <v/>
      </c>
      <c r="U252" s="178" t="str">
        <f t="shared" ca="1" si="30"/>
        <v/>
      </c>
      <c r="V252" s="179">
        <f>IFERROR(VLOOKUP($C252,Code!$H:$Q,6,FALSE),"")</f>
        <v>41.93</v>
      </c>
      <c r="W252" s="180" t="str">
        <f t="shared" ca="1" si="31"/>
        <v/>
      </c>
      <c r="X252" s="12"/>
      <c r="Y252" s="12"/>
      <c r="Z252" s="12"/>
      <c r="AA252" s="12"/>
      <c r="AB252" s="12"/>
    </row>
    <row r="253" spans="1:28" s="10" customFormat="1" ht="15" hidden="1">
      <c r="A253" s="9"/>
      <c r="B253" s="169" cm="1">
        <f t="array" ref="B253">_xlfn.IFS(OR(Code!R319&lt;&gt;Code!U319,Code!R319=""),0,Code!R319=Code!U319,1)</f>
        <v>0</v>
      </c>
      <c r="C253" s="193" t="str">
        <f>IF(Code!F319="","",Code!F319)</f>
        <v>MS</v>
      </c>
      <c r="D253" s="155" t="str">
        <f>IFERROR(VLOOKUP($C253,Code!$H:$K,2,FALSE),"")</f>
        <v>XLF</v>
      </c>
      <c r="E253" s="156" t="str">
        <f>IFERROR(VLOOKUP($C253,Code!$H:$K,3,FALSE),"")</f>
        <v>資本市場</v>
      </c>
      <c r="F253" s="157" t="str">
        <f>IFERROR(VLOOKUP($C253,Code!$H:$K,4,FALSE),"")</f>
        <v>.SPX</v>
      </c>
      <c r="G253" s="170">
        <f>IFERROR(((VLOOKUP($C253,Code!$H:$Q,9,FALSE))+(VLOOKUP($C253,Code!$H:$Q,10,FALSE)))/2*0.5/(((VLOOKUP($C253,Code!$H:$Q,7,FALSE))+(VLOOKUP($C253,Code!$H:$Q,8,FALSE)))/2),0)</f>
        <v>0.57300703879522008</v>
      </c>
      <c r="H253" s="171" t="str">
        <f t="shared" si="24"/>
        <v>M</v>
      </c>
      <c r="I253" s="170">
        <f>IFERROR((VLOOKUP($C253,Code!$H:$Q,5,FALSE))/(((VLOOKUP($C253,Code!$H:$Q,7,FALSE))+(VLOOKUP($C253,Code!$H:$Q,8,FALSE)))/2)-1,0)</f>
        <v>-0.16909477819610397</v>
      </c>
      <c r="J253" s="204">
        <f>IFERROR(POWER((VLOOKUP(C253,Code!H:W,12,FALSE))/(VLOOKUP(C253,Code!H:W,15,FALSE)),1/(P253-1))-1,"")</f>
        <v>0.36267457017932059</v>
      </c>
      <c r="K253" s="172" cm="1">
        <f t="array" ref="K253">IFERROR(IF(C253="","",_xlfn.IFS(AND(VLOOKUP(C253,Code!H:W,13,FALSE)=0,VLOOKUP(C253,Code!H:W,16,FALSE)=0),"無股息",AND(VLOOKUP(C253,Code!H:W,13,FALSE)=0,VLOOKUP(C253,Code!H:W,16,FALSE)&gt;0),"股息沒了",AND(VLOOKUP(C253,Code!H:W,13,FALSE)&gt;0,VLOOKUP(C253,Code!H:W,16,FALSE)=0),"發股息了",AND(VLOOKUP(C253,Code!H:W,13,FALSE)&gt;0,VLOOKUP(C253,Code!H:W,16,FALSE)&gt;0),POWER((VLOOKUP(C253,Code!H:W,13,FALSE))/(VLOOKUP(C253,Code!H:W,16,FALSE)),1/(P253-1))-1)),"")</f>
        <v>0.39587557373242954</v>
      </c>
      <c r="L253" s="173">
        <f>IFERROR(VLOOKUP(C253,Code!H:W,13,FALSE)*4/VLOOKUP(C253,Code!H:W,12,FALSE),"")</f>
        <v>2.9081844988578114E-2</v>
      </c>
      <c r="M253" s="172">
        <f t="shared" si="25"/>
        <v>0.75855014391175013</v>
      </c>
      <c r="N253" s="172" t="str">
        <f t="shared" si="26"/>
        <v>-</v>
      </c>
      <c r="O253" s="172" t="str">
        <f t="shared" si="27"/>
        <v>Value</v>
      </c>
      <c r="P253" s="205">
        <f>IFERROR(YEARFRAC(VLOOKUP(C253,Code!H:W,11,FALSE),VLOOKUP(C253,Code!H:W,14,FALSE),3),"")</f>
        <v>4.7561643835616438</v>
      </c>
      <c r="Q253" s="174">
        <v>44547</v>
      </c>
      <c r="R253" s="175" t="str">
        <f t="shared" ca="1" si="28"/>
        <v/>
      </c>
      <c r="S253" s="176">
        <f>IFERROR(VLOOKUP($C253,Code!$H:$Q,5,FALSE),"")</f>
        <v>0.25380000000000003</v>
      </c>
      <c r="T253" s="177" t="str">
        <f t="shared" ca="1" si="29"/>
        <v/>
      </c>
      <c r="U253" s="178" t="str">
        <f t="shared" ca="1" si="30"/>
        <v/>
      </c>
      <c r="V253" s="179">
        <f>IFERROR(VLOOKUP($C253,Code!$H:$Q,6,FALSE),"")</f>
        <v>97.83</v>
      </c>
      <c r="W253" s="180" t="str">
        <f t="shared" ca="1" si="31"/>
        <v/>
      </c>
      <c r="X253" s="12"/>
      <c r="Y253" s="12"/>
      <c r="Z253" s="12"/>
      <c r="AA253" s="12"/>
      <c r="AB253" s="12"/>
    </row>
    <row r="254" spans="1:28" s="10" customFormat="1" ht="15" hidden="1">
      <c r="A254" s="9"/>
      <c r="B254" s="169" cm="1">
        <f t="array" ref="B254">_xlfn.IFS(OR(Code!R320&lt;&gt;Code!U320,Code!R320=""),0,Code!R320=Code!U320,1)</f>
        <v>0</v>
      </c>
      <c r="C254" s="193" t="str">
        <f>IF(Code!F320="","",Code!F320)</f>
        <v>MSCI</v>
      </c>
      <c r="D254" s="155" t="str">
        <f>IFERROR(VLOOKUP($C254,Code!$H:$K,2,FALSE),"")</f>
        <v>XLF</v>
      </c>
      <c r="E254" s="156" t="str">
        <f>IFERROR(VLOOKUP($C254,Code!$H:$K,3,FALSE),"")</f>
        <v>金融數據與證券交易所</v>
      </c>
      <c r="F254" s="157" t="str">
        <f>IFERROR(VLOOKUP($C254,Code!$H:$K,4,FALSE),"")</f>
        <v>.SPX</v>
      </c>
      <c r="G254" s="170">
        <f>IFERROR(((VLOOKUP($C254,Code!$H:$Q,9,FALSE))+(VLOOKUP($C254,Code!$H:$Q,10,FALSE)))/2*0.5/(((VLOOKUP($C254,Code!$H:$Q,7,FALSE))+(VLOOKUP($C254,Code!$H:$Q,8,FALSE)))/2),0)</f>
        <v>0.54930498773507763</v>
      </c>
      <c r="H254" s="171" t="str">
        <f t="shared" si="24"/>
        <v>M</v>
      </c>
      <c r="I254" s="170">
        <f>IFERROR((VLOOKUP($C254,Code!$H:$Q,5,FALSE))/(((VLOOKUP($C254,Code!$H:$Q,7,FALSE))+(VLOOKUP($C254,Code!$H:$Q,8,FALSE)))/2)-1,0)</f>
        <v>-0.16991005723630415</v>
      </c>
      <c r="J254" s="204">
        <f>IFERROR(POWER((VLOOKUP(C254,Code!H:W,12,FALSE))/(VLOOKUP(C254,Code!H:W,15,FALSE)),1/(P254-1))-1,"")</f>
        <v>0.58471623509685267</v>
      </c>
      <c r="K254" s="172" cm="1">
        <f t="array" ref="K254">IFERROR(IF(C254="","",_xlfn.IFS(AND(VLOOKUP(C254,Code!H:W,13,FALSE)=0,VLOOKUP(C254,Code!H:W,16,FALSE)=0),"無股息",AND(VLOOKUP(C254,Code!H:W,13,FALSE)=0,VLOOKUP(C254,Code!H:W,16,FALSE)&gt;0),"股息沒了",AND(VLOOKUP(C254,Code!H:W,13,FALSE)&gt;0,VLOOKUP(C254,Code!H:W,16,FALSE)=0),"發股息了",AND(VLOOKUP(C254,Code!H:W,13,FALSE)&gt;0,VLOOKUP(C254,Code!H:W,16,FALSE)&gt;0),POWER((VLOOKUP(C254,Code!H:W,13,FALSE))/(VLOOKUP(C254,Code!H:W,16,FALSE)),1/(P254-1))-1)),"")</f>
        <v>0.3135754761093752</v>
      </c>
      <c r="L254" s="173">
        <f>IFERROR(VLOOKUP(C254,Code!H:W,13,FALSE)*4/VLOOKUP(C254,Code!H:W,12,FALSE),"")</f>
        <v>6.7665749089764289E-3</v>
      </c>
      <c r="M254" s="172">
        <f t="shared" si="25"/>
        <v>0.89829171120622786</v>
      </c>
      <c r="N254" s="172" t="str">
        <f t="shared" si="26"/>
        <v>-</v>
      </c>
      <c r="O254" s="172" t="str">
        <f t="shared" si="27"/>
        <v>Value</v>
      </c>
      <c r="P254" s="205">
        <f>IFERROR(YEARFRAC(VLOOKUP(C254,Code!H:W,11,FALSE),VLOOKUP(C254,Code!H:W,14,FALSE),3),"")</f>
        <v>4.7561643835616438</v>
      </c>
      <c r="Q254" s="174">
        <v>44547</v>
      </c>
      <c r="R254" s="175" t="str">
        <f t="shared" ca="1" si="28"/>
        <v/>
      </c>
      <c r="S254" s="176">
        <f>IFERROR(VLOOKUP($C254,Code!$H:$Q,5,FALSE),"")</f>
        <v>0.25380000000000003</v>
      </c>
      <c r="T254" s="177" t="str">
        <f t="shared" ca="1" si="29"/>
        <v/>
      </c>
      <c r="U254" s="178" t="str">
        <f t="shared" ca="1" si="30"/>
        <v/>
      </c>
      <c r="V254" s="179">
        <f>IFERROR(VLOOKUP($C254,Code!$H:$Q,6,FALSE),"")</f>
        <v>627.38</v>
      </c>
      <c r="W254" s="180" t="str">
        <f t="shared" ca="1" si="31"/>
        <v/>
      </c>
      <c r="X254" s="12"/>
      <c r="Y254" s="12"/>
      <c r="Z254" s="12"/>
      <c r="AA254" s="12"/>
      <c r="AB254" s="12"/>
    </row>
    <row r="255" spans="1:28" s="10" customFormat="1" ht="15" hidden="1">
      <c r="A255" s="9"/>
      <c r="B255" s="169" cm="1">
        <f t="array" ref="B255">_xlfn.IFS(OR(Code!R202&lt;&gt;Code!U202,Code!R202=""),0,Code!R202=Code!U202,1)</f>
        <v>0</v>
      </c>
      <c r="C255" s="193" t="str">
        <f>IF(Code!F202="","",Code!F202)</f>
        <v>GLW</v>
      </c>
      <c r="D255" s="155" t="str">
        <f>IFERROR(VLOOKUP($C255,Code!$H:$K,2,FALSE),"")</f>
        <v>XLK</v>
      </c>
      <c r="E255" s="156" t="str">
        <f>IFERROR(VLOOKUP($C255,Code!$H:$K,3,FALSE),"")</f>
        <v>電子元件</v>
      </c>
      <c r="F255" s="157" t="str">
        <f>IFERROR(VLOOKUP($C255,Code!$H:$K,4,FALSE),"")</f>
        <v>.SPX</v>
      </c>
      <c r="G255" s="170">
        <f>IFERROR(((VLOOKUP($C255,Code!$H:$Q,9,FALSE))+(VLOOKUP($C255,Code!$H:$Q,10,FALSE)))/2*0.5/(((VLOOKUP($C255,Code!$H:$Q,7,FALSE))+(VLOOKUP($C255,Code!$H:$Q,8,FALSE)))/2),0)</f>
        <v>0.56811468288444833</v>
      </c>
      <c r="H255" s="171" t="str">
        <f t="shared" si="24"/>
        <v>M</v>
      </c>
      <c r="I255" s="170">
        <f>IFERROR((VLOOKUP($C255,Code!$H:$Q,5,FALSE))/(((VLOOKUP($C255,Code!$H:$Q,7,FALSE))+(VLOOKUP($C255,Code!$H:$Q,8,FALSE)))/2)-1,0)</f>
        <v>-0.17011294526498699</v>
      </c>
      <c r="J255" s="204">
        <f>IFERROR(POWER((VLOOKUP(C255,Code!H:W,12,FALSE))/(VLOOKUP(C255,Code!H:W,15,FALSE)),1/(P255-1))-1,"")</f>
        <v>0.22731766990104418</v>
      </c>
      <c r="K255" s="172" cm="1">
        <f t="array" ref="K255">IFERROR(IF(C255="","",_xlfn.IFS(AND(VLOOKUP(C255,Code!H:W,13,FALSE)=0,VLOOKUP(C255,Code!H:W,16,FALSE)=0),"無股息",AND(VLOOKUP(C255,Code!H:W,13,FALSE)=0,VLOOKUP(C255,Code!H:W,16,FALSE)&gt;0),"股息沒了",AND(VLOOKUP(C255,Code!H:W,13,FALSE)&gt;0,VLOOKUP(C255,Code!H:W,16,FALSE)=0),"發股息了",AND(VLOOKUP(C255,Code!H:W,13,FALSE)&gt;0,VLOOKUP(C255,Code!H:W,16,FALSE)&gt;0),POWER((VLOOKUP(C255,Code!H:W,13,FALSE))/(VLOOKUP(C255,Code!H:W,16,FALSE)),1/(P255-1))-1)),"")</f>
        <v>0.16605569953125143</v>
      </c>
      <c r="L255" s="173">
        <f>IFERROR(VLOOKUP(C255,Code!H:W,13,FALSE)*4/VLOOKUP(C255,Code!H:W,12,FALSE),"")</f>
        <v>2.2160664976059525E-2</v>
      </c>
      <c r="M255" s="172">
        <f t="shared" si="25"/>
        <v>0.39337336943229562</v>
      </c>
      <c r="N255" s="172" t="str">
        <f t="shared" si="26"/>
        <v>-</v>
      </c>
      <c r="O255" s="172" t="str">
        <f t="shared" si="27"/>
        <v>Value</v>
      </c>
      <c r="P255" s="205">
        <f>IFERROR(YEARFRAC(VLOOKUP(C255,Code!H:W,11,FALSE),VLOOKUP(C255,Code!H:W,14,FALSE),3),"")</f>
        <v>4.7452054794520544</v>
      </c>
      <c r="Q255" s="174">
        <v>44547</v>
      </c>
      <c r="R255" s="175" t="str">
        <f t="shared" ca="1" si="28"/>
        <v/>
      </c>
      <c r="S255" s="176">
        <f>IFERROR(VLOOKUP($C255,Code!$H:$Q,5,FALSE),"")</f>
        <v>0.23880000000000001</v>
      </c>
      <c r="T255" s="177" t="str">
        <f t="shared" ca="1" si="29"/>
        <v/>
      </c>
      <c r="U255" s="178" t="str">
        <f t="shared" ca="1" si="30"/>
        <v/>
      </c>
      <c r="V255" s="179">
        <f>IFERROR(VLOOKUP($C255,Code!$H:$Q,6,FALSE),"")</f>
        <v>40.89</v>
      </c>
      <c r="W255" s="180" t="str">
        <f t="shared" ca="1" si="31"/>
        <v/>
      </c>
      <c r="X255" s="12"/>
      <c r="Y255" s="12"/>
      <c r="Z255" s="12"/>
      <c r="AA255" s="12"/>
      <c r="AB255" s="12"/>
    </row>
    <row r="256" spans="1:28" s="10" customFormat="1" ht="15" hidden="1">
      <c r="A256" s="9"/>
      <c r="B256" s="169" cm="1">
        <f t="array" ref="B256">_xlfn.IFS(OR(Code!R295&lt;&gt;Code!U295,Code!R295=""),0,Code!R295=Code!U295,1)</f>
        <v>0</v>
      </c>
      <c r="C256" s="193" t="str">
        <f>IF(Code!F295="","",Code!F295)</f>
        <v>MAR</v>
      </c>
      <c r="D256" s="155" t="str">
        <f>IFERROR(VLOOKUP($C256,Code!$H:$K,2,FALSE),"")</f>
        <v>XLY</v>
      </c>
      <c r="E256" s="156" t="str">
        <f>IFERROR(VLOOKUP($C256,Code!$H:$K,3,FALSE),"")</f>
        <v>住宿</v>
      </c>
      <c r="F256" s="157" t="str">
        <f>IFERROR(VLOOKUP($C256,Code!$H:$K,4,FALSE),"")</f>
        <v>.SPX</v>
      </c>
      <c r="G256" s="170">
        <f>IFERROR(((VLOOKUP($C256,Code!$H:$Q,9,FALSE))+(VLOOKUP($C256,Code!$H:$Q,10,FALSE)))/2*0.5/(((VLOOKUP($C256,Code!$H:$Q,7,FALSE))+(VLOOKUP($C256,Code!$H:$Q,8,FALSE)))/2),0)</f>
        <v>0.5301288529560384</v>
      </c>
      <c r="H256" s="171" t="str">
        <f t="shared" si="24"/>
        <v>M</v>
      </c>
      <c r="I256" s="170">
        <f>IFERROR((VLOOKUP($C256,Code!$H:$Q,5,FALSE))/(((VLOOKUP($C256,Code!$H:$Q,7,FALSE))+(VLOOKUP($C256,Code!$H:$Q,8,FALSE)))/2)-1,0)</f>
        <v>-0.17028802425467415</v>
      </c>
      <c r="J256" s="204">
        <f>IFERROR(POWER((VLOOKUP(C256,Code!H:W,12,FALSE))/(VLOOKUP(C256,Code!H:W,15,FALSE)),1/(P256-1))-1,"")</f>
        <v>0.26925941706295387</v>
      </c>
      <c r="K256" s="172" cm="1">
        <f t="array" ref="K256">IFERROR(IF(C256="","",_xlfn.IFS(AND(VLOOKUP(C256,Code!H:W,13,FALSE)=0,VLOOKUP(C256,Code!H:W,16,FALSE)=0),"無股息",AND(VLOOKUP(C256,Code!H:W,13,FALSE)=0,VLOOKUP(C256,Code!H:W,16,FALSE)&gt;0),"股息沒了",AND(VLOOKUP(C256,Code!H:W,13,FALSE)&gt;0,VLOOKUP(C256,Code!H:W,16,FALSE)=0),"發股息了",AND(VLOOKUP(C256,Code!H:W,13,FALSE)&gt;0,VLOOKUP(C256,Code!H:W,16,FALSE)&gt;0),POWER((VLOOKUP(C256,Code!H:W,13,FALSE))/(VLOOKUP(C256,Code!H:W,16,FALSE)),1/(P256-1))-1)),"")</f>
        <v>0.21284776459832022</v>
      </c>
      <c r="L256" s="173">
        <f>IFERROR(VLOOKUP(C256,Code!H:W,13,FALSE)*4/VLOOKUP(C256,Code!H:W,12,FALSE),"")</f>
        <v>1.6048144515170653E-2</v>
      </c>
      <c r="M256" s="172">
        <f t="shared" si="25"/>
        <v>0.48210718166127409</v>
      </c>
      <c r="N256" s="172" t="str">
        <f t="shared" si="26"/>
        <v>-</v>
      </c>
      <c r="O256" s="172" t="str">
        <f t="shared" si="27"/>
        <v>Value</v>
      </c>
      <c r="P256" s="205">
        <f>IFERROR(YEARFRAC(VLOOKUP(C256,Code!H:W,11,FALSE),VLOOKUP(C256,Code!H:W,14,FALSE),3),"")</f>
        <v>3.4356164383561643</v>
      </c>
      <c r="Q256" s="174">
        <v>44547</v>
      </c>
      <c r="R256" s="175" t="str">
        <f t="shared" ca="1" si="28"/>
        <v/>
      </c>
      <c r="S256" s="176">
        <f>IFERROR(VLOOKUP($C256,Code!$H:$Q,5,FALSE),"")</f>
        <v>0.32840000000000003</v>
      </c>
      <c r="T256" s="177" t="str">
        <f t="shared" ca="1" si="29"/>
        <v/>
      </c>
      <c r="U256" s="178" t="str">
        <f t="shared" ca="1" si="30"/>
        <v/>
      </c>
      <c r="V256" s="179">
        <f>IFERROR(VLOOKUP($C256,Code!$H:$Q,6,FALSE),"")</f>
        <v>141.72</v>
      </c>
      <c r="W256" s="180" t="str">
        <f t="shared" ca="1" si="31"/>
        <v/>
      </c>
      <c r="X256" s="12"/>
      <c r="Y256" s="12"/>
      <c r="Z256" s="12"/>
      <c r="AA256" s="12"/>
      <c r="AB256" s="12"/>
    </row>
    <row r="257" spans="1:28" s="10" customFormat="1" ht="15">
      <c r="A257" s="9"/>
      <c r="B257" s="169" cm="1">
        <f t="array" ref="B257">_xlfn.IFS(OR(Code!R203&lt;&gt;Code!U203,Code!R203=""),0,Code!R203=Code!U203,1)</f>
        <v>0</v>
      </c>
      <c r="C257" s="193" t="str">
        <f>IF(Code!F203="","",Code!F203)</f>
        <v>GM</v>
      </c>
      <c r="D257" s="155" t="str">
        <f>IFERROR(VLOOKUP($C257,Code!$H:$K,2,FALSE),"")</f>
        <v>XLY</v>
      </c>
      <c r="E257" s="156" t="str">
        <f>IFERROR(VLOOKUP($C257,Code!$H:$K,3,FALSE),"")</f>
        <v>汽車製造商</v>
      </c>
      <c r="F257" s="157" t="str">
        <f>IFERROR(VLOOKUP($C257,Code!$H:$K,4,FALSE),"")</f>
        <v>.SPX</v>
      </c>
      <c r="G257" s="170">
        <f>IFERROR(((VLOOKUP($C257,Code!$H:$Q,9,FALSE))+(VLOOKUP($C257,Code!$H:$Q,10,FALSE)))/2*0.5/(((VLOOKUP($C257,Code!$H:$Q,7,FALSE))+(VLOOKUP($C257,Code!$H:$Q,8,FALSE)))/2),0)</f>
        <v>0.6093608779857973</v>
      </c>
      <c r="H257" s="171" t="str">
        <f t="shared" si="24"/>
        <v>L</v>
      </c>
      <c r="I257" s="170">
        <f>IFERROR((VLOOKUP($C257,Code!$H:$Q,5,FALSE))/(((VLOOKUP($C257,Code!$H:$Q,7,FALSE))+(VLOOKUP($C257,Code!$H:$Q,8,FALSE)))/2)-1,0)</f>
        <v>-0.17030342156229827</v>
      </c>
      <c r="J257" s="204">
        <f>IFERROR(POWER((VLOOKUP(C257,Code!H:W,12,FALSE))/(VLOOKUP(C257,Code!H:W,15,FALSE)),1/(P257-1))-1,"")</f>
        <v>3.5472914186298166E-2</v>
      </c>
      <c r="K257" s="172" cm="1">
        <f t="array" ref="K257">IFERROR(IF(C257="","",_xlfn.IFS(AND(VLOOKUP(C257,Code!H:W,13,FALSE)=0,VLOOKUP(C257,Code!H:W,16,FALSE)=0),"無股息",AND(VLOOKUP(C257,Code!H:W,13,FALSE)=0,VLOOKUP(C257,Code!H:W,16,FALSE)&gt;0),"股息沒了",AND(VLOOKUP(C257,Code!H:W,13,FALSE)&gt;0,VLOOKUP(C257,Code!H:W,16,FALSE)=0),"發股息了",AND(VLOOKUP(C257,Code!H:W,13,FALSE)&gt;0,VLOOKUP(C257,Code!H:W,16,FALSE)&gt;0),POWER((VLOOKUP(C257,Code!H:W,13,FALSE))/(VLOOKUP(C257,Code!H:W,16,FALSE)),1/(P257-1))-1)),"")</f>
        <v>0</v>
      </c>
      <c r="L257" s="173">
        <f>IFERROR(VLOOKUP(C257,Code!H:W,13,FALSE)*4/VLOOKUP(C257,Code!H:W,12,FALSE),"")</f>
        <v>5.0498338230445645E-2</v>
      </c>
      <c r="M257" s="172">
        <f t="shared" si="25"/>
        <v>3.5472914186298166E-2</v>
      </c>
      <c r="N257" s="172" t="str">
        <f t="shared" si="26"/>
        <v>-</v>
      </c>
      <c r="O257" s="172" t="str">
        <f t="shared" si="27"/>
        <v>-</v>
      </c>
      <c r="P257" s="205">
        <f>IFERROR(YEARFRAC(VLOOKUP(C257,Code!H:W,11,FALSE),VLOOKUP(C257,Code!H:W,14,FALSE),3),"")</f>
        <v>3.493150684931507</v>
      </c>
      <c r="Q257" s="174">
        <v>44547</v>
      </c>
      <c r="R257" s="175" t="str">
        <f t="shared" ca="1" si="28"/>
        <v/>
      </c>
      <c r="S257" s="176">
        <f>IFERROR(VLOOKUP($C257,Code!$H:$Q,5,FALSE),"")</f>
        <v>0.32129999999999997</v>
      </c>
      <c r="T257" s="177" t="str">
        <f t="shared" ca="1" si="29"/>
        <v/>
      </c>
      <c r="U257" s="178" t="str">
        <f t="shared" ca="1" si="30"/>
        <v/>
      </c>
      <c r="V257" s="179">
        <f>IFERROR(VLOOKUP($C257,Code!$H:$Q,6,FALSE),"")</f>
        <v>55.29</v>
      </c>
      <c r="W257" s="180" t="str">
        <f t="shared" ca="1" si="31"/>
        <v/>
      </c>
      <c r="X257" s="12"/>
      <c r="Y257" s="12"/>
      <c r="Z257" s="12"/>
      <c r="AA257" s="12"/>
      <c r="AB257" s="12"/>
    </row>
    <row r="258" spans="1:28" s="10" customFormat="1" ht="15" hidden="1">
      <c r="A258" s="9"/>
      <c r="B258" s="169" cm="1">
        <f t="array" ref="B258">_xlfn.IFS(OR(Code!R506&lt;&gt;Code!U506,Code!R506=""),0,Code!R506=Code!U506,1)</f>
        <v>1</v>
      </c>
      <c r="C258" s="193" t="str">
        <f>IF(Code!F506="","",Code!F506)</f>
        <v>ZBRA</v>
      </c>
      <c r="D258" s="155" t="str">
        <f>IFERROR(VLOOKUP($C258,Code!$H:$K,2,FALSE),"")</f>
        <v>XLK</v>
      </c>
      <c r="E258" s="156" t="str">
        <f>IFERROR(VLOOKUP($C258,Code!$H:$K,3,FALSE),"")</f>
        <v>通信設備</v>
      </c>
      <c r="F258" s="157" t="str">
        <f>IFERROR(VLOOKUP($C258,Code!$H:$K,4,FALSE),"")</f>
        <v>.SPX</v>
      </c>
      <c r="G258" s="170">
        <f>IFERROR(((VLOOKUP($C258,Code!$H:$Q,9,FALSE))+(VLOOKUP($C258,Code!$H:$Q,10,FALSE)))/2*0.5/(((VLOOKUP($C258,Code!$H:$Q,7,FALSE))+(VLOOKUP($C258,Code!$H:$Q,8,FALSE)))/2),0)</f>
        <v>0.59306946431409946</v>
      </c>
      <c r="H258" s="171" t="str">
        <f t="shared" si="24"/>
        <v>M</v>
      </c>
      <c r="I258" s="170">
        <f>IFERROR((VLOOKUP($C258,Code!$H:$Q,5,FALSE))/(((VLOOKUP($C258,Code!$H:$Q,7,FALSE))+(VLOOKUP($C258,Code!$H:$Q,8,FALSE)))/2)-1,0)</f>
        <v>-0.1711969480209824</v>
      </c>
      <c r="J258" s="204" t="str">
        <f>IFERROR(POWER((VLOOKUP(C258,Code!H:W,12,FALSE))/(VLOOKUP(C258,Code!H:W,15,FALSE)),1/(P258-1))-1,"")</f>
        <v/>
      </c>
      <c r="K258" s="172" t="str" cm="1">
        <f t="array" ref="K258">IFERROR(IF(C258="","",_xlfn.IFS(AND(VLOOKUP(C258,Code!H:W,13,FALSE)=0,VLOOKUP(C258,Code!H:W,16,FALSE)=0),"無股息",AND(VLOOKUP(C258,Code!H:W,13,FALSE)=0,VLOOKUP(C258,Code!H:W,16,FALSE)&gt;0),"股息沒了",AND(VLOOKUP(C258,Code!H:W,13,FALSE)&gt;0,VLOOKUP(C258,Code!H:W,16,FALSE)=0),"發股息了",AND(VLOOKUP(C258,Code!H:W,13,FALSE)&gt;0,VLOOKUP(C258,Code!H:W,16,FALSE)&gt;0),POWER((VLOOKUP(C258,Code!H:W,13,FALSE))/(VLOOKUP(C258,Code!H:W,16,FALSE)),1/(P258-1))-1)),"")</f>
        <v>無股息</v>
      </c>
      <c r="L258" s="173" t="str">
        <f>IFERROR(VLOOKUP(C258,Code!H:W,13,FALSE)*4/VLOOKUP(C258,Code!H:W,12,FALSE),"")</f>
        <v/>
      </c>
      <c r="M258" s="172" t="str">
        <f t="shared" si="25"/>
        <v/>
      </c>
      <c r="N258" s="172" t="str">
        <f t="shared" si="26"/>
        <v/>
      </c>
      <c r="O258" s="172" t="str">
        <f t="shared" si="27"/>
        <v/>
      </c>
      <c r="P258" s="205">
        <f>IFERROR(YEARFRAC(VLOOKUP(C258,Code!H:W,11,FALSE),VLOOKUP(C258,Code!H:W,14,FALSE),3),"")</f>
        <v>0</v>
      </c>
      <c r="Q258" s="174">
        <v>44547</v>
      </c>
      <c r="R258" s="175" t="str">
        <f t="shared" ca="1" si="28"/>
        <v/>
      </c>
      <c r="S258" s="176">
        <f>IFERROR(VLOOKUP($C258,Code!$H:$Q,5,FALSE),"")</f>
        <v>0.26069999999999999</v>
      </c>
      <c r="T258" s="177" t="str">
        <f t="shared" ca="1" si="29"/>
        <v/>
      </c>
      <c r="U258" s="178" t="str">
        <f t="shared" ca="1" si="30"/>
        <v/>
      </c>
      <c r="V258" s="179">
        <f>IFERROR(VLOOKUP($C258,Code!$H:$Q,6,FALSE),"")</f>
        <v>569.22</v>
      </c>
      <c r="W258" s="180" t="str">
        <f t="shared" ca="1" si="31"/>
        <v/>
      </c>
      <c r="X258" s="12"/>
      <c r="Y258" s="12"/>
      <c r="Z258" s="12"/>
      <c r="AA258" s="12"/>
      <c r="AB258" s="12"/>
    </row>
    <row r="259" spans="1:28" s="10" customFormat="1" ht="15" hidden="1">
      <c r="A259" s="9"/>
      <c r="B259" s="169" cm="1">
        <f t="array" ref="B259">_xlfn.IFS(OR(Code!R181&lt;&gt;Code!U181,Code!R181=""),0,Code!R181=Code!U181,1)</f>
        <v>0</v>
      </c>
      <c r="C259" s="193" t="str">
        <f>IF(Code!F181="","",Code!F181)</f>
        <v>FBHS</v>
      </c>
      <c r="D259" s="155" t="str">
        <f>IFERROR(VLOOKUP($C259,Code!$H:$K,2,FALSE),"")</f>
        <v>XLI</v>
      </c>
      <c r="E259" s="156" t="str">
        <f>IFERROR(VLOOKUP($C259,Code!$H:$K,3,FALSE),"")</f>
        <v>-</v>
      </c>
      <c r="F259" s="157" t="str">
        <f>IFERROR(VLOOKUP($C259,Code!$H:$K,4,FALSE),"")</f>
        <v>.SPX</v>
      </c>
      <c r="G259" s="170">
        <f>IFERROR(((VLOOKUP($C259,Code!$H:$Q,9,FALSE))+(VLOOKUP($C259,Code!$H:$Q,10,FALSE)))/2*0.5/(((VLOOKUP($C259,Code!$H:$Q,7,FALSE))+(VLOOKUP($C259,Code!$H:$Q,8,FALSE)))/2),0)</f>
        <v>0.59434278999496382</v>
      </c>
      <c r="H259" s="171" t="str">
        <f t="shared" si="24"/>
        <v>M</v>
      </c>
      <c r="I259" s="170">
        <f>IFERROR((VLOOKUP($C259,Code!$H:$Q,5,FALSE))/(((VLOOKUP($C259,Code!$H:$Q,7,FALSE))+(VLOOKUP($C259,Code!$H:$Q,8,FALSE)))/2)-1,0)</f>
        <v>-0.17273795534665093</v>
      </c>
      <c r="J259" s="204">
        <f>IFERROR(POWER((VLOOKUP(C259,Code!H:W,12,FALSE))/(VLOOKUP(C259,Code!H:W,15,FALSE)),1/(P259-1))-1,"")</f>
        <v>0.16486611517962468</v>
      </c>
      <c r="K259" s="172" cm="1">
        <f t="array" ref="K259">IFERROR(IF(C259="","",_xlfn.IFS(AND(VLOOKUP(C259,Code!H:W,13,FALSE)=0,VLOOKUP(C259,Code!H:W,16,FALSE)=0),"無股息",AND(VLOOKUP(C259,Code!H:W,13,FALSE)=0,VLOOKUP(C259,Code!H:W,16,FALSE)&gt;0),"股息沒了",AND(VLOOKUP(C259,Code!H:W,13,FALSE)&gt;0,VLOOKUP(C259,Code!H:W,16,FALSE)=0),"發股息了",AND(VLOOKUP(C259,Code!H:W,13,FALSE)&gt;0,VLOOKUP(C259,Code!H:W,16,FALSE)&gt;0),POWER((VLOOKUP(C259,Code!H:W,13,FALSE))/(VLOOKUP(C259,Code!H:W,16,FALSE)),1/(P259-1))-1)),"")</f>
        <v>0.13787451850920096</v>
      </c>
      <c r="L259" s="173">
        <f>IFERROR(VLOOKUP(C259,Code!H:W,13,FALSE)*4/VLOOKUP(C259,Code!H:W,12,FALSE),"")</f>
        <v>9.9075925303017259E-3</v>
      </c>
      <c r="M259" s="172">
        <f t="shared" si="25"/>
        <v>0.30274063368882564</v>
      </c>
      <c r="N259" s="172" t="str">
        <f t="shared" si="26"/>
        <v>-</v>
      </c>
      <c r="O259" s="172" t="str">
        <f t="shared" si="27"/>
        <v>-</v>
      </c>
      <c r="P259" s="205">
        <f>IFERROR(YEARFRAC(VLOOKUP(C259,Code!H:W,11,FALSE),VLOOKUP(C259,Code!H:W,14,FALSE),3),"")</f>
        <v>4.7589041095890412</v>
      </c>
      <c r="Q259" s="174">
        <v>44547</v>
      </c>
      <c r="R259" s="175" t="str">
        <f t="shared" ca="1" si="28"/>
        <v/>
      </c>
      <c r="S259" s="176">
        <f>IFERROR(VLOOKUP($C259,Code!$H:$Q,5,FALSE),"")</f>
        <v>0.24640000000000001</v>
      </c>
      <c r="T259" s="177" t="str">
        <f t="shared" ca="1" si="29"/>
        <v/>
      </c>
      <c r="U259" s="178" t="str">
        <f t="shared" ca="1" si="30"/>
        <v/>
      </c>
      <c r="V259" s="179">
        <f>IFERROR(VLOOKUP($C259,Code!$H:$Q,6,FALSE),"")</f>
        <v>100.36</v>
      </c>
      <c r="W259" s="180" t="str">
        <f t="shared" ca="1" si="31"/>
        <v/>
      </c>
      <c r="X259" s="12"/>
      <c r="Y259" s="12"/>
      <c r="Z259" s="12"/>
      <c r="AA259" s="12"/>
      <c r="AB259" s="12"/>
    </row>
    <row r="260" spans="1:28" s="10" customFormat="1" ht="15" hidden="1">
      <c r="A260" s="9"/>
      <c r="B260" s="169" cm="1">
        <f t="array" ref="B260">_xlfn.IFS(OR(Code!R366&lt;&gt;Code!U366,Code!R366=""),0,Code!R366=Code!U366,1)</f>
        <v>0</v>
      </c>
      <c r="C260" s="193" t="str">
        <f>IF(Code!F366="","",Code!F366)</f>
        <v>PEP</v>
      </c>
      <c r="D260" s="155" t="str">
        <f>IFERROR(VLOOKUP($C260,Code!$H:$K,2,FALSE),"")</f>
        <v>XLP</v>
      </c>
      <c r="E260" s="156" t="str">
        <f>IFERROR(VLOOKUP($C260,Code!$H:$K,3,FALSE),"")</f>
        <v>飲料-不含酒精</v>
      </c>
      <c r="F260" s="157" t="str">
        <f>IFERROR(VLOOKUP($C260,Code!$H:$K,4,FALSE),"")</f>
        <v>.SPX</v>
      </c>
      <c r="G260" s="170">
        <f>IFERROR(((VLOOKUP($C260,Code!$H:$Q,9,FALSE))+(VLOOKUP($C260,Code!$H:$Q,10,FALSE)))/2*0.5/(((VLOOKUP($C260,Code!$H:$Q,7,FALSE))+(VLOOKUP($C260,Code!$H:$Q,8,FALSE)))/2),0)</f>
        <v>0.64099911321312442</v>
      </c>
      <c r="H260" s="171" t="str">
        <f t="shared" ref="H260:H323" si="32">IFERROR(IF(G260&gt;9E+306,"",IF(G260&gt;70%,"XL",IF(G260&gt;60%,"L",IF(G260&gt;50%,"M",IF(G260&gt;0%,"S",""))))),"")</f>
        <v>L</v>
      </c>
      <c r="I260" s="170">
        <f>IFERROR((VLOOKUP($C260,Code!$H:$Q,5,FALSE))/(((VLOOKUP($C260,Code!$H:$Q,7,FALSE))+(VLOOKUP($C260,Code!$H:$Q,8,FALSE)))/2)-1,0)</f>
        <v>-0.17351463198344652</v>
      </c>
      <c r="J260" s="204">
        <f>IFERROR(POWER((VLOOKUP(C260,Code!H:W,12,FALSE))/(VLOOKUP(C260,Code!H:W,15,FALSE)),1/(P260-1))-1,"")</f>
        <v>0.13177328067887895</v>
      </c>
      <c r="K260" s="172" cm="1">
        <f t="array" ref="K260">IFERROR(IF(C260="","",_xlfn.IFS(AND(VLOOKUP(C260,Code!H:W,13,FALSE)=0,VLOOKUP(C260,Code!H:W,16,FALSE)=0),"無股息",AND(VLOOKUP(C260,Code!H:W,13,FALSE)=0,VLOOKUP(C260,Code!H:W,16,FALSE)&gt;0),"股息沒了",AND(VLOOKUP(C260,Code!H:W,13,FALSE)&gt;0,VLOOKUP(C260,Code!H:W,16,FALSE)=0),"發股息了",AND(VLOOKUP(C260,Code!H:W,13,FALSE)&gt;0,VLOOKUP(C260,Code!H:W,16,FALSE)&gt;0),POWER((VLOOKUP(C260,Code!H:W,13,FALSE))/(VLOOKUP(C260,Code!H:W,16,FALSE)),1/(P260-1))-1)),"")</f>
        <v>9.9341434692020725E-2</v>
      </c>
      <c r="L260" s="173">
        <f>IFERROR(VLOOKUP(C260,Code!H:W,13,FALSE)*4/VLOOKUP(C260,Code!H:W,12,FALSE),"")</f>
        <v>2.9118981873897592E-2</v>
      </c>
      <c r="M260" s="172">
        <f t="shared" ref="M260:M323" si="33">IF(SUM(J260:K260)=0,"",SUM(J260:K260))</f>
        <v>0.23111471537089967</v>
      </c>
      <c r="N260" s="172" t="str">
        <f t="shared" ref="N260:N323" si="34">IFERROR(IF(L260&gt;3%,IF((K260+L260)&gt;12%,"Venture","-"),"-"),"")</f>
        <v>-</v>
      </c>
      <c r="O260" s="172" t="str">
        <f t="shared" ref="O260:O323" si="35">IFERROR(IF(OR(L260&lt;3%,L260=""),IF((K260+L260)&gt;15%,"Value","-"),"-"),"")</f>
        <v>-</v>
      </c>
      <c r="P260" s="205">
        <f>IFERROR(YEARFRAC(VLOOKUP(C260,Code!H:W,11,FALSE),VLOOKUP(C260,Code!H:W,14,FALSE),3),"")</f>
        <v>4.7589041095890412</v>
      </c>
      <c r="Q260" s="174">
        <v>44547</v>
      </c>
      <c r="R260" s="175" t="str">
        <f t="shared" ref="R260:R323" ca="1" si="36">IFERROR(IF(OR(_xlfn.DAYS(Q260,TODAY())+1&lt;0,C260=0),"",_xlfn.DAYS(Q260,TODAY())+1),"")</f>
        <v/>
      </c>
      <c r="S260" s="176">
        <f>IFERROR(VLOOKUP($C260,Code!$H:$Q,5,FALSE),"")</f>
        <v>0.13980000000000001</v>
      </c>
      <c r="T260" s="177" t="str">
        <f t="shared" ref="T260:T323" ca="1" si="37">IFERROR(IF(V260*S260*SQRT(R260/365)=0,"",V260*S260*SQRT(R260/365)),"")</f>
        <v/>
      </c>
      <c r="U260" s="178" t="str">
        <f t="shared" ref="U260:U323" ca="1" si="38">IFERROR(V260-T260,"")</f>
        <v/>
      </c>
      <c r="V260" s="179">
        <f>IFERROR(VLOOKUP($C260,Code!$H:$Q,6,FALSE),"")</f>
        <v>154.1</v>
      </c>
      <c r="W260" s="180" t="str">
        <f t="shared" ref="W260:W323" ca="1" si="39">IFERROR(V260+T260,"")</f>
        <v/>
      </c>
      <c r="X260" s="12"/>
      <c r="Y260" s="12"/>
      <c r="Z260" s="12"/>
      <c r="AA260" s="12"/>
      <c r="AB260" s="12"/>
    </row>
    <row r="261" spans="1:28" s="10" customFormat="1" ht="15" hidden="1">
      <c r="A261" s="9"/>
      <c r="B261" s="169" cm="1">
        <f t="array" ref="B261">_xlfn.IFS(OR(Code!R302&lt;&gt;Code!U302,Code!R302=""),0,Code!R302=Code!U302,1)</f>
        <v>0</v>
      </c>
      <c r="C261" s="193" t="str">
        <f>IF(Code!F302="","",Code!F302)</f>
        <v>MDT</v>
      </c>
      <c r="D261" s="155" t="str">
        <f>IFERROR(VLOOKUP($C261,Code!$H:$K,2,FALSE),"")</f>
        <v>XLV</v>
      </c>
      <c r="E261" s="156" t="str">
        <f>IFERROR(VLOOKUP($C261,Code!$H:$K,3,FALSE),"")</f>
        <v>醫療設備</v>
      </c>
      <c r="F261" s="157" t="str">
        <f>IFERROR(VLOOKUP($C261,Code!$H:$K,4,FALSE),"")</f>
        <v>.SPX</v>
      </c>
      <c r="G261" s="170">
        <f>IFERROR(((VLOOKUP($C261,Code!$H:$Q,9,FALSE))+(VLOOKUP($C261,Code!$H:$Q,10,FALSE)))/2*0.5/(((VLOOKUP($C261,Code!$H:$Q,7,FALSE))+(VLOOKUP($C261,Code!$H:$Q,8,FALSE)))/2),0)</f>
        <v>0.54315417810906241</v>
      </c>
      <c r="H261" s="171" t="str">
        <f t="shared" si="32"/>
        <v>M</v>
      </c>
      <c r="I261" s="170">
        <f>IFERROR((VLOOKUP($C261,Code!$H:$Q,5,FALSE))/(((VLOOKUP($C261,Code!$H:$Q,7,FALSE))+(VLOOKUP($C261,Code!$H:$Q,8,FALSE)))/2)-1,0)</f>
        <v>-0.17536288740682626</v>
      </c>
      <c r="J261" s="204">
        <f>IFERROR(POWER((VLOOKUP(C261,Code!H:W,12,FALSE))/(VLOOKUP(C261,Code!H:W,15,FALSE)),1/(P261-1))-1,"")</f>
        <v>0.13272276447458098</v>
      </c>
      <c r="K261" s="172" cm="1">
        <f t="array" ref="K261">IFERROR(IF(C261="","",_xlfn.IFS(AND(VLOOKUP(C261,Code!H:W,13,FALSE)=0,VLOOKUP(C261,Code!H:W,16,FALSE)=0),"無股息",AND(VLOOKUP(C261,Code!H:W,13,FALSE)=0,VLOOKUP(C261,Code!H:W,16,FALSE)&gt;0),"股息沒了",AND(VLOOKUP(C261,Code!H:W,13,FALSE)&gt;0,VLOOKUP(C261,Code!H:W,16,FALSE)=0),"發股息了",AND(VLOOKUP(C261,Code!H:W,13,FALSE)&gt;0,VLOOKUP(C261,Code!H:W,16,FALSE)&gt;0),POWER((VLOOKUP(C261,Code!H:W,13,FALSE))/(VLOOKUP(C261,Code!H:W,16,FALSE)),1/(P261-1))-1)),"")</f>
        <v>0.1074435711284405</v>
      </c>
      <c r="L261" s="173">
        <f>IFERROR(VLOOKUP(C261,Code!H:W,13,FALSE)*4/VLOOKUP(C261,Code!H:W,12,FALSE),"")</f>
        <v>2.0145495833200269E-2</v>
      </c>
      <c r="M261" s="172">
        <f t="shared" si="33"/>
        <v>0.24016633560302147</v>
      </c>
      <c r="N261" s="172" t="str">
        <f t="shared" si="34"/>
        <v>-</v>
      </c>
      <c r="O261" s="172" t="str">
        <f t="shared" si="35"/>
        <v>-</v>
      </c>
      <c r="P261" s="205">
        <f>IFERROR(YEARFRAC(VLOOKUP(C261,Code!H:W,11,FALSE),VLOOKUP(C261,Code!H:W,14,FALSE),3),"")</f>
        <v>4.7424657534246579</v>
      </c>
      <c r="Q261" s="174">
        <v>44547</v>
      </c>
      <c r="R261" s="175" t="str">
        <f t="shared" ca="1" si="36"/>
        <v/>
      </c>
      <c r="S261" s="176">
        <f>IFERROR(VLOOKUP($C261,Code!$H:$Q,5,FALSE),"")</f>
        <v>0.2102</v>
      </c>
      <c r="T261" s="177" t="str">
        <f t="shared" ca="1" si="37"/>
        <v/>
      </c>
      <c r="U261" s="178" t="str">
        <f t="shared" ca="1" si="38"/>
        <v/>
      </c>
      <c r="V261" s="179">
        <f>IFERROR(VLOOKUP($C261,Code!$H:$Q,6,FALSE),"")</f>
        <v>128.26</v>
      </c>
      <c r="W261" s="180" t="str">
        <f t="shared" ca="1" si="39"/>
        <v/>
      </c>
      <c r="X261" s="12"/>
      <c r="Y261" s="12"/>
      <c r="Z261" s="12"/>
      <c r="AA261" s="12"/>
      <c r="AB261" s="12"/>
    </row>
    <row r="262" spans="1:28" s="10" customFormat="1" ht="15">
      <c r="A262" s="9"/>
      <c r="B262" s="169" cm="1">
        <f t="array" ref="B262">_xlfn.IFS(OR(Code!R22&lt;&gt;Code!U22,Code!R22=""),0,Code!R22=Code!U22,1)</f>
        <v>0</v>
      </c>
      <c r="C262" s="193" t="str">
        <f>IF(Code!F22="","",Code!F22)</f>
        <v>AIG</v>
      </c>
      <c r="D262" s="155" t="str">
        <f>IFERROR(VLOOKUP($C262,Code!$H:$K,2,FALSE),"")</f>
        <v>XLF</v>
      </c>
      <c r="E262" s="156" t="str">
        <f>IFERROR(VLOOKUP($C262,Code!$H:$K,3,FALSE),"")</f>
        <v>保險-多樣化</v>
      </c>
      <c r="F262" s="157" t="str">
        <f>IFERROR(VLOOKUP($C262,Code!$H:$K,4,FALSE),"")</f>
        <v>.SPX</v>
      </c>
      <c r="G262" s="170">
        <f>IFERROR(((VLOOKUP($C262,Code!$H:$Q,9,FALSE))+(VLOOKUP($C262,Code!$H:$Q,10,FALSE)))/2*0.5/(((VLOOKUP($C262,Code!$H:$Q,7,FALSE))+(VLOOKUP($C262,Code!$H:$Q,8,FALSE)))/2),0)</f>
        <v>0.49014381353830894</v>
      </c>
      <c r="H262" s="171" t="str">
        <f t="shared" si="32"/>
        <v>S</v>
      </c>
      <c r="I262" s="170">
        <f>IFERROR((VLOOKUP($C262,Code!$H:$Q,5,FALSE))/(((VLOOKUP($C262,Code!$H:$Q,7,FALSE))+(VLOOKUP($C262,Code!$H:$Q,8,FALSE)))/2)-1,0)</f>
        <v>-0.1755516984874782</v>
      </c>
      <c r="J262" s="204">
        <f>IFERROR(POWER((VLOOKUP(C262,Code!H:W,12,FALSE))/(VLOOKUP(C262,Code!H:W,15,FALSE)),1/(P262-1))-1,"")</f>
        <v>3.6878538639828484E-4</v>
      </c>
      <c r="K262" s="172" cm="1">
        <f t="array" ref="K262">IFERROR(IF(C262="","",_xlfn.IFS(AND(VLOOKUP(C262,Code!H:W,13,FALSE)=0,VLOOKUP(C262,Code!H:W,16,FALSE)=0),"無股息",AND(VLOOKUP(C262,Code!H:W,13,FALSE)=0,VLOOKUP(C262,Code!H:W,16,FALSE)&gt;0),"股息沒了",AND(VLOOKUP(C262,Code!H:W,13,FALSE)&gt;0,VLOOKUP(C262,Code!H:W,16,FALSE)=0),"發股息了",AND(VLOOKUP(C262,Code!H:W,13,FALSE)&gt;0,VLOOKUP(C262,Code!H:W,16,FALSE)&gt;0),POWER((VLOOKUP(C262,Code!H:W,13,FALSE))/(VLOOKUP(C262,Code!H:W,16,FALSE)),1/(P262-1))-1)),"")</f>
        <v>0</v>
      </c>
      <c r="L262" s="173">
        <f>IFERROR(VLOOKUP(C262,Code!H:W,13,FALSE)*4/VLOOKUP(C262,Code!H:W,12,FALSE),"")</f>
        <v>2.5048924427037725E-2</v>
      </c>
      <c r="M262" s="172">
        <f t="shared" si="33"/>
        <v>3.6878538639828484E-4</v>
      </c>
      <c r="N262" s="172" t="str">
        <f t="shared" si="34"/>
        <v>-</v>
      </c>
      <c r="O262" s="172" t="str">
        <f t="shared" si="35"/>
        <v>-</v>
      </c>
      <c r="P262" s="205">
        <f>IFERROR(YEARFRAC(VLOOKUP(C262,Code!H:W,11,FALSE),VLOOKUP(C262,Code!H:W,14,FALSE),3),"")</f>
        <v>4.7534246575342465</v>
      </c>
      <c r="Q262" s="174">
        <v>44547</v>
      </c>
      <c r="R262" s="175" t="str">
        <f t="shared" ca="1" si="36"/>
        <v/>
      </c>
      <c r="S262" s="176">
        <f>IFERROR(VLOOKUP($C262,Code!$H:$Q,5,FALSE),"")</f>
        <v>0.33250000000000002</v>
      </c>
      <c r="T262" s="177" t="str">
        <f t="shared" ca="1" si="37"/>
        <v/>
      </c>
      <c r="U262" s="178" t="str">
        <f t="shared" ca="1" si="38"/>
        <v/>
      </c>
      <c r="V262" s="179">
        <f>IFERROR(VLOOKUP($C262,Code!$H:$Q,6,FALSE),"")</f>
        <v>50.92</v>
      </c>
      <c r="W262" s="180" t="str">
        <f t="shared" ca="1" si="39"/>
        <v/>
      </c>
      <c r="X262" s="12"/>
      <c r="Y262" s="12"/>
      <c r="Z262" s="12"/>
      <c r="AA262" s="12"/>
      <c r="AB262" s="12"/>
    </row>
    <row r="263" spans="1:28" s="10" customFormat="1" ht="15" hidden="1">
      <c r="A263" s="9"/>
      <c r="B263" s="169" cm="1">
        <f t="array" ref="B263">_xlfn.IFS(OR(Code!R140&lt;&gt;Code!U140,Code!R140=""),0,Code!R140=Code!U140,1)</f>
        <v>0</v>
      </c>
      <c r="C263" s="193" t="str">
        <f>IF(Code!F140="","",Code!F140)</f>
        <v>DLR</v>
      </c>
      <c r="D263" s="155" t="str">
        <f>IFERROR(VLOOKUP($C263,Code!$H:$K,2,FALSE),"")</f>
        <v>XLRE</v>
      </c>
      <c r="E263" s="156" t="str">
        <f>IFERROR(VLOOKUP($C263,Code!$H:$K,3,FALSE),"")</f>
        <v>REIT-辦公室</v>
      </c>
      <c r="F263" s="157" t="str">
        <f>IFERROR(VLOOKUP($C263,Code!$H:$K,4,FALSE),"")</f>
        <v>.SPX</v>
      </c>
      <c r="G263" s="170">
        <f>IFERROR(((VLOOKUP($C263,Code!$H:$Q,9,FALSE))+(VLOOKUP($C263,Code!$H:$Q,10,FALSE)))/2*0.5/(((VLOOKUP($C263,Code!$H:$Q,7,FALSE))+(VLOOKUP($C263,Code!$H:$Q,8,FALSE)))/2),0)</f>
        <v>0.55607006241191859</v>
      </c>
      <c r="H263" s="171" t="str">
        <f t="shared" si="32"/>
        <v>M</v>
      </c>
      <c r="I263" s="170">
        <f>IFERROR((VLOOKUP($C263,Code!$H:$Q,5,FALSE))/(((VLOOKUP($C263,Code!$H:$Q,7,FALSE))+(VLOOKUP($C263,Code!$H:$Q,8,FALSE)))/2)-1,0)</f>
        <v>-0.17576001610630165</v>
      </c>
      <c r="J263" s="204">
        <f>IFERROR(POWER((VLOOKUP(C263,Code!H:W,12,FALSE))/(VLOOKUP(C263,Code!H:W,15,FALSE)),1/(P263-1))-1,"")</f>
        <v>0.21132233133671607</v>
      </c>
      <c r="K263" s="172" cm="1">
        <f t="array" ref="K263">IFERROR(IF(C263="","",_xlfn.IFS(AND(VLOOKUP(C263,Code!H:W,13,FALSE)=0,VLOOKUP(C263,Code!H:W,16,FALSE)=0),"無股息",AND(VLOOKUP(C263,Code!H:W,13,FALSE)=0,VLOOKUP(C263,Code!H:W,16,FALSE)&gt;0),"股息沒了",AND(VLOOKUP(C263,Code!H:W,13,FALSE)&gt;0,VLOOKUP(C263,Code!H:W,16,FALSE)=0),"發股息了",AND(VLOOKUP(C263,Code!H:W,13,FALSE)&gt;0,VLOOKUP(C263,Code!H:W,16,FALSE)&gt;0),POWER((VLOOKUP(C263,Code!H:W,13,FALSE))/(VLOOKUP(C263,Code!H:W,16,FALSE)),1/(P263-1))-1)),"")</f>
        <v>7.6376547971697351E-2</v>
      </c>
      <c r="L263" s="173">
        <f>IFERROR(VLOOKUP(C263,Code!H:W,13,FALSE)*4/VLOOKUP(C263,Code!H:W,12,FALSE),"")</f>
        <v>2.858374883054033E-2</v>
      </c>
      <c r="M263" s="172">
        <f t="shared" si="33"/>
        <v>0.28769887930841342</v>
      </c>
      <c r="N263" s="172" t="str">
        <f t="shared" si="34"/>
        <v>-</v>
      </c>
      <c r="O263" s="172" t="str">
        <f t="shared" si="35"/>
        <v>-</v>
      </c>
      <c r="P263" s="205">
        <f>IFERROR(YEARFRAC(VLOOKUP(C263,Code!H:W,11,FALSE),VLOOKUP(C263,Code!H:W,14,FALSE),3),"")</f>
        <v>4.7534246575342465</v>
      </c>
      <c r="Q263" s="174">
        <v>44547</v>
      </c>
      <c r="R263" s="175" t="str">
        <f t="shared" ca="1" si="36"/>
        <v/>
      </c>
      <c r="S263" s="176">
        <f>IFERROR(VLOOKUP($C263,Code!$H:$Q,5,FALSE),"")</f>
        <v>0.20469999999999999</v>
      </c>
      <c r="T263" s="177" t="str">
        <f t="shared" ca="1" si="37"/>
        <v/>
      </c>
      <c r="U263" s="178" t="str">
        <f t="shared" ca="1" si="38"/>
        <v/>
      </c>
      <c r="V263" s="179">
        <f>IFERROR(VLOOKUP($C263,Code!$H:$Q,6,FALSE),"")</f>
        <v>156.35</v>
      </c>
      <c r="W263" s="180" t="str">
        <f t="shared" ca="1" si="39"/>
        <v/>
      </c>
      <c r="X263" s="12"/>
      <c r="Y263" s="12"/>
      <c r="Z263" s="12"/>
      <c r="AA263" s="12"/>
      <c r="AB263" s="12"/>
    </row>
    <row r="264" spans="1:28" s="10" customFormat="1" ht="15" hidden="1">
      <c r="A264" s="9"/>
      <c r="B264" s="169" cm="1">
        <f t="array" ref="B264">_xlfn.IFS(OR(Code!R28&lt;&gt;Code!U28,Code!R28=""),0,Code!R28=Code!U28,1)</f>
        <v>0</v>
      </c>
      <c r="C264" s="193" t="str">
        <f>IF(Code!F28="","",Code!F28)</f>
        <v>ALK</v>
      </c>
      <c r="D264" s="155" t="str">
        <f>IFERROR(VLOOKUP($C264,Code!$H:$K,2,FALSE),"")</f>
        <v>XLI</v>
      </c>
      <c r="E264" s="156" t="str">
        <f>IFERROR(VLOOKUP($C264,Code!$H:$K,3,FALSE),"")</f>
        <v>航空公司</v>
      </c>
      <c r="F264" s="157" t="str">
        <f>IFERROR(VLOOKUP($C264,Code!$H:$K,4,FALSE),"")</f>
        <v>.SPX</v>
      </c>
      <c r="G264" s="170">
        <f>IFERROR(((VLOOKUP($C264,Code!$H:$Q,9,FALSE))+(VLOOKUP($C264,Code!$H:$Q,10,FALSE)))/2*0.5/(((VLOOKUP($C264,Code!$H:$Q,7,FALSE))+(VLOOKUP($C264,Code!$H:$Q,8,FALSE)))/2),0)</f>
        <v>0.52219456544285425</v>
      </c>
      <c r="H264" s="171" t="str">
        <f t="shared" si="32"/>
        <v>M</v>
      </c>
      <c r="I264" s="170">
        <f>IFERROR((VLOOKUP($C264,Code!$H:$Q,5,FALSE))/(((VLOOKUP($C264,Code!$H:$Q,7,FALSE))+(VLOOKUP($C264,Code!$H:$Q,8,FALSE)))/2)-1,0)</f>
        <v>-0.17714167185231278</v>
      </c>
      <c r="J264" s="204">
        <f>IFERROR(POWER((VLOOKUP(C264,Code!H:W,12,FALSE))/(VLOOKUP(C264,Code!H:W,15,FALSE)),1/(P264-1))-1,"")</f>
        <v>2.7505970107411404E-2</v>
      </c>
      <c r="K264" s="172" cm="1">
        <f t="array" ref="K264">IFERROR(IF(C264="","",_xlfn.IFS(AND(VLOOKUP(C264,Code!H:W,13,FALSE)=0,VLOOKUP(C264,Code!H:W,16,FALSE)=0),"無股息",AND(VLOOKUP(C264,Code!H:W,13,FALSE)=0,VLOOKUP(C264,Code!H:W,16,FALSE)&gt;0),"股息沒了",AND(VLOOKUP(C264,Code!H:W,13,FALSE)&gt;0,VLOOKUP(C264,Code!H:W,16,FALSE)=0),"發股息了",AND(VLOOKUP(C264,Code!H:W,13,FALSE)&gt;0,VLOOKUP(C264,Code!H:W,16,FALSE)&gt;0),POWER((VLOOKUP(C264,Code!H:W,13,FALSE))/(VLOOKUP(C264,Code!H:W,16,FALSE)),1/(P264-1))-1)),"")</f>
        <v>0.13216302876295827</v>
      </c>
      <c r="L264" s="173">
        <f>IFERROR(VLOOKUP(C264,Code!H:W,13,FALSE)*4/VLOOKUP(C264,Code!H:W,12,FALSE),"")</f>
        <v>2.2689456756185993E-2</v>
      </c>
      <c r="M264" s="172">
        <f t="shared" si="33"/>
        <v>0.15966899887036967</v>
      </c>
      <c r="N264" s="172" t="str">
        <f t="shared" si="34"/>
        <v>-</v>
      </c>
      <c r="O264" s="172" t="str">
        <f t="shared" si="35"/>
        <v>Value</v>
      </c>
      <c r="P264" s="205">
        <f>IFERROR(YEARFRAC(VLOOKUP(C264,Code!H:W,11,FALSE),VLOOKUP(C264,Code!H:W,14,FALSE),3),"")</f>
        <v>3.4986301369863013</v>
      </c>
      <c r="Q264" s="174">
        <v>44547</v>
      </c>
      <c r="R264" s="175" t="str">
        <f t="shared" ca="1" si="36"/>
        <v/>
      </c>
      <c r="S264" s="176">
        <f>IFERROR(VLOOKUP($C264,Code!$H:$Q,5,FALSE),"")</f>
        <v>0.3967</v>
      </c>
      <c r="T264" s="177" t="str">
        <f t="shared" ca="1" si="37"/>
        <v/>
      </c>
      <c r="U264" s="178" t="str">
        <f t="shared" ca="1" si="38"/>
        <v/>
      </c>
      <c r="V264" s="179">
        <f>IFERROR(VLOOKUP($C264,Code!$H:$Q,6,FALSE),"")</f>
        <v>57.45</v>
      </c>
      <c r="W264" s="180" t="str">
        <f t="shared" ca="1" si="39"/>
        <v/>
      </c>
      <c r="X264" s="12"/>
      <c r="Y264" s="12"/>
      <c r="Z264" s="12"/>
      <c r="AA264" s="12"/>
      <c r="AB264" s="12"/>
    </row>
    <row r="265" spans="1:28" s="10" customFormat="1" ht="15" hidden="1">
      <c r="A265" s="9"/>
      <c r="B265" s="169" cm="1">
        <f t="array" ref="B265">_xlfn.IFS(OR(Code!R458&lt;&gt;Code!U458,Code!R458=""),0,Code!R458=Code!U458,1)</f>
        <v>1</v>
      </c>
      <c r="C265" s="193" t="str">
        <f>IF(Code!F458="","",Code!F458)</f>
        <v>UAA</v>
      </c>
      <c r="D265" s="155" t="str">
        <f>IFERROR(VLOOKUP($C265,Code!$H:$K,2,FALSE),"")</f>
        <v>XLY</v>
      </c>
      <c r="E265" s="156" t="str">
        <f>IFERROR(VLOOKUP($C265,Code!$H:$K,3,FALSE),"")</f>
        <v>服裝製造</v>
      </c>
      <c r="F265" s="157" t="str">
        <f>IFERROR(VLOOKUP($C265,Code!$H:$K,4,FALSE),"")</f>
        <v>.SPX</v>
      </c>
      <c r="G265" s="170">
        <f>IFERROR(((VLOOKUP($C265,Code!$H:$Q,9,FALSE))+(VLOOKUP($C265,Code!$H:$Q,10,FALSE)))/2*0.5/(((VLOOKUP($C265,Code!$H:$Q,7,FALSE))+(VLOOKUP($C265,Code!$H:$Q,8,FALSE)))/2),0)</f>
        <v>0.61735278791037007</v>
      </c>
      <c r="H265" s="171" t="str">
        <f t="shared" si="32"/>
        <v>L</v>
      </c>
      <c r="I265" s="170">
        <f>IFERROR((VLOOKUP($C265,Code!$H:$Q,5,FALSE))/(((VLOOKUP($C265,Code!$H:$Q,7,FALSE))+(VLOOKUP($C265,Code!$H:$Q,8,FALSE)))/2)-1,0)</f>
        <v>-0.17727983324648255</v>
      </c>
      <c r="J265" s="204" t="str">
        <f>IFERROR(POWER((VLOOKUP(C265,Code!H:W,12,FALSE))/(VLOOKUP(C265,Code!H:W,15,FALSE)),1/(P265-1))-1,"")</f>
        <v/>
      </c>
      <c r="K265" s="172" t="str" cm="1">
        <f t="array" ref="K265">IFERROR(IF(C265="","",_xlfn.IFS(AND(VLOOKUP(C265,Code!H:W,13,FALSE)=0,VLOOKUP(C265,Code!H:W,16,FALSE)=0),"無股息",AND(VLOOKUP(C265,Code!H:W,13,FALSE)=0,VLOOKUP(C265,Code!H:W,16,FALSE)&gt;0),"股息沒了",AND(VLOOKUP(C265,Code!H:W,13,FALSE)&gt;0,VLOOKUP(C265,Code!H:W,16,FALSE)=0),"發股息了",AND(VLOOKUP(C265,Code!H:W,13,FALSE)&gt;0,VLOOKUP(C265,Code!H:W,16,FALSE)&gt;0),POWER((VLOOKUP(C265,Code!H:W,13,FALSE))/(VLOOKUP(C265,Code!H:W,16,FALSE)),1/(P265-1))-1)),"")</f>
        <v>無股息</v>
      </c>
      <c r="L265" s="173" t="str">
        <f>IFERROR(VLOOKUP(C265,Code!H:W,13,FALSE)*4/VLOOKUP(C265,Code!H:W,12,FALSE),"")</f>
        <v/>
      </c>
      <c r="M265" s="172" t="str">
        <f t="shared" si="33"/>
        <v/>
      </c>
      <c r="N265" s="172" t="str">
        <f t="shared" si="34"/>
        <v/>
      </c>
      <c r="O265" s="172" t="str">
        <f t="shared" si="35"/>
        <v/>
      </c>
      <c r="P265" s="205">
        <f>IFERROR(YEARFRAC(VLOOKUP(C265,Code!H:W,11,FALSE),VLOOKUP(C265,Code!H:W,14,FALSE),3),"")</f>
        <v>0</v>
      </c>
      <c r="Q265" s="174">
        <v>44547</v>
      </c>
      <c r="R265" s="175" t="str">
        <f t="shared" ca="1" si="36"/>
        <v/>
      </c>
      <c r="S265" s="176">
        <f>IFERROR(VLOOKUP($C265,Code!$H:$Q,5,FALSE),"")</f>
        <v>0.3947</v>
      </c>
      <c r="T265" s="177" t="str">
        <f t="shared" ca="1" si="37"/>
        <v/>
      </c>
      <c r="U265" s="178" t="str">
        <f t="shared" ca="1" si="38"/>
        <v/>
      </c>
      <c r="V265" s="179">
        <f>IFERROR(VLOOKUP($C265,Code!$H:$Q,6,FALSE),"")</f>
        <v>24.81</v>
      </c>
      <c r="W265" s="180" t="str">
        <f t="shared" ca="1" si="39"/>
        <v/>
      </c>
      <c r="X265" s="12"/>
      <c r="Y265" s="12"/>
      <c r="Z265" s="12"/>
      <c r="AA265" s="12"/>
      <c r="AB265" s="12"/>
    </row>
    <row r="266" spans="1:28" s="10" customFormat="1" ht="15" hidden="1">
      <c r="A266" s="9"/>
      <c r="B266" s="169" cm="1">
        <f t="array" ref="B266">_xlfn.IFS(OR(Code!R36&lt;&gt;Code!U36,Code!R36=""),0,Code!R36=Code!U36,1)</f>
        <v>0</v>
      </c>
      <c r="C266" s="193" t="str">
        <f>IF(Code!F36="","",Code!F36)</f>
        <v>AMP</v>
      </c>
      <c r="D266" s="155" t="str">
        <f>IFERROR(VLOOKUP($C266,Code!$H:$K,2,FALSE),"")</f>
        <v>XLF</v>
      </c>
      <c r="E266" s="156" t="str">
        <f>IFERROR(VLOOKUP($C266,Code!$H:$K,3,FALSE),"")</f>
        <v>資產管理</v>
      </c>
      <c r="F266" s="157" t="str">
        <f>IFERROR(VLOOKUP($C266,Code!$H:$K,4,FALSE),"")</f>
        <v>.SPX</v>
      </c>
      <c r="G266" s="170">
        <f>IFERROR(((VLOOKUP($C266,Code!$H:$Q,9,FALSE))+(VLOOKUP($C266,Code!$H:$Q,10,FALSE)))/2*0.5/(((VLOOKUP($C266,Code!$H:$Q,7,FALSE))+(VLOOKUP($C266,Code!$H:$Q,8,FALSE)))/2),0)</f>
        <v>0.6211878009630819</v>
      </c>
      <c r="H266" s="171" t="str">
        <f t="shared" si="32"/>
        <v>L</v>
      </c>
      <c r="I266" s="170">
        <f>IFERROR((VLOOKUP($C266,Code!$H:$Q,5,FALSE))/(((VLOOKUP($C266,Code!$H:$Q,7,FALSE))+(VLOOKUP($C266,Code!$H:$Q,8,FALSE)))/2)-1,0)</f>
        <v>-0.17781344747636874</v>
      </c>
      <c r="J266" s="204">
        <f>IFERROR(POWER((VLOOKUP(C266,Code!H:W,12,FALSE))/(VLOOKUP(C266,Code!H:W,15,FALSE)),1/(P266-1))-1,"")</f>
        <v>0.41639510592359308</v>
      </c>
      <c r="K266" s="172" cm="1">
        <f t="array" ref="K266">IFERROR(IF(C266="","",_xlfn.IFS(AND(VLOOKUP(C266,Code!H:W,13,FALSE)=0,VLOOKUP(C266,Code!H:W,16,FALSE)=0),"無股息",AND(VLOOKUP(C266,Code!H:W,13,FALSE)=0,VLOOKUP(C266,Code!H:W,16,FALSE)&gt;0),"股息沒了",AND(VLOOKUP(C266,Code!H:W,13,FALSE)&gt;0,VLOOKUP(C266,Code!H:W,16,FALSE)=0),"發股息了",AND(VLOOKUP(C266,Code!H:W,13,FALSE)&gt;0,VLOOKUP(C266,Code!H:W,16,FALSE)&gt;0),POWER((VLOOKUP(C266,Code!H:W,13,FALSE))/(VLOOKUP(C266,Code!H:W,16,FALSE)),1/(P266-1))-1)),"")</f>
        <v>0.1238881291833358</v>
      </c>
      <c r="L266" s="173">
        <f>IFERROR(VLOOKUP(C266,Code!H:W,13,FALSE)*4/VLOOKUP(C266,Code!H:W,12,FALSE),"")</f>
        <v>1.7014869579712134E-2</v>
      </c>
      <c r="M266" s="172">
        <f t="shared" si="33"/>
        <v>0.54028323510692888</v>
      </c>
      <c r="N266" s="172" t="str">
        <f t="shared" si="34"/>
        <v>-</v>
      </c>
      <c r="O266" s="172" t="str">
        <f t="shared" si="35"/>
        <v>-</v>
      </c>
      <c r="P266" s="205">
        <f>IFERROR(YEARFRAC(VLOOKUP(C266,Code!H:W,11,FALSE),VLOOKUP(C266,Code!H:W,14,FALSE),3),"")</f>
        <v>4.5095890410958903</v>
      </c>
      <c r="Q266" s="174">
        <v>44547</v>
      </c>
      <c r="R266" s="175" t="str">
        <f t="shared" ca="1" si="36"/>
        <v/>
      </c>
      <c r="S266" s="176">
        <f>IFERROR(VLOOKUP($C266,Code!$H:$Q,5,FALSE),"")</f>
        <v>0.23050000000000001</v>
      </c>
      <c r="T266" s="177" t="str">
        <f t="shared" ca="1" si="37"/>
        <v/>
      </c>
      <c r="U266" s="178" t="str">
        <f t="shared" ca="1" si="38"/>
        <v/>
      </c>
      <c r="V266" s="179">
        <f>IFERROR(VLOOKUP($C266,Code!$H:$Q,6,FALSE),"")</f>
        <v>261.69</v>
      </c>
      <c r="W266" s="180" t="str">
        <f t="shared" ca="1" si="39"/>
        <v/>
      </c>
      <c r="X266" s="12"/>
      <c r="Y266" s="12"/>
      <c r="Z266" s="12"/>
      <c r="AA266" s="12"/>
      <c r="AB266" s="12"/>
    </row>
    <row r="267" spans="1:28" s="10" customFormat="1" ht="15" hidden="1">
      <c r="A267" s="9"/>
      <c r="B267" s="169" cm="1">
        <f t="array" ref="B267">_xlfn.IFS(OR(Code!R105&lt;&gt;Code!U105,Code!R105=""),0,Code!R105=Code!U105,1)</f>
        <v>0</v>
      </c>
      <c r="C267" s="193" t="str">
        <f>IF(Code!F105="","",Code!F105)</f>
        <v>CMS</v>
      </c>
      <c r="D267" s="155" t="str">
        <f>IFERROR(VLOOKUP($C267,Code!$H:$K,2,FALSE),"")</f>
        <v>XLU</v>
      </c>
      <c r="E267" s="156" t="str">
        <f>IFERROR(VLOOKUP($C267,Code!$H:$K,3,FALSE),"")</f>
        <v>公用事業—受監督的電力</v>
      </c>
      <c r="F267" s="157" t="str">
        <f>IFERROR(VLOOKUP($C267,Code!$H:$K,4,FALSE),"")</f>
        <v>.SPX</v>
      </c>
      <c r="G267" s="170">
        <f>IFERROR(((VLOOKUP($C267,Code!$H:$Q,9,FALSE))+(VLOOKUP($C267,Code!$H:$Q,10,FALSE)))/2*0.5/(((VLOOKUP($C267,Code!$H:$Q,7,FALSE))+(VLOOKUP($C267,Code!$H:$Q,8,FALSE)))/2),0)</f>
        <v>0.60730872647274503</v>
      </c>
      <c r="H267" s="171" t="str">
        <f t="shared" si="32"/>
        <v>L</v>
      </c>
      <c r="I267" s="170">
        <f>IFERROR((VLOOKUP($C267,Code!$H:$Q,5,FALSE))/(((VLOOKUP($C267,Code!$H:$Q,7,FALSE))+(VLOOKUP($C267,Code!$H:$Q,8,FALSE)))/2)-1,0)</f>
        <v>-0.17868491811293086</v>
      </c>
      <c r="J267" s="204">
        <f>IFERROR(POWER((VLOOKUP(C267,Code!H:W,12,FALSE))/(VLOOKUP(C267,Code!H:W,15,FALSE)),1/(P267-1))-1,"")</f>
        <v>0.16406779943414374</v>
      </c>
      <c r="K267" s="172" cm="1">
        <f t="array" ref="K267">IFERROR(IF(C267="","",_xlfn.IFS(AND(VLOOKUP(C267,Code!H:W,13,FALSE)=0,VLOOKUP(C267,Code!H:W,16,FALSE)=0),"無股息",AND(VLOOKUP(C267,Code!H:W,13,FALSE)=0,VLOOKUP(C267,Code!H:W,16,FALSE)&gt;0),"股息沒了",AND(VLOOKUP(C267,Code!H:W,13,FALSE)&gt;0,VLOOKUP(C267,Code!H:W,16,FALSE)=0),"發股息了",AND(VLOOKUP(C267,Code!H:W,13,FALSE)&gt;0,VLOOKUP(C267,Code!H:W,16,FALSE)&gt;0),POWER((VLOOKUP(C267,Code!H:W,13,FALSE))/(VLOOKUP(C267,Code!H:W,16,FALSE)),1/(P267-1))-1)),"")</f>
        <v>9.431179206540885E-2</v>
      </c>
      <c r="L267" s="173">
        <f>IFERROR(VLOOKUP(C267,Code!H:W,13,FALSE)*4/VLOOKUP(C267,Code!H:W,12,FALSE),"")</f>
        <v>2.7527290384464304E-2</v>
      </c>
      <c r="M267" s="172">
        <f t="shared" si="33"/>
        <v>0.25837959149955259</v>
      </c>
      <c r="N267" s="172" t="str">
        <f t="shared" si="34"/>
        <v>-</v>
      </c>
      <c r="O267" s="172" t="str">
        <f t="shared" si="35"/>
        <v>-</v>
      </c>
      <c r="P267" s="205">
        <f>IFERROR(YEARFRAC(VLOOKUP(C267,Code!H:W,11,FALSE),VLOOKUP(C267,Code!H:W,14,FALSE),3),"")</f>
        <v>4.7589041095890412</v>
      </c>
      <c r="Q267" s="174">
        <v>44547</v>
      </c>
      <c r="R267" s="175" t="str">
        <f t="shared" ca="1" si="36"/>
        <v/>
      </c>
      <c r="S267" s="176">
        <f>IFERROR(VLOOKUP($C267,Code!$H:$Q,5,FALSE),"")</f>
        <v>0.16800000000000001</v>
      </c>
      <c r="T267" s="177" t="str">
        <f t="shared" ca="1" si="37"/>
        <v/>
      </c>
      <c r="U267" s="178" t="str">
        <f t="shared" ca="1" si="38"/>
        <v/>
      </c>
      <c r="V267" s="179">
        <f>IFERROR(VLOOKUP($C267,Code!$H:$Q,6,FALSE),"")</f>
        <v>63.11</v>
      </c>
      <c r="W267" s="180" t="str">
        <f t="shared" ca="1" si="39"/>
        <v/>
      </c>
      <c r="X267" s="12"/>
      <c r="Y267" s="12"/>
      <c r="Z267" s="12"/>
      <c r="AA267" s="12"/>
      <c r="AB267" s="12"/>
    </row>
    <row r="268" spans="1:28" s="10" customFormat="1" ht="15" hidden="1">
      <c r="A268" s="9"/>
      <c r="B268" s="169" cm="1">
        <f t="array" ref="B268">_xlfn.IFS(OR(Code!R197&lt;&gt;Code!U197,Code!R197=""),0,Code!R197=Code!U197,1)</f>
        <v>0</v>
      </c>
      <c r="C268" s="193" t="str">
        <f>IF(Code!F197="","",Code!F197)</f>
        <v>GD</v>
      </c>
      <c r="D268" s="155" t="str">
        <f>IFERROR(VLOOKUP($C268,Code!$H:$K,2,FALSE),"")</f>
        <v>XLI</v>
      </c>
      <c r="E268" s="156" t="str">
        <f>IFERROR(VLOOKUP($C268,Code!$H:$K,3,FALSE),"")</f>
        <v>航天軍工</v>
      </c>
      <c r="F268" s="157" t="str">
        <f>IFERROR(VLOOKUP($C268,Code!$H:$K,4,FALSE),"")</f>
        <v>.SPX</v>
      </c>
      <c r="G268" s="170">
        <f>IFERROR(((VLOOKUP($C268,Code!$H:$Q,9,FALSE))+(VLOOKUP($C268,Code!$H:$Q,10,FALSE)))/2*0.5/(((VLOOKUP($C268,Code!$H:$Q,7,FALSE))+(VLOOKUP($C268,Code!$H:$Q,8,FALSE)))/2),0)</f>
        <v>0.64349531488341694</v>
      </c>
      <c r="H268" s="171" t="str">
        <f t="shared" si="32"/>
        <v>L</v>
      </c>
      <c r="I268" s="170">
        <f>IFERROR((VLOOKUP($C268,Code!$H:$Q,5,FALSE))/(((VLOOKUP($C268,Code!$H:$Q,7,FALSE))+(VLOOKUP($C268,Code!$H:$Q,8,FALSE)))/2)-1,0)</f>
        <v>-0.17890607975593797</v>
      </c>
      <c r="J268" s="204">
        <f>IFERROR(POWER((VLOOKUP(C268,Code!H:W,12,FALSE))/(VLOOKUP(C268,Code!H:W,15,FALSE)),1/(P268-1))-1,"")</f>
        <v>8.5951072506688098E-2</v>
      </c>
      <c r="K268" s="172" cm="1">
        <f t="array" ref="K268">IFERROR(IF(C268="","",_xlfn.IFS(AND(VLOOKUP(C268,Code!H:W,13,FALSE)=0,VLOOKUP(C268,Code!H:W,16,FALSE)=0),"無股息",AND(VLOOKUP(C268,Code!H:W,13,FALSE)=0,VLOOKUP(C268,Code!H:W,16,FALSE)&gt;0),"股息沒了",AND(VLOOKUP(C268,Code!H:W,13,FALSE)&gt;0,VLOOKUP(C268,Code!H:W,16,FALSE)=0),"發股息了",AND(VLOOKUP(C268,Code!H:W,13,FALSE)&gt;0,VLOOKUP(C268,Code!H:W,16,FALSE)&gt;0),POWER((VLOOKUP(C268,Code!H:W,13,FALSE))/(VLOOKUP(C268,Code!H:W,16,FALSE)),1/(P268-1))-1)),"")</f>
        <v>0.1273832037920315</v>
      </c>
      <c r="L268" s="173">
        <f>IFERROR(VLOOKUP(C268,Code!H:W,13,FALSE)*4/VLOOKUP(C268,Code!H:W,12,FALSE),"")</f>
        <v>2.5312416499615294E-2</v>
      </c>
      <c r="M268" s="172">
        <f t="shared" si="33"/>
        <v>0.21333427629871959</v>
      </c>
      <c r="N268" s="172" t="str">
        <f t="shared" si="34"/>
        <v>-</v>
      </c>
      <c r="O268" s="172" t="str">
        <f t="shared" si="35"/>
        <v>Value</v>
      </c>
      <c r="P268" s="205">
        <f>IFERROR(YEARFRAC(VLOOKUP(C268,Code!H:W,11,FALSE),VLOOKUP(C268,Code!H:W,14,FALSE),3),"")</f>
        <v>4.7397260273972606</v>
      </c>
      <c r="Q268" s="174">
        <v>44547</v>
      </c>
      <c r="R268" s="175" t="str">
        <f t="shared" ca="1" si="36"/>
        <v/>
      </c>
      <c r="S268" s="176">
        <f>IFERROR(VLOOKUP($C268,Code!$H:$Q,5,FALSE),"")</f>
        <v>0.18840000000000001</v>
      </c>
      <c r="T268" s="177" t="str">
        <f t="shared" ca="1" si="37"/>
        <v/>
      </c>
      <c r="U268" s="178" t="str">
        <f t="shared" ca="1" si="38"/>
        <v/>
      </c>
      <c r="V268" s="179">
        <f>IFERROR(VLOOKUP($C268,Code!$H:$Q,6,FALSE),"")</f>
        <v>198.21</v>
      </c>
      <c r="W268" s="180" t="str">
        <f t="shared" ca="1" si="39"/>
        <v/>
      </c>
      <c r="X268" s="12"/>
      <c r="Y268" s="12"/>
      <c r="Z268" s="12"/>
      <c r="AA268" s="12"/>
      <c r="AB268" s="12"/>
    </row>
    <row r="269" spans="1:28" s="10" customFormat="1" ht="15">
      <c r="A269" s="9"/>
      <c r="B269" s="169" cm="1">
        <f t="array" ref="B269">_xlfn.IFS(OR(Code!R108&lt;&gt;Code!U108,Code!R108=""),0,Code!R108=Code!U108,1)</f>
        <v>0</v>
      </c>
      <c r="C269" s="193" t="str">
        <f>IF(Code!F108="","",Code!F108)</f>
        <v>COF</v>
      </c>
      <c r="D269" s="155" t="str">
        <f>IFERROR(VLOOKUP($C269,Code!$H:$K,2,FALSE),"")</f>
        <v>XLF</v>
      </c>
      <c r="E269" s="156" t="str">
        <f>IFERROR(VLOOKUP($C269,Code!$H:$K,3,FALSE),"")</f>
        <v>信貸服務</v>
      </c>
      <c r="F269" s="157" t="str">
        <f>IFERROR(VLOOKUP($C269,Code!$H:$K,4,FALSE),"")</f>
        <v>.SPX</v>
      </c>
      <c r="G269" s="170">
        <f>IFERROR(((VLOOKUP($C269,Code!$H:$Q,9,FALSE))+(VLOOKUP($C269,Code!$H:$Q,10,FALSE)))/2*0.5/(((VLOOKUP($C269,Code!$H:$Q,7,FALSE))+(VLOOKUP($C269,Code!$H:$Q,8,FALSE)))/2),0)</f>
        <v>0.55559281115879822</v>
      </c>
      <c r="H269" s="171" t="str">
        <f t="shared" si="32"/>
        <v>M</v>
      </c>
      <c r="I269" s="170">
        <f>IFERROR((VLOOKUP($C269,Code!$H:$Q,5,FALSE))/(((VLOOKUP($C269,Code!$H:$Q,7,FALSE))+(VLOOKUP($C269,Code!$H:$Q,8,FALSE)))/2)-1,0)</f>
        <v>-0.18025751072961382</v>
      </c>
      <c r="J269" s="204">
        <f>IFERROR(POWER((VLOOKUP(C269,Code!H:W,12,FALSE))/(VLOOKUP(C269,Code!H:W,15,FALSE)),1/(P269-1))-1,"")</f>
        <v>0.25648737048752879</v>
      </c>
      <c r="K269" s="172" cm="1">
        <f t="array" ref="K269">IFERROR(IF(C269="","",_xlfn.IFS(AND(VLOOKUP(C269,Code!H:W,13,FALSE)=0,VLOOKUP(C269,Code!H:W,16,FALSE)=0),"無股息",AND(VLOOKUP(C269,Code!H:W,13,FALSE)=0,VLOOKUP(C269,Code!H:W,16,FALSE)&gt;0),"股息沒了",AND(VLOOKUP(C269,Code!H:W,13,FALSE)&gt;0,VLOOKUP(C269,Code!H:W,16,FALSE)=0),"發股息了",AND(VLOOKUP(C269,Code!H:W,13,FALSE)&gt;0,VLOOKUP(C269,Code!H:W,16,FALSE)&gt;0),POWER((VLOOKUP(C269,Code!H:W,13,FALSE))/(VLOOKUP(C269,Code!H:W,16,FALSE)),1/(P269-1))-1)),"")</f>
        <v>0</v>
      </c>
      <c r="L269" s="173">
        <f>IFERROR(VLOOKUP(C269,Code!H:W,13,FALSE)*4/VLOOKUP(C269,Code!H:W,12,FALSE),"")</f>
        <v>1.0119536992116441E-2</v>
      </c>
      <c r="M269" s="172">
        <f t="shared" si="33"/>
        <v>0.25648737048752879</v>
      </c>
      <c r="N269" s="172" t="str">
        <f t="shared" si="34"/>
        <v>-</v>
      </c>
      <c r="O269" s="172" t="str">
        <f t="shared" si="35"/>
        <v>-</v>
      </c>
      <c r="P269" s="205">
        <f>IFERROR(YEARFRAC(VLOOKUP(C269,Code!H:W,11,FALSE),VLOOKUP(C269,Code!H:W,14,FALSE),3),"")</f>
        <v>4.5123287671232877</v>
      </c>
      <c r="Q269" s="174">
        <v>44547</v>
      </c>
      <c r="R269" s="175" t="str">
        <f t="shared" ca="1" si="36"/>
        <v/>
      </c>
      <c r="S269" s="176">
        <f>IFERROR(VLOOKUP($C269,Code!$H:$Q,5,FALSE),"")</f>
        <v>0.30559999999999998</v>
      </c>
      <c r="T269" s="177" t="str">
        <f t="shared" ca="1" si="37"/>
        <v/>
      </c>
      <c r="U269" s="178" t="str">
        <f t="shared" ca="1" si="38"/>
        <v/>
      </c>
      <c r="V269" s="179">
        <f>IFERROR(VLOOKUP($C269,Code!$H:$Q,6,FALSE),"")</f>
        <v>164.66</v>
      </c>
      <c r="W269" s="180" t="str">
        <f t="shared" ca="1" si="39"/>
        <v/>
      </c>
      <c r="X269" s="12"/>
      <c r="Y269" s="12"/>
      <c r="Z269" s="12"/>
      <c r="AA269" s="12"/>
      <c r="AB269" s="12"/>
    </row>
    <row r="270" spans="1:28" s="10" customFormat="1" ht="15" hidden="1">
      <c r="A270" s="9"/>
      <c r="B270" s="169" cm="1">
        <f t="array" ref="B270">_xlfn.IFS(OR(Code!R487&lt;&gt;Code!U487,Code!R487=""),0,Code!R487=Code!U487,1)</f>
        <v>0</v>
      </c>
      <c r="C270" s="193" t="str">
        <f>IF(Code!F487="","",Code!F487)</f>
        <v>WFC</v>
      </c>
      <c r="D270" s="155" t="str">
        <f>IFERROR(VLOOKUP($C270,Code!$H:$K,2,FALSE),"")</f>
        <v>XLF</v>
      </c>
      <c r="E270" s="156" t="str">
        <f>IFERROR(VLOOKUP($C270,Code!$H:$K,3,FALSE),"")</f>
        <v>銀行-多樣化</v>
      </c>
      <c r="F270" s="157" t="str">
        <f>IFERROR(VLOOKUP($C270,Code!$H:$K,4,FALSE),"")</f>
        <v>.SPX</v>
      </c>
      <c r="G270" s="170">
        <f>IFERROR(((VLOOKUP($C270,Code!$H:$Q,9,FALSE))+(VLOOKUP($C270,Code!$H:$Q,10,FALSE)))/2*0.5/(((VLOOKUP($C270,Code!$H:$Q,7,FALSE))+(VLOOKUP($C270,Code!$H:$Q,8,FALSE)))/2),0)</f>
        <v>0.53754800170672745</v>
      </c>
      <c r="H270" s="171" t="str">
        <f t="shared" si="32"/>
        <v>M</v>
      </c>
      <c r="I270" s="170">
        <f>IFERROR((VLOOKUP($C270,Code!$H:$Q,5,FALSE))/(((VLOOKUP($C270,Code!$H:$Q,7,FALSE))+(VLOOKUP($C270,Code!$H:$Q,8,FALSE)))/2)-1,0)</f>
        <v>-0.18048641729483705</v>
      </c>
      <c r="J270" s="204">
        <f>IFERROR(POWER((VLOOKUP(C270,Code!H:W,12,FALSE))/(VLOOKUP(C270,Code!H:W,15,FALSE)),1/(P270-1))-1,"")</f>
        <v>4.9937278588879641E-2</v>
      </c>
      <c r="K270" s="172" cm="1">
        <f t="array" ref="K270">IFERROR(IF(C270="","",_xlfn.IFS(AND(VLOOKUP(C270,Code!H:W,13,FALSE)=0,VLOOKUP(C270,Code!H:W,16,FALSE)=0),"無股息",AND(VLOOKUP(C270,Code!H:W,13,FALSE)=0,VLOOKUP(C270,Code!H:W,16,FALSE)&gt;0),"股息沒了",AND(VLOOKUP(C270,Code!H:W,13,FALSE)&gt;0,VLOOKUP(C270,Code!H:W,16,FALSE)=0),"發股息了",AND(VLOOKUP(C270,Code!H:W,13,FALSE)&gt;0,VLOOKUP(C270,Code!H:W,16,FALSE)&gt;0),POWER((VLOOKUP(C270,Code!H:W,13,FALSE))/(VLOOKUP(C270,Code!H:W,16,FALSE)),1/(P270-1))-1)),"")</f>
        <v>-0.15697240670096912</v>
      </c>
      <c r="L270" s="173">
        <f>IFERROR(VLOOKUP(C270,Code!H:W,13,FALSE)*4/VLOOKUP(C270,Code!H:W,12,FALSE),"")</f>
        <v>1.7024898306539124E-2</v>
      </c>
      <c r="M270" s="172">
        <f t="shared" si="33"/>
        <v>-0.10703512811208948</v>
      </c>
      <c r="N270" s="172" t="str">
        <f t="shared" si="34"/>
        <v>-</v>
      </c>
      <c r="O270" s="172" t="str">
        <f t="shared" si="35"/>
        <v>-</v>
      </c>
      <c r="P270" s="205">
        <f>IFERROR(YEARFRAC(VLOOKUP(C270,Code!H:W,11,FALSE),VLOOKUP(C270,Code!H:W,14,FALSE),3),"")</f>
        <v>4.7589041095890412</v>
      </c>
      <c r="Q270" s="174">
        <v>44547</v>
      </c>
      <c r="R270" s="175" t="str">
        <f t="shared" ca="1" si="36"/>
        <v/>
      </c>
      <c r="S270" s="176">
        <f>IFERROR(VLOOKUP($C270,Code!$H:$Q,5,FALSE),"")</f>
        <v>0.28810000000000002</v>
      </c>
      <c r="T270" s="177" t="str">
        <f t="shared" ca="1" si="37"/>
        <v/>
      </c>
      <c r="U270" s="178" t="str">
        <f t="shared" ca="1" si="38"/>
        <v/>
      </c>
      <c r="V270" s="179">
        <f>IFERROR(VLOOKUP($C270,Code!$H:$Q,6,FALSE),"")</f>
        <v>48.75</v>
      </c>
      <c r="W270" s="180" t="str">
        <f t="shared" ca="1" si="39"/>
        <v/>
      </c>
      <c r="X270" s="12"/>
      <c r="Y270" s="12"/>
      <c r="Z270" s="12"/>
      <c r="AA270" s="12"/>
      <c r="AB270" s="12"/>
    </row>
    <row r="271" spans="1:28" s="10" customFormat="1" ht="15" hidden="1">
      <c r="A271" s="9"/>
      <c r="B271" s="169" cm="1">
        <f t="array" ref="B271">_xlfn.IFS(OR(Code!R443&lt;&gt;Code!U443,Code!R443=""),0,Code!R443=Code!U443,1)</f>
        <v>1</v>
      </c>
      <c r="C271" s="193" t="str">
        <f>IF(Code!F443="","",Code!F443)</f>
        <v>TMUS</v>
      </c>
      <c r="D271" s="155" t="str">
        <f>IFERROR(VLOOKUP($C271,Code!$H:$K,2,FALSE),"")</f>
        <v>XLC</v>
      </c>
      <c r="E271" s="156" t="str">
        <f>IFERROR(VLOOKUP($C271,Code!$H:$K,3,FALSE),"")</f>
        <v>電信業務</v>
      </c>
      <c r="F271" s="157" t="str">
        <f>IFERROR(VLOOKUP($C271,Code!$H:$K,4,FALSE),"")</f>
        <v>.SPX</v>
      </c>
      <c r="G271" s="170">
        <f>IFERROR(((VLOOKUP($C271,Code!$H:$Q,9,FALSE))+(VLOOKUP($C271,Code!$H:$Q,10,FALSE)))/2*0.5/(((VLOOKUP($C271,Code!$H:$Q,7,FALSE))+(VLOOKUP($C271,Code!$H:$Q,8,FALSE)))/2),0)</f>
        <v>0.65633479440617826</v>
      </c>
      <c r="H271" s="171" t="str">
        <f t="shared" si="32"/>
        <v>L</v>
      </c>
      <c r="I271" s="170">
        <f>IFERROR((VLOOKUP($C271,Code!$H:$Q,5,FALSE))/(((VLOOKUP($C271,Code!$H:$Q,7,FALSE))+(VLOOKUP($C271,Code!$H:$Q,8,FALSE)))/2)-1,0)</f>
        <v>-0.18054685869338338</v>
      </c>
      <c r="J271" s="204" t="str">
        <f>IFERROR(POWER((VLOOKUP(C271,Code!H:W,12,FALSE))/(VLOOKUP(C271,Code!H:W,15,FALSE)),1/(P271-1))-1,"")</f>
        <v/>
      </c>
      <c r="K271" s="172" t="str" cm="1">
        <f t="array" ref="K271">IFERROR(IF(C271="","",_xlfn.IFS(AND(VLOOKUP(C271,Code!H:W,13,FALSE)=0,VLOOKUP(C271,Code!H:W,16,FALSE)=0),"無股息",AND(VLOOKUP(C271,Code!H:W,13,FALSE)=0,VLOOKUP(C271,Code!H:W,16,FALSE)&gt;0),"股息沒了",AND(VLOOKUP(C271,Code!H:W,13,FALSE)&gt;0,VLOOKUP(C271,Code!H:W,16,FALSE)=0),"發股息了",AND(VLOOKUP(C271,Code!H:W,13,FALSE)&gt;0,VLOOKUP(C271,Code!H:W,16,FALSE)&gt;0),POWER((VLOOKUP(C271,Code!H:W,13,FALSE))/(VLOOKUP(C271,Code!H:W,16,FALSE)),1/(P271-1))-1)),"")</f>
        <v>無股息</v>
      </c>
      <c r="L271" s="173" t="str">
        <f>IFERROR(VLOOKUP(C271,Code!H:W,13,FALSE)*4/VLOOKUP(C271,Code!H:W,12,FALSE),"")</f>
        <v/>
      </c>
      <c r="M271" s="172" t="str">
        <f t="shared" si="33"/>
        <v/>
      </c>
      <c r="N271" s="172" t="str">
        <f t="shared" si="34"/>
        <v/>
      </c>
      <c r="O271" s="172" t="str">
        <f t="shared" si="35"/>
        <v/>
      </c>
      <c r="P271" s="205">
        <f>IFERROR(YEARFRAC(VLOOKUP(C271,Code!H:W,11,FALSE),VLOOKUP(C271,Code!H:W,14,FALSE),3),"")</f>
        <v>0</v>
      </c>
      <c r="Q271" s="174">
        <v>44547</v>
      </c>
      <c r="R271" s="175" t="str">
        <f t="shared" ca="1" si="36"/>
        <v/>
      </c>
      <c r="S271" s="176">
        <f>IFERROR(VLOOKUP($C271,Code!$H:$Q,5,FALSE),"")</f>
        <v>0.1963</v>
      </c>
      <c r="T271" s="177" t="str">
        <f t="shared" ca="1" si="37"/>
        <v/>
      </c>
      <c r="U271" s="178" t="str">
        <f t="shared" ca="1" si="38"/>
        <v/>
      </c>
      <c r="V271" s="179">
        <f>IFERROR(VLOOKUP($C271,Code!$H:$Q,6,FALSE),"")</f>
        <v>141.93</v>
      </c>
      <c r="W271" s="180" t="str">
        <f t="shared" ca="1" si="39"/>
        <v/>
      </c>
      <c r="X271" s="12"/>
      <c r="Y271" s="12"/>
      <c r="Z271" s="12"/>
      <c r="AA271" s="12"/>
      <c r="AB271" s="12"/>
    </row>
    <row r="272" spans="1:28" s="10" customFormat="1" ht="15" hidden="1">
      <c r="A272" s="9"/>
      <c r="B272" s="169" cm="1">
        <f t="array" ref="B272">_xlfn.IFS(OR(Code!R294&lt;&gt;Code!U294,Code!R294=""),0,Code!R294=Code!U294,1)</f>
        <v>0</v>
      </c>
      <c r="C272" s="193" t="str">
        <f>IF(Code!F294="","",Code!F294)</f>
        <v>MAA</v>
      </c>
      <c r="D272" s="155" t="str">
        <f>IFERROR(VLOOKUP($C272,Code!$H:$K,2,FALSE),"")</f>
        <v>XLRE</v>
      </c>
      <c r="E272" s="156" t="str">
        <f>IFERROR(VLOOKUP($C272,Code!$H:$K,3,FALSE),"")</f>
        <v>-</v>
      </c>
      <c r="F272" s="157" t="str">
        <f>IFERROR(VLOOKUP($C272,Code!$H:$K,4,FALSE),"")</f>
        <v>.SPX</v>
      </c>
      <c r="G272" s="170">
        <f>IFERROR(((VLOOKUP($C272,Code!$H:$Q,9,FALSE))+(VLOOKUP($C272,Code!$H:$Q,10,FALSE)))/2*0.5/(((VLOOKUP($C272,Code!$H:$Q,7,FALSE))+(VLOOKUP($C272,Code!$H:$Q,8,FALSE)))/2),0)</f>
        <v>0.61976118005151015</v>
      </c>
      <c r="H272" s="171" t="str">
        <f t="shared" si="32"/>
        <v>L</v>
      </c>
      <c r="I272" s="170">
        <f>IFERROR((VLOOKUP($C272,Code!$H:$Q,5,FALSE))/(((VLOOKUP($C272,Code!$H:$Q,7,FALSE))+(VLOOKUP($C272,Code!$H:$Q,8,FALSE)))/2)-1,0)</f>
        <v>-0.18145633341137912</v>
      </c>
      <c r="J272" s="204">
        <f>IFERROR(POWER((VLOOKUP(C272,Code!H:W,12,FALSE))/(VLOOKUP(C272,Code!H:W,15,FALSE)),1/(P272-1))-1,"")</f>
        <v>0.27123917896354932</v>
      </c>
      <c r="K272" s="172" cm="1">
        <f t="array" ref="K272">IFERROR(IF(C272="","",_xlfn.IFS(AND(VLOOKUP(C272,Code!H:W,13,FALSE)=0,VLOOKUP(C272,Code!H:W,16,FALSE)=0),"無股息",AND(VLOOKUP(C272,Code!H:W,13,FALSE)=0,VLOOKUP(C272,Code!H:W,16,FALSE)&gt;0),"股息沒了",AND(VLOOKUP(C272,Code!H:W,13,FALSE)&gt;0,VLOOKUP(C272,Code!H:W,16,FALSE)=0),"發股息了",AND(VLOOKUP(C272,Code!H:W,13,FALSE)&gt;0,VLOOKUP(C272,Code!H:W,16,FALSE)&gt;0),POWER((VLOOKUP(C272,Code!H:W,13,FALSE))/(VLOOKUP(C272,Code!H:W,16,FALSE)),1/(P272-1))-1)),"")</f>
        <v>6.1207373152514233E-2</v>
      </c>
      <c r="L272" s="173">
        <f>IFERROR(VLOOKUP(C272,Code!H:W,13,FALSE)*4/VLOOKUP(C272,Code!H:W,12,FALSE),"")</f>
        <v>2.2476837441408753E-2</v>
      </c>
      <c r="M272" s="172">
        <f t="shared" si="33"/>
        <v>0.33244655211606355</v>
      </c>
      <c r="N272" s="172" t="str">
        <f t="shared" si="34"/>
        <v>-</v>
      </c>
      <c r="O272" s="172" t="str">
        <f t="shared" si="35"/>
        <v>-</v>
      </c>
      <c r="P272" s="205">
        <f>IFERROR(YEARFRAC(VLOOKUP(C272,Code!H:W,11,FALSE),VLOOKUP(C272,Code!H:W,14,FALSE),3),"")</f>
        <v>4.7561643835616438</v>
      </c>
      <c r="Q272" s="174">
        <v>44547</v>
      </c>
      <c r="R272" s="175" t="str">
        <f t="shared" ca="1" si="36"/>
        <v/>
      </c>
      <c r="S272" s="176">
        <f>IFERROR(VLOOKUP($C272,Code!$H:$Q,5,FALSE),"")</f>
        <v>0.17480000000000001</v>
      </c>
      <c r="T272" s="177" t="str">
        <f t="shared" ca="1" si="37"/>
        <v/>
      </c>
      <c r="U272" s="178" t="str">
        <f t="shared" ca="1" si="38"/>
        <v/>
      </c>
      <c r="V272" s="179">
        <f>IFERROR(VLOOKUP($C272,Code!$H:$Q,6,FALSE),"")</f>
        <v>191.48</v>
      </c>
      <c r="W272" s="180" t="str">
        <f t="shared" ca="1" si="39"/>
        <v/>
      </c>
      <c r="X272" s="12"/>
      <c r="Y272" s="12"/>
      <c r="Z272" s="12"/>
      <c r="AA272" s="12"/>
      <c r="AB272" s="12"/>
    </row>
    <row r="273" spans="1:28" s="10" customFormat="1" ht="15" hidden="1">
      <c r="A273" s="9"/>
      <c r="B273" s="169" cm="1">
        <f t="array" ref="B273">_xlfn.IFS(OR(Code!R83&lt;&gt;Code!U83,Code!R83=""),0,Code!R83=Code!U83,1)</f>
        <v>0</v>
      </c>
      <c r="C273" s="193" t="str">
        <f>IF(Code!F83="","",Code!F83)</f>
        <v>CBOE</v>
      </c>
      <c r="D273" s="155" t="str">
        <f>IFERROR(VLOOKUP($C273,Code!$H:$K,2,FALSE),"")</f>
        <v>XLF</v>
      </c>
      <c r="E273" s="156" t="str">
        <f>IFERROR(VLOOKUP($C273,Code!$H:$K,3,FALSE),"")</f>
        <v>-</v>
      </c>
      <c r="F273" s="157" t="str">
        <f>IFERROR(VLOOKUP($C273,Code!$H:$K,4,FALSE),"")</f>
        <v>.SPX</v>
      </c>
      <c r="G273" s="170">
        <f>IFERROR(((VLOOKUP($C273,Code!$H:$Q,9,FALSE))+(VLOOKUP($C273,Code!$H:$Q,10,FALSE)))/2*0.5/(((VLOOKUP($C273,Code!$H:$Q,7,FALSE))+(VLOOKUP($C273,Code!$H:$Q,8,FALSE)))/2),0)</f>
        <v>0.49365750528541219</v>
      </c>
      <c r="H273" s="171" t="str">
        <f t="shared" si="32"/>
        <v>S</v>
      </c>
      <c r="I273" s="170">
        <f>IFERROR((VLOOKUP($C273,Code!$H:$Q,5,FALSE))/(((VLOOKUP($C273,Code!$H:$Q,7,FALSE))+(VLOOKUP($C273,Code!$H:$Q,8,FALSE)))/2)-1,0)</f>
        <v>-0.18151615826034428</v>
      </c>
      <c r="J273" s="204">
        <f>IFERROR(POWER((VLOOKUP(C273,Code!H:W,12,FALSE))/(VLOOKUP(C273,Code!H:W,15,FALSE)),1/(P273-1))-1,"")</f>
        <v>0.45497268561995075</v>
      </c>
      <c r="K273" s="172" cm="1">
        <f t="array" ref="K273">IFERROR(IF(C273="","",_xlfn.IFS(AND(VLOOKUP(C273,Code!H:W,13,FALSE)=0,VLOOKUP(C273,Code!H:W,16,FALSE)=0),"無股息",AND(VLOOKUP(C273,Code!H:W,13,FALSE)=0,VLOOKUP(C273,Code!H:W,16,FALSE)&gt;0),"股息沒了",AND(VLOOKUP(C273,Code!H:W,13,FALSE)&gt;0,VLOOKUP(C273,Code!H:W,16,FALSE)=0),"發股息了",AND(VLOOKUP(C273,Code!H:W,13,FALSE)&gt;0,VLOOKUP(C273,Code!H:W,16,FALSE)&gt;0),POWER((VLOOKUP(C273,Code!H:W,13,FALSE))/(VLOOKUP(C273,Code!H:W,16,FALSE)),1/(P273-1))-1)),"")</f>
        <v>0.18834534834518823</v>
      </c>
      <c r="L273" s="173">
        <f>IFERROR(VLOOKUP(C273,Code!H:W,13,FALSE)*4/VLOOKUP(C273,Code!H:W,12,FALSE),"")</f>
        <v>1.1607226235575606E-2</v>
      </c>
      <c r="M273" s="172">
        <f t="shared" si="33"/>
        <v>0.64331803396513898</v>
      </c>
      <c r="N273" s="172" t="str">
        <f t="shared" si="34"/>
        <v>-</v>
      </c>
      <c r="O273" s="172" t="str">
        <f t="shared" si="35"/>
        <v>Value</v>
      </c>
      <c r="P273" s="205">
        <f>IFERROR(YEARFRAC(VLOOKUP(C273,Code!H:W,11,FALSE),VLOOKUP(C273,Code!H:W,14,FALSE),3),"")</f>
        <v>2.2465753424657535</v>
      </c>
      <c r="Q273" s="174">
        <v>44547</v>
      </c>
      <c r="R273" s="175" t="str">
        <f t="shared" ca="1" si="36"/>
        <v/>
      </c>
      <c r="S273" s="176">
        <f>IFERROR(VLOOKUP($C273,Code!$H:$Q,5,FALSE),"")</f>
        <v>0.27100000000000002</v>
      </c>
      <c r="T273" s="177" t="str">
        <f t="shared" ca="1" si="37"/>
        <v/>
      </c>
      <c r="U273" s="178" t="str">
        <f t="shared" ca="1" si="38"/>
        <v/>
      </c>
      <c r="V273" s="179">
        <f>IFERROR(VLOOKUP($C273,Code!$H:$Q,6,FALSE),"")</f>
        <v>121</v>
      </c>
      <c r="W273" s="180" t="str">
        <f t="shared" ca="1" si="39"/>
        <v/>
      </c>
      <c r="X273" s="12"/>
      <c r="Y273" s="12"/>
      <c r="Z273" s="12"/>
      <c r="AA273" s="12"/>
      <c r="AB273" s="12"/>
    </row>
    <row r="274" spans="1:28" s="10" customFormat="1" ht="15" hidden="1">
      <c r="A274" s="9"/>
      <c r="B274" s="169" cm="1">
        <f t="array" ref="B274">_xlfn.IFS(OR(Code!R411&lt;&gt;Code!U411,Code!R411=""),0,Code!R411=Code!U411,1)</f>
        <v>0</v>
      </c>
      <c r="C274" s="193" t="str">
        <f>IF(Code!F411="","",Code!F411)</f>
        <v>SCHW</v>
      </c>
      <c r="D274" s="155" t="str">
        <f>IFERROR(VLOOKUP($C274,Code!$H:$K,2,FALSE),"")</f>
        <v>XLF</v>
      </c>
      <c r="E274" s="156" t="str">
        <f>IFERROR(VLOOKUP($C274,Code!$H:$K,3,FALSE),"")</f>
        <v>資本市場</v>
      </c>
      <c r="F274" s="157" t="str">
        <f>IFERROR(VLOOKUP($C274,Code!$H:$K,4,FALSE),"")</f>
        <v>.SPX</v>
      </c>
      <c r="G274" s="170">
        <f>IFERROR(((VLOOKUP($C274,Code!$H:$Q,9,FALSE))+(VLOOKUP($C274,Code!$H:$Q,10,FALSE)))/2*0.5/(((VLOOKUP($C274,Code!$H:$Q,7,FALSE))+(VLOOKUP($C274,Code!$H:$Q,8,FALSE)))/2),0)</f>
        <v>0.51939528023598824</v>
      </c>
      <c r="H274" s="171" t="str">
        <f t="shared" si="32"/>
        <v>M</v>
      </c>
      <c r="I274" s="170">
        <f>IFERROR((VLOOKUP($C274,Code!$H:$Q,5,FALSE))/(((VLOOKUP($C274,Code!$H:$Q,7,FALSE))+(VLOOKUP($C274,Code!$H:$Q,8,FALSE)))/2)-1,0)</f>
        <v>-0.18230088495575225</v>
      </c>
      <c r="J274" s="204">
        <f>IFERROR(POWER((VLOOKUP(C274,Code!H:W,12,FALSE))/(VLOOKUP(C274,Code!H:W,15,FALSE)),1/(P274-1))-1,"")</f>
        <v>0.27969493245361154</v>
      </c>
      <c r="K274" s="172" cm="1">
        <f t="array" ref="K274">IFERROR(IF(C274="","",_xlfn.IFS(AND(VLOOKUP(C274,Code!H:W,13,FALSE)=0,VLOOKUP(C274,Code!H:W,16,FALSE)=0),"無股息",AND(VLOOKUP(C274,Code!H:W,13,FALSE)=0,VLOOKUP(C274,Code!H:W,16,FALSE)&gt;0),"股息沒了",AND(VLOOKUP(C274,Code!H:W,13,FALSE)&gt;0,VLOOKUP(C274,Code!H:W,16,FALSE)=0),"發股息了",AND(VLOOKUP(C274,Code!H:W,13,FALSE)&gt;0,VLOOKUP(C274,Code!H:W,16,FALSE)&gt;0),POWER((VLOOKUP(C274,Code!H:W,13,FALSE))/(VLOOKUP(C274,Code!H:W,16,FALSE)),1/(P274-1))-1)),"")</f>
        <v>0.28564409027837634</v>
      </c>
      <c r="L274" s="173">
        <f>IFERROR(VLOOKUP(C274,Code!H:W,13,FALSE)*4/VLOOKUP(C274,Code!H:W,12,FALSE),"")</f>
        <v>1.0222916326568427E-2</v>
      </c>
      <c r="M274" s="172">
        <f t="shared" si="33"/>
        <v>0.56533902273198788</v>
      </c>
      <c r="N274" s="172" t="str">
        <f t="shared" si="34"/>
        <v>-</v>
      </c>
      <c r="O274" s="172" t="str">
        <f t="shared" si="35"/>
        <v>Value</v>
      </c>
      <c r="P274" s="205">
        <f>IFERROR(YEARFRAC(VLOOKUP(C274,Code!H:W,11,FALSE),VLOOKUP(C274,Code!H:W,14,FALSE),3),"")</f>
        <v>4.7589041095890412</v>
      </c>
      <c r="Q274" s="174">
        <v>44547</v>
      </c>
      <c r="R274" s="175" t="str">
        <f t="shared" ca="1" si="36"/>
        <v/>
      </c>
      <c r="S274" s="176">
        <f>IFERROR(VLOOKUP($C274,Code!$H:$Q,5,FALSE),"")</f>
        <v>0.2772</v>
      </c>
      <c r="T274" s="177" t="str">
        <f t="shared" ca="1" si="37"/>
        <v/>
      </c>
      <c r="U274" s="178" t="str">
        <f t="shared" ca="1" si="38"/>
        <v/>
      </c>
      <c r="V274" s="179">
        <f>IFERROR(VLOOKUP($C274,Code!$H:$Q,6,FALSE),"")</f>
        <v>69.3</v>
      </c>
      <c r="W274" s="180" t="str">
        <f t="shared" ca="1" si="39"/>
        <v/>
      </c>
      <c r="X274" s="12"/>
      <c r="Y274" s="12"/>
      <c r="Z274" s="12"/>
      <c r="AA274" s="12"/>
      <c r="AB274" s="12"/>
    </row>
    <row r="275" spans="1:28" s="10" customFormat="1" ht="15" hidden="1">
      <c r="A275" s="9"/>
      <c r="B275" s="169" cm="1">
        <f t="array" ref="B275">_xlfn.IFS(OR(Code!R267&lt;&gt;Code!U267,Code!R267=""),0,Code!R267=Code!U267,1)</f>
        <v>0</v>
      </c>
      <c r="C275" s="193" t="str">
        <f>IF(Code!F267="","",Code!F267)</f>
        <v>KMI</v>
      </c>
      <c r="D275" s="155" t="str">
        <f>IFERROR(VLOOKUP($C275,Code!$H:$K,2,FALSE),"")</f>
        <v>XLE</v>
      </c>
      <c r="E275" s="156" t="str">
        <f>IFERROR(VLOOKUP($C275,Code!$H:$K,3,FALSE),"")</f>
        <v>油氣中流</v>
      </c>
      <c r="F275" s="157" t="str">
        <f>IFERROR(VLOOKUP($C275,Code!$H:$K,4,FALSE),"")</f>
        <v>.SPX</v>
      </c>
      <c r="G275" s="170">
        <f>IFERROR(((VLOOKUP($C275,Code!$H:$Q,9,FALSE))+(VLOOKUP($C275,Code!$H:$Q,10,FALSE)))/2*0.5/(((VLOOKUP($C275,Code!$H:$Q,7,FALSE))+(VLOOKUP($C275,Code!$H:$Q,8,FALSE)))/2),0)</f>
        <v>0.55333882934872214</v>
      </c>
      <c r="H275" s="171" t="str">
        <f t="shared" si="32"/>
        <v>M</v>
      </c>
      <c r="I275" s="170">
        <f>IFERROR((VLOOKUP($C275,Code!$H:$Q,5,FALSE))/(((VLOOKUP($C275,Code!$H:$Q,7,FALSE))+(VLOOKUP($C275,Code!$H:$Q,8,FALSE)))/2)-1,0)</f>
        <v>-0.18351195383347085</v>
      </c>
      <c r="J275" s="204">
        <f>IFERROR(POWER((VLOOKUP(C275,Code!H:W,12,FALSE))/(VLOOKUP(C275,Code!H:W,15,FALSE)),1/(P275-1))-1,"")</f>
        <v>1.9435746944764576E-2</v>
      </c>
      <c r="K275" s="172" cm="1">
        <f t="array" ref="K275">IFERROR(IF(C275="","",_xlfn.IFS(AND(VLOOKUP(C275,Code!H:W,13,FALSE)=0,VLOOKUP(C275,Code!H:W,16,FALSE)=0),"無股息",AND(VLOOKUP(C275,Code!H:W,13,FALSE)=0,VLOOKUP(C275,Code!H:W,16,FALSE)&gt;0),"股息沒了",AND(VLOOKUP(C275,Code!H:W,13,FALSE)&gt;0,VLOOKUP(C275,Code!H:W,16,FALSE)=0),"發股息了",AND(VLOOKUP(C275,Code!H:W,13,FALSE)&gt;0,VLOOKUP(C275,Code!H:W,16,FALSE)&gt;0),POWER((VLOOKUP(C275,Code!H:W,13,FALSE))/(VLOOKUP(C275,Code!H:W,16,FALSE)),1/(P275-1))-1)),"")</f>
        <v>0.22755595575515208</v>
      </c>
      <c r="L275" s="173">
        <f>IFERROR(VLOOKUP(C275,Code!H:W,13,FALSE)*4/VLOOKUP(C275,Code!H:W,12,FALSE),"")</f>
        <v>6.214039425490761E-2</v>
      </c>
      <c r="M275" s="172">
        <f t="shared" si="33"/>
        <v>0.24699170269991666</v>
      </c>
      <c r="N275" s="172" t="str">
        <f t="shared" si="34"/>
        <v>Venture</v>
      </c>
      <c r="O275" s="172" t="str">
        <f t="shared" si="35"/>
        <v>-</v>
      </c>
      <c r="P275" s="205">
        <f>IFERROR(YEARFRAC(VLOOKUP(C275,Code!H:W,11,FALSE),VLOOKUP(C275,Code!H:W,14,FALSE),3),"")</f>
        <v>4.7561643835616438</v>
      </c>
      <c r="Q275" s="174">
        <v>44547</v>
      </c>
      <c r="R275" s="175" t="str">
        <f t="shared" ca="1" si="36"/>
        <v/>
      </c>
      <c r="S275" s="176">
        <f>IFERROR(VLOOKUP($C275,Code!$H:$Q,5,FALSE),"")</f>
        <v>0.24759999999999999</v>
      </c>
      <c r="T275" s="177" t="str">
        <f t="shared" ca="1" si="37"/>
        <v/>
      </c>
      <c r="U275" s="178" t="str">
        <f t="shared" ca="1" si="38"/>
        <v/>
      </c>
      <c r="V275" s="179">
        <f>IFERROR(VLOOKUP($C275,Code!$H:$Q,6,FALSE),"")</f>
        <v>17.11</v>
      </c>
      <c r="W275" s="180" t="str">
        <f t="shared" ca="1" si="39"/>
        <v/>
      </c>
      <c r="X275" s="12"/>
      <c r="Y275" s="12"/>
      <c r="Z275" s="12"/>
      <c r="AA275" s="12"/>
      <c r="AB275" s="12"/>
    </row>
    <row r="276" spans="1:28" s="10" customFormat="1" ht="15" hidden="1">
      <c r="A276" s="9"/>
      <c r="B276" s="169" cm="1">
        <f t="array" ref="B276">_xlfn.IFS(OR(Code!R245&lt;&gt;Code!U245,Code!R245=""),0,Code!R245=Code!U245,1)</f>
        <v>1</v>
      </c>
      <c r="C276" s="193" t="str">
        <f>IF(Code!F245="","",Code!F245)</f>
        <v>IPGP</v>
      </c>
      <c r="D276" s="155" t="str">
        <f>IFERROR(VLOOKUP($C276,Code!$H:$K,2,FALSE),"")</f>
        <v>XLK</v>
      </c>
      <c r="E276" s="156" t="str">
        <f>IFERROR(VLOOKUP($C276,Code!$H:$K,3,FALSE),"")</f>
        <v>半導體設備與材料</v>
      </c>
      <c r="F276" s="157" t="str">
        <f>IFERROR(VLOOKUP($C276,Code!$H:$K,4,FALSE),"")</f>
        <v>.SPX</v>
      </c>
      <c r="G276" s="170">
        <f>IFERROR(((VLOOKUP($C276,Code!$H:$Q,9,FALSE))+(VLOOKUP($C276,Code!$H:$Q,10,FALSE)))/2*0.5/(((VLOOKUP($C276,Code!$H:$Q,7,FALSE))+(VLOOKUP($C276,Code!$H:$Q,8,FALSE)))/2),0)</f>
        <v>0.52666129218012203</v>
      </c>
      <c r="H276" s="171" t="str">
        <f t="shared" si="32"/>
        <v>M</v>
      </c>
      <c r="I276" s="170">
        <f>IFERROR((VLOOKUP($C276,Code!$H:$Q,5,FALSE))/(((VLOOKUP($C276,Code!$H:$Q,7,FALSE))+(VLOOKUP($C276,Code!$H:$Q,8,FALSE)))/2)-1,0)</f>
        <v>-0.18415294253138315</v>
      </c>
      <c r="J276" s="204" t="str">
        <f>IFERROR(POWER((VLOOKUP(C276,Code!H:W,12,FALSE))/(VLOOKUP(C276,Code!H:W,15,FALSE)),1/(P276-1))-1,"")</f>
        <v/>
      </c>
      <c r="K276" s="172" t="str" cm="1">
        <f t="array" ref="K276">IFERROR(IF(C276="","",_xlfn.IFS(AND(VLOOKUP(C276,Code!H:W,13,FALSE)=0,VLOOKUP(C276,Code!H:W,16,FALSE)=0),"無股息",AND(VLOOKUP(C276,Code!H:W,13,FALSE)=0,VLOOKUP(C276,Code!H:W,16,FALSE)&gt;0),"股息沒了",AND(VLOOKUP(C276,Code!H:W,13,FALSE)&gt;0,VLOOKUP(C276,Code!H:W,16,FALSE)=0),"發股息了",AND(VLOOKUP(C276,Code!H:W,13,FALSE)&gt;0,VLOOKUP(C276,Code!H:W,16,FALSE)&gt;0),POWER((VLOOKUP(C276,Code!H:W,13,FALSE))/(VLOOKUP(C276,Code!H:W,16,FALSE)),1/(P276-1))-1)),"")</f>
        <v>無股息</v>
      </c>
      <c r="L276" s="173" t="str">
        <f>IFERROR(VLOOKUP(C276,Code!H:W,13,FALSE)*4/VLOOKUP(C276,Code!H:W,12,FALSE),"")</f>
        <v/>
      </c>
      <c r="M276" s="172" t="str">
        <f t="shared" si="33"/>
        <v/>
      </c>
      <c r="N276" s="172" t="str">
        <f t="shared" si="34"/>
        <v/>
      </c>
      <c r="O276" s="172" t="str">
        <f t="shared" si="35"/>
        <v/>
      </c>
      <c r="P276" s="205">
        <f>IFERROR(YEARFRAC(VLOOKUP(C276,Code!H:W,11,FALSE),VLOOKUP(C276,Code!H:W,14,FALSE),3),"")</f>
        <v>0</v>
      </c>
      <c r="Q276" s="174">
        <v>44547</v>
      </c>
      <c r="R276" s="175" t="str">
        <f t="shared" ca="1" si="36"/>
        <v/>
      </c>
      <c r="S276" s="176">
        <f>IFERROR(VLOOKUP($C276,Code!$H:$Q,5,FALSE),"")</f>
        <v>0.35420000000000001</v>
      </c>
      <c r="T276" s="177" t="str">
        <f t="shared" ca="1" si="37"/>
        <v/>
      </c>
      <c r="U276" s="178" t="str">
        <f t="shared" ca="1" si="38"/>
        <v/>
      </c>
      <c r="V276" s="179">
        <f>IFERROR(VLOOKUP($C276,Code!$H:$Q,6,FALSE),"")</f>
        <v>183.62</v>
      </c>
      <c r="W276" s="180" t="str">
        <f t="shared" ca="1" si="39"/>
        <v/>
      </c>
      <c r="X276" s="12"/>
      <c r="Y276" s="12"/>
      <c r="Z276" s="12"/>
      <c r="AA276" s="12"/>
      <c r="AB276" s="12"/>
    </row>
    <row r="277" spans="1:28" s="10" customFormat="1" ht="15" hidden="1">
      <c r="A277" s="9"/>
      <c r="B277" s="169" cm="1">
        <f t="array" ref="B277">_xlfn.IFS(OR(Code!R279&lt;&gt;Code!U279,Code!R279=""),0,Code!R279=Code!U279,1)</f>
        <v>0</v>
      </c>
      <c r="C277" s="193" t="str">
        <f>IF(Code!F279="","",Code!F279)</f>
        <v>LIN</v>
      </c>
      <c r="D277" s="155" t="str">
        <f>IFERROR(VLOOKUP($C277,Code!$H:$K,2,FALSE),"")</f>
        <v>XLB</v>
      </c>
      <c r="E277" s="156" t="str">
        <f>IFERROR(VLOOKUP($C277,Code!$H:$K,3,FALSE),"")</f>
        <v>特種化學品</v>
      </c>
      <c r="F277" s="157" t="str">
        <f>IFERROR(VLOOKUP($C277,Code!$H:$K,4,FALSE),"")</f>
        <v>.SPX</v>
      </c>
      <c r="G277" s="170">
        <f>IFERROR(((VLOOKUP($C277,Code!$H:$Q,9,FALSE))+(VLOOKUP($C277,Code!$H:$Q,10,FALSE)))/2*0.5/(((VLOOKUP($C277,Code!$H:$Q,7,FALSE))+(VLOOKUP($C277,Code!$H:$Q,8,FALSE)))/2),0)</f>
        <v>0.5926082365364308</v>
      </c>
      <c r="H277" s="171" t="str">
        <f t="shared" si="32"/>
        <v>M</v>
      </c>
      <c r="I277" s="170">
        <f>IFERROR((VLOOKUP($C277,Code!$H:$Q,5,FALSE))/(((VLOOKUP($C277,Code!$H:$Q,7,FALSE))+(VLOOKUP($C277,Code!$H:$Q,8,FALSE)))/2)-1,0)</f>
        <v>-0.18479408658922913</v>
      </c>
      <c r="J277" s="204">
        <f>IFERROR(POWER((VLOOKUP(C277,Code!H:W,12,FALSE))/(VLOOKUP(C277,Code!H:W,15,FALSE)),1/(P277-1))-1,"")</f>
        <v>0.30392376514234609</v>
      </c>
      <c r="K277" s="172" cm="1">
        <f t="array" ref="K277">IFERROR(IF(C277="","",_xlfn.IFS(AND(VLOOKUP(C277,Code!H:W,13,FALSE)=0,VLOOKUP(C277,Code!H:W,16,FALSE)=0),"無股息",AND(VLOOKUP(C277,Code!H:W,13,FALSE)=0,VLOOKUP(C277,Code!H:W,16,FALSE)&gt;0),"股息沒了",AND(VLOOKUP(C277,Code!H:W,13,FALSE)&gt;0,VLOOKUP(C277,Code!H:W,16,FALSE)=0),"發股息了",AND(VLOOKUP(C277,Code!H:W,13,FALSE)&gt;0,VLOOKUP(C277,Code!H:W,16,FALSE)&gt;0),POWER((VLOOKUP(C277,Code!H:W,13,FALSE))/(VLOOKUP(C277,Code!H:W,16,FALSE)),1/(P277-1))-1)),"")</f>
        <v>9.6920862498032001E-2</v>
      </c>
      <c r="L277" s="173">
        <f>IFERROR(VLOOKUP(C277,Code!H:W,13,FALSE)*4/VLOOKUP(C277,Code!H:W,12,FALSE),"")</f>
        <v>1.4138988698686064E-2</v>
      </c>
      <c r="M277" s="172">
        <f t="shared" si="33"/>
        <v>0.40084462764037809</v>
      </c>
      <c r="N277" s="172" t="str">
        <f t="shared" si="34"/>
        <v>-</v>
      </c>
      <c r="O277" s="172" t="str">
        <f t="shared" si="35"/>
        <v>-</v>
      </c>
      <c r="P277" s="205">
        <f>IFERROR(YEARFRAC(VLOOKUP(C277,Code!H:W,11,FALSE),VLOOKUP(C277,Code!H:W,14,FALSE),3),"")</f>
        <v>4.7397260273972606</v>
      </c>
      <c r="Q277" s="174">
        <v>44547</v>
      </c>
      <c r="R277" s="175" t="str">
        <f t="shared" ca="1" si="36"/>
        <v/>
      </c>
      <c r="S277" s="176">
        <f>IFERROR(VLOOKUP($C277,Code!$H:$Q,5,FALSE),"")</f>
        <v>0.193</v>
      </c>
      <c r="T277" s="177" t="str">
        <f t="shared" ca="1" si="37"/>
        <v/>
      </c>
      <c r="U277" s="178" t="str">
        <f t="shared" ca="1" si="38"/>
        <v/>
      </c>
      <c r="V277" s="179">
        <f>IFERROR(VLOOKUP($C277,Code!$H:$Q,6,FALSE),"")</f>
        <v>304.83</v>
      </c>
      <c r="W277" s="180" t="str">
        <f t="shared" ca="1" si="39"/>
        <v/>
      </c>
      <c r="X277" s="12"/>
      <c r="Y277" s="12"/>
      <c r="Z277" s="12"/>
      <c r="AA277" s="12"/>
      <c r="AB277" s="12"/>
    </row>
    <row r="278" spans="1:28" s="10" customFormat="1" ht="15" hidden="1">
      <c r="A278" s="9"/>
      <c r="B278" s="169" cm="1">
        <f t="array" ref="B278">_xlfn.IFS(OR(Code!R367&lt;&gt;Code!U367,Code!R367=""),0,Code!R367=Code!U367,1)</f>
        <v>0</v>
      </c>
      <c r="C278" s="193" t="str">
        <f>IF(Code!F367="","",Code!F367)</f>
        <v>PFE</v>
      </c>
      <c r="D278" s="155" t="str">
        <f>IFERROR(VLOOKUP($C278,Code!$H:$K,2,FALSE),"")</f>
        <v>XLV</v>
      </c>
      <c r="E278" s="156" t="str">
        <f>IFERROR(VLOOKUP($C278,Code!$H:$K,3,FALSE),"")</f>
        <v>藥品製造商— 常規</v>
      </c>
      <c r="F278" s="157" t="str">
        <f>IFERROR(VLOOKUP($C278,Code!$H:$K,4,FALSE),"")</f>
        <v>.SPX</v>
      </c>
      <c r="G278" s="170">
        <f>IFERROR(((VLOOKUP($C278,Code!$H:$Q,9,FALSE))+(VLOOKUP($C278,Code!$H:$Q,10,FALSE)))/2*0.5/(((VLOOKUP($C278,Code!$H:$Q,7,FALSE))+(VLOOKUP($C278,Code!$H:$Q,8,FALSE)))/2),0)</f>
        <v>0.68225155848918229</v>
      </c>
      <c r="H278" s="171" t="str">
        <f t="shared" si="32"/>
        <v>L</v>
      </c>
      <c r="I278" s="170">
        <f>IFERROR((VLOOKUP($C278,Code!$H:$Q,5,FALSE))/(((VLOOKUP($C278,Code!$H:$Q,7,FALSE))+(VLOOKUP($C278,Code!$H:$Q,8,FALSE)))/2)-1,0)</f>
        <v>-0.13641364136413647</v>
      </c>
      <c r="J278" s="204">
        <f>IFERROR(POWER((VLOOKUP(C278,Code!H:W,12,FALSE))/(VLOOKUP(C278,Code!H:W,15,FALSE)),1/(P278-1))-1,"")</f>
        <v>0.1709281426997098</v>
      </c>
      <c r="K278" s="172" cm="1">
        <f t="array" ref="K278">IFERROR(IF(C278="","",_xlfn.IFS(AND(VLOOKUP(C278,Code!H:W,13,FALSE)=0,VLOOKUP(C278,Code!H:W,16,FALSE)=0),"無股息",AND(VLOOKUP(C278,Code!H:W,13,FALSE)=0,VLOOKUP(C278,Code!H:W,16,FALSE)&gt;0),"股息沒了",AND(VLOOKUP(C278,Code!H:W,13,FALSE)&gt;0,VLOOKUP(C278,Code!H:W,16,FALSE)=0),"發股息了",AND(VLOOKUP(C278,Code!H:W,13,FALSE)&gt;0,VLOOKUP(C278,Code!H:W,16,FALSE)&gt;0),POWER((VLOOKUP(C278,Code!H:W,13,FALSE))/(VLOOKUP(C278,Code!H:W,16,FALSE)),1/(P278-1))-1)),"")</f>
        <v>8.8271878465092879E-2</v>
      </c>
      <c r="L278" s="173">
        <f>IFERROR(VLOOKUP(C278,Code!H:W,13,FALSE)*4/VLOOKUP(C278,Code!H:W,12,FALSE),"")</f>
        <v>3.6457115368602841E-2</v>
      </c>
      <c r="M278" s="172">
        <f t="shared" si="33"/>
        <v>0.25920002116480267</v>
      </c>
      <c r="N278" s="172" t="str">
        <f t="shared" si="34"/>
        <v>Venture</v>
      </c>
      <c r="O278" s="172" t="str">
        <f t="shared" si="35"/>
        <v>-</v>
      </c>
      <c r="P278" s="205">
        <f>IFERROR(YEARFRAC(VLOOKUP(C278,Code!H:W,11,FALSE),VLOOKUP(C278,Code!H:W,14,FALSE),3),"")</f>
        <v>4.7232876712328764</v>
      </c>
      <c r="Q278" s="174">
        <v>44547</v>
      </c>
      <c r="R278" s="175" t="str">
        <f t="shared" ca="1" si="36"/>
        <v/>
      </c>
      <c r="S278" s="176">
        <f>IFERROR(VLOOKUP($C278,Code!$H:$Q,5,FALSE),"")</f>
        <v>0.23549999999999999</v>
      </c>
      <c r="T278" s="177" t="str">
        <f t="shared" ca="1" si="37"/>
        <v/>
      </c>
      <c r="U278" s="178" t="str">
        <f t="shared" ca="1" si="38"/>
        <v/>
      </c>
      <c r="V278" s="179">
        <f>IFERROR(VLOOKUP($C278,Code!$H:$Q,6,FALSE),"")</f>
        <v>44.47</v>
      </c>
      <c r="W278" s="180" t="str">
        <f t="shared" ca="1" si="39"/>
        <v/>
      </c>
      <c r="X278" s="12"/>
      <c r="Y278" s="12"/>
      <c r="Z278" s="12"/>
      <c r="AA278" s="12"/>
      <c r="AB278" s="12"/>
    </row>
    <row r="279" spans="1:28" s="10" customFormat="1" ht="15" hidden="1">
      <c r="A279" s="9"/>
      <c r="B279" s="169" cm="1">
        <f t="array" ref="B279">_xlfn.IFS(OR(Code!R35&lt;&gt;Code!U35,Code!R35=""),0,Code!R35=Code!U35,1)</f>
        <v>0</v>
      </c>
      <c r="C279" s="193" t="str">
        <f>IF(Code!F35="","",Code!F35)</f>
        <v>AMGN</v>
      </c>
      <c r="D279" s="155" t="str">
        <f>IFERROR(VLOOKUP($C279,Code!$H:$K,2,FALSE),"")</f>
        <v>XLV</v>
      </c>
      <c r="E279" s="156" t="str">
        <f>IFERROR(VLOOKUP($C279,Code!$H:$K,3,FALSE),"")</f>
        <v>藥品製造商— 常規</v>
      </c>
      <c r="F279" s="157" t="str">
        <f>IFERROR(VLOOKUP($C279,Code!$H:$K,4,FALSE),"")</f>
        <v>.SPX</v>
      </c>
      <c r="G279" s="170">
        <f>IFERROR(((VLOOKUP($C279,Code!$H:$Q,9,FALSE))+(VLOOKUP($C279,Code!$H:$Q,10,FALSE)))/2*0.5/(((VLOOKUP($C279,Code!$H:$Q,7,FALSE))+(VLOOKUP($C279,Code!$H:$Q,8,FALSE)))/2),0)</f>
        <v>0.59617373319544986</v>
      </c>
      <c r="H279" s="171" t="str">
        <f t="shared" si="32"/>
        <v>M</v>
      </c>
      <c r="I279" s="170">
        <f>IFERROR((VLOOKUP($C279,Code!$H:$Q,5,FALSE))/(((VLOOKUP($C279,Code!$H:$Q,7,FALSE))+(VLOOKUP($C279,Code!$H:$Q,8,FALSE)))/2)-1,0)</f>
        <v>-0.18676318510858325</v>
      </c>
      <c r="J279" s="204">
        <f>IFERROR(POWER((VLOOKUP(C279,Code!H:W,12,FALSE))/(VLOOKUP(C279,Code!H:W,15,FALSE)),1/(P279-1))-1,"")</f>
        <v>0.14256932551516655</v>
      </c>
      <c r="K279" s="172" cm="1">
        <f t="array" ref="K279">IFERROR(IF(C279="","",_xlfn.IFS(AND(VLOOKUP(C279,Code!H:W,13,FALSE)=0,VLOOKUP(C279,Code!H:W,16,FALSE)=0),"無股息",AND(VLOOKUP(C279,Code!H:W,13,FALSE)=0,VLOOKUP(C279,Code!H:W,16,FALSE)&gt;0),"股息沒了",AND(VLOOKUP(C279,Code!H:W,13,FALSE)&gt;0,VLOOKUP(C279,Code!H:W,16,FALSE)=0),"發股息了",AND(VLOOKUP(C279,Code!H:W,13,FALSE)&gt;0,VLOOKUP(C279,Code!H:W,16,FALSE)&gt;0),POWER((VLOOKUP(C279,Code!H:W,13,FALSE))/(VLOOKUP(C279,Code!H:W,16,FALSE)),1/(P279-1))-1)),"")</f>
        <v>0.16280245071419941</v>
      </c>
      <c r="L279" s="173">
        <f>IFERROR(VLOOKUP(C279,Code!H:W,13,FALSE)*4/VLOOKUP(C279,Code!H:W,12,FALSE),"")</f>
        <v>2.8005409592071168E-2</v>
      </c>
      <c r="M279" s="172">
        <f t="shared" si="33"/>
        <v>0.30537177622936595</v>
      </c>
      <c r="N279" s="172" t="str">
        <f t="shared" si="34"/>
        <v>-</v>
      </c>
      <c r="O279" s="172" t="str">
        <f t="shared" si="35"/>
        <v>Value</v>
      </c>
      <c r="P279" s="205">
        <f>IFERROR(YEARFRAC(VLOOKUP(C279,Code!H:W,11,FALSE),VLOOKUP(C279,Code!H:W,14,FALSE),3),"")</f>
        <v>4.7479452054794518</v>
      </c>
      <c r="Q279" s="174">
        <v>44547</v>
      </c>
      <c r="R279" s="175" t="str">
        <f t="shared" ca="1" si="36"/>
        <v/>
      </c>
      <c r="S279" s="176">
        <f>IFERROR(VLOOKUP($C279,Code!$H:$Q,5,FALSE),"")</f>
        <v>0.1966</v>
      </c>
      <c r="T279" s="177" t="str">
        <f t="shared" ca="1" si="37"/>
        <v/>
      </c>
      <c r="U279" s="178" t="str">
        <f t="shared" ca="1" si="38"/>
        <v/>
      </c>
      <c r="V279" s="179">
        <f>IFERROR(VLOOKUP($C279,Code!$H:$Q,6,FALSE),"")</f>
        <v>231.97</v>
      </c>
      <c r="W279" s="180" t="str">
        <f t="shared" ca="1" si="39"/>
        <v/>
      </c>
      <c r="X279" s="12"/>
      <c r="Y279" s="12"/>
      <c r="Z279" s="12"/>
      <c r="AA279" s="12"/>
      <c r="AB279" s="12"/>
    </row>
    <row r="280" spans="1:28" s="10" customFormat="1" ht="15" hidden="1">
      <c r="A280" s="9"/>
      <c r="B280" s="169" cm="1">
        <f t="array" ref="B280">_xlfn.IFS(OR(Code!R9&lt;&gt;Code!U9,Code!R9=""),0,Code!R9=Code!U9,1)</f>
        <v>0</v>
      </c>
      <c r="C280" s="193" t="str">
        <f>IF(Code!F9="","",Code!F9)</f>
        <v>ABC</v>
      </c>
      <c r="D280" s="155" t="str">
        <f>IFERROR(VLOOKUP($C280,Code!$H:$K,2,FALSE),"")</f>
        <v>XLV</v>
      </c>
      <c r="E280" s="156" t="str">
        <f>IFERROR(VLOOKUP($C280,Code!$H:$K,3,FALSE),"")</f>
        <v>醫療分銷</v>
      </c>
      <c r="F280" s="157" t="str">
        <f>IFERROR(VLOOKUP($C280,Code!$H:$K,4,FALSE),"")</f>
        <v>.SPX</v>
      </c>
      <c r="G280" s="170">
        <f>IFERROR(((VLOOKUP($C280,Code!$H:$Q,9,FALSE))+(VLOOKUP($C280,Code!$H:$Q,10,FALSE)))/2*0.5/(((VLOOKUP($C280,Code!$H:$Q,7,FALSE))+(VLOOKUP($C280,Code!$H:$Q,8,FALSE)))/2),0)</f>
        <v>0.59785202863961817</v>
      </c>
      <c r="H280" s="171" t="str">
        <f t="shared" si="32"/>
        <v>M</v>
      </c>
      <c r="I280" s="170">
        <f>IFERROR((VLOOKUP($C280,Code!$H:$Q,5,FALSE))/(((VLOOKUP($C280,Code!$H:$Q,7,FALSE))+(VLOOKUP($C280,Code!$H:$Q,8,FALSE)))/2)-1,0)</f>
        <v>-0.18744262897007524</v>
      </c>
      <c r="J280" s="204">
        <f>IFERROR(POWER((VLOOKUP(C280,Code!H:W,12,FALSE))/(VLOOKUP(C280,Code!H:W,15,FALSE)),1/(P280-1))-1,"")</f>
        <v>9.9210083528047388E-2</v>
      </c>
      <c r="K280" s="172" cm="1">
        <f t="array" ref="K280">IFERROR(IF(C280="","",_xlfn.IFS(AND(VLOOKUP(C280,Code!H:W,13,FALSE)=0,VLOOKUP(C280,Code!H:W,16,FALSE)=0),"無股息",AND(VLOOKUP(C280,Code!H:W,13,FALSE)=0,VLOOKUP(C280,Code!H:W,16,FALSE)&gt;0),"股息沒了",AND(VLOOKUP(C280,Code!H:W,13,FALSE)&gt;0,VLOOKUP(C280,Code!H:W,16,FALSE)=0),"發股息了",AND(VLOOKUP(C280,Code!H:W,13,FALSE)&gt;0,VLOOKUP(C280,Code!H:W,16,FALSE)&gt;0),POWER((VLOOKUP(C280,Code!H:W,13,FALSE))/(VLOOKUP(C280,Code!H:W,16,FALSE)),1/(P280-1))-1)),"")</f>
        <v>7.1375476445579622E-2</v>
      </c>
      <c r="L280" s="173">
        <f>IFERROR(VLOOKUP(C280,Code!H:W,13,FALSE)*4/VLOOKUP(C280,Code!H:W,12,FALSE),"")</f>
        <v>1.5104703490435056E-2</v>
      </c>
      <c r="M280" s="172">
        <f t="shared" si="33"/>
        <v>0.17058555997362701</v>
      </c>
      <c r="N280" s="172" t="str">
        <f t="shared" si="34"/>
        <v>-</v>
      </c>
      <c r="O280" s="172" t="str">
        <f t="shared" si="35"/>
        <v>-</v>
      </c>
      <c r="P280" s="205">
        <f>IFERROR(YEARFRAC(VLOOKUP(C280,Code!H:W,11,FALSE),VLOOKUP(C280,Code!H:W,14,FALSE),3),"")</f>
        <v>4.7397260273972606</v>
      </c>
      <c r="Q280" s="174">
        <v>44547</v>
      </c>
      <c r="R280" s="175" t="str">
        <f t="shared" ca="1" si="36"/>
        <v/>
      </c>
      <c r="S280" s="176">
        <f>IFERROR(VLOOKUP($C280,Code!$H:$Q,5,FALSE),"")</f>
        <v>0.2213</v>
      </c>
      <c r="T280" s="177" t="str">
        <f t="shared" ca="1" si="37"/>
        <v/>
      </c>
      <c r="U280" s="178" t="str">
        <f t="shared" ca="1" si="38"/>
        <v/>
      </c>
      <c r="V280" s="179">
        <f>IFERROR(VLOOKUP($C280,Code!$H:$Q,6,FALSE),"")</f>
        <v>120.49</v>
      </c>
      <c r="W280" s="180" t="str">
        <f t="shared" ca="1" si="39"/>
        <v/>
      </c>
      <c r="X280" s="12"/>
      <c r="Y280" s="12"/>
      <c r="Z280" s="12"/>
      <c r="AA280" s="12"/>
      <c r="AB280" s="12"/>
    </row>
    <row r="281" spans="1:28" s="10" customFormat="1" ht="15" hidden="1">
      <c r="A281" s="9"/>
      <c r="B281" s="169" cm="1">
        <f t="array" ref="B281">_xlfn.IFS(OR(Code!R151&lt;&gt;Code!U151,Code!R151=""),0,Code!R151=Code!U151,1)</f>
        <v>0</v>
      </c>
      <c r="C281" s="193" t="str">
        <f>IF(Code!F151="","",Code!F151)</f>
        <v>DXC</v>
      </c>
      <c r="D281" s="155" t="str">
        <f>IFERROR(VLOOKUP($C281,Code!$H:$K,2,FALSE),"")</f>
        <v>XLK</v>
      </c>
      <c r="E281" s="156" t="str">
        <f>IFERROR(VLOOKUP($C281,Code!$H:$K,3,FALSE),"")</f>
        <v>信息技術處</v>
      </c>
      <c r="F281" s="157" t="str">
        <f>IFERROR(VLOOKUP($C281,Code!$H:$K,4,FALSE),"")</f>
        <v>.SPX</v>
      </c>
      <c r="G281" s="170">
        <f>IFERROR(((VLOOKUP($C281,Code!$H:$Q,9,FALSE))+(VLOOKUP($C281,Code!$H:$Q,10,FALSE)))/2*0.5/(((VLOOKUP($C281,Code!$H:$Q,7,FALSE))+(VLOOKUP($C281,Code!$H:$Q,8,FALSE)))/2),0)</f>
        <v>0.7090641682100447</v>
      </c>
      <c r="H281" s="171" t="str">
        <f t="shared" si="32"/>
        <v>XL</v>
      </c>
      <c r="I281" s="170">
        <f>IFERROR((VLOOKUP($C281,Code!$H:$Q,5,FALSE))/(((VLOOKUP($C281,Code!$H:$Q,7,FALSE))+(VLOOKUP($C281,Code!$H:$Q,8,FALSE)))/2)-1,0)</f>
        <v>-0.18792896829720018</v>
      </c>
      <c r="J281" s="204">
        <f>IFERROR(POWER((VLOOKUP(C281,Code!H:W,12,FALSE))/(VLOOKUP(C281,Code!H:W,15,FALSE)),1/(P281-1))-1,"")</f>
        <v>-0.30374251145041387</v>
      </c>
      <c r="K281" s="172" cm="1">
        <f t="array" ref="K281">IFERROR(IF(C281="","",_xlfn.IFS(AND(VLOOKUP(C281,Code!H:W,13,FALSE)=0,VLOOKUP(C281,Code!H:W,16,FALSE)=0),"無股息",AND(VLOOKUP(C281,Code!H:W,13,FALSE)=0,VLOOKUP(C281,Code!H:W,16,FALSE)&gt;0),"股息沒了",AND(VLOOKUP(C281,Code!H:W,13,FALSE)&gt;0,VLOOKUP(C281,Code!H:W,16,FALSE)=0),"發股息了",AND(VLOOKUP(C281,Code!H:W,13,FALSE)&gt;0,VLOOKUP(C281,Code!H:W,16,FALSE)&gt;0),POWER((VLOOKUP(C281,Code!H:W,13,FALSE))/(VLOOKUP(C281,Code!H:W,16,FALSE)),1/(P281-1))-1)),"")</f>
        <v>0.23885518061663191</v>
      </c>
      <c r="L281" s="173">
        <f>IFERROR(VLOOKUP(C281,Code!H:W,13,FALSE)*4/VLOOKUP(C281,Code!H:W,12,FALSE),"")</f>
        <v>5.6037359094458783E-2</v>
      </c>
      <c r="M281" s="172">
        <f t="shared" si="33"/>
        <v>-6.4887330833781953E-2</v>
      </c>
      <c r="N281" s="172" t="str">
        <f t="shared" si="34"/>
        <v>Venture</v>
      </c>
      <c r="O281" s="172" t="str">
        <f t="shared" si="35"/>
        <v>-</v>
      </c>
      <c r="P281" s="205">
        <f>IFERROR(YEARFRAC(VLOOKUP(C281,Code!H:W,11,FALSE),VLOOKUP(C281,Code!H:W,14,FALSE),3),"")</f>
        <v>3.56986301369863</v>
      </c>
      <c r="Q281" s="174">
        <v>44547</v>
      </c>
      <c r="R281" s="175" t="str">
        <f t="shared" ca="1" si="36"/>
        <v/>
      </c>
      <c r="S281" s="176">
        <f>IFERROR(VLOOKUP($C281,Code!$H:$Q,5,FALSE),"")</f>
        <v>0.37269999999999998</v>
      </c>
      <c r="T281" s="177" t="str">
        <f t="shared" ca="1" si="37"/>
        <v/>
      </c>
      <c r="U281" s="178" t="str">
        <f t="shared" ca="1" si="38"/>
        <v/>
      </c>
      <c r="V281" s="179">
        <f>IFERROR(VLOOKUP($C281,Code!$H:$Q,6,FALSE),"")</f>
        <v>40.01</v>
      </c>
      <c r="W281" s="180" t="str">
        <f t="shared" ca="1" si="39"/>
        <v/>
      </c>
      <c r="X281" s="12"/>
      <c r="Y281" s="12"/>
      <c r="Z281" s="12"/>
      <c r="AA281" s="12"/>
      <c r="AB281" s="12"/>
    </row>
    <row r="282" spans="1:28" s="10" customFormat="1" ht="15" hidden="1">
      <c r="A282" s="9"/>
      <c r="B282" s="169" cm="1">
        <f t="array" ref="B282">_xlfn.IFS(OR(Code!R243&lt;&gt;Code!U243,Code!R243=""),0,Code!R243=Code!U243,1)</f>
        <v>0</v>
      </c>
      <c r="C282" s="193" t="str">
        <f>IF(Code!F243="","",Code!F243)</f>
        <v>IP</v>
      </c>
      <c r="D282" s="155" t="str">
        <f>IFERROR(VLOOKUP($C282,Code!$H:$K,2,FALSE),"")</f>
        <v>XLB</v>
      </c>
      <c r="E282" s="156" t="str">
        <f>IFERROR(VLOOKUP($C282,Code!$H:$K,3,FALSE),"")</f>
        <v>包裝和容器</v>
      </c>
      <c r="F282" s="157" t="str">
        <f>IFERROR(VLOOKUP($C282,Code!$H:$K,4,FALSE),"")</f>
        <v>.SPX</v>
      </c>
      <c r="G282" s="170">
        <f>IFERROR(((VLOOKUP($C282,Code!$H:$Q,9,FALSE))+(VLOOKUP($C282,Code!$H:$Q,10,FALSE)))/2*0.5/(((VLOOKUP($C282,Code!$H:$Q,7,FALSE))+(VLOOKUP($C282,Code!$H:$Q,8,FALSE)))/2),0)</f>
        <v>0.54322369553986571</v>
      </c>
      <c r="H282" s="171" t="str">
        <f t="shared" si="32"/>
        <v>M</v>
      </c>
      <c r="I282" s="170">
        <f>IFERROR((VLOOKUP($C282,Code!$H:$Q,5,FALSE))/(((VLOOKUP($C282,Code!$H:$Q,7,FALSE))+(VLOOKUP($C282,Code!$H:$Q,8,FALSE)))/2)-1,0)</f>
        <v>-0.18822111245049078</v>
      </c>
      <c r="J282" s="204">
        <f>IFERROR(POWER((VLOOKUP(C282,Code!H:W,12,FALSE))/(VLOOKUP(C282,Code!H:W,15,FALSE)),1/(P282-1))-1,"")</f>
        <v>0.14098477370891338</v>
      </c>
      <c r="K282" s="172" cm="1">
        <f t="array" ref="K282">IFERROR(IF(C282="","",_xlfn.IFS(AND(VLOOKUP(C282,Code!H:W,13,FALSE)=0,VLOOKUP(C282,Code!H:W,16,FALSE)=0),"無股息",AND(VLOOKUP(C282,Code!H:W,13,FALSE)=0,VLOOKUP(C282,Code!H:W,16,FALSE)&gt;0),"股息沒了",AND(VLOOKUP(C282,Code!H:W,13,FALSE)&gt;0,VLOOKUP(C282,Code!H:W,16,FALSE)=0),"發股息了",AND(VLOOKUP(C282,Code!H:W,13,FALSE)&gt;0,VLOOKUP(C282,Code!H:W,16,FALSE)&gt;0),POWER((VLOOKUP(C282,Code!H:W,13,FALSE))/(VLOOKUP(C282,Code!H:W,16,FALSE)),1/(P282-1))-1)),"")</f>
        <v>4.1313182994115349E-2</v>
      </c>
      <c r="L282" s="173">
        <f>IFERROR(VLOOKUP(C282,Code!H:W,13,FALSE)*4/VLOOKUP(C282,Code!H:W,12,FALSE),"")</f>
        <v>3.2391476707584438E-2</v>
      </c>
      <c r="M282" s="172">
        <f t="shared" si="33"/>
        <v>0.18229795670302873</v>
      </c>
      <c r="N282" s="172" t="str">
        <f t="shared" si="34"/>
        <v>-</v>
      </c>
      <c r="O282" s="172" t="str">
        <f t="shared" si="35"/>
        <v>-</v>
      </c>
      <c r="P282" s="205">
        <f>IFERROR(YEARFRAC(VLOOKUP(C282,Code!H:W,11,FALSE),VLOOKUP(C282,Code!H:W,14,FALSE),3),"")</f>
        <v>4.7917808219178086</v>
      </c>
      <c r="Q282" s="174">
        <v>44547</v>
      </c>
      <c r="R282" s="175" t="str">
        <f t="shared" ca="1" si="36"/>
        <v/>
      </c>
      <c r="S282" s="176">
        <f>IFERROR(VLOOKUP($C282,Code!$H:$Q,5,FALSE),"")</f>
        <v>0.23569999999999999</v>
      </c>
      <c r="T282" s="177" t="str">
        <f t="shared" ca="1" si="37"/>
        <v/>
      </c>
      <c r="U282" s="178" t="str">
        <f t="shared" ca="1" si="38"/>
        <v/>
      </c>
      <c r="V282" s="179">
        <f>IFERROR(VLOOKUP($C282,Code!$H:$Q,6,FALSE),"")</f>
        <v>57.74</v>
      </c>
      <c r="W282" s="180" t="str">
        <f t="shared" ca="1" si="39"/>
        <v/>
      </c>
      <c r="X282" s="12"/>
      <c r="Y282" s="12"/>
      <c r="Z282" s="12"/>
      <c r="AA282" s="12"/>
      <c r="AB282" s="12"/>
    </row>
    <row r="283" spans="1:28" s="10" customFormat="1" ht="15" hidden="1">
      <c r="A283" s="9"/>
      <c r="B283" s="169" cm="1">
        <f t="array" ref="B283">_xlfn.IFS(OR(Code!R429&lt;&gt;Code!U429,Code!R429=""),0,Code!R429=Code!U429,1)</f>
        <v>0</v>
      </c>
      <c r="C283" s="193" t="str">
        <f>IF(Code!F429="","",Code!F429)</f>
        <v>SYF</v>
      </c>
      <c r="D283" s="155" t="str">
        <f>IFERROR(VLOOKUP($C283,Code!$H:$K,2,FALSE),"")</f>
        <v>XLF</v>
      </c>
      <c r="E283" s="156" t="str">
        <f>IFERROR(VLOOKUP($C283,Code!$H:$K,3,FALSE),"")</f>
        <v>信貸服務</v>
      </c>
      <c r="F283" s="157" t="str">
        <f>IFERROR(VLOOKUP($C283,Code!$H:$K,4,FALSE),"")</f>
        <v>.SPX</v>
      </c>
      <c r="G283" s="170">
        <f>IFERROR(((VLOOKUP($C283,Code!$H:$Q,9,FALSE))+(VLOOKUP($C283,Code!$H:$Q,10,FALSE)))/2*0.5/(((VLOOKUP($C283,Code!$H:$Q,7,FALSE))+(VLOOKUP($C283,Code!$H:$Q,8,FALSE)))/2),0)</f>
        <v>0.56551416177596314</v>
      </c>
      <c r="H283" s="171" t="str">
        <f t="shared" si="32"/>
        <v>M</v>
      </c>
      <c r="I283" s="170">
        <f>IFERROR((VLOOKUP($C283,Code!$H:$Q,5,FALSE))/(((VLOOKUP($C283,Code!$H:$Q,7,FALSE))+(VLOOKUP($C283,Code!$H:$Q,8,FALSE)))/2)-1,0)</f>
        <v>-0.18831334524113297</v>
      </c>
      <c r="J283" s="204">
        <f>IFERROR(POWER((VLOOKUP(C283,Code!H:W,12,FALSE))/(VLOOKUP(C283,Code!H:W,15,FALSE)),1/(P283-1))-1,"")</f>
        <v>0.17871842273873439</v>
      </c>
      <c r="K283" s="172" cm="1">
        <f t="array" ref="K283">IFERROR(IF(C283="","",_xlfn.IFS(AND(VLOOKUP(C283,Code!H:W,13,FALSE)=0,VLOOKUP(C283,Code!H:W,16,FALSE)=0),"無股息",AND(VLOOKUP(C283,Code!H:W,13,FALSE)=0,VLOOKUP(C283,Code!H:W,16,FALSE)&gt;0),"股息沒了",AND(VLOOKUP(C283,Code!H:W,13,FALSE)&gt;0,VLOOKUP(C283,Code!H:W,16,FALSE)=0),"發股息了",AND(VLOOKUP(C283,Code!H:W,13,FALSE)&gt;0,VLOOKUP(C283,Code!H:W,16,FALSE)&gt;0),POWER((VLOOKUP(C283,Code!H:W,13,FALSE))/(VLOOKUP(C283,Code!H:W,16,FALSE)),1/(P283-1))-1)),"")</f>
        <v>0.14159947926566741</v>
      </c>
      <c r="L283" s="173">
        <f>IFERROR(VLOOKUP(C283,Code!H:W,13,FALSE)*4/VLOOKUP(C283,Code!H:W,12,FALSE),"")</f>
        <v>1.871544005599219E-2</v>
      </c>
      <c r="M283" s="172">
        <f t="shared" si="33"/>
        <v>0.3203179020044018</v>
      </c>
      <c r="N283" s="172" t="str">
        <f t="shared" si="34"/>
        <v>-</v>
      </c>
      <c r="O283" s="172" t="str">
        <f t="shared" si="35"/>
        <v>Value</v>
      </c>
      <c r="P283" s="205">
        <f>IFERROR(YEARFRAC(VLOOKUP(C283,Code!H:W,11,FALSE),VLOOKUP(C283,Code!H:W,14,FALSE),3),"")</f>
        <v>4.9726027397260273</v>
      </c>
      <c r="Q283" s="174">
        <v>44547</v>
      </c>
      <c r="R283" s="175" t="str">
        <f t="shared" ca="1" si="36"/>
        <v/>
      </c>
      <c r="S283" s="176">
        <f>IFERROR(VLOOKUP($C283,Code!$H:$Q,5,FALSE),"")</f>
        <v>0.31809999999999999</v>
      </c>
      <c r="T283" s="177" t="str">
        <f t="shared" ca="1" si="37"/>
        <v/>
      </c>
      <c r="U283" s="178" t="str">
        <f t="shared" ca="1" si="38"/>
        <v/>
      </c>
      <c r="V283" s="179">
        <f>IFERROR(VLOOKUP($C283,Code!$H:$Q,6,FALSE),"")</f>
        <v>49.11</v>
      </c>
      <c r="W283" s="180" t="str">
        <f t="shared" ca="1" si="39"/>
        <v/>
      </c>
      <c r="X283" s="12"/>
      <c r="Y283" s="12"/>
      <c r="Z283" s="12"/>
      <c r="AA283" s="12"/>
      <c r="AB283" s="12"/>
    </row>
    <row r="284" spans="1:28" s="10" customFormat="1" ht="15" hidden="1">
      <c r="A284" s="9"/>
      <c r="B284" s="169" cm="1">
        <f t="array" ref="B284">_xlfn.IFS(OR(Code!R45&lt;&gt;Code!U45,Code!R45=""),0,Code!R45=Code!U45,1)</f>
        <v>0</v>
      </c>
      <c r="C284" s="193" t="str">
        <f>IF(Code!F45="","",Code!F45)</f>
        <v>APD</v>
      </c>
      <c r="D284" s="155" t="str">
        <f>IFERROR(VLOOKUP($C284,Code!$H:$K,2,FALSE),"")</f>
        <v>XLB</v>
      </c>
      <c r="E284" s="156" t="str">
        <f>IFERROR(VLOOKUP($C284,Code!$H:$K,3,FALSE),"")</f>
        <v>化學品</v>
      </c>
      <c r="F284" s="157" t="str">
        <f>IFERROR(VLOOKUP($C284,Code!$H:$K,4,FALSE),"")</f>
        <v>.SPX</v>
      </c>
      <c r="G284" s="170">
        <f>IFERROR(((VLOOKUP($C284,Code!$H:$Q,9,FALSE))+(VLOOKUP($C284,Code!$H:$Q,10,FALSE)))/2*0.5/(((VLOOKUP($C284,Code!$H:$Q,7,FALSE))+(VLOOKUP($C284,Code!$H:$Q,8,FALSE)))/2),0)</f>
        <v>0.4716104611149346</v>
      </c>
      <c r="H284" s="171" t="str">
        <f t="shared" si="32"/>
        <v>S</v>
      </c>
      <c r="I284" s="170">
        <f>IFERROR((VLOOKUP($C284,Code!$H:$Q,5,FALSE))/(((VLOOKUP($C284,Code!$H:$Q,7,FALSE))+(VLOOKUP($C284,Code!$H:$Q,8,FALSE)))/2)-1,0)</f>
        <v>-0.18891947694425337</v>
      </c>
      <c r="J284" s="204">
        <f>IFERROR(POWER((VLOOKUP(C284,Code!H:W,12,FALSE))/(VLOOKUP(C284,Code!H:W,15,FALSE)),1/(P284-1))-1,"")</f>
        <v>0.25001061312320583</v>
      </c>
      <c r="K284" s="172" t="str" cm="1">
        <f t="array" ref="K284">IFERROR(IF(C284="","",_xlfn.IFS(AND(VLOOKUP(C284,Code!H:W,13,FALSE)=0,VLOOKUP(C284,Code!H:W,16,FALSE)=0),"無股息",AND(VLOOKUP(C284,Code!H:W,13,FALSE)=0,VLOOKUP(C284,Code!H:W,16,FALSE)&gt;0),"股息沒了",AND(VLOOKUP(C284,Code!H:W,13,FALSE)&gt;0,VLOOKUP(C284,Code!H:W,16,FALSE)=0),"發股息了",AND(VLOOKUP(C284,Code!H:W,13,FALSE)&gt;0,VLOOKUP(C284,Code!H:W,16,FALSE)&gt;0),POWER((VLOOKUP(C284,Code!H:W,13,FALSE))/(VLOOKUP(C284,Code!H:W,16,FALSE)),1/(P284-1))-1)),"")</f>
        <v>發股息了</v>
      </c>
      <c r="L284" s="173">
        <f>IFERROR(VLOOKUP(C284,Code!H:W,13,FALSE)*4/VLOOKUP(C284,Code!H:W,12,FALSE),"")</f>
        <v>2.0856507761254275E-2</v>
      </c>
      <c r="M284" s="172">
        <f t="shared" si="33"/>
        <v>0.25001061312320583</v>
      </c>
      <c r="N284" s="172" t="str">
        <f t="shared" si="34"/>
        <v>-</v>
      </c>
      <c r="O284" s="172" t="str">
        <f t="shared" si="35"/>
        <v/>
      </c>
      <c r="P284" s="205">
        <f>IFERROR(YEARFRAC(VLOOKUP(C284,Code!H:W,11,FALSE),VLOOKUP(C284,Code!H:W,14,FALSE),3),"")</f>
        <v>4.7424657534246579</v>
      </c>
      <c r="Q284" s="174">
        <v>44547</v>
      </c>
      <c r="R284" s="175" t="str">
        <f t="shared" ca="1" si="36"/>
        <v/>
      </c>
      <c r="S284" s="176">
        <f>IFERROR(VLOOKUP($C284,Code!$H:$Q,5,FALSE),"")</f>
        <v>0.23569999999999999</v>
      </c>
      <c r="T284" s="177" t="str">
        <f t="shared" ca="1" si="37"/>
        <v/>
      </c>
      <c r="U284" s="178" t="str">
        <f t="shared" ca="1" si="38"/>
        <v/>
      </c>
      <c r="V284" s="179">
        <f>IFERROR(VLOOKUP($C284,Code!$H:$Q,6,FALSE),"")</f>
        <v>289.25</v>
      </c>
      <c r="W284" s="180" t="str">
        <f t="shared" ca="1" si="39"/>
        <v/>
      </c>
      <c r="X284" s="12"/>
      <c r="Y284" s="12"/>
      <c r="Z284" s="12"/>
      <c r="AA284" s="12"/>
      <c r="AB284" s="12"/>
    </row>
    <row r="285" spans="1:28" s="10" customFormat="1" ht="15" hidden="1">
      <c r="A285" s="9"/>
      <c r="B285" s="169" cm="1">
        <f t="array" ref="B285">_xlfn.IFS(OR(Code!R214&lt;&gt;Code!U214,Code!R214=""),0,Code!R214=Code!U214,1)</f>
        <v>0</v>
      </c>
      <c r="C285" s="193" t="str">
        <f>IF(Code!F214="","",Code!F214)</f>
        <v>HAS</v>
      </c>
      <c r="D285" s="155" t="str">
        <f>IFERROR(VLOOKUP($C285,Code!$H:$K,2,FALSE),"")</f>
        <v>XLY</v>
      </c>
      <c r="E285" s="156" t="str">
        <f>IFERROR(VLOOKUP($C285,Code!$H:$K,3,FALSE),"")</f>
        <v>休閑</v>
      </c>
      <c r="F285" s="157" t="str">
        <f>IFERROR(VLOOKUP($C285,Code!$H:$K,4,FALSE),"")</f>
        <v>.SPX</v>
      </c>
      <c r="G285" s="170">
        <f>IFERROR(((VLOOKUP($C285,Code!$H:$Q,9,FALSE))+(VLOOKUP($C285,Code!$H:$Q,10,FALSE)))/2*0.5/(((VLOOKUP($C285,Code!$H:$Q,7,FALSE))+(VLOOKUP($C285,Code!$H:$Q,8,FALSE)))/2),0)</f>
        <v>0.67107553080403748</v>
      </c>
      <c r="H285" s="171" t="str">
        <f t="shared" si="32"/>
        <v>L</v>
      </c>
      <c r="I285" s="170">
        <f>IFERROR((VLOOKUP($C285,Code!$H:$Q,5,FALSE))/(((VLOOKUP($C285,Code!$H:$Q,7,FALSE))+(VLOOKUP($C285,Code!$H:$Q,8,FALSE)))/2)-1,0)</f>
        <v>-0.18900104420466401</v>
      </c>
      <c r="J285" s="204">
        <f>IFERROR(POWER((VLOOKUP(C285,Code!H:W,12,FALSE))/(VLOOKUP(C285,Code!H:W,15,FALSE)),1/(P285-1))-1,"")</f>
        <v>8.5324485130551908E-2</v>
      </c>
      <c r="K285" s="172" cm="1">
        <f t="array" ref="K285">IFERROR(IF(C285="","",_xlfn.IFS(AND(VLOOKUP(C285,Code!H:W,13,FALSE)=0,VLOOKUP(C285,Code!H:W,16,FALSE)=0),"無股息",AND(VLOOKUP(C285,Code!H:W,13,FALSE)=0,VLOOKUP(C285,Code!H:W,16,FALSE)&gt;0),"股息沒了",AND(VLOOKUP(C285,Code!H:W,13,FALSE)&gt;0,VLOOKUP(C285,Code!H:W,16,FALSE)=0),"發股息了",AND(VLOOKUP(C285,Code!H:W,13,FALSE)&gt;0,VLOOKUP(C285,Code!H:W,16,FALSE)&gt;0),POWER((VLOOKUP(C285,Code!H:W,13,FALSE))/(VLOOKUP(C285,Code!H:W,16,FALSE)),1/(P285-1))-1)),"")</f>
        <v>7.9598614775020726E-2</v>
      </c>
      <c r="L285" s="173">
        <f>IFERROR(VLOOKUP(C285,Code!H:W,13,FALSE)*4/VLOOKUP(C285,Code!H:W,12,FALSE),"")</f>
        <v>2.735317712409276E-2</v>
      </c>
      <c r="M285" s="172">
        <f t="shared" si="33"/>
        <v>0.16492309990557263</v>
      </c>
      <c r="N285" s="172" t="str">
        <f t="shared" si="34"/>
        <v>-</v>
      </c>
      <c r="O285" s="172" t="str">
        <f t="shared" si="35"/>
        <v>-</v>
      </c>
      <c r="P285" s="205">
        <f>IFERROR(YEARFRAC(VLOOKUP(C285,Code!H:W,11,FALSE),VLOOKUP(C285,Code!H:W,14,FALSE),3),"")</f>
        <v>4.7561643835616438</v>
      </c>
      <c r="Q285" s="174">
        <v>44547</v>
      </c>
      <c r="R285" s="175" t="str">
        <f t="shared" ca="1" si="36"/>
        <v/>
      </c>
      <c r="S285" s="176">
        <f>IFERROR(VLOOKUP($C285,Code!$H:$Q,5,FALSE),"")</f>
        <v>0.23300000000000001</v>
      </c>
      <c r="T285" s="177" t="str">
        <f t="shared" ca="1" si="37"/>
        <v/>
      </c>
      <c r="U285" s="178" t="str">
        <f t="shared" ca="1" si="38"/>
        <v/>
      </c>
      <c r="V285" s="179">
        <f>IFERROR(VLOOKUP($C285,Code!$H:$Q,6,FALSE),"")</f>
        <v>99.34</v>
      </c>
      <c r="W285" s="180" t="str">
        <f t="shared" ca="1" si="39"/>
        <v/>
      </c>
      <c r="X285" s="12"/>
      <c r="Y285" s="12"/>
      <c r="Z285" s="12"/>
      <c r="AA285" s="12"/>
      <c r="AB285" s="12"/>
    </row>
    <row r="286" spans="1:28" s="10" customFormat="1" ht="15" hidden="1">
      <c r="A286" s="9"/>
      <c r="B286" s="169" cm="1">
        <f t="array" ref="B286">_xlfn.IFS(OR(Code!R252&lt;&gt;Code!U252,Code!R252=""),0,Code!R252=Code!U252,1)</f>
        <v>0</v>
      </c>
      <c r="C286" s="193" t="str">
        <f>IF(Code!F252="","",Code!F252)</f>
        <v>IVZ</v>
      </c>
      <c r="D286" s="155" t="str">
        <f>IFERROR(VLOOKUP($C286,Code!$H:$K,2,FALSE),"")</f>
        <v>XLF</v>
      </c>
      <c r="E286" s="156" t="str">
        <f>IFERROR(VLOOKUP($C286,Code!$H:$K,3,FALSE),"")</f>
        <v>資產管理</v>
      </c>
      <c r="F286" s="157" t="str">
        <f>IFERROR(VLOOKUP($C286,Code!$H:$K,4,FALSE),"")</f>
        <v>.SPX</v>
      </c>
      <c r="G286" s="170">
        <f>IFERROR(((VLOOKUP($C286,Code!$H:$Q,9,FALSE))+(VLOOKUP($C286,Code!$H:$Q,10,FALSE)))/2*0.5/(((VLOOKUP($C286,Code!$H:$Q,7,FALSE))+(VLOOKUP($C286,Code!$H:$Q,8,FALSE)))/2),0)</f>
        <v>0.57729585655439786</v>
      </c>
      <c r="H286" s="171" t="str">
        <f t="shared" si="32"/>
        <v>M</v>
      </c>
      <c r="I286" s="170">
        <f>IFERROR((VLOOKUP($C286,Code!$H:$Q,5,FALSE))/(((VLOOKUP($C286,Code!$H:$Q,7,FALSE))+(VLOOKUP($C286,Code!$H:$Q,8,FALSE)))/2)-1,0)</f>
        <v>-0.18948388660043602</v>
      </c>
      <c r="J286" s="204">
        <f>IFERROR(POWER((VLOOKUP(C286,Code!H:W,12,FALSE))/(VLOOKUP(C286,Code!H:W,15,FALSE)),1/(P286-1))-1,"")</f>
        <v>4.9123046100487011E-2</v>
      </c>
      <c r="K286" s="172" cm="1">
        <f t="array" ref="K286">IFERROR(IF(C286="","",_xlfn.IFS(AND(VLOOKUP(C286,Code!H:W,13,FALSE)=0,VLOOKUP(C286,Code!H:W,16,FALSE)=0),"無股息",AND(VLOOKUP(C286,Code!H:W,13,FALSE)=0,VLOOKUP(C286,Code!H:W,16,FALSE)&gt;0),"股息沒了",AND(VLOOKUP(C286,Code!H:W,13,FALSE)&gt;0,VLOOKUP(C286,Code!H:W,16,FALSE)=0),"發股息了",AND(VLOOKUP(C286,Code!H:W,13,FALSE)&gt;0,VLOOKUP(C286,Code!H:W,16,FALSE)&gt;0),POWER((VLOOKUP(C286,Code!H:W,13,FALSE))/(VLOOKUP(C286,Code!H:W,16,FALSE)),1/(P286-1))-1)),"")</f>
        <v>-0.12508248074209505</v>
      </c>
      <c r="L286" s="173">
        <f>IFERROR(VLOOKUP(C286,Code!H:W,13,FALSE)*4/VLOOKUP(C286,Code!H:W,12,FALSE),"")</f>
        <v>2.4096386128479006E-2</v>
      </c>
      <c r="M286" s="172">
        <f t="shared" si="33"/>
        <v>-7.5959434641608037E-2</v>
      </c>
      <c r="N286" s="172" t="str">
        <f t="shared" si="34"/>
        <v>-</v>
      </c>
      <c r="O286" s="172" t="str">
        <f t="shared" si="35"/>
        <v>-</v>
      </c>
      <c r="P286" s="205">
        <f>IFERROR(YEARFRAC(VLOOKUP(C286,Code!H:W,11,FALSE),VLOOKUP(C286,Code!H:W,14,FALSE),3),"")</f>
        <v>4.7342465753424658</v>
      </c>
      <c r="Q286" s="174">
        <v>44547</v>
      </c>
      <c r="R286" s="175" t="str">
        <f t="shared" ca="1" si="36"/>
        <v/>
      </c>
      <c r="S286" s="176">
        <f>IFERROR(VLOOKUP($C286,Code!$H:$Q,5,FALSE),"")</f>
        <v>0.33450000000000002</v>
      </c>
      <c r="T286" s="177" t="str">
        <f t="shared" ca="1" si="37"/>
        <v/>
      </c>
      <c r="U286" s="178" t="str">
        <f t="shared" ca="1" si="38"/>
        <v/>
      </c>
      <c r="V286" s="179">
        <f>IFERROR(VLOOKUP($C286,Code!$H:$Q,6,FALSE),"")</f>
        <v>24.77</v>
      </c>
      <c r="W286" s="180" t="str">
        <f t="shared" ca="1" si="39"/>
        <v/>
      </c>
      <c r="X286" s="12"/>
      <c r="Y286" s="12"/>
      <c r="Z286" s="12"/>
      <c r="AA286" s="12"/>
      <c r="AB286" s="12"/>
    </row>
    <row r="287" spans="1:28" s="10" customFormat="1" ht="15" hidden="1">
      <c r="A287" s="9"/>
      <c r="B287" s="169" cm="1">
        <f t="array" ref="B287">_xlfn.IFS(OR(Code!R103&lt;&gt;Code!U103,Code!R103=""),0,Code!R103=Code!U103,1)</f>
        <v>1</v>
      </c>
      <c r="C287" s="193" t="str">
        <f>IF(Code!F103="","",Code!F103)</f>
        <v>CMG</v>
      </c>
      <c r="D287" s="155" t="str">
        <f>IFERROR(VLOOKUP($C287,Code!$H:$K,2,FALSE),"")</f>
        <v>XLY</v>
      </c>
      <c r="E287" s="156" t="str">
        <f>IFERROR(VLOOKUP($C287,Code!$H:$K,3,FALSE),"")</f>
        <v>飯館</v>
      </c>
      <c r="F287" s="157" t="str">
        <f>IFERROR(VLOOKUP($C287,Code!$H:$K,4,FALSE),"")</f>
        <v>.SPX</v>
      </c>
      <c r="G287" s="170">
        <f>IFERROR(((VLOOKUP($C287,Code!$H:$Q,9,FALSE))+(VLOOKUP($C287,Code!$H:$Q,10,FALSE)))/2*0.5/(((VLOOKUP($C287,Code!$H:$Q,7,FALSE))+(VLOOKUP($C287,Code!$H:$Q,8,FALSE)))/2),0)</f>
        <v>0.60830508474576273</v>
      </c>
      <c r="H287" s="171" t="str">
        <f t="shared" si="32"/>
        <v>L</v>
      </c>
      <c r="I287" s="170">
        <f>IFERROR((VLOOKUP($C287,Code!$H:$Q,5,FALSE))/(((VLOOKUP($C287,Code!$H:$Q,7,FALSE))+(VLOOKUP($C287,Code!$H:$Q,8,FALSE)))/2)-1,0)</f>
        <v>-0.18949152542372871</v>
      </c>
      <c r="J287" s="204" t="str">
        <f>IFERROR(POWER((VLOOKUP(C287,Code!H:W,12,FALSE))/(VLOOKUP(C287,Code!H:W,15,FALSE)),1/(P287-1))-1,"")</f>
        <v/>
      </c>
      <c r="K287" s="172" t="str" cm="1">
        <f t="array" ref="K287">IFERROR(IF(C287="","",_xlfn.IFS(AND(VLOOKUP(C287,Code!H:W,13,FALSE)=0,VLOOKUP(C287,Code!H:W,16,FALSE)=0),"無股息",AND(VLOOKUP(C287,Code!H:W,13,FALSE)=0,VLOOKUP(C287,Code!H:W,16,FALSE)&gt;0),"股息沒了",AND(VLOOKUP(C287,Code!H:W,13,FALSE)&gt;0,VLOOKUP(C287,Code!H:W,16,FALSE)=0),"發股息了",AND(VLOOKUP(C287,Code!H:W,13,FALSE)&gt;0,VLOOKUP(C287,Code!H:W,16,FALSE)&gt;0),POWER((VLOOKUP(C287,Code!H:W,13,FALSE))/(VLOOKUP(C287,Code!H:W,16,FALSE)),1/(P287-1))-1)),"")</f>
        <v>無股息</v>
      </c>
      <c r="L287" s="173" t="str">
        <f>IFERROR(VLOOKUP(C287,Code!H:W,13,FALSE)*4/VLOOKUP(C287,Code!H:W,12,FALSE),"")</f>
        <v/>
      </c>
      <c r="M287" s="172" t="str">
        <f t="shared" si="33"/>
        <v/>
      </c>
      <c r="N287" s="172" t="str">
        <f t="shared" si="34"/>
        <v/>
      </c>
      <c r="O287" s="172" t="str">
        <f t="shared" si="35"/>
        <v/>
      </c>
      <c r="P287" s="205">
        <f>IFERROR(YEARFRAC(VLOOKUP(C287,Code!H:W,11,FALSE),VLOOKUP(C287,Code!H:W,14,FALSE),3),"")</f>
        <v>0</v>
      </c>
      <c r="Q287" s="174">
        <v>44547</v>
      </c>
      <c r="R287" s="175" t="str">
        <f t="shared" ca="1" si="36"/>
        <v/>
      </c>
      <c r="S287" s="176">
        <f>IFERROR(VLOOKUP($C287,Code!$H:$Q,5,FALSE),"")</f>
        <v>0.23910000000000001</v>
      </c>
      <c r="T287" s="177" t="str">
        <f t="shared" ca="1" si="37"/>
        <v/>
      </c>
      <c r="U287" s="178" t="str">
        <f t="shared" ca="1" si="38"/>
        <v/>
      </c>
      <c r="V287" s="179">
        <f>IFERROR(VLOOKUP($C287,Code!$H:$Q,6,FALSE),"")</f>
        <v>1899.98</v>
      </c>
      <c r="W287" s="180" t="str">
        <f t="shared" ca="1" si="39"/>
        <v/>
      </c>
      <c r="X287" s="12"/>
      <c r="Y287" s="12"/>
      <c r="Z287" s="12"/>
      <c r="AA287" s="12"/>
      <c r="AB287" s="12"/>
    </row>
    <row r="288" spans="1:28" s="10" customFormat="1" ht="15" hidden="1">
      <c r="A288" s="9"/>
      <c r="B288" s="169" cm="1">
        <f t="array" ref="B288">_xlfn.IFS(OR(Code!R494&lt;&gt;Code!U494,Code!R494=""),0,Code!R494=Code!U494,1)</f>
        <v>0</v>
      </c>
      <c r="C288" s="193" t="str">
        <f>IF(Code!F494="","",Code!F494)</f>
        <v>WRK</v>
      </c>
      <c r="D288" s="155" t="str">
        <f>IFERROR(VLOOKUP($C288,Code!$H:$K,2,FALSE),"")</f>
        <v>XLB</v>
      </c>
      <c r="E288" s="156" t="str">
        <f>IFERROR(VLOOKUP($C288,Code!$H:$K,3,FALSE),"")</f>
        <v>包裝和容器</v>
      </c>
      <c r="F288" s="157" t="str">
        <f>IFERROR(VLOOKUP($C288,Code!$H:$K,4,FALSE),"")</f>
        <v>.SPX</v>
      </c>
      <c r="G288" s="170">
        <f>IFERROR(((VLOOKUP($C288,Code!$H:$Q,9,FALSE))+(VLOOKUP($C288,Code!$H:$Q,10,FALSE)))/2*0.5/(((VLOOKUP($C288,Code!$H:$Q,7,FALSE))+(VLOOKUP($C288,Code!$H:$Q,8,FALSE)))/2),0)</f>
        <v>0.5496553484809803</v>
      </c>
      <c r="H288" s="171" t="str">
        <f t="shared" si="32"/>
        <v>M</v>
      </c>
      <c r="I288" s="170">
        <f>IFERROR((VLOOKUP($C288,Code!$H:$Q,5,FALSE))/(((VLOOKUP($C288,Code!$H:$Q,7,FALSE))+(VLOOKUP($C288,Code!$H:$Q,8,FALSE)))/2)-1,0)</f>
        <v>-0.18968598417155991</v>
      </c>
      <c r="J288" s="204">
        <f>IFERROR(POWER((VLOOKUP(C288,Code!H:W,12,FALSE))/(VLOOKUP(C288,Code!H:W,15,FALSE)),1/(P288-1))-1,"")</f>
        <v>0.13130279137521872</v>
      </c>
      <c r="K288" s="172" cm="1">
        <f t="array" ref="K288">IFERROR(IF(C288="","",_xlfn.IFS(AND(VLOOKUP(C288,Code!H:W,13,FALSE)=0,VLOOKUP(C288,Code!H:W,16,FALSE)=0),"無股息",AND(VLOOKUP(C288,Code!H:W,13,FALSE)=0,VLOOKUP(C288,Code!H:W,16,FALSE)&gt;0),"股息沒了",AND(VLOOKUP(C288,Code!H:W,13,FALSE)&gt;0,VLOOKUP(C288,Code!H:W,16,FALSE)=0),"發股息了",AND(VLOOKUP(C288,Code!H:W,13,FALSE)&gt;0,VLOOKUP(C288,Code!H:W,16,FALSE)&gt;0),POWER((VLOOKUP(C288,Code!H:W,13,FALSE))/(VLOOKUP(C288,Code!H:W,16,FALSE)),1/(P288-1))-1)),"")</f>
        <v>-0.11156773701843226</v>
      </c>
      <c r="L288" s="173">
        <f>IFERROR(VLOOKUP(C288,Code!H:W,13,FALSE)*4/VLOOKUP(C288,Code!H:W,12,FALSE),"")</f>
        <v>1.6075016416228695E-2</v>
      </c>
      <c r="M288" s="172">
        <f t="shared" si="33"/>
        <v>1.9735054356786463E-2</v>
      </c>
      <c r="N288" s="172" t="str">
        <f t="shared" si="34"/>
        <v>-</v>
      </c>
      <c r="O288" s="172" t="str">
        <f t="shared" si="35"/>
        <v>-</v>
      </c>
      <c r="P288" s="205">
        <f>IFERROR(YEARFRAC(VLOOKUP(C288,Code!H:W,11,FALSE),VLOOKUP(C288,Code!H:W,14,FALSE),3),"")</f>
        <v>4.7726027397260271</v>
      </c>
      <c r="Q288" s="174">
        <v>44547</v>
      </c>
      <c r="R288" s="175" t="str">
        <f t="shared" ca="1" si="36"/>
        <v/>
      </c>
      <c r="S288" s="176">
        <f>IFERROR(VLOOKUP($C288,Code!$H:$Q,5,FALSE),"")</f>
        <v>0.31740000000000002</v>
      </c>
      <c r="T288" s="177" t="str">
        <f t="shared" ca="1" si="37"/>
        <v/>
      </c>
      <c r="U288" s="178" t="str">
        <f t="shared" ca="1" si="38"/>
        <v/>
      </c>
      <c r="V288" s="179">
        <f>IFERROR(VLOOKUP($C288,Code!$H:$Q,6,FALSE),"")</f>
        <v>48.52</v>
      </c>
      <c r="W288" s="180" t="str">
        <f t="shared" ca="1" si="39"/>
        <v/>
      </c>
      <c r="X288" s="12"/>
      <c r="Y288" s="12"/>
      <c r="Z288" s="12"/>
      <c r="AA288" s="12"/>
      <c r="AB288" s="12"/>
    </row>
    <row r="289" spans="1:28" s="10" customFormat="1" ht="15" hidden="1">
      <c r="A289" s="9"/>
      <c r="B289" s="169" cm="1">
        <f t="array" ref="B289">_xlfn.IFS(OR(Code!R205&lt;&gt;Code!U205,Code!R205=""),0,Code!R205=Code!U205,1)</f>
        <v>1</v>
      </c>
      <c r="C289" s="193" t="str">
        <f>IF(Code!F205="","",Code!F205)</f>
        <v>GOOG</v>
      </c>
      <c r="D289" s="155" t="str">
        <f>IFERROR(VLOOKUP($C289,Code!$H:$K,2,FALSE),"")</f>
        <v>XLC</v>
      </c>
      <c r="E289" s="156" t="str">
        <f>IFERROR(VLOOKUP($C289,Code!$H:$K,3,FALSE),"")</f>
        <v>互聯網內容與信息</v>
      </c>
      <c r="F289" s="157" t="str">
        <f>IFERROR(VLOOKUP($C289,Code!$H:$K,4,FALSE),"")</f>
        <v>.SPX</v>
      </c>
      <c r="G289" s="170">
        <f>IFERROR(((VLOOKUP($C289,Code!$H:$Q,9,FALSE))+(VLOOKUP($C289,Code!$H:$Q,10,FALSE)))/2*0.5/(((VLOOKUP($C289,Code!$H:$Q,7,FALSE))+(VLOOKUP($C289,Code!$H:$Q,8,FALSE)))/2),0)</f>
        <v>0.70397957012130241</v>
      </c>
      <c r="H289" s="171" t="str">
        <f t="shared" si="32"/>
        <v>XL</v>
      </c>
      <c r="I289" s="170">
        <f>IFERROR((VLOOKUP($C289,Code!$H:$Q,5,FALSE))/(((VLOOKUP($C289,Code!$H:$Q,7,FALSE))+(VLOOKUP($C289,Code!$H:$Q,8,FALSE)))/2)-1,0)</f>
        <v>-0.19004043413492233</v>
      </c>
      <c r="J289" s="204" t="str">
        <f>IFERROR(POWER((VLOOKUP(C289,Code!H:W,12,FALSE))/(VLOOKUP(C289,Code!H:W,15,FALSE)),1/(P289-1))-1,"")</f>
        <v/>
      </c>
      <c r="K289" s="172" t="str" cm="1">
        <f t="array" ref="K289">IFERROR(IF(C289="","",_xlfn.IFS(AND(VLOOKUP(C289,Code!H:W,13,FALSE)=0,VLOOKUP(C289,Code!H:W,16,FALSE)=0),"無股息",AND(VLOOKUP(C289,Code!H:W,13,FALSE)=0,VLOOKUP(C289,Code!H:W,16,FALSE)&gt;0),"股息沒了",AND(VLOOKUP(C289,Code!H:W,13,FALSE)&gt;0,VLOOKUP(C289,Code!H:W,16,FALSE)=0),"發股息了",AND(VLOOKUP(C289,Code!H:W,13,FALSE)&gt;0,VLOOKUP(C289,Code!H:W,16,FALSE)&gt;0),POWER((VLOOKUP(C289,Code!H:W,13,FALSE))/(VLOOKUP(C289,Code!H:W,16,FALSE)),1/(P289-1))-1)),"")</f>
        <v>無股息</v>
      </c>
      <c r="L289" s="173" t="str">
        <f>IFERROR(VLOOKUP(C289,Code!H:W,13,FALSE)*4/VLOOKUP(C289,Code!H:W,12,FALSE),"")</f>
        <v/>
      </c>
      <c r="M289" s="172" t="str">
        <f t="shared" si="33"/>
        <v/>
      </c>
      <c r="N289" s="172" t="str">
        <f t="shared" si="34"/>
        <v/>
      </c>
      <c r="O289" s="172" t="str">
        <f t="shared" si="35"/>
        <v/>
      </c>
      <c r="P289" s="205">
        <f>IFERROR(YEARFRAC(VLOOKUP(C289,Code!H:W,11,FALSE),VLOOKUP(C289,Code!H:W,14,FALSE),3),"")</f>
        <v>0</v>
      </c>
      <c r="Q289" s="174">
        <v>44547</v>
      </c>
      <c r="R289" s="175" t="str">
        <f t="shared" ca="1" si="36"/>
        <v/>
      </c>
      <c r="S289" s="176">
        <f>IFERROR(VLOOKUP($C289,Code!$H:$Q,5,FALSE),"")</f>
        <v>0.1903</v>
      </c>
      <c r="T289" s="177" t="str">
        <f t="shared" ca="1" si="37"/>
        <v/>
      </c>
      <c r="U289" s="178" t="str">
        <f t="shared" ca="1" si="38"/>
        <v/>
      </c>
      <c r="V289" s="179">
        <f>IFERROR(VLOOKUP($C289,Code!$H:$Q,6,FALSE),"")</f>
        <v>2738.8</v>
      </c>
      <c r="W289" s="180" t="str">
        <f t="shared" ca="1" si="39"/>
        <v/>
      </c>
      <c r="X289" s="12"/>
      <c r="Y289" s="12"/>
      <c r="Z289" s="12"/>
      <c r="AA289" s="12"/>
      <c r="AB289" s="12"/>
    </row>
    <row r="290" spans="1:28" s="10" customFormat="1" ht="15" hidden="1">
      <c r="A290" s="9"/>
      <c r="B290" s="169" cm="1">
        <f t="array" ref="B290">_xlfn.IFS(OR(Code!R370&lt;&gt;Code!U370,Code!R370=""),0,Code!R370=Code!U370,1)</f>
        <v>0</v>
      </c>
      <c r="C290" s="193" t="str">
        <f>IF(Code!F370="","",Code!F370)</f>
        <v>PGR</v>
      </c>
      <c r="D290" s="155" t="str">
        <f>IFERROR(VLOOKUP($C290,Code!$H:$K,2,FALSE),"")</f>
        <v>XLF</v>
      </c>
      <c r="E290" s="156" t="str">
        <f>IFERROR(VLOOKUP($C290,Code!$H:$K,3,FALSE),"")</f>
        <v>保險-財產及意外事故</v>
      </c>
      <c r="F290" s="157" t="str">
        <f>IFERROR(VLOOKUP($C290,Code!$H:$K,4,FALSE),"")</f>
        <v>.SPX</v>
      </c>
      <c r="G290" s="170">
        <f>IFERROR(((VLOOKUP($C290,Code!$H:$Q,9,FALSE))+(VLOOKUP($C290,Code!$H:$Q,10,FALSE)))/2*0.5/(((VLOOKUP($C290,Code!$H:$Q,7,FALSE))+(VLOOKUP($C290,Code!$H:$Q,8,FALSE)))/2),0)</f>
        <v>0.57373737373737366</v>
      </c>
      <c r="H290" s="171" t="str">
        <f t="shared" si="32"/>
        <v>M</v>
      </c>
      <c r="I290" s="170">
        <f>IFERROR((VLOOKUP($C290,Code!$H:$Q,5,FALSE))/(((VLOOKUP($C290,Code!$H:$Q,7,FALSE))+(VLOOKUP($C290,Code!$H:$Q,8,FALSE)))/2)-1,0)</f>
        <v>-0.19070707070707071</v>
      </c>
      <c r="J290" s="204">
        <f>IFERROR(POWER((VLOOKUP(C290,Code!H:W,12,FALSE))/(VLOOKUP(C290,Code!H:W,15,FALSE)),1/(P290-1))-1,"")</f>
        <v>0.38736082128431359</v>
      </c>
      <c r="K290" s="172" cm="1">
        <f t="array" ref="K290">IFERROR(IF(C290="","",_xlfn.IFS(AND(VLOOKUP(C290,Code!H:W,13,FALSE)=0,VLOOKUP(C290,Code!H:W,16,FALSE)=0),"無股息",AND(VLOOKUP(C290,Code!H:W,13,FALSE)=0,VLOOKUP(C290,Code!H:W,16,FALSE)&gt;0),"股息沒了",AND(VLOOKUP(C290,Code!H:W,13,FALSE)&gt;0,VLOOKUP(C290,Code!H:W,16,FALSE)=0),"發股息了",AND(VLOOKUP(C290,Code!H:W,13,FALSE)&gt;0,VLOOKUP(C290,Code!H:W,16,FALSE)&gt;0),POWER((VLOOKUP(C290,Code!H:W,13,FALSE))/(VLOOKUP(C290,Code!H:W,16,FALSE)),1/(P290-1))-1)),"")</f>
        <v>-0.42863252986163269</v>
      </c>
      <c r="L290" s="173">
        <f>IFERROR(VLOOKUP(C290,Code!H:W,13,FALSE)*4/VLOOKUP(C290,Code!H:W,12,FALSE),"")</f>
        <v>4.0874718731371898E-3</v>
      </c>
      <c r="M290" s="172">
        <f t="shared" si="33"/>
        <v>-4.1271708577319099E-2</v>
      </c>
      <c r="N290" s="172" t="str">
        <f t="shared" si="34"/>
        <v>-</v>
      </c>
      <c r="O290" s="172" t="str">
        <f t="shared" si="35"/>
        <v>-</v>
      </c>
      <c r="P290" s="205">
        <f>IFERROR(YEARFRAC(VLOOKUP(C290,Code!H:W,11,FALSE),VLOOKUP(C290,Code!H:W,14,FALSE),3),"")</f>
        <v>4.4273972602739722</v>
      </c>
      <c r="Q290" s="174">
        <v>44547</v>
      </c>
      <c r="R290" s="175" t="str">
        <f t="shared" ca="1" si="36"/>
        <v/>
      </c>
      <c r="S290" s="176">
        <f>IFERROR(VLOOKUP($C290,Code!$H:$Q,5,FALSE),"")</f>
        <v>0.20030000000000001</v>
      </c>
      <c r="T290" s="177" t="str">
        <f t="shared" ca="1" si="37"/>
        <v/>
      </c>
      <c r="U290" s="178" t="str">
        <f t="shared" ca="1" si="38"/>
        <v/>
      </c>
      <c r="V290" s="179">
        <f>IFERROR(VLOOKUP($C290,Code!$H:$Q,6,FALSE),"")</f>
        <v>96.56</v>
      </c>
      <c r="W290" s="180" t="str">
        <f t="shared" ca="1" si="39"/>
        <v/>
      </c>
      <c r="X290" s="12"/>
      <c r="Y290" s="12"/>
      <c r="Z290" s="12"/>
      <c r="AA290" s="12"/>
      <c r="AB290" s="12"/>
    </row>
    <row r="291" spans="1:28" s="10" customFormat="1" ht="15" hidden="1">
      <c r="A291" s="9"/>
      <c r="B291" s="169" cm="1">
        <f t="array" ref="B291">_xlfn.IFS(OR(Code!R405&lt;&gt;Code!U405,Code!R405=""),0,Code!R405=Code!U405,1)</f>
        <v>0</v>
      </c>
      <c r="C291" s="193" t="str">
        <f>IF(Code!F405="","",Code!F405)</f>
        <v>ROP</v>
      </c>
      <c r="D291" s="155" t="str">
        <f>IFERROR(VLOOKUP($C291,Code!$H:$K,2,FALSE),"")</f>
        <v>XLI</v>
      </c>
      <c r="E291" s="156" t="str">
        <f>IFERROR(VLOOKUP($C291,Code!$H:$K,3,FALSE),"")</f>
        <v>特種工業機械</v>
      </c>
      <c r="F291" s="157" t="str">
        <f>IFERROR(VLOOKUP($C291,Code!$H:$K,4,FALSE),"")</f>
        <v>.SPX</v>
      </c>
      <c r="G291" s="170">
        <f>IFERROR(((VLOOKUP($C291,Code!$H:$Q,9,FALSE))+(VLOOKUP($C291,Code!$H:$Q,10,FALSE)))/2*0.5/(((VLOOKUP($C291,Code!$H:$Q,7,FALSE))+(VLOOKUP($C291,Code!$H:$Q,8,FALSE)))/2),0)</f>
        <v>0.56550173717555696</v>
      </c>
      <c r="H291" s="171" t="str">
        <f t="shared" si="32"/>
        <v>M</v>
      </c>
      <c r="I291" s="170">
        <f>IFERROR((VLOOKUP($C291,Code!$H:$Q,5,FALSE))/(((VLOOKUP($C291,Code!$H:$Q,7,FALSE))+(VLOOKUP($C291,Code!$H:$Q,8,FALSE)))/2)-1,0)</f>
        <v>-0.19108931126098505</v>
      </c>
      <c r="J291" s="204">
        <f>IFERROR(POWER((VLOOKUP(C291,Code!H:W,12,FALSE))/(VLOOKUP(C291,Code!H:W,15,FALSE)),1/(P291-1))-1,"")</f>
        <v>0.30487071287066381</v>
      </c>
      <c r="K291" s="172" cm="1">
        <f t="array" ref="K291">IFERROR(IF(C291="","",_xlfn.IFS(AND(VLOOKUP(C291,Code!H:W,13,FALSE)=0,VLOOKUP(C291,Code!H:W,16,FALSE)=0),"無股息",AND(VLOOKUP(C291,Code!H:W,13,FALSE)=0,VLOOKUP(C291,Code!H:W,16,FALSE)&gt;0),"股息沒了",AND(VLOOKUP(C291,Code!H:W,13,FALSE)&gt;0,VLOOKUP(C291,Code!H:W,16,FALSE)=0),"發股息了",AND(VLOOKUP(C291,Code!H:W,13,FALSE)&gt;0,VLOOKUP(C291,Code!H:W,16,FALSE)&gt;0),POWER((VLOOKUP(C291,Code!H:W,13,FALSE))/(VLOOKUP(C291,Code!H:W,16,FALSE)),1/(P291-1))-1)),"")</f>
        <v>0.18245219854089578</v>
      </c>
      <c r="L291" s="173">
        <f>IFERROR(VLOOKUP(C291,Code!H:W,13,FALSE)*4/VLOOKUP(C291,Code!H:W,12,FALSE),"")</f>
        <v>4.6739445555747184E-3</v>
      </c>
      <c r="M291" s="172">
        <f t="shared" si="33"/>
        <v>0.48732291141155959</v>
      </c>
      <c r="N291" s="172" t="str">
        <f t="shared" si="34"/>
        <v>-</v>
      </c>
      <c r="O291" s="172" t="str">
        <f t="shared" si="35"/>
        <v>Value</v>
      </c>
      <c r="P291" s="205">
        <f>IFERROR(YEARFRAC(VLOOKUP(C291,Code!H:W,11,FALSE),VLOOKUP(C291,Code!H:W,14,FALSE),3),"")</f>
        <v>4.7561643835616438</v>
      </c>
      <c r="Q291" s="174">
        <v>44547</v>
      </c>
      <c r="R291" s="175" t="str">
        <f t="shared" ca="1" si="36"/>
        <v/>
      </c>
      <c r="S291" s="176">
        <f>IFERROR(VLOOKUP($C291,Code!$H:$Q,5,FALSE),"")</f>
        <v>0.19789999999999999</v>
      </c>
      <c r="T291" s="177" t="str">
        <f t="shared" ca="1" si="37"/>
        <v/>
      </c>
      <c r="U291" s="178" t="str">
        <f t="shared" ca="1" si="38"/>
        <v/>
      </c>
      <c r="V291" s="179">
        <f>IFERROR(VLOOKUP($C291,Code!$H:$Q,6,FALSE),"")</f>
        <v>489.82</v>
      </c>
      <c r="W291" s="180" t="str">
        <f t="shared" ca="1" si="39"/>
        <v/>
      </c>
      <c r="X291" s="12"/>
      <c r="Y291" s="12"/>
      <c r="Z291" s="12"/>
      <c r="AA291" s="12"/>
      <c r="AB291" s="12"/>
    </row>
    <row r="292" spans="1:28" s="10" customFormat="1" ht="15" hidden="1">
      <c r="A292" s="9"/>
      <c r="B292" s="169" cm="1">
        <f t="array" ref="B292">_xlfn.IFS(OR(Code!R79&lt;&gt;Code!U79,Code!R79=""),0,Code!R79=Code!U79,1)</f>
        <v>0</v>
      </c>
      <c r="C292" s="193" t="str">
        <f>IF(Code!F79="","",Code!F79)</f>
        <v>CAH</v>
      </c>
      <c r="D292" s="155" t="str">
        <f>IFERROR(VLOOKUP($C292,Code!$H:$K,2,FALSE),"")</f>
        <v>XLV</v>
      </c>
      <c r="E292" s="156" t="str">
        <f>IFERROR(VLOOKUP($C292,Code!$H:$K,3,FALSE),"")</f>
        <v>醫療分銷</v>
      </c>
      <c r="F292" s="157" t="str">
        <f>IFERROR(VLOOKUP($C292,Code!$H:$K,4,FALSE),"")</f>
        <v>.SPX</v>
      </c>
      <c r="G292" s="170">
        <f>IFERROR(((VLOOKUP($C292,Code!$H:$Q,9,FALSE))+(VLOOKUP($C292,Code!$H:$Q,10,FALSE)))/2*0.5/(((VLOOKUP($C292,Code!$H:$Q,7,FALSE))+(VLOOKUP($C292,Code!$H:$Q,8,FALSE)))/2),0)</f>
        <v>0.53907863383637822</v>
      </c>
      <c r="H292" s="171" t="str">
        <f t="shared" si="32"/>
        <v>M</v>
      </c>
      <c r="I292" s="170">
        <f>IFERROR((VLOOKUP($C292,Code!$H:$Q,5,FALSE))/(((VLOOKUP($C292,Code!$H:$Q,7,FALSE))+(VLOOKUP($C292,Code!$H:$Q,8,FALSE)))/2)-1,0)</f>
        <v>-0.19205718824463847</v>
      </c>
      <c r="J292" s="204">
        <f>IFERROR(POWER((VLOOKUP(C292,Code!H:W,12,FALSE))/(VLOOKUP(C292,Code!H:W,15,FALSE)),1/(P292-1))-1,"")</f>
        <v>-3.5088050325100317E-2</v>
      </c>
      <c r="K292" s="172" cm="1">
        <f t="array" ref="K292">IFERROR(IF(C292="","",_xlfn.IFS(AND(VLOOKUP(C292,Code!H:W,13,FALSE)=0,VLOOKUP(C292,Code!H:W,16,FALSE)=0),"無股息",AND(VLOOKUP(C292,Code!H:W,13,FALSE)=0,VLOOKUP(C292,Code!H:W,16,FALSE)&gt;0),"股息沒了",AND(VLOOKUP(C292,Code!H:W,13,FALSE)&gt;0,VLOOKUP(C292,Code!H:W,16,FALSE)=0),"發股息了",AND(VLOOKUP(C292,Code!H:W,13,FALSE)&gt;0,VLOOKUP(C292,Code!H:W,16,FALSE)&gt;0),POWER((VLOOKUP(C292,Code!H:W,13,FALSE))/(VLOOKUP(C292,Code!H:W,16,FALSE)),1/(P292-1))-1)),"")</f>
        <v>2.4109963437455528E-2</v>
      </c>
      <c r="L292" s="173">
        <f>IFERROR(VLOOKUP(C292,Code!H:W,13,FALSE)*4/VLOOKUP(C292,Code!H:W,12,FALSE),"")</f>
        <v>3.4401821593110907E-2</v>
      </c>
      <c r="M292" s="172">
        <f t="shared" si="33"/>
        <v>-1.0978086887644789E-2</v>
      </c>
      <c r="N292" s="172" t="str">
        <f t="shared" si="34"/>
        <v>-</v>
      </c>
      <c r="O292" s="172" t="str">
        <f t="shared" si="35"/>
        <v>-</v>
      </c>
      <c r="P292" s="205">
        <f>IFERROR(YEARFRAC(VLOOKUP(C292,Code!H:W,11,FALSE),VLOOKUP(C292,Code!H:W,14,FALSE),3),"")</f>
        <v>4.7534246575342465</v>
      </c>
      <c r="Q292" s="174">
        <v>44547</v>
      </c>
      <c r="R292" s="175" t="str">
        <f t="shared" ca="1" si="36"/>
        <v/>
      </c>
      <c r="S292" s="176">
        <f>IFERROR(VLOOKUP($C292,Code!$H:$Q,5,FALSE),"")</f>
        <v>0.25430000000000003</v>
      </c>
      <c r="T292" s="177" t="str">
        <f t="shared" ca="1" si="37"/>
        <v/>
      </c>
      <c r="U292" s="178" t="str">
        <f t="shared" ca="1" si="38"/>
        <v/>
      </c>
      <c r="V292" s="179">
        <f>IFERROR(VLOOKUP($C292,Code!$H:$Q,6,FALSE),"")</f>
        <v>51.2</v>
      </c>
      <c r="W292" s="180" t="str">
        <f t="shared" ca="1" si="39"/>
        <v/>
      </c>
      <c r="X292" s="12"/>
      <c r="Y292" s="12"/>
      <c r="Z292" s="12"/>
      <c r="AA292" s="12"/>
      <c r="AB292" s="12"/>
    </row>
    <row r="293" spans="1:28" s="10" customFormat="1" ht="15" hidden="1">
      <c r="A293" s="9"/>
      <c r="B293" s="169" cm="1">
        <f t="array" ref="B293">_xlfn.IFS(OR(Code!R435&lt;&gt;Code!U435,Code!R435=""),0,Code!R435=Code!U435,1)</f>
        <v>1</v>
      </c>
      <c r="C293" s="193" t="str">
        <f>IF(Code!F435="","",Code!F435)</f>
        <v>TDY</v>
      </c>
      <c r="D293" s="155" t="str">
        <f>IFERROR(VLOOKUP($C293,Code!$H:$K,2,FALSE),"")</f>
        <v>XLI</v>
      </c>
      <c r="E293" s="156" t="str">
        <f>IFERROR(VLOOKUP($C293,Code!$H:$K,3,FALSE),"")</f>
        <v>科技儀器</v>
      </c>
      <c r="F293" s="157" t="str">
        <f>IFERROR(VLOOKUP($C293,Code!$H:$K,4,FALSE),"")</f>
        <v>.SPX</v>
      </c>
      <c r="G293" s="170">
        <f>IFERROR(((VLOOKUP($C293,Code!$H:$Q,9,FALSE))+(VLOOKUP($C293,Code!$H:$Q,10,FALSE)))/2*0.5/(((VLOOKUP($C293,Code!$H:$Q,7,FALSE))+(VLOOKUP($C293,Code!$H:$Q,8,FALSE)))/2),0)</f>
        <v>0.53883828836569847</v>
      </c>
      <c r="H293" s="171" t="str">
        <f t="shared" si="32"/>
        <v>M</v>
      </c>
      <c r="I293" s="170">
        <f>IFERROR((VLOOKUP($C293,Code!$H:$Q,5,FALSE))/(((VLOOKUP($C293,Code!$H:$Q,7,FALSE))+(VLOOKUP($C293,Code!$H:$Q,8,FALSE)))/2)-1,0)</f>
        <v>-0.19298848599415719</v>
      </c>
      <c r="J293" s="204" t="str">
        <f>IFERROR(POWER((VLOOKUP(C293,Code!H:W,12,FALSE))/(VLOOKUP(C293,Code!H:W,15,FALSE)),1/(P293-1))-1,"")</f>
        <v/>
      </c>
      <c r="K293" s="172" t="str" cm="1">
        <f t="array" ref="K293">IFERROR(IF(C293="","",_xlfn.IFS(AND(VLOOKUP(C293,Code!H:W,13,FALSE)=0,VLOOKUP(C293,Code!H:W,16,FALSE)=0),"無股息",AND(VLOOKUP(C293,Code!H:W,13,FALSE)=0,VLOOKUP(C293,Code!H:W,16,FALSE)&gt;0),"股息沒了",AND(VLOOKUP(C293,Code!H:W,13,FALSE)&gt;0,VLOOKUP(C293,Code!H:W,16,FALSE)=0),"發股息了",AND(VLOOKUP(C293,Code!H:W,13,FALSE)&gt;0,VLOOKUP(C293,Code!H:W,16,FALSE)&gt;0),POWER((VLOOKUP(C293,Code!H:W,13,FALSE))/(VLOOKUP(C293,Code!H:W,16,FALSE)),1/(P293-1))-1)),"")</f>
        <v>無股息</v>
      </c>
      <c r="L293" s="173" t="str">
        <f>IFERROR(VLOOKUP(C293,Code!H:W,13,FALSE)*4/VLOOKUP(C293,Code!H:W,12,FALSE),"")</f>
        <v/>
      </c>
      <c r="M293" s="172" t="str">
        <f t="shared" si="33"/>
        <v/>
      </c>
      <c r="N293" s="172" t="str">
        <f t="shared" si="34"/>
        <v/>
      </c>
      <c r="O293" s="172" t="str">
        <f t="shared" si="35"/>
        <v/>
      </c>
      <c r="P293" s="205">
        <f>IFERROR(YEARFRAC(VLOOKUP(C293,Code!H:W,11,FALSE),VLOOKUP(C293,Code!H:W,14,FALSE),3),"")</f>
        <v>0</v>
      </c>
      <c r="Q293" s="174">
        <v>44547</v>
      </c>
      <c r="R293" s="175" t="str">
        <f t="shared" ca="1" si="36"/>
        <v/>
      </c>
      <c r="S293" s="176">
        <f>IFERROR(VLOOKUP($C293,Code!$H:$Q,5,FALSE),"")</f>
        <v>0.23480000000000001</v>
      </c>
      <c r="T293" s="177" t="str">
        <f t="shared" ca="1" si="37"/>
        <v/>
      </c>
      <c r="U293" s="178" t="str">
        <f t="shared" ca="1" si="38"/>
        <v/>
      </c>
      <c r="V293" s="179">
        <f>IFERROR(VLOOKUP($C293,Code!$H:$Q,6,FALSE),"")</f>
        <v>454.25</v>
      </c>
      <c r="W293" s="180" t="str">
        <f t="shared" ca="1" si="39"/>
        <v/>
      </c>
      <c r="X293" s="12"/>
      <c r="Y293" s="12"/>
      <c r="Z293" s="12"/>
      <c r="AA293" s="12"/>
      <c r="AB293" s="12"/>
    </row>
    <row r="294" spans="1:28" s="10" customFormat="1" ht="15" hidden="1">
      <c r="A294" s="9"/>
      <c r="B294" s="169" cm="1">
        <f t="array" ref="B294">_xlfn.IFS(OR(Code!R410&lt;&gt;Code!U410,Code!R410=""),0,Code!R410=Code!U410,1)</f>
        <v>0</v>
      </c>
      <c r="C294" s="193" t="str">
        <f>IF(Code!F410="","",Code!F410)</f>
        <v>SBUX</v>
      </c>
      <c r="D294" s="155" t="str">
        <f>IFERROR(VLOOKUP($C294,Code!$H:$K,2,FALSE),"")</f>
        <v>XLY</v>
      </c>
      <c r="E294" s="156" t="str">
        <f>IFERROR(VLOOKUP($C294,Code!$H:$K,3,FALSE),"")</f>
        <v>飯館</v>
      </c>
      <c r="F294" s="157" t="str">
        <f>IFERROR(VLOOKUP($C294,Code!$H:$K,4,FALSE),"")</f>
        <v>.SPX</v>
      </c>
      <c r="G294" s="170">
        <f>IFERROR(((VLOOKUP($C294,Code!$H:$Q,9,FALSE))+(VLOOKUP($C294,Code!$H:$Q,10,FALSE)))/2*0.5/(((VLOOKUP($C294,Code!$H:$Q,7,FALSE))+(VLOOKUP($C294,Code!$H:$Q,8,FALSE)))/2),0)</f>
        <v>0.63649521264751729</v>
      </c>
      <c r="H294" s="171" t="str">
        <f t="shared" si="32"/>
        <v>L</v>
      </c>
      <c r="I294" s="170">
        <f>IFERROR((VLOOKUP($C294,Code!$H:$Q,5,FALSE))/(((VLOOKUP($C294,Code!$H:$Q,7,FALSE))+(VLOOKUP($C294,Code!$H:$Q,8,FALSE)))/2)-1,0)</f>
        <v>-0.1939434424404366</v>
      </c>
      <c r="J294" s="204">
        <f>IFERROR(POWER((VLOOKUP(C294,Code!H:W,12,FALSE))/(VLOOKUP(C294,Code!H:W,15,FALSE)),1/(P294-1))-1,"")</f>
        <v>0.25301360245591509</v>
      </c>
      <c r="K294" s="172" cm="1">
        <f t="array" ref="K294">IFERROR(IF(C294="","",_xlfn.IFS(AND(VLOOKUP(C294,Code!H:W,13,FALSE)=0,VLOOKUP(C294,Code!H:W,16,FALSE)=0),"無股息",AND(VLOOKUP(C294,Code!H:W,13,FALSE)=0,VLOOKUP(C294,Code!H:W,16,FALSE)&gt;0),"股息沒了",AND(VLOOKUP(C294,Code!H:W,13,FALSE)&gt;0,VLOOKUP(C294,Code!H:W,16,FALSE)=0),"發股息了",AND(VLOOKUP(C294,Code!H:W,13,FALSE)&gt;0,VLOOKUP(C294,Code!H:W,16,FALSE)&gt;0),POWER((VLOOKUP(C294,Code!H:W,13,FALSE))/(VLOOKUP(C294,Code!H:W,16,FALSE)),1/(P294-1))-1)),"")</f>
        <v>0.18341037475114152</v>
      </c>
      <c r="L294" s="173">
        <f>IFERROR(VLOOKUP(C294,Code!H:W,13,FALSE)*4/VLOOKUP(C294,Code!H:W,12,FALSE),"")</f>
        <v>1.6394935649785898E-2</v>
      </c>
      <c r="M294" s="172">
        <f t="shared" si="33"/>
        <v>0.43642397720705661</v>
      </c>
      <c r="N294" s="172" t="str">
        <f t="shared" si="34"/>
        <v>-</v>
      </c>
      <c r="O294" s="172" t="str">
        <f t="shared" si="35"/>
        <v>Value</v>
      </c>
      <c r="P294" s="205">
        <f>IFERROR(YEARFRAC(VLOOKUP(C294,Code!H:W,11,FALSE),VLOOKUP(C294,Code!H:W,14,FALSE),3),"")</f>
        <v>4.4904109589041097</v>
      </c>
      <c r="Q294" s="174">
        <v>44547</v>
      </c>
      <c r="R294" s="175" t="str">
        <f t="shared" ca="1" si="36"/>
        <v/>
      </c>
      <c r="S294" s="176">
        <f>IFERROR(VLOOKUP($C294,Code!$H:$Q,5,FALSE),"")</f>
        <v>0.18099999999999999</v>
      </c>
      <c r="T294" s="177" t="str">
        <f t="shared" ca="1" si="37"/>
        <v/>
      </c>
      <c r="U294" s="178" t="str">
        <f t="shared" ca="1" si="38"/>
        <v/>
      </c>
      <c r="V294" s="179">
        <f>IFERROR(VLOOKUP($C294,Code!$H:$Q,6,FALSE),"")</f>
        <v>119.03</v>
      </c>
      <c r="W294" s="180" t="str">
        <f t="shared" ca="1" si="39"/>
        <v/>
      </c>
      <c r="X294" s="12"/>
      <c r="Y294" s="12"/>
      <c r="Z294" s="12"/>
      <c r="AA294" s="12"/>
      <c r="AB294" s="12"/>
    </row>
    <row r="295" spans="1:28" s="10" customFormat="1" ht="15" hidden="1">
      <c r="A295" s="9"/>
      <c r="B295" s="169" cm="1">
        <f t="array" ref="B295">_xlfn.IFS(OR(Code!R160&lt;&gt;Code!U160,Code!R160=""),0,Code!R160=Code!U160,1)</f>
        <v>0</v>
      </c>
      <c r="C295" s="193" t="str">
        <f>IF(Code!F160="","",Code!F160)</f>
        <v>EMN</v>
      </c>
      <c r="D295" s="155" t="str">
        <f>IFERROR(VLOOKUP($C295,Code!$H:$K,2,FALSE),"")</f>
        <v>XLB</v>
      </c>
      <c r="E295" s="156" t="str">
        <f>IFERROR(VLOOKUP($C295,Code!$H:$K,3,FALSE),"")</f>
        <v>化學品</v>
      </c>
      <c r="F295" s="157" t="str">
        <f>IFERROR(VLOOKUP($C295,Code!$H:$K,4,FALSE),"")</f>
        <v>.SPX</v>
      </c>
      <c r="G295" s="170">
        <f>IFERROR(((VLOOKUP($C295,Code!$H:$Q,9,FALSE))+(VLOOKUP($C295,Code!$H:$Q,10,FALSE)))/2*0.5/(((VLOOKUP($C295,Code!$H:$Q,7,FALSE))+(VLOOKUP($C295,Code!$H:$Q,8,FALSE)))/2),0)</f>
        <v>0.51531085678935962</v>
      </c>
      <c r="H295" s="171" t="str">
        <f t="shared" si="32"/>
        <v>M</v>
      </c>
      <c r="I295" s="170">
        <f>IFERROR((VLOOKUP($C295,Code!$H:$Q,5,FALSE))/(((VLOOKUP($C295,Code!$H:$Q,7,FALSE))+(VLOOKUP($C295,Code!$H:$Q,8,FALSE)))/2)-1,0)</f>
        <v>-0.19579338076090325</v>
      </c>
      <c r="J295" s="204">
        <f>IFERROR(POWER((VLOOKUP(C295,Code!H:W,12,FALSE))/(VLOOKUP(C295,Code!H:W,15,FALSE)),1/(P295-1))-1,"")</f>
        <v>0.23210634568208754</v>
      </c>
      <c r="K295" s="172" cm="1">
        <f t="array" ref="K295">IFERROR(IF(C295="","",_xlfn.IFS(AND(VLOOKUP(C295,Code!H:W,13,FALSE)=0,VLOOKUP(C295,Code!H:W,16,FALSE)=0),"無股息",AND(VLOOKUP(C295,Code!H:W,13,FALSE)=0,VLOOKUP(C295,Code!H:W,16,FALSE)&gt;0),"股息沒了",AND(VLOOKUP(C295,Code!H:W,13,FALSE)&gt;0,VLOOKUP(C295,Code!H:W,16,FALSE)=0),"發股息了",AND(VLOOKUP(C295,Code!H:W,13,FALSE)&gt;0,VLOOKUP(C295,Code!H:W,16,FALSE)&gt;0),POWER((VLOOKUP(C295,Code!H:W,13,FALSE))/(VLOOKUP(C295,Code!H:W,16,FALSE)),1/(P295-1))-1)),"")</f>
        <v>0.11407601528361733</v>
      </c>
      <c r="L295" s="173">
        <f>IFERROR(VLOOKUP(C295,Code!H:W,13,FALSE)*4/VLOOKUP(C295,Code!H:W,12,FALSE),"")</f>
        <v>2.2604422886909205E-2</v>
      </c>
      <c r="M295" s="172">
        <f t="shared" si="33"/>
        <v>0.34618236096570487</v>
      </c>
      <c r="N295" s="172" t="str">
        <f t="shared" si="34"/>
        <v>-</v>
      </c>
      <c r="O295" s="172" t="str">
        <f t="shared" si="35"/>
        <v>-</v>
      </c>
      <c r="P295" s="205">
        <f>IFERROR(YEARFRAC(VLOOKUP(C295,Code!H:W,11,FALSE),VLOOKUP(C295,Code!H:W,14,FALSE),3),"")</f>
        <v>4.7534246575342465</v>
      </c>
      <c r="Q295" s="174">
        <v>44547</v>
      </c>
      <c r="R295" s="175" t="str">
        <f t="shared" ca="1" si="36"/>
        <v/>
      </c>
      <c r="S295" s="176">
        <f>IFERROR(VLOOKUP($C295,Code!$H:$Q,5,FALSE),"")</f>
        <v>0.26</v>
      </c>
      <c r="T295" s="177" t="str">
        <f t="shared" ca="1" si="37"/>
        <v/>
      </c>
      <c r="U295" s="178" t="str">
        <f t="shared" ca="1" si="38"/>
        <v/>
      </c>
      <c r="V295" s="179">
        <f>IFERROR(VLOOKUP($C295,Code!$H:$Q,6,FALSE),"")</f>
        <v>110.59</v>
      </c>
      <c r="W295" s="180" t="str">
        <f t="shared" ca="1" si="39"/>
        <v/>
      </c>
      <c r="X295" s="12"/>
      <c r="Y295" s="12"/>
      <c r="Z295" s="12"/>
      <c r="AA295" s="12"/>
      <c r="AB295" s="12"/>
    </row>
    <row r="296" spans="1:28" s="10" customFormat="1" ht="15" hidden="1">
      <c r="A296" s="9"/>
      <c r="B296" s="169" cm="1">
        <f t="array" ref="B296">_xlfn.IFS(OR(Code!R280&lt;&gt;Code!U280,Code!R280=""),0,Code!R280=Code!U280,1)</f>
        <v>1</v>
      </c>
      <c r="C296" s="193" t="str">
        <f>IF(Code!F280="","",Code!F280)</f>
        <v>LKQ</v>
      </c>
      <c r="D296" s="155" t="str">
        <f>IFERROR(VLOOKUP($C296,Code!$H:$K,2,FALSE),"")</f>
        <v>XLY</v>
      </c>
      <c r="E296" s="156" t="str">
        <f>IFERROR(VLOOKUP($C296,Code!$H:$K,3,FALSE),"")</f>
        <v>汽車零件</v>
      </c>
      <c r="F296" s="157" t="str">
        <f>IFERROR(VLOOKUP($C296,Code!$H:$K,4,FALSE),"")</f>
        <v>.SPX</v>
      </c>
      <c r="G296" s="170">
        <f>IFERROR(((VLOOKUP($C296,Code!$H:$Q,9,FALSE))+(VLOOKUP($C296,Code!$H:$Q,10,FALSE)))/2*0.5/(((VLOOKUP($C296,Code!$H:$Q,7,FALSE))+(VLOOKUP($C296,Code!$H:$Q,8,FALSE)))/2),0)</f>
        <v>0.56967213114754089</v>
      </c>
      <c r="H296" s="171" t="str">
        <f t="shared" si="32"/>
        <v>M</v>
      </c>
      <c r="I296" s="170">
        <f>IFERROR((VLOOKUP($C296,Code!$H:$Q,5,FALSE))/(((VLOOKUP($C296,Code!$H:$Q,7,FALSE))+(VLOOKUP($C296,Code!$H:$Q,8,FALSE)))/2)-1,0)</f>
        <v>-0.19701937406855452</v>
      </c>
      <c r="J296" s="204" t="str">
        <f>IFERROR(POWER((VLOOKUP(C296,Code!H:W,12,FALSE))/(VLOOKUP(C296,Code!H:W,15,FALSE)),1/(P296-1))-1,"")</f>
        <v/>
      </c>
      <c r="K296" s="172" t="str" cm="1">
        <f t="array" ref="K296">IFERROR(IF(C296="","",_xlfn.IFS(AND(VLOOKUP(C296,Code!H:W,13,FALSE)=0,VLOOKUP(C296,Code!H:W,16,FALSE)=0),"無股息",AND(VLOOKUP(C296,Code!H:W,13,FALSE)=0,VLOOKUP(C296,Code!H:W,16,FALSE)&gt;0),"股息沒了",AND(VLOOKUP(C296,Code!H:W,13,FALSE)&gt;0,VLOOKUP(C296,Code!H:W,16,FALSE)=0),"發股息了",AND(VLOOKUP(C296,Code!H:W,13,FALSE)&gt;0,VLOOKUP(C296,Code!H:W,16,FALSE)&gt;0),POWER((VLOOKUP(C296,Code!H:W,13,FALSE))/(VLOOKUP(C296,Code!H:W,16,FALSE)),1/(P296-1))-1)),"")</f>
        <v>無股息</v>
      </c>
      <c r="L296" s="173" t="str">
        <f>IFERROR(VLOOKUP(C296,Code!H:W,13,FALSE)*4/VLOOKUP(C296,Code!H:W,12,FALSE),"")</f>
        <v/>
      </c>
      <c r="M296" s="172" t="str">
        <f t="shared" si="33"/>
        <v/>
      </c>
      <c r="N296" s="172" t="str">
        <f t="shared" si="34"/>
        <v/>
      </c>
      <c r="O296" s="172" t="str">
        <f t="shared" si="35"/>
        <v/>
      </c>
      <c r="P296" s="205">
        <f>IFERROR(YEARFRAC(VLOOKUP(C296,Code!H:W,11,FALSE),VLOOKUP(C296,Code!H:W,14,FALSE),3),"")</f>
        <v>0</v>
      </c>
      <c r="Q296" s="174">
        <v>44547</v>
      </c>
      <c r="R296" s="175" t="str">
        <f t="shared" ca="1" si="36"/>
        <v/>
      </c>
      <c r="S296" s="176">
        <f>IFERROR(VLOOKUP($C296,Code!$H:$Q,5,FALSE),"")</f>
        <v>0.26939999999999997</v>
      </c>
      <c r="T296" s="177" t="str">
        <f t="shared" ca="1" si="37"/>
        <v/>
      </c>
      <c r="U296" s="178" t="str">
        <f t="shared" ca="1" si="38"/>
        <v/>
      </c>
      <c r="V296" s="179">
        <f>IFERROR(VLOOKUP($C296,Code!$H:$Q,6,FALSE),"")</f>
        <v>50.53</v>
      </c>
      <c r="W296" s="180" t="str">
        <f t="shared" ca="1" si="39"/>
        <v/>
      </c>
      <c r="X296" s="12"/>
      <c r="Y296" s="12"/>
      <c r="Z296" s="12"/>
      <c r="AA296" s="12"/>
      <c r="AB296" s="12"/>
    </row>
    <row r="297" spans="1:28" s="10" customFormat="1" ht="15" hidden="1">
      <c r="A297" s="9"/>
      <c r="B297" s="169" cm="1">
        <f t="array" ref="B297">_xlfn.IFS(OR(Code!R147&lt;&gt;Code!U147,Code!R147=""),0,Code!R147=Code!U147,1)</f>
        <v>0</v>
      </c>
      <c r="C297" s="193" t="str">
        <f>IF(Code!F147="","",Code!F147)</f>
        <v>DTE</v>
      </c>
      <c r="D297" s="155" t="str">
        <f>IFERROR(VLOOKUP($C297,Code!$H:$K,2,FALSE),"")</f>
        <v>XLU</v>
      </c>
      <c r="E297" s="156" t="str">
        <f>IFERROR(VLOOKUP($C297,Code!$H:$K,3,FALSE),"")</f>
        <v>公用事業—受監督的電力</v>
      </c>
      <c r="F297" s="157" t="str">
        <f>IFERROR(VLOOKUP($C297,Code!$H:$K,4,FALSE),"")</f>
        <v>.SPX</v>
      </c>
      <c r="G297" s="170">
        <f>IFERROR(((VLOOKUP($C297,Code!$H:$Q,9,FALSE))+(VLOOKUP($C297,Code!$H:$Q,10,FALSE)))/2*0.5/(((VLOOKUP($C297,Code!$H:$Q,7,FALSE))+(VLOOKUP($C297,Code!$H:$Q,8,FALSE)))/2),0)</f>
        <v>0.59993482511405605</v>
      </c>
      <c r="H297" s="171" t="str">
        <f t="shared" si="32"/>
        <v>M</v>
      </c>
      <c r="I297" s="170">
        <f>IFERROR((VLOOKUP($C297,Code!$H:$Q,5,FALSE))/(((VLOOKUP($C297,Code!$H:$Q,7,FALSE))+(VLOOKUP($C297,Code!$H:$Q,8,FALSE)))/2)-1,0)</f>
        <v>-0.19704540517054092</v>
      </c>
      <c r="J297" s="204">
        <f>IFERROR(POWER((VLOOKUP(C297,Code!H:W,12,FALSE))/(VLOOKUP(C297,Code!H:W,15,FALSE)),1/(P297-1))-1,"")</f>
        <v>0.14444699686336437</v>
      </c>
      <c r="K297" s="172" t="str" cm="1">
        <f t="array" ref="K297">IFERROR(IF(C297="","",_xlfn.IFS(AND(VLOOKUP(C297,Code!H:W,13,FALSE)=0,VLOOKUP(C297,Code!H:W,16,FALSE)=0),"無股息",AND(VLOOKUP(C297,Code!H:W,13,FALSE)=0,VLOOKUP(C297,Code!H:W,16,FALSE)&gt;0),"股息沒了",AND(VLOOKUP(C297,Code!H:W,13,FALSE)&gt;0,VLOOKUP(C297,Code!H:W,16,FALSE)=0),"發股息了",AND(VLOOKUP(C297,Code!H:W,13,FALSE)&gt;0,VLOOKUP(C297,Code!H:W,16,FALSE)&gt;0),POWER((VLOOKUP(C297,Code!H:W,13,FALSE))/(VLOOKUP(C297,Code!H:W,16,FALSE)),1/(P297-1))-1)),"")</f>
        <v>股息沒了</v>
      </c>
      <c r="L297" s="173">
        <f>IFERROR(VLOOKUP(C297,Code!H:W,13,FALSE)*4/VLOOKUP(C297,Code!H:W,12,FALSE),"")</f>
        <v>0</v>
      </c>
      <c r="M297" s="172">
        <f t="shared" si="33"/>
        <v>0.14444699686336437</v>
      </c>
      <c r="N297" s="172" t="str">
        <f t="shared" si="34"/>
        <v>-</v>
      </c>
      <c r="O297" s="172" t="str">
        <f t="shared" si="35"/>
        <v/>
      </c>
      <c r="P297" s="205">
        <f>IFERROR(YEARFRAC(VLOOKUP(C297,Code!H:W,11,FALSE),VLOOKUP(C297,Code!H:W,14,FALSE),3),"")</f>
        <v>4.7945205479452051</v>
      </c>
      <c r="Q297" s="174">
        <v>44547</v>
      </c>
      <c r="R297" s="175" t="str">
        <f t="shared" ca="1" si="36"/>
        <v/>
      </c>
      <c r="S297" s="176">
        <f>IFERROR(VLOOKUP($C297,Code!$H:$Q,5,FALSE),"")</f>
        <v>0.18479999999999999</v>
      </c>
      <c r="T297" s="177" t="str">
        <f t="shared" ca="1" si="37"/>
        <v/>
      </c>
      <c r="U297" s="178" t="str">
        <f t="shared" ca="1" si="38"/>
        <v/>
      </c>
      <c r="V297" s="179">
        <f>IFERROR(VLOOKUP($C297,Code!$H:$Q,6,FALSE),"")</f>
        <v>119.85</v>
      </c>
      <c r="W297" s="180" t="str">
        <f t="shared" ca="1" si="39"/>
        <v/>
      </c>
      <c r="X297" s="12"/>
      <c r="Y297" s="12"/>
      <c r="Z297" s="12"/>
      <c r="AA297" s="12"/>
      <c r="AB297" s="12"/>
    </row>
    <row r="298" spans="1:28" s="10" customFormat="1" ht="15" hidden="1">
      <c r="A298" s="9"/>
      <c r="B298" s="169" cm="1">
        <f t="array" ref="B298">_xlfn.IFS(OR(Code!R198&lt;&gt;Code!U198,Code!R198=""),0,Code!R198=Code!U198,1)</f>
        <v>0</v>
      </c>
      <c r="C298" s="193" t="str">
        <f>IF(Code!F198="","",Code!F198)</f>
        <v>GE</v>
      </c>
      <c r="D298" s="155" t="str">
        <f>IFERROR(VLOOKUP($C298,Code!$H:$K,2,FALSE),"")</f>
        <v>XLI</v>
      </c>
      <c r="E298" s="156" t="str">
        <f>IFERROR(VLOOKUP($C298,Code!$H:$K,3,FALSE),"")</f>
        <v>特種工業機械</v>
      </c>
      <c r="F298" s="157" t="str">
        <f>IFERROR(VLOOKUP($C298,Code!$H:$K,4,FALSE),"")</f>
        <v>.SPX</v>
      </c>
      <c r="G298" s="170">
        <f>IFERROR(((VLOOKUP($C298,Code!$H:$Q,9,FALSE))+(VLOOKUP($C298,Code!$H:$Q,10,FALSE)))/2*0.5/(((VLOOKUP($C298,Code!$H:$Q,7,FALSE))+(VLOOKUP($C298,Code!$H:$Q,8,FALSE)))/2),0)</f>
        <v>0.58592439685201914</v>
      </c>
      <c r="H298" s="171" t="str">
        <f t="shared" si="32"/>
        <v>M</v>
      </c>
      <c r="I298" s="170">
        <f>IFERROR((VLOOKUP($C298,Code!$H:$Q,5,FALSE))/(((VLOOKUP($C298,Code!$H:$Q,7,FALSE))+(VLOOKUP($C298,Code!$H:$Q,8,FALSE)))/2)-1,0)</f>
        <v>-0.19752290027093278</v>
      </c>
      <c r="J298" s="204">
        <f>IFERROR(POWER((VLOOKUP(C298,Code!H:W,12,FALSE))/(VLOOKUP(C298,Code!H:W,15,FALSE)),1/(P298-1))-1,"")</f>
        <v>-0.17412854795172428</v>
      </c>
      <c r="K298" s="172" t="str" cm="1">
        <f t="array" ref="K298">IFERROR(IF(C298="","",_xlfn.IFS(AND(VLOOKUP(C298,Code!H:W,13,FALSE)=0,VLOOKUP(C298,Code!H:W,16,FALSE)=0),"無股息",AND(VLOOKUP(C298,Code!H:W,13,FALSE)=0,VLOOKUP(C298,Code!H:W,16,FALSE)&gt;0),"股息沒了",AND(VLOOKUP(C298,Code!H:W,13,FALSE)&gt;0,VLOOKUP(C298,Code!H:W,16,FALSE)=0),"發股息了",AND(VLOOKUP(C298,Code!H:W,13,FALSE)&gt;0,VLOOKUP(C298,Code!H:W,16,FALSE)&gt;0),POWER((VLOOKUP(C298,Code!H:W,13,FALSE))/(VLOOKUP(C298,Code!H:W,16,FALSE)),1/(P298-1))-1)),"")</f>
        <v>股息沒了</v>
      </c>
      <c r="L298" s="173">
        <f>IFERROR(VLOOKUP(C298,Code!H:W,13,FALSE)*4/VLOOKUP(C298,Code!H:W,12,FALSE),"")</f>
        <v>0</v>
      </c>
      <c r="M298" s="172">
        <f t="shared" si="33"/>
        <v>-0.17412854795172428</v>
      </c>
      <c r="N298" s="172" t="str">
        <f t="shared" si="34"/>
        <v>-</v>
      </c>
      <c r="O298" s="172" t="str">
        <f t="shared" si="35"/>
        <v/>
      </c>
      <c r="P298" s="205">
        <f>IFERROR(YEARFRAC(VLOOKUP(C298,Code!H:W,11,FALSE),VLOOKUP(C298,Code!H:W,14,FALSE),3),"")</f>
        <v>4.882191780821918</v>
      </c>
      <c r="Q298" s="174">
        <v>44547</v>
      </c>
      <c r="R298" s="175" t="str">
        <f t="shared" ca="1" si="36"/>
        <v/>
      </c>
      <c r="S298" s="176">
        <f>IFERROR(VLOOKUP($C298,Code!$H:$Q,5,FALSE),"")</f>
        <v>0.311</v>
      </c>
      <c r="T298" s="177" t="str">
        <f t="shared" ca="1" si="37"/>
        <v/>
      </c>
      <c r="U298" s="178" t="str">
        <f t="shared" ca="1" si="38"/>
        <v/>
      </c>
      <c r="V298" s="179">
        <f>IFERROR(VLOOKUP($C298,Code!$H:$Q,6,FALSE),"")</f>
        <v>104.29</v>
      </c>
      <c r="W298" s="180" t="str">
        <f t="shared" ca="1" si="39"/>
        <v/>
      </c>
      <c r="X298" s="12"/>
      <c r="Y298" s="12"/>
      <c r="Z298" s="12"/>
      <c r="AA298" s="12"/>
      <c r="AB298" s="12"/>
    </row>
    <row r="299" spans="1:28" s="10" customFormat="1" ht="15" hidden="1">
      <c r="A299" s="9"/>
      <c r="B299" s="169" cm="1">
        <f t="array" ref="B299">_xlfn.IFS(OR(Code!R503&lt;&gt;Code!U503,Code!R503=""),0,Code!R503=Code!U503,1)</f>
        <v>0</v>
      </c>
      <c r="C299" s="193" t="str">
        <f>IF(Code!F503="","",Code!F503)</f>
        <v>XYL</v>
      </c>
      <c r="D299" s="155" t="str">
        <f>IFERROR(VLOOKUP($C299,Code!$H:$K,2,FALSE),"")</f>
        <v>XLI</v>
      </c>
      <c r="E299" s="156" t="str">
        <f>IFERROR(VLOOKUP($C299,Code!$H:$K,3,FALSE),"")</f>
        <v>特種工業機械</v>
      </c>
      <c r="F299" s="157" t="str">
        <f>IFERROR(VLOOKUP($C299,Code!$H:$K,4,FALSE),"")</f>
        <v>.SPX</v>
      </c>
      <c r="G299" s="170">
        <f>IFERROR(((VLOOKUP($C299,Code!$H:$Q,9,FALSE))+(VLOOKUP($C299,Code!$H:$Q,10,FALSE)))/2*0.5/(((VLOOKUP($C299,Code!$H:$Q,7,FALSE))+(VLOOKUP($C299,Code!$H:$Q,8,FALSE)))/2),0)</f>
        <v>0.63634569850039457</v>
      </c>
      <c r="H299" s="171" t="str">
        <f t="shared" si="32"/>
        <v>L</v>
      </c>
      <c r="I299" s="170">
        <f>IFERROR((VLOOKUP($C299,Code!$H:$Q,5,FALSE))/(((VLOOKUP($C299,Code!$H:$Q,7,FALSE))+(VLOOKUP($C299,Code!$H:$Q,8,FALSE)))/2)-1,0)</f>
        <v>-0.19850039463299141</v>
      </c>
      <c r="J299" s="204">
        <f>IFERROR(POWER((VLOOKUP(C299,Code!H:W,12,FALSE))/(VLOOKUP(C299,Code!H:W,15,FALSE)),1/(P299-1))-1,"")</f>
        <v>0.2679372545506391</v>
      </c>
      <c r="K299" s="172" cm="1">
        <f t="array" ref="K299">IFERROR(IF(C299="","",_xlfn.IFS(AND(VLOOKUP(C299,Code!H:W,13,FALSE)=0,VLOOKUP(C299,Code!H:W,16,FALSE)=0),"無股息",AND(VLOOKUP(C299,Code!H:W,13,FALSE)=0,VLOOKUP(C299,Code!H:W,16,FALSE)&gt;0),"股息沒了",AND(VLOOKUP(C299,Code!H:W,13,FALSE)&gt;0,VLOOKUP(C299,Code!H:W,16,FALSE)=0),"發股息了",AND(VLOOKUP(C299,Code!H:W,13,FALSE)&gt;0,VLOOKUP(C299,Code!H:W,16,FALSE)&gt;0),POWER((VLOOKUP(C299,Code!H:W,13,FALSE))/(VLOOKUP(C299,Code!H:W,16,FALSE)),1/(P299-1))-1)),"")</f>
        <v>0.17118337435099762</v>
      </c>
      <c r="L299" s="173">
        <f>IFERROR(VLOOKUP(C299,Code!H:W,13,FALSE)*4/VLOOKUP(C299,Code!H:W,12,FALSE),"")</f>
        <v>9.5841176976752037E-3</v>
      </c>
      <c r="M299" s="172">
        <f t="shared" si="33"/>
        <v>0.43912062890163672</v>
      </c>
      <c r="N299" s="172" t="str">
        <f t="shared" si="34"/>
        <v>-</v>
      </c>
      <c r="O299" s="172" t="str">
        <f t="shared" si="35"/>
        <v>Value</v>
      </c>
      <c r="P299" s="205">
        <f>IFERROR(YEARFRAC(VLOOKUP(C299,Code!H:W,11,FALSE),VLOOKUP(C299,Code!H:W,14,FALSE),3),"")</f>
        <v>4.7424657534246579</v>
      </c>
      <c r="Q299" s="174">
        <v>44547</v>
      </c>
      <c r="R299" s="175" t="str">
        <f t="shared" ca="1" si="36"/>
        <v/>
      </c>
      <c r="S299" s="176">
        <f>IFERROR(VLOOKUP($C299,Code!$H:$Q,5,FALSE),"")</f>
        <v>0.2031</v>
      </c>
      <c r="T299" s="177" t="str">
        <f t="shared" ca="1" si="37"/>
        <v/>
      </c>
      <c r="U299" s="178" t="str">
        <f t="shared" ca="1" si="38"/>
        <v/>
      </c>
      <c r="V299" s="179">
        <f>IFERROR(VLOOKUP($C299,Code!$H:$Q,6,FALSE),"")</f>
        <v>127.52</v>
      </c>
      <c r="W299" s="180" t="str">
        <f t="shared" ca="1" si="39"/>
        <v/>
      </c>
      <c r="X299" s="12"/>
      <c r="Y299" s="12"/>
      <c r="Z299" s="12"/>
      <c r="AA299" s="12"/>
      <c r="AB299" s="12"/>
    </row>
    <row r="300" spans="1:28" s="10" customFormat="1" ht="15" hidden="1">
      <c r="A300" s="9"/>
      <c r="B300" s="169" cm="1">
        <f t="array" ref="B300">_xlfn.IFS(OR(Code!R77&lt;&gt;Code!U77,Code!R77=""),0,Code!R77=Code!U77,1)</f>
        <v>0</v>
      </c>
      <c r="C300" s="193" t="str">
        <f>IF(Code!F77="","",Code!F77)</f>
        <v>C</v>
      </c>
      <c r="D300" s="155" t="str">
        <f>IFERROR(VLOOKUP($C300,Code!$H:$K,2,FALSE),"")</f>
        <v>XLF</v>
      </c>
      <c r="E300" s="156" t="str">
        <f>IFERROR(VLOOKUP($C300,Code!$H:$K,3,FALSE),"")</f>
        <v>銀行-多樣化</v>
      </c>
      <c r="F300" s="157" t="str">
        <f>IFERROR(VLOOKUP($C300,Code!$H:$K,4,FALSE),"")</f>
        <v>.SPX</v>
      </c>
      <c r="G300" s="170">
        <f>IFERROR(((VLOOKUP($C300,Code!$H:$Q,9,FALSE))+(VLOOKUP($C300,Code!$H:$Q,10,FALSE)))/2*0.5/(((VLOOKUP($C300,Code!$H:$Q,7,FALSE))+(VLOOKUP($C300,Code!$H:$Q,8,FALSE)))/2),0)</f>
        <v>0.55659934241427889</v>
      </c>
      <c r="H300" s="171" t="str">
        <f t="shared" si="32"/>
        <v>M</v>
      </c>
      <c r="I300" s="170">
        <f>IFERROR((VLOOKUP($C300,Code!$H:$Q,5,FALSE))/(((VLOOKUP($C300,Code!$H:$Q,7,FALSE))+(VLOOKUP($C300,Code!$H:$Q,8,FALSE)))/2)-1,0)</f>
        <v>-0.19899796461562547</v>
      </c>
      <c r="J300" s="204">
        <f>IFERROR(POWER((VLOOKUP(C300,Code!H:W,12,FALSE))/(VLOOKUP(C300,Code!H:W,15,FALSE)),1/(P300-1))-1,"")</f>
        <v>0.13256881454618363</v>
      </c>
      <c r="K300" s="172" cm="1">
        <f t="array" ref="K300">IFERROR(IF(C300="","",_xlfn.IFS(AND(VLOOKUP(C300,Code!H:W,13,FALSE)=0,VLOOKUP(C300,Code!H:W,16,FALSE)=0),"無股息",AND(VLOOKUP(C300,Code!H:W,13,FALSE)=0,VLOOKUP(C300,Code!H:W,16,FALSE)&gt;0),"股息沒了",AND(VLOOKUP(C300,Code!H:W,13,FALSE)&gt;0,VLOOKUP(C300,Code!H:W,16,FALSE)=0),"發股息了",AND(VLOOKUP(C300,Code!H:W,13,FALSE)&gt;0,VLOOKUP(C300,Code!H:W,16,FALSE)&gt;0),POWER((VLOOKUP(C300,Code!H:W,13,FALSE))/(VLOOKUP(C300,Code!H:W,16,FALSE)),1/(P300-1))-1)),"")</f>
        <v>0.36339661967095682</v>
      </c>
      <c r="L300" s="173">
        <f>IFERROR(VLOOKUP(C300,Code!H:W,13,FALSE)*4/VLOOKUP(C300,Code!H:W,12,FALSE),"")</f>
        <v>3.0168587949415845E-2</v>
      </c>
      <c r="M300" s="172">
        <f t="shared" si="33"/>
        <v>0.49596543421714046</v>
      </c>
      <c r="N300" s="172" t="str">
        <f t="shared" si="34"/>
        <v>Venture</v>
      </c>
      <c r="O300" s="172" t="str">
        <f t="shared" si="35"/>
        <v>-</v>
      </c>
      <c r="P300" s="205">
        <f>IFERROR(YEARFRAC(VLOOKUP(C300,Code!H:W,11,FALSE),VLOOKUP(C300,Code!H:W,14,FALSE),3),"")</f>
        <v>4.7397260273972606</v>
      </c>
      <c r="Q300" s="174">
        <v>44547</v>
      </c>
      <c r="R300" s="175" t="str">
        <f t="shared" ca="1" si="36"/>
        <v/>
      </c>
      <c r="S300" s="176">
        <f>IFERROR(VLOOKUP($C300,Code!$H:$Q,5,FALSE),"")</f>
        <v>0.25580000000000003</v>
      </c>
      <c r="T300" s="177" t="str">
        <f t="shared" ca="1" si="37"/>
        <v/>
      </c>
      <c r="U300" s="178" t="str">
        <f t="shared" ca="1" si="38"/>
        <v/>
      </c>
      <c r="V300" s="179">
        <f>IFERROR(VLOOKUP($C300,Code!$H:$Q,6,FALSE),"")</f>
        <v>69.69</v>
      </c>
      <c r="W300" s="180" t="str">
        <f t="shared" ca="1" si="39"/>
        <v/>
      </c>
      <c r="X300" s="12"/>
      <c r="Y300" s="12"/>
      <c r="Z300" s="12"/>
      <c r="AA300" s="12"/>
      <c r="AB300" s="12"/>
    </row>
    <row r="301" spans="1:28" s="10" customFormat="1" ht="15" hidden="1">
      <c r="A301" s="9"/>
      <c r="B301" s="169" cm="1">
        <f t="array" ref="B301">_xlfn.IFS(OR(Code!R278&lt;&gt;Code!U278,Code!R278=""),0,Code!R278=Code!U278,1)</f>
        <v>0</v>
      </c>
      <c r="C301" s="193" t="str">
        <f>IF(Code!F278="","",Code!F278)</f>
        <v>LHX</v>
      </c>
      <c r="D301" s="155" t="str">
        <f>IFERROR(VLOOKUP($C301,Code!$H:$K,2,FALSE),"")</f>
        <v>XLI</v>
      </c>
      <c r="E301" s="156" t="str">
        <f>IFERROR(VLOOKUP($C301,Code!$H:$K,3,FALSE),"")</f>
        <v>航天軍工</v>
      </c>
      <c r="F301" s="157" t="str">
        <f>IFERROR(VLOOKUP($C301,Code!$H:$K,4,FALSE),"")</f>
        <v>.SPX</v>
      </c>
      <c r="G301" s="170">
        <f>IFERROR(((VLOOKUP($C301,Code!$H:$Q,9,FALSE))+(VLOOKUP($C301,Code!$H:$Q,10,FALSE)))/2*0.5/(((VLOOKUP($C301,Code!$H:$Q,7,FALSE))+(VLOOKUP($C301,Code!$H:$Q,8,FALSE)))/2),0)</f>
        <v>0.59781918272284562</v>
      </c>
      <c r="H301" s="171" t="str">
        <f t="shared" si="32"/>
        <v>M</v>
      </c>
      <c r="I301" s="170">
        <f>IFERROR((VLOOKUP($C301,Code!$H:$Q,5,FALSE))/(((VLOOKUP($C301,Code!$H:$Q,7,FALSE))+(VLOOKUP($C301,Code!$H:$Q,8,FALSE)))/2)-1,0)</f>
        <v>-0.19923777260215969</v>
      </c>
      <c r="J301" s="204">
        <f>IFERROR(POWER((VLOOKUP(C301,Code!H:W,12,FALSE))/(VLOOKUP(C301,Code!H:W,15,FALSE)),1/(P301-1))-1,"")</f>
        <v>0.28437589022068299</v>
      </c>
      <c r="K301" s="172" cm="1">
        <f t="array" ref="K301">IFERROR(IF(C301="","",_xlfn.IFS(AND(VLOOKUP(C301,Code!H:W,13,FALSE)=0,VLOOKUP(C301,Code!H:W,16,FALSE)=0),"無股息",AND(VLOOKUP(C301,Code!H:W,13,FALSE)=0,VLOOKUP(C301,Code!H:W,16,FALSE)&gt;0),"股息沒了",AND(VLOOKUP(C301,Code!H:W,13,FALSE)&gt;0,VLOOKUP(C301,Code!H:W,16,FALSE)=0),"發股息了",AND(VLOOKUP(C301,Code!H:W,13,FALSE)&gt;0,VLOOKUP(C301,Code!H:W,16,FALSE)&gt;0),POWER((VLOOKUP(C301,Code!H:W,13,FALSE))/(VLOOKUP(C301,Code!H:W,16,FALSE)),1/(P301-1))-1)),"")</f>
        <v>0.19224023774396914</v>
      </c>
      <c r="L301" s="173">
        <f>IFERROR(VLOOKUP(C301,Code!H:W,13,FALSE)*4/VLOOKUP(C301,Code!H:W,12,FALSE),"")</f>
        <v>1.8710446875537998E-2</v>
      </c>
      <c r="M301" s="172">
        <f t="shared" si="33"/>
        <v>0.47661612796465214</v>
      </c>
      <c r="N301" s="172" t="str">
        <f t="shared" si="34"/>
        <v>-</v>
      </c>
      <c r="O301" s="172" t="str">
        <f t="shared" si="35"/>
        <v>Value</v>
      </c>
      <c r="P301" s="205">
        <f>IFERROR(YEARFRAC(VLOOKUP(C301,Code!H:W,11,FALSE),VLOOKUP(C301,Code!H:W,14,FALSE),3),"")</f>
        <v>4.7232876712328764</v>
      </c>
      <c r="Q301" s="174">
        <v>44547</v>
      </c>
      <c r="R301" s="175" t="str">
        <f t="shared" ca="1" si="36"/>
        <v/>
      </c>
      <c r="S301" s="176">
        <f>IFERROR(VLOOKUP($C301,Code!$H:$Q,5,FALSE),"")</f>
        <v>0.18909999999999999</v>
      </c>
      <c r="T301" s="177" t="str">
        <f t="shared" ca="1" si="37"/>
        <v/>
      </c>
      <c r="U301" s="178" t="str">
        <f t="shared" ca="1" si="38"/>
        <v/>
      </c>
      <c r="V301" s="179">
        <f>IFERROR(VLOOKUP($C301,Code!$H:$Q,6,FALSE),"")</f>
        <v>231.24</v>
      </c>
      <c r="W301" s="180" t="str">
        <f t="shared" ca="1" si="39"/>
        <v/>
      </c>
      <c r="X301" s="12"/>
      <c r="Y301" s="12"/>
      <c r="Z301" s="12"/>
      <c r="AA301" s="12"/>
      <c r="AB301" s="12"/>
    </row>
    <row r="302" spans="1:28" s="10" customFormat="1" ht="15" hidden="1">
      <c r="A302" s="9"/>
      <c r="B302" s="169" cm="1">
        <f t="array" ref="B302">_xlfn.IFS(OR(Code!R74&lt;&gt;Code!U74,Code!R74=""),0,Code!R74=Code!U74,1)</f>
        <v>1</v>
      </c>
      <c r="C302" s="193" t="str">
        <f>IF(Code!F74="","",Code!F74)</f>
        <v>BSX</v>
      </c>
      <c r="D302" s="155" t="str">
        <f>IFERROR(VLOOKUP($C302,Code!$H:$K,2,FALSE),"")</f>
        <v>XLV</v>
      </c>
      <c r="E302" s="156" t="str">
        <f>IFERROR(VLOOKUP($C302,Code!$H:$K,3,FALSE),"")</f>
        <v>醫療設備</v>
      </c>
      <c r="F302" s="157" t="str">
        <f>IFERROR(VLOOKUP($C302,Code!$H:$K,4,FALSE),"")</f>
        <v>.SPX</v>
      </c>
      <c r="G302" s="170">
        <f>IFERROR(((VLOOKUP($C302,Code!$H:$Q,9,FALSE))+(VLOOKUP($C302,Code!$H:$Q,10,FALSE)))/2*0.5/(((VLOOKUP($C302,Code!$H:$Q,7,FALSE))+(VLOOKUP($C302,Code!$H:$Q,8,FALSE)))/2),0)</f>
        <v>0.51393609789259009</v>
      </c>
      <c r="H302" s="171" t="str">
        <f t="shared" si="32"/>
        <v>M</v>
      </c>
      <c r="I302" s="170">
        <f>IFERROR((VLOOKUP($C302,Code!$H:$Q,5,FALSE))/(((VLOOKUP($C302,Code!$H:$Q,7,FALSE))+(VLOOKUP($C302,Code!$H:$Q,8,FALSE)))/2)-1,0)</f>
        <v>-0.19952413324269214</v>
      </c>
      <c r="J302" s="204" t="str">
        <f>IFERROR(POWER((VLOOKUP(C302,Code!H:W,12,FALSE))/(VLOOKUP(C302,Code!H:W,15,FALSE)),1/(P302-1))-1,"")</f>
        <v/>
      </c>
      <c r="K302" s="172" t="str" cm="1">
        <f t="array" ref="K302">IFERROR(IF(C302="","",_xlfn.IFS(AND(VLOOKUP(C302,Code!H:W,13,FALSE)=0,VLOOKUP(C302,Code!H:W,16,FALSE)=0),"無股息",AND(VLOOKUP(C302,Code!H:W,13,FALSE)=0,VLOOKUP(C302,Code!H:W,16,FALSE)&gt;0),"股息沒了",AND(VLOOKUP(C302,Code!H:W,13,FALSE)&gt;0,VLOOKUP(C302,Code!H:W,16,FALSE)=0),"發股息了",AND(VLOOKUP(C302,Code!H:W,13,FALSE)&gt;0,VLOOKUP(C302,Code!H:W,16,FALSE)&gt;0),POWER((VLOOKUP(C302,Code!H:W,13,FALSE))/(VLOOKUP(C302,Code!H:W,16,FALSE)),1/(P302-1))-1)),"")</f>
        <v>無股息</v>
      </c>
      <c r="L302" s="173" t="str">
        <f>IFERROR(VLOOKUP(C302,Code!H:W,13,FALSE)*4/VLOOKUP(C302,Code!H:W,12,FALSE),"")</f>
        <v/>
      </c>
      <c r="M302" s="172" t="str">
        <f t="shared" si="33"/>
        <v/>
      </c>
      <c r="N302" s="172" t="str">
        <f t="shared" si="34"/>
        <v/>
      </c>
      <c r="O302" s="172" t="str">
        <f t="shared" si="35"/>
        <v/>
      </c>
      <c r="P302" s="205">
        <f>IFERROR(YEARFRAC(VLOOKUP(C302,Code!H:W,11,FALSE),VLOOKUP(C302,Code!H:W,14,FALSE),3),"")</f>
        <v>0</v>
      </c>
      <c r="Q302" s="174">
        <v>44547</v>
      </c>
      <c r="R302" s="175" t="str">
        <f t="shared" ca="1" si="36"/>
        <v/>
      </c>
      <c r="S302" s="176">
        <f>IFERROR(VLOOKUP($C302,Code!$H:$Q,5,FALSE),"")</f>
        <v>0.23549999999999999</v>
      </c>
      <c r="T302" s="177" t="str">
        <f t="shared" ca="1" si="37"/>
        <v/>
      </c>
      <c r="U302" s="178" t="str">
        <f t="shared" ca="1" si="38"/>
        <v/>
      </c>
      <c r="V302" s="179">
        <f>IFERROR(VLOOKUP($C302,Code!$H:$Q,6,FALSE),"")</f>
        <v>44.65</v>
      </c>
      <c r="W302" s="180" t="str">
        <f t="shared" ca="1" si="39"/>
        <v/>
      </c>
      <c r="X302" s="12"/>
      <c r="Y302" s="12"/>
      <c r="Z302" s="12"/>
      <c r="AA302" s="12"/>
      <c r="AB302" s="12"/>
    </row>
    <row r="303" spans="1:28" s="10" customFormat="1" ht="15" hidden="1">
      <c r="A303" s="9"/>
      <c r="B303" s="169" cm="1">
        <f t="array" ref="B303">_xlfn.IFS(OR(Code!R237&lt;&gt;Code!U237,Code!R237=""),0,Code!R237=Code!U237,1)</f>
        <v>0</v>
      </c>
      <c r="C303" s="193" t="str">
        <f>IF(Code!F237="","",Code!F237)</f>
        <v>IFF</v>
      </c>
      <c r="D303" s="155" t="str">
        <f>IFERROR(VLOOKUP($C303,Code!$H:$K,2,FALSE),"")</f>
        <v>XLB</v>
      </c>
      <c r="E303" s="156" t="str">
        <f>IFERROR(VLOOKUP($C303,Code!$H:$K,3,FALSE),"")</f>
        <v>特種化學品</v>
      </c>
      <c r="F303" s="157" t="str">
        <f>IFERROR(VLOOKUP($C303,Code!$H:$K,4,FALSE),"")</f>
        <v>.SPX</v>
      </c>
      <c r="G303" s="170">
        <f>IFERROR(((VLOOKUP($C303,Code!$H:$Q,9,FALSE))+(VLOOKUP($C303,Code!$H:$Q,10,FALSE)))/2*0.5/(((VLOOKUP($C303,Code!$H:$Q,7,FALSE))+(VLOOKUP($C303,Code!$H:$Q,8,FALSE)))/2),0)</f>
        <v>0.47120708748615725</v>
      </c>
      <c r="H303" s="171" t="str">
        <f t="shared" si="32"/>
        <v>S</v>
      </c>
      <c r="I303" s="170">
        <f>IFERROR((VLOOKUP($C303,Code!$H:$Q,5,FALSE))/(((VLOOKUP($C303,Code!$H:$Q,7,FALSE))+(VLOOKUP($C303,Code!$H:$Q,8,FALSE)))/2)-1,0)</f>
        <v>-0.19961240310077522</v>
      </c>
      <c r="J303" s="204">
        <f>IFERROR(POWER((VLOOKUP(C303,Code!H:W,12,FALSE))/(VLOOKUP(C303,Code!H:W,15,FALSE)),1/(P303-1))-1,"")</f>
        <v>4.110032469915903E-2</v>
      </c>
      <c r="K303" s="172" cm="1">
        <f t="array" ref="K303">IFERROR(IF(C303="","",_xlfn.IFS(AND(VLOOKUP(C303,Code!H:W,13,FALSE)=0,VLOOKUP(C303,Code!H:W,16,FALSE)=0),"無股息",AND(VLOOKUP(C303,Code!H:W,13,FALSE)=0,VLOOKUP(C303,Code!H:W,16,FALSE)&gt;0),"股息沒了",AND(VLOOKUP(C303,Code!H:W,13,FALSE)&gt;0,VLOOKUP(C303,Code!H:W,16,FALSE)=0),"發股息了",AND(VLOOKUP(C303,Code!H:W,13,FALSE)&gt;0,VLOOKUP(C303,Code!H:W,16,FALSE)&gt;0),POWER((VLOOKUP(C303,Code!H:W,13,FALSE))/(VLOOKUP(C303,Code!H:W,16,FALSE)),1/(P303-1))-1)),"")</f>
        <v>5.0463709509846577E-2</v>
      </c>
      <c r="L303" s="173">
        <f>IFERROR(VLOOKUP(C303,Code!H:W,13,FALSE)*4/VLOOKUP(C303,Code!H:W,12,FALSE),"")</f>
        <v>2.0751920482400672E-2</v>
      </c>
      <c r="M303" s="172">
        <f t="shared" si="33"/>
        <v>9.1564034209005607E-2</v>
      </c>
      <c r="N303" s="172" t="str">
        <f t="shared" si="34"/>
        <v>-</v>
      </c>
      <c r="O303" s="172" t="str">
        <f t="shared" si="35"/>
        <v>-</v>
      </c>
      <c r="P303" s="205">
        <f>IFERROR(YEARFRAC(VLOOKUP(C303,Code!H:W,11,FALSE),VLOOKUP(C303,Code!H:W,14,FALSE),3),"")</f>
        <v>4.7561643835616438</v>
      </c>
      <c r="Q303" s="174">
        <v>44547</v>
      </c>
      <c r="R303" s="175" t="str">
        <f t="shared" ca="1" si="36"/>
        <v/>
      </c>
      <c r="S303" s="176">
        <f>IFERROR(VLOOKUP($C303,Code!$H:$Q,5,FALSE),"")</f>
        <v>0.28910000000000002</v>
      </c>
      <c r="T303" s="177" t="str">
        <f t="shared" ca="1" si="37"/>
        <v/>
      </c>
      <c r="U303" s="178" t="str">
        <f t="shared" ca="1" si="38"/>
        <v/>
      </c>
      <c r="V303" s="179">
        <f>IFERROR(VLOOKUP($C303,Code!$H:$Q,6,FALSE),"")</f>
        <v>148.88999999999999</v>
      </c>
      <c r="W303" s="180" t="str">
        <f t="shared" ca="1" si="39"/>
        <v/>
      </c>
      <c r="X303" s="12"/>
      <c r="Y303" s="12"/>
      <c r="Z303" s="12"/>
      <c r="AA303" s="12"/>
      <c r="AB303" s="12"/>
    </row>
    <row r="304" spans="1:28" s="10" customFormat="1" ht="15" hidden="1">
      <c r="A304" s="9"/>
      <c r="B304" s="169" cm="1">
        <f t="array" ref="B304">_xlfn.IFS(OR(Code!R290&lt;&gt;Code!U290,Code!R290=""),0,Code!R290=Code!U290,1)</f>
        <v>0</v>
      </c>
      <c r="C304" s="193" t="str">
        <f>IF(Code!F290="","",Code!F290)</f>
        <v>LW</v>
      </c>
      <c r="D304" s="155" t="str">
        <f>IFERROR(VLOOKUP($C304,Code!$H:$K,2,FALSE),"")</f>
        <v>XLP</v>
      </c>
      <c r="E304" s="156" t="str">
        <f>IFERROR(VLOOKUP($C304,Code!$H:$K,3,FALSE),"")</f>
        <v>包裝食品</v>
      </c>
      <c r="F304" s="157" t="str">
        <f>IFERROR(VLOOKUP($C304,Code!$H:$K,4,FALSE),"")</f>
        <v>.SPX</v>
      </c>
      <c r="G304" s="170">
        <f>IFERROR(((VLOOKUP($C304,Code!$H:$Q,9,FALSE))+(VLOOKUP($C304,Code!$H:$Q,10,FALSE)))/2*0.5/(((VLOOKUP($C304,Code!$H:$Q,7,FALSE))+(VLOOKUP($C304,Code!$H:$Q,8,FALSE)))/2),0)</f>
        <v>0.51310456633342338</v>
      </c>
      <c r="H304" s="171" t="str">
        <f t="shared" si="32"/>
        <v>M</v>
      </c>
      <c r="I304" s="170">
        <f>IFERROR((VLOOKUP($C304,Code!$H:$Q,5,FALSE))/(((VLOOKUP($C304,Code!$H:$Q,7,FALSE))+(VLOOKUP($C304,Code!$H:$Q,8,FALSE)))/2)-1,0)</f>
        <v>-0.19967576330721415</v>
      </c>
      <c r="J304" s="204">
        <f>IFERROR(POWER((VLOOKUP(C304,Code!H:W,12,FALSE))/(VLOOKUP(C304,Code!H:W,15,FALSE)),1/(P304-1))-1,"")</f>
        <v>0.19465825638370315</v>
      </c>
      <c r="K304" s="172" cm="1">
        <f t="array" ref="K304">IFERROR(IF(C304="","",_xlfn.IFS(AND(VLOOKUP(C304,Code!H:W,13,FALSE)=0,VLOOKUP(C304,Code!H:W,16,FALSE)=0),"無股息",AND(VLOOKUP(C304,Code!H:W,13,FALSE)=0,VLOOKUP(C304,Code!H:W,16,FALSE)&gt;0),"股息沒了",AND(VLOOKUP(C304,Code!H:W,13,FALSE)&gt;0,VLOOKUP(C304,Code!H:W,16,FALSE)=0),"發股息了",AND(VLOOKUP(C304,Code!H:W,13,FALSE)&gt;0,VLOOKUP(C304,Code!H:W,16,FALSE)&gt;0),POWER((VLOOKUP(C304,Code!H:W,13,FALSE))/(VLOOKUP(C304,Code!H:W,16,FALSE)),1/(P304-1))-1)),"")</f>
        <v>6.5330085050913755E-2</v>
      </c>
      <c r="L304" s="173">
        <f>IFERROR(VLOOKUP(C304,Code!H:W,13,FALSE)*4/VLOOKUP(C304,Code!H:W,12,FALSE),"")</f>
        <v>1.4646307191185773E-2</v>
      </c>
      <c r="M304" s="172">
        <f t="shared" si="33"/>
        <v>0.25998834143461691</v>
      </c>
      <c r="N304" s="172" t="str">
        <f t="shared" si="34"/>
        <v>-</v>
      </c>
      <c r="O304" s="172" t="str">
        <f t="shared" si="35"/>
        <v>-</v>
      </c>
      <c r="P304" s="205">
        <f>IFERROR(YEARFRAC(VLOOKUP(C304,Code!H:W,11,FALSE),VLOOKUP(C304,Code!H:W,14,FALSE),3),"")</f>
        <v>4.5260273972602736</v>
      </c>
      <c r="Q304" s="174">
        <v>44547</v>
      </c>
      <c r="R304" s="175" t="str">
        <f t="shared" ca="1" si="36"/>
        <v/>
      </c>
      <c r="S304" s="176">
        <f>IFERROR(VLOOKUP($C304,Code!$H:$Q,5,FALSE),"")</f>
        <v>0.29620000000000002</v>
      </c>
      <c r="T304" s="177" t="str">
        <f t="shared" ca="1" si="37"/>
        <v/>
      </c>
      <c r="U304" s="178" t="str">
        <f t="shared" ca="1" si="38"/>
        <v/>
      </c>
      <c r="V304" s="179">
        <f>IFERROR(VLOOKUP($C304,Code!$H:$Q,6,FALSE),"")</f>
        <v>64.180000000000007</v>
      </c>
      <c r="W304" s="180" t="str">
        <f t="shared" ca="1" si="39"/>
        <v/>
      </c>
      <c r="X304" s="12"/>
      <c r="Y304" s="12"/>
      <c r="Z304" s="12"/>
      <c r="AA304" s="12"/>
      <c r="AB304" s="12"/>
    </row>
    <row r="305" spans="1:28" s="10" customFormat="1" ht="15" hidden="1">
      <c r="A305" s="9"/>
      <c r="B305" s="169" cm="1">
        <f t="array" ref="B305">_xlfn.IFS(OR(Code!R213&lt;&gt;Code!U213,Code!R213=""),0,Code!R213=Code!U213,1)</f>
        <v>0</v>
      </c>
      <c r="C305" s="193" t="str">
        <f>IF(Code!F213="","",Code!F213)</f>
        <v>HAL</v>
      </c>
      <c r="D305" s="155" t="str">
        <f>IFERROR(VLOOKUP($C305,Code!$H:$K,2,FALSE),"")</f>
        <v>XLE</v>
      </c>
      <c r="E305" s="156" t="str">
        <f>IFERROR(VLOOKUP($C305,Code!$H:$K,3,FALSE),"")</f>
        <v>石油和天然氣設備和服務</v>
      </c>
      <c r="F305" s="157" t="str">
        <f>IFERROR(VLOOKUP($C305,Code!$H:$K,4,FALSE),"")</f>
        <v>.SPX</v>
      </c>
      <c r="G305" s="170">
        <f>IFERROR(((VLOOKUP($C305,Code!$H:$Q,9,FALSE))+(VLOOKUP($C305,Code!$H:$Q,10,FALSE)))/2*0.5/(((VLOOKUP($C305,Code!$H:$Q,7,FALSE))+(VLOOKUP($C305,Code!$H:$Q,8,FALSE)))/2),0)</f>
        <v>0.50431073600145204</v>
      </c>
      <c r="H305" s="171" t="str">
        <f t="shared" si="32"/>
        <v>M</v>
      </c>
      <c r="I305" s="170">
        <f>IFERROR((VLOOKUP($C305,Code!$H:$Q,5,FALSE))/(((VLOOKUP($C305,Code!$H:$Q,7,FALSE))+(VLOOKUP($C305,Code!$H:$Q,8,FALSE)))/2)-1,0)</f>
        <v>-0.19992739813050175</v>
      </c>
      <c r="J305" s="204">
        <f>IFERROR(POWER((VLOOKUP(C305,Code!H:W,12,FALSE))/(VLOOKUP(C305,Code!H:W,15,FALSE)),1/(P305-1))-1,"")</f>
        <v>-0.13068692138504956</v>
      </c>
      <c r="K305" s="172" cm="1">
        <f t="array" ref="K305">IFERROR(IF(C305="","",_xlfn.IFS(AND(VLOOKUP(C305,Code!H:W,13,FALSE)=0,VLOOKUP(C305,Code!H:W,16,FALSE)=0),"無股息",AND(VLOOKUP(C305,Code!H:W,13,FALSE)=0,VLOOKUP(C305,Code!H:W,16,FALSE)&gt;0),"股息沒了",AND(VLOOKUP(C305,Code!H:W,13,FALSE)&gt;0,VLOOKUP(C305,Code!H:W,16,FALSE)=0),"發股息了",AND(VLOOKUP(C305,Code!H:W,13,FALSE)&gt;0,VLOOKUP(C305,Code!H:W,16,FALSE)&gt;0),POWER((VLOOKUP(C305,Code!H:W,13,FALSE))/(VLOOKUP(C305,Code!H:W,16,FALSE)),1/(P305-1))-1)),"")</f>
        <v>-0.30918358515576405</v>
      </c>
      <c r="L305" s="173">
        <f>IFERROR(VLOOKUP(C305,Code!H:W,13,FALSE)*4/VLOOKUP(C305,Code!H:W,12,FALSE),"")</f>
        <v>7.7120822117922169E-3</v>
      </c>
      <c r="M305" s="172">
        <f t="shared" si="33"/>
        <v>-0.43987050654081361</v>
      </c>
      <c r="N305" s="172" t="str">
        <f t="shared" si="34"/>
        <v>-</v>
      </c>
      <c r="O305" s="172" t="str">
        <f t="shared" si="35"/>
        <v>-</v>
      </c>
      <c r="P305" s="205">
        <f>IFERROR(YEARFRAC(VLOOKUP(C305,Code!H:W,11,FALSE),VLOOKUP(C305,Code!H:W,14,FALSE),3),"")</f>
        <v>4.7479452054794518</v>
      </c>
      <c r="Q305" s="174">
        <v>44547</v>
      </c>
      <c r="R305" s="175" t="str">
        <f t="shared" ca="1" si="36"/>
        <v/>
      </c>
      <c r="S305" s="176">
        <f>IFERROR(VLOOKUP($C305,Code!$H:$Q,5,FALSE),"")</f>
        <v>0.44080000000000003</v>
      </c>
      <c r="T305" s="177" t="str">
        <f t="shared" ca="1" si="37"/>
        <v/>
      </c>
      <c r="U305" s="178" t="str">
        <f t="shared" ca="1" si="38"/>
        <v/>
      </c>
      <c r="V305" s="179">
        <f>IFERROR(VLOOKUP($C305,Code!$H:$Q,6,FALSE),"")</f>
        <v>20.03</v>
      </c>
      <c r="W305" s="180" t="str">
        <f t="shared" ca="1" si="39"/>
        <v/>
      </c>
      <c r="X305" s="12"/>
      <c r="Y305" s="12"/>
      <c r="Z305" s="12"/>
      <c r="AA305" s="12"/>
      <c r="AB305" s="12"/>
    </row>
    <row r="306" spans="1:28" s="10" customFormat="1" ht="15" hidden="1">
      <c r="A306" s="9"/>
      <c r="B306" s="169" cm="1">
        <f t="array" ref="B306">_xlfn.IFS(OR(Code!R473&lt;&gt;Code!U473,Code!R473=""),0,Code!R473=Code!U473,1)</f>
        <v>0</v>
      </c>
      <c r="C306" s="193" t="str">
        <f>IF(Code!F473="","",Code!F473)</f>
        <v>VMC</v>
      </c>
      <c r="D306" s="155" t="str">
        <f>IFERROR(VLOOKUP($C306,Code!$H:$K,2,FALSE),"")</f>
        <v>XLB</v>
      </c>
      <c r="E306" s="156" t="str">
        <f>IFERROR(VLOOKUP($C306,Code!$H:$K,3,FALSE),"")</f>
        <v>建築材料</v>
      </c>
      <c r="F306" s="157" t="str">
        <f>IFERROR(VLOOKUP($C306,Code!$H:$K,4,FALSE),"")</f>
        <v>.SPX</v>
      </c>
      <c r="G306" s="170">
        <f>IFERROR(((VLOOKUP($C306,Code!$H:$Q,9,FALSE))+(VLOOKUP($C306,Code!$H:$Q,10,FALSE)))/2*0.5/(((VLOOKUP($C306,Code!$H:$Q,7,FALSE))+(VLOOKUP($C306,Code!$H:$Q,8,FALSE)))/2),0)</f>
        <v>0.57054238905678378</v>
      </c>
      <c r="H306" s="171" t="str">
        <f t="shared" si="32"/>
        <v>M</v>
      </c>
      <c r="I306" s="170">
        <f>IFERROR((VLOOKUP($C306,Code!$H:$Q,5,FALSE))/(((VLOOKUP($C306,Code!$H:$Q,7,FALSE))+(VLOOKUP($C306,Code!$H:$Q,8,FALSE)))/2)-1,0)</f>
        <v>-0.20184507714331157</v>
      </c>
      <c r="J306" s="204">
        <f>IFERROR(POWER((VLOOKUP(C306,Code!H:W,12,FALSE))/(VLOOKUP(C306,Code!H:W,15,FALSE)),1/(P306-1))-1,"")</f>
        <v>0.13877960803112033</v>
      </c>
      <c r="K306" s="172" cm="1">
        <f t="array" ref="K306">IFERROR(IF(C306="","",_xlfn.IFS(AND(VLOOKUP(C306,Code!H:W,13,FALSE)=0,VLOOKUP(C306,Code!H:W,16,FALSE)=0),"無股息",AND(VLOOKUP(C306,Code!H:W,13,FALSE)=0,VLOOKUP(C306,Code!H:W,16,FALSE)&gt;0),"股息沒了",AND(VLOOKUP(C306,Code!H:W,13,FALSE)&gt;0,VLOOKUP(C306,Code!H:W,16,FALSE)=0),"發股息了",AND(VLOOKUP(C306,Code!H:W,13,FALSE)&gt;0,VLOOKUP(C306,Code!H:W,16,FALSE)&gt;0),POWER((VLOOKUP(C306,Code!H:W,13,FALSE))/(VLOOKUP(C306,Code!H:W,16,FALSE)),1/(P306-1))-1)),"")</f>
        <v>0.17753430124234804</v>
      </c>
      <c r="L306" s="173">
        <f>IFERROR(VLOOKUP(C306,Code!H:W,13,FALSE)*4/VLOOKUP(C306,Code!H:W,12,FALSE),"")</f>
        <v>7.9771466056041337E-3</v>
      </c>
      <c r="M306" s="172">
        <f t="shared" si="33"/>
        <v>0.31631390927346836</v>
      </c>
      <c r="N306" s="172" t="str">
        <f t="shared" si="34"/>
        <v>-</v>
      </c>
      <c r="O306" s="172" t="str">
        <f t="shared" si="35"/>
        <v>Value</v>
      </c>
      <c r="P306" s="205">
        <f>IFERROR(YEARFRAC(VLOOKUP(C306,Code!H:W,11,FALSE),VLOOKUP(C306,Code!H:W,14,FALSE),3),"")</f>
        <v>4.7643835616438359</v>
      </c>
      <c r="Q306" s="174">
        <v>44547</v>
      </c>
      <c r="R306" s="175" t="str">
        <f t="shared" ca="1" si="36"/>
        <v/>
      </c>
      <c r="S306" s="176">
        <f>IFERROR(VLOOKUP($C306,Code!$H:$Q,5,FALSE),"")</f>
        <v>0.25090000000000001</v>
      </c>
      <c r="T306" s="177" t="str">
        <f t="shared" ca="1" si="37"/>
        <v/>
      </c>
      <c r="U306" s="178" t="str">
        <f t="shared" ca="1" si="38"/>
        <v/>
      </c>
      <c r="V306" s="179">
        <f>IFERROR(VLOOKUP($C306,Code!$H:$Q,6,FALSE),"")</f>
        <v>180.34</v>
      </c>
      <c r="W306" s="180" t="str">
        <f t="shared" ca="1" si="39"/>
        <v/>
      </c>
      <c r="X306" s="12"/>
      <c r="Y306" s="12"/>
      <c r="Z306" s="12"/>
      <c r="AA306" s="12"/>
      <c r="AB306" s="12"/>
    </row>
    <row r="307" spans="1:28" s="10" customFormat="1" ht="15" hidden="1">
      <c r="A307" s="9"/>
      <c r="B307" s="169" cm="1">
        <f t="array" ref="B307">_xlfn.IFS(OR(Code!R425&lt;&gt;Code!U425,Code!R425=""),0,Code!R425=Code!U425,1)</f>
        <v>0</v>
      </c>
      <c r="C307" s="193" t="str">
        <f>IF(Code!F425="","",Code!F425)</f>
        <v>STX</v>
      </c>
      <c r="D307" s="155" t="str">
        <f>IFERROR(VLOOKUP($C307,Code!$H:$K,2,FALSE),"")</f>
        <v>XLK</v>
      </c>
      <c r="E307" s="156" t="str">
        <f>IFERROR(VLOOKUP($C307,Code!$H:$K,3,FALSE),"")</f>
        <v>計算機硬件</v>
      </c>
      <c r="F307" s="157" t="str">
        <f>IFERROR(VLOOKUP($C307,Code!$H:$K,4,FALSE),"")</f>
        <v>.SPX</v>
      </c>
      <c r="G307" s="170">
        <f>IFERROR(((VLOOKUP($C307,Code!$H:$Q,9,FALSE))+(VLOOKUP($C307,Code!$H:$Q,10,FALSE)))/2*0.5/(((VLOOKUP($C307,Code!$H:$Q,7,FALSE))+(VLOOKUP($C307,Code!$H:$Q,8,FALSE)))/2),0)</f>
        <v>0.59355590062111785</v>
      </c>
      <c r="H307" s="171" t="str">
        <f t="shared" si="32"/>
        <v>M</v>
      </c>
      <c r="I307" s="170">
        <f>IFERROR((VLOOKUP($C307,Code!$H:$Q,5,FALSE))/(((VLOOKUP($C307,Code!$H:$Q,7,FALSE))+(VLOOKUP($C307,Code!$H:$Q,8,FALSE)))/2)-1,0)</f>
        <v>-0.20212215320910976</v>
      </c>
      <c r="J307" s="204">
        <f>IFERROR(POWER((VLOOKUP(C307,Code!H:W,12,FALSE))/(VLOOKUP(C307,Code!H:W,15,FALSE)),1/(P307-1))-1,"")</f>
        <v>0.36378319661494385</v>
      </c>
      <c r="K307" s="172" cm="1">
        <f t="array" ref="K307">IFERROR(IF(C307="","",_xlfn.IFS(AND(VLOOKUP(C307,Code!H:W,13,FALSE)=0,VLOOKUP(C307,Code!H:W,16,FALSE)=0),"無股息",AND(VLOOKUP(C307,Code!H:W,13,FALSE)=0,VLOOKUP(C307,Code!H:W,16,FALSE)&gt;0),"股息沒了",AND(VLOOKUP(C307,Code!H:W,13,FALSE)&gt;0,VLOOKUP(C307,Code!H:W,16,FALSE)=0),"發股息了",AND(VLOOKUP(C307,Code!H:W,13,FALSE)&gt;0,VLOOKUP(C307,Code!H:W,16,FALSE)&gt;0),POWER((VLOOKUP(C307,Code!H:W,13,FALSE))/(VLOOKUP(C307,Code!H:W,16,FALSE)),1/(P307-1))-1)),"")</f>
        <v>1.7037213128667572E-2</v>
      </c>
      <c r="L307" s="173">
        <f>IFERROR(VLOOKUP(C307,Code!H:W,13,FALSE)*4/VLOOKUP(C307,Code!H:W,12,FALSE),"")</f>
        <v>3.0889810212220477E-2</v>
      </c>
      <c r="M307" s="172">
        <f t="shared" si="33"/>
        <v>0.38082040974361142</v>
      </c>
      <c r="N307" s="172" t="str">
        <f t="shared" si="34"/>
        <v>-</v>
      </c>
      <c r="O307" s="172" t="str">
        <f t="shared" si="35"/>
        <v>-</v>
      </c>
      <c r="P307" s="205">
        <f>IFERROR(YEARFRAC(VLOOKUP(C307,Code!H:W,11,FALSE),VLOOKUP(C307,Code!H:W,14,FALSE),3),"")</f>
        <v>4.6438356164383565</v>
      </c>
      <c r="Q307" s="174">
        <v>44547</v>
      </c>
      <c r="R307" s="175" t="str">
        <f t="shared" ca="1" si="36"/>
        <v/>
      </c>
      <c r="S307" s="176">
        <f>IFERROR(VLOOKUP($C307,Code!$H:$Q,5,FALSE),"")</f>
        <v>0.30830000000000002</v>
      </c>
      <c r="T307" s="177" t="str">
        <f t="shared" ca="1" si="37"/>
        <v/>
      </c>
      <c r="U307" s="178" t="str">
        <f t="shared" ca="1" si="38"/>
        <v/>
      </c>
      <c r="V307" s="179">
        <f>IFERROR(VLOOKUP($C307,Code!$H:$Q,6,FALSE),"")</f>
        <v>90.9</v>
      </c>
      <c r="W307" s="180" t="str">
        <f t="shared" ca="1" si="39"/>
        <v/>
      </c>
      <c r="X307" s="12"/>
      <c r="Y307" s="12"/>
      <c r="Z307" s="12"/>
      <c r="AA307" s="12"/>
      <c r="AB307" s="12"/>
    </row>
    <row r="308" spans="1:28" s="10" customFormat="1" ht="15" hidden="1">
      <c r="A308" s="9"/>
      <c r="B308" s="169" cm="1">
        <f t="array" ref="B308">_xlfn.IFS(OR(Code!R231&lt;&gt;Code!U231,Code!R231=""),0,Code!R231=Code!U231,1)</f>
        <v>0</v>
      </c>
      <c r="C308" s="193" t="str">
        <f>IF(Code!F231="","",Code!F231)</f>
        <v>HUM</v>
      </c>
      <c r="D308" s="155" t="str">
        <f>IFERROR(VLOOKUP($C308,Code!$H:$K,2,FALSE),"")</f>
        <v>XLV</v>
      </c>
      <c r="E308" s="156" t="str">
        <f>IFERROR(VLOOKUP($C308,Code!$H:$K,3,FALSE),"")</f>
        <v>醫療保健計劃</v>
      </c>
      <c r="F308" s="157" t="str">
        <f>IFERROR(VLOOKUP($C308,Code!$H:$K,4,FALSE),"")</f>
        <v>.SPX</v>
      </c>
      <c r="G308" s="170">
        <f>IFERROR(((VLOOKUP($C308,Code!$H:$Q,9,FALSE))+(VLOOKUP($C308,Code!$H:$Q,10,FALSE)))/2*0.5/(((VLOOKUP($C308,Code!$H:$Q,7,FALSE))+(VLOOKUP($C308,Code!$H:$Q,8,FALSE)))/2),0)</f>
        <v>0.57784262048192769</v>
      </c>
      <c r="H308" s="171" t="str">
        <f t="shared" si="32"/>
        <v>M</v>
      </c>
      <c r="I308" s="170">
        <f>IFERROR((VLOOKUP($C308,Code!$H:$Q,5,FALSE))/(((VLOOKUP($C308,Code!$H:$Q,7,FALSE))+(VLOOKUP($C308,Code!$H:$Q,8,FALSE)))/2)-1,0)</f>
        <v>-0.20218373493975905</v>
      </c>
      <c r="J308" s="204">
        <f>IFERROR(POWER((VLOOKUP(C308,Code!H:W,12,FALSE))/(VLOOKUP(C308,Code!H:W,15,FALSE)),1/(P308-1))-1,"")</f>
        <v>0.28969748629007719</v>
      </c>
      <c r="K308" s="172" cm="1">
        <f t="array" ref="K308">IFERROR(IF(C308="","",_xlfn.IFS(AND(VLOOKUP(C308,Code!H:W,13,FALSE)=0,VLOOKUP(C308,Code!H:W,16,FALSE)=0),"無股息",AND(VLOOKUP(C308,Code!H:W,13,FALSE)=0,VLOOKUP(C308,Code!H:W,16,FALSE)&gt;0),"股息沒了",AND(VLOOKUP(C308,Code!H:W,13,FALSE)&gt;0,VLOOKUP(C308,Code!H:W,16,FALSE)=0),"發股息了",AND(VLOOKUP(C308,Code!H:W,13,FALSE)&gt;0,VLOOKUP(C308,Code!H:W,16,FALSE)&gt;0),POWER((VLOOKUP(C308,Code!H:W,13,FALSE))/(VLOOKUP(C308,Code!H:W,16,FALSE)),1/(P308-1))-1)),"")</f>
        <v>0.26746800369293577</v>
      </c>
      <c r="L308" s="173">
        <f>IFERROR(VLOOKUP(C308,Code!H:W,13,FALSE)*4/VLOOKUP(C308,Code!H:W,12,FALSE),"")</f>
        <v>6.3306878878219537E-3</v>
      </c>
      <c r="M308" s="172">
        <f t="shared" si="33"/>
        <v>0.55716548998301296</v>
      </c>
      <c r="N308" s="172" t="str">
        <f t="shared" si="34"/>
        <v>-</v>
      </c>
      <c r="O308" s="172" t="str">
        <f t="shared" si="35"/>
        <v>Value</v>
      </c>
      <c r="P308" s="205">
        <f>IFERROR(YEARFRAC(VLOOKUP(C308,Code!H:W,11,FALSE),VLOOKUP(C308,Code!H:W,14,FALSE),3),"")</f>
        <v>4.7178082191780826</v>
      </c>
      <c r="Q308" s="174">
        <v>44547</v>
      </c>
      <c r="R308" s="175" t="str">
        <f t="shared" ca="1" si="36"/>
        <v/>
      </c>
      <c r="S308" s="176">
        <f>IFERROR(VLOOKUP($C308,Code!$H:$Q,5,FALSE),"")</f>
        <v>0.21190000000000001</v>
      </c>
      <c r="T308" s="177" t="str">
        <f t="shared" ca="1" si="37"/>
        <v/>
      </c>
      <c r="U308" s="178" t="str">
        <f t="shared" ca="1" si="38"/>
        <v/>
      </c>
      <c r="V308" s="179">
        <f>IFERROR(VLOOKUP($C308,Code!$H:$Q,6,FALSE),"")</f>
        <v>415.9</v>
      </c>
      <c r="W308" s="180" t="str">
        <f t="shared" ca="1" si="39"/>
        <v/>
      </c>
      <c r="X308" s="12"/>
      <c r="Y308" s="12"/>
      <c r="Z308" s="12"/>
      <c r="AA308" s="12"/>
      <c r="AB308" s="12"/>
    </row>
    <row r="309" spans="1:28" s="10" customFormat="1" ht="15" hidden="1">
      <c r="A309" s="9"/>
      <c r="B309" s="169" cm="1">
        <f t="array" ref="B309">_xlfn.IFS(OR(Code!R144&lt;&gt;Code!U144,Code!R144=""),0,Code!R144=Code!U144,1)</f>
        <v>0</v>
      </c>
      <c r="C309" s="193" t="str">
        <f>IF(Code!F144="","",Code!F144)</f>
        <v>DPZ</v>
      </c>
      <c r="D309" s="155" t="str">
        <f>IFERROR(VLOOKUP($C309,Code!$H:$K,2,FALSE),"")</f>
        <v>XLY</v>
      </c>
      <c r="E309" s="156" t="str">
        <f>IFERROR(VLOOKUP($C309,Code!$H:$K,3,FALSE),"")</f>
        <v>飯館</v>
      </c>
      <c r="F309" s="157" t="str">
        <f>IFERROR(VLOOKUP($C309,Code!$H:$K,4,FALSE),"")</f>
        <v>.SPX</v>
      </c>
      <c r="G309" s="170">
        <f>IFERROR(((VLOOKUP($C309,Code!$H:$Q,9,FALSE))+(VLOOKUP($C309,Code!$H:$Q,10,FALSE)))/2*0.5/(((VLOOKUP($C309,Code!$H:$Q,7,FALSE))+(VLOOKUP($C309,Code!$H:$Q,8,FALSE)))/2),0)</f>
        <v>0.61403508771929816</v>
      </c>
      <c r="H309" s="171" t="str">
        <f t="shared" si="32"/>
        <v>L</v>
      </c>
      <c r="I309" s="170">
        <f>IFERROR((VLOOKUP($C309,Code!$H:$Q,5,FALSE))/(((VLOOKUP($C309,Code!$H:$Q,7,FALSE))+(VLOOKUP($C309,Code!$H:$Q,8,FALSE)))/2)-1,0)</f>
        <v>-0.20347259902333159</v>
      </c>
      <c r="J309" s="204">
        <f>IFERROR(POWER((VLOOKUP(C309,Code!H:W,12,FALSE))/(VLOOKUP(C309,Code!H:W,15,FALSE)),1/(P309-1))-1,"")</f>
        <v>0.35501131274469699</v>
      </c>
      <c r="K309" s="172" cm="1">
        <f t="array" ref="K309">IFERROR(IF(C309="","",_xlfn.IFS(AND(VLOOKUP(C309,Code!H:W,13,FALSE)=0,VLOOKUP(C309,Code!H:W,16,FALSE)=0),"無股息",AND(VLOOKUP(C309,Code!H:W,13,FALSE)=0,VLOOKUP(C309,Code!H:W,16,FALSE)&gt;0),"股息沒了",AND(VLOOKUP(C309,Code!H:W,13,FALSE)&gt;0,VLOOKUP(C309,Code!H:W,16,FALSE)=0),"發股息了",AND(VLOOKUP(C309,Code!H:W,13,FALSE)&gt;0,VLOOKUP(C309,Code!H:W,16,FALSE)&gt;0),POWER((VLOOKUP(C309,Code!H:W,13,FALSE))/(VLOOKUP(C309,Code!H:W,16,FALSE)),1/(P309-1))-1)),"")</f>
        <v>0.27290530849956696</v>
      </c>
      <c r="L309" s="173">
        <f>IFERROR(VLOOKUP(C309,Code!H:W,13,FALSE)*4/VLOOKUP(C309,Code!H:W,12,FALSE),"")</f>
        <v>8.3898606954556764E-3</v>
      </c>
      <c r="M309" s="172">
        <f t="shared" si="33"/>
        <v>0.62791662124426395</v>
      </c>
      <c r="N309" s="172" t="str">
        <f t="shared" si="34"/>
        <v>-</v>
      </c>
      <c r="O309" s="172" t="str">
        <f t="shared" si="35"/>
        <v>Value</v>
      </c>
      <c r="P309" s="205">
        <f>IFERROR(YEARFRAC(VLOOKUP(C309,Code!H:W,11,FALSE),VLOOKUP(C309,Code!H:W,14,FALSE),3),"")</f>
        <v>4.7534246575342465</v>
      </c>
      <c r="Q309" s="174">
        <v>44547</v>
      </c>
      <c r="R309" s="175" t="str">
        <f t="shared" ca="1" si="36"/>
        <v/>
      </c>
      <c r="S309" s="176">
        <f>IFERROR(VLOOKUP($C309,Code!$H:$Q,5,FALSE),"")</f>
        <v>0.22020000000000001</v>
      </c>
      <c r="T309" s="177" t="str">
        <f t="shared" ca="1" si="37"/>
        <v/>
      </c>
      <c r="U309" s="178" t="str">
        <f t="shared" ca="1" si="38"/>
        <v/>
      </c>
      <c r="V309" s="179">
        <f>IFERROR(VLOOKUP($C309,Code!$H:$Q,6,FALSE),"")</f>
        <v>535.48</v>
      </c>
      <c r="W309" s="180" t="str">
        <f t="shared" ca="1" si="39"/>
        <v/>
      </c>
      <c r="X309" s="12"/>
      <c r="Y309" s="12"/>
      <c r="Z309" s="12"/>
      <c r="AA309" s="12"/>
      <c r="AB309" s="12"/>
    </row>
    <row r="310" spans="1:28" s="10" customFormat="1" ht="15" hidden="1">
      <c r="A310" s="9"/>
      <c r="B310" s="169" cm="1">
        <f t="array" ref="B310">_xlfn.IFS(OR(Code!R268&lt;&gt;Code!U268,Code!R268=""),0,Code!R268=Code!U268,1)</f>
        <v>1</v>
      </c>
      <c r="C310" s="193" t="str">
        <f>IF(Code!F268="","",Code!F268)</f>
        <v>KMX</v>
      </c>
      <c r="D310" s="155" t="str">
        <f>IFERROR(VLOOKUP($C310,Code!$H:$K,2,FALSE),"")</f>
        <v>XLY</v>
      </c>
      <c r="E310" s="156" t="str">
        <f>IFERROR(VLOOKUP($C310,Code!$H:$K,3,FALSE),"")</f>
        <v>汽車和卡車經銷商</v>
      </c>
      <c r="F310" s="157" t="str">
        <f>IFERROR(VLOOKUP($C310,Code!$H:$K,4,FALSE),"")</f>
        <v>.SPX</v>
      </c>
      <c r="G310" s="170">
        <f>IFERROR(((VLOOKUP($C310,Code!$H:$Q,9,FALSE))+(VLOOKUP($C310,Code!$H:$Q,10,FALSE)))/2*0.5/(((VLOOKUP($C310,Code!$H:$Q,7,FALSE))+(VLOOKUP($C310,Code!$H:$Q,8,FALSE)))/2),0)</f>
        <v>0.57371200228343078</v>
      </c>
      <c r="H310" s="171" t="str">
        <f t="shared" si="32"/>
        <v>M</v>
      </c>
      <c r="I310" s="170">
        <f>IFERROR((VLOOKUP($C310,Code!$H:$Q,5,FALSE))/(((VLOOKUP($C310,Code!$H:$Q,7,FALSE))+(VLOOKUP($C310,Code!$H:$Q,8,FALSE)))/2)-1,0)</f>
        <v>-0.20479520479520474</v>
      </c>
      <c r="J310" s="204" t="str">
        <f>IFERROR(POWER((VLOOKUP(C310,Code!H:W,12,FALSE))/(VLOOKUP(C310,Code!H:W,15,FALSE)),1/(P310-1))-1,"")</f>
        <v/>
      </c>
      <c r="K310" s="172" t="str" cm="1">
        <f t="array" ref="K310">IFERROR(IF(C310="","",_xlfn.IFS(AND(VLOOKUP(C310,Code!H:W,13,FALSE)=0,VLOOKUP(C310,Code!H:W,16,FALSE)=0),"無股息",AND(VLOOKUP(C310,Code!H:W,13,FALSE)=0,VLOOKUP(C310,Code!H:W,16,FALSE)&gt;0),"股息沒了",AND(VLOOKUP(C310,Code!H:W,13,FALSE)&gt;0,VLOOKUP(C310,Code!H:W,16,FALSE)=0),"發股息了",AND(VLOOKUP(C310,Code!H:W,13,FALSE)&gt;0,VLOOKUP(C310,Code!H:W,16,FALSE)&gt;0),POWER((VLOOKUP(C310,Code!H:W,13,FALSE))/(VLOOKUP(C310,Code!H:W,16,FALSE)),1/(P310-1))-1)),"")</f>
        <v>無股息</v>
      </c>
      <c r="L310" s="173" t="str">
        <f>IFERROR(VLOOKUP(C310,Code!H:W,13,FALSE)*4/VLOOKUP(C310,Code!H:W,12,FALSE),"")</f>
        <v/>
      </c>
      <c r="M310" s="172" t="str">
        <f t="shared" si="33"/>
        <v/>
      </c>
      <c r="N310" s="172" t="str">
        <f t="shared" si="34"/>
        <v/>
      </c>
      <c r="O310" s="172" t="str">
        <f t="shared" si="35"/>
        <v/>
      </c>
      <c r="P310" s="205">
        <f>IFERROR(YEARFRAC(VLOOKUP(C310,Code!H:W,11,FALSE),VLOOKUP(C310,Code!H:W,14,FALSE),3),"")</f>
        <v>0</v>
      </c>
      <c r="Q310" s="174">
        <v>44547</v>
      </c>
      <c r="R310" s="175" t="str">
        <f t="shared" ca="1" si="36"/>
        <v/>
      </c>
      <c r="S310" s="176">
        <f>IFERROR(VLOOKUP($C310,Code!$H:$Q,5,FALSE),"")</f>
        <v>0.27860000000000001</v>
      </c>
      <c r="T310" s="177" t="str">
        <f t="shared" ca="1" si="37"/>
        <v/>
      </c>
      <c r="U310" s="178" t="str">
        <f t="shared" ca="1" si="38"/>
        <v/>
      </c>
      <c r="V310" s="179">
        <f>IFERROR(VLOOKUP($C310,Code!$H:$Q,6,FALSE),"")</f>
        <v>136</v>
      </c>
      <c r="W310" s="180" t="str">
        <f t="shared" ca="1" si="39"/>
        <v/>
      </c>
      <c r="X310" s="12"/>
      <c r="Y310" s="12"/>
      <c r="Z310" s="12"/>
      <c r="AA310" s="12"/>
      <c r="AB310" s="12"/>
    </row>
    <row r="311" spans="1:28" s="10" customFormat="1" ht="15" hidden="1">
      <c r="A311" s="9"/>
      <c r="B311" s="169" cm="1">
        <f t="array" ref="B311">_xlfn.IFS(OR(Code!R152&lt;&gt;Code!U152,Code!R152=""),0,Code!R152=Code!U152,1)</f>
        <v>1</v>
      </c>
      <c r="C311" s="193" t="str">
        <f>IF(Code!F152="","",Code!F152)</f>
        <v>DXCM</v>
      </c>
      <c r="D311" s="155" t="str">
        <f>IFERROR(VLOOKUP($C311,Code!$H:$K,2,FALSE),"")</f>
        <v>XLV</v>
      </c>
      <c r="E311" s="156" t="str">
        <f>IFERROR(VLOOKUP($C311,Code!$H:$K,3,FALSE),"")</f>
        <v>診斷與研究</v>
      </c>
      <c r="F311" s="157" t="str">
        <f>IFERROR(VLOOKUP($C311,Code!$H:$K,4,FALSE),"")</f>
        <v>.SPX</v>
      </c>
      <c r="G311" s="170">
        <f>IFERROR(((VLOOKUP($C311,Code!$H:$Q,9,FALSE))+(VLOOKUP($C311,Code!$H:$Q,10,FALSE)))/2*0.5/(((VLOOKUP($C311,Code!$H:$Q,7,FALSE))+(VLOOKUP($C311,Code!$H:$Q,8,FALSE)))/2),0)</f>
        <v>0.61009233136701713</v>
      </c>
      <c r="H311" s="171" t="str">
        <f t="shared" si="32"/>
        <v>L</v>
      </c>
      <c r="I311" s="170">
        <f>IFERROR((VLOOKUP($C311,Code!$H:$Q,5,FALSE))/(((VLOOKUP($C311,Code!$H:$Q,7,FALSE))+(VLOOKUP($C311,Code!$H:$Q,8,FALSE)))/2)-1,0)</f>
        <v>-0.20543729161323421</v>
      </c>
      <c r="J311" s="204" t="str">
        <f>IFERROR(POWER((VLOOKUP(C311,Code!H:W,12,FALSE))/(VLOOKUP(C311,Code!H:W,15,FALSE)),1/(P311-1))-1,"")</f>
        <v/>
      </c>
      <c r="K311" s="172" t="str" cm="1">
        <f t="array" ref="K311">IFERROR(IF(C311="","",_xlfn.IFS(AND(VLOOKUP(C311,Code!H:W,13,FALSE)=0,VLOOKUP(C311,Code!H:W,16,FALSE)=0),"無股息",AND(VLOOKUP(C311,Code!H:W,13,FALSE)=0,VLOOKUP(C311,Code!H:W,16,FALSE)&gt;0),"股息沒了",AND(VLOOKUP(C311,Code!H:W,13,FALSE)&gt;0,VLOOKUP(C311,Code!H:W,16,FALSE)=0),"發股息了",AND(VLOOKUP(C311,Code!H:W,13,FALSE)&gt;0,VLOOKUP(C311,Code!H:W,16,FALSE)&gt;0),POWER((VLOOKUP(C311,Code!H:W,13,FALSE))/(VLOOKUP(C311,Code!H:W,16,FALSE)),1/(P311-1))-1)),"")</f>
        <v>無股息</v>
      </c>
      <c r="L311" s="173" t="str">
        <f>IFERROR(VLOOKUP(C311,Code!H:W,13,FALSE)*4/VLOOKUP(C311,Code!H:W,12,FALSE),"")</f>
        <v/>
      </c>
      <c r="M311" s="172" t="str">
        <f t="shared" si="33"/>
        <v/>
      </c>
      <c r="N311" s="172" t="str">
        <f t="shared" si="34"/>
        <v/>
      </c>
      <c r="O311" s="172" t="str">
        <f t="shared" si="35"/>
        <v/>
      </c>
      <c r="P311" s="205">
        <f>IFERROR(YEARFRAC(VLOOKUP(C311,Code!H:W,11,FALSE),VLOOKUP(C311,Code!H:W,14,FALSE),3),"")</f>
        <v>0</v>
      </c>
      <c r="Q311" s="174">
        <v>44547</v>
      </c>
      <c r="R311" s="175" t="str">
        <f t="shared" ca="1" si="36"/>
        <v/>
      </c>
      <c r="S311" s="176">
        <f>IFERROR(VLOOKUP($C311,Code!$H:$Q,5,FALSE),"")</f>
        <v>0.30980000000000002</v>
      </c>
      <c r="T311" s="177" t="str">
        <f t="shared" ca="1" si="37"/>
        <v/>
      </c>
      <c r="U311" s="178" t="str">
        <f t="shared" ca="1" si="38"/>
        <v/>
      </c>
      <c r="V311" s="179">
        <f>IFERROR(VLOOKUP($C311,Code!$H:$Q,6,FALSE),"")</f>
        <v>523.92999999999995</v>
      </c>
      <c r="W311" s="180" t="str">
        <f t="shared" ca="1" si="39"/>
        <v/>
      </c>
      <c r="X311" s="12"/>
      <c r="Y311" s="12"/>
      <c r="Z311" s="12"/>
      <c r="AA311" s="12"/>
      <c r="AB311" s="12"/>
    </row>
    <row r="312" spans="1:28" s="10" customFormat="1" ht="15" hidden="1">
      <c r="A312" s="9"/>
      <c r="B312" s="169" cm="1">
        <f t="array" ref="B312">_xlfn.IFS(OR(Code!R95&lt;&gt;Code!U95,Code!R95=""),0,Code!R95=Code!U95,1)</f>
        <v>1</v>
      </c>
      <c r="C312" s="193" t="str">
        <f>IF(Code!F95="","",Code!F95)</f>
        <v>CHTR</v>
      </c>
      <c r="D312" s="155" t="str">
        <f>IFERROR(VLOOKUP($C312,Code!$H:$K,2,FALSE),"")</f>
        <v>XLC</v>
      </c>
      <c r="E312" s="156" t="str">
        <f>IFERROR(VLOOKUP($C312,Code!$H:$K,3,FALSE),"")</f>
        <v>娛樂</v>
      </c>
      <c r="F312" s="157" t="str">
        <f>IFERROR(VLOOKUP($C312,Code!$H:$K,4,FALSE),"")</f>
        <v>.SPX</v>
      </c>
      <c r="G312" s="170">
        <f>IFERROR(((VLOOKUP($C312,Code!$H:$Q,9,FALSE))+(VLOOKUP($C312,Code!$H:$Q,10,FALSE)))/2*0.5/(((VLOOKUP($C312,Code!$H:$Q,7,FALSE))+(VLOOKUP($C312,Code!$H:$Q,8,FALSE)))/2),0)</f>
        <v>0.55227483751160633</v>
      </c>
      <c r="H312" s="171" t="str">
        <f t="shared" si="32"/>
        <v>M</v>
      </c>
      <c r="I312" s="170">
        <f>IFERROR((VLOOKUP($C312,Code!$H:$Q,5,FALSE))/(((VLOOKUP($C312,Code!$H:$Q,7,FALSE))+(VLOOKUP($C312,Code!$H:$Q,8,FALSE)))/2)-1,0)</f>
        <v>-0.20594243268337975</v>
      </c>
      <c r="J312" s="204" t="str">
        <f>IFERROR(POWER((VLOOKUP(C312,Code!H:W,12,FALSE))/(VLOOKUP(C312,Code!H:W,15,FALSE)),1/(P312-1))-1,"")</f>
        <v/>
      </c>
      <c r="K312" s="172" t="str" cm="1">
        <f t="array" ref="K312">IFERROR(IF(C312="","",_xlfn.IFS(AND(VLOOKUP(C312,Code!H:W,13,FALSE)=0,VLOOKUP(C312,Code!H:W,16,FALSE)=0),"無股息",AND(VLOOKUP(C312,Code!H:W,13,FALSE)=0,VLOOKUP(C312,Code!H:W,16,FALSE)&gt;0),"股息沒了",AND(VLOOKUP(C312,Code!H:W,13,FALSE)&gt;0,VLOOKUP(C312,Code!H:W,16,FALSE)=0),"發股息了",AND(VLOOKUP(C312,Code!H:W,13,FALSE)&gt;0,VLOOKUP(C312,Code!H:W,16,FALSE)&gt;0),POWER((VLOOKUP(C312,Code!H:W,13,FALSE))/(VLOOKUP(C312,Code!H:W,16,FALSE)),1/(P312-1))-1)),"")</f>
        <v>無股息</v>
      </c>
      <c r="L312" s="173" t="str">
        <f>IFERROR(VLOOKUP(C312,Code!H:W,13,FALSE)*4/VLOOKUP(C312,Code!H:W,12,FALSE),"")</f>
        <v/>
      </c>
      <c r="M312" s="172" t="str">
        <f t="shared" si="33"/>
        <v/>
      </c>
      <c r="N312" s="172" t="str">
        <f t="shared" si="34"/>
        <v/>
      </c>
      <c r="O312" s="172" t="str">
        <f t="shared" si="35"/>
        <v/>
      </c>
      <c r="P312" s="205">
        <f>IFERROR(YEARFRAC(VLOOKUP(C312,Code!H:W,11,FALSE),VLOOKUP(C312,Code!H:W,14,FALSE),3),"")</f>
        <v>0</v>
      </c>
      <c r="Q312" s="174">
        <v>44547</v>
      </c>
      <c r="R312" s="175" t="str">
        <f t="shared" ca="1" si="36"/>
        <v/>
      </c>
      <c r="S312" s="176">
        <f>IFERROR(VLOOKUP($C312,Code!$H:$Q,5,FALSE),"")</f>
        <v>0.21379999999999999</v>
      </c>
      <c r="T312" s="177" t="str">
        <f t="shared" ca="1" si="37"/>
        <v/>
      </c>
      <c r="U312" s="178" t="str">
        <f t="shared" ca="1" si="38"/>
        <v/>
      </c>
      <c r="V312" s="179">
        <f>IFERROR(VLOOKUP($C312,Code!$H:$Q,6,FALSE),"")</f>
        <v>769.91</v>
      </c>
      <c r="W312" s="180" t="str">
        <f t="shared" ca="1" si="39"/>
        <v/>
      </c>
      <c r="X312" s="12"/>
      <c r="Y312" s="12"/>
      <c r="Z312" s="12"/>
      <c r="AA312" s="12"/>
      <c r="AB312" s="12"/>
    </row>
    <row r="313" spans="1:28" s="10" customFormat="1" ht="15" hidden="1">
      <c r="A313" s="9"/>
      <c r="B313" s="169" cm="1">
        <f t="array" ref="B313">_xlfn.IFS(OR(Code!R400&lt;&gt;Code!U400,Code!R400=""),0,Code!R400=Code!U400,1)</f>
        <v>0</v>
      </c>
      <c r="C313" s="193" t="str">
        <f>IF(Code!F400="","",Code!F400)</f>
        <v>RJF</v>
      </c>
      <c r="D313" s="155" t="str">
        <f>IFERROR(VLOOKUP($C313,Code!$H:$K,2,FALSE),"")</f>
        <v>XLF</v>
      </c>
      <c r="E313" s="156" t="str">
        <f>IFERROR(VLOOKUP($C313,Code!$H:$K,3,FALSE),"")</f>
        <v>資本市場</v>
      </c>
      <c r="F313" s="157" t="str">
        <f>IFERROR(VLOOKUP($C313,Code!$H:$K,4,FALSE),"")</f>
        <v>.SPX</v>
      </c>
      <c r="G313" s="170">
        <f>IFERROR(((VLOOKUP($C313,Code!$H:$Q,9,FALSE))+(VLOOKUP($C313,Code!$H:$Q,10,FALSE)))/2*0.5/(((VLOOKUP($C313,Code!$H:$Q,7,FALSE))+(VLOOKUP($C313,Code!$H:$Q,8,FALSE)))/2),0)</f>
        <v>0.54002254791431792</v>
      </c>
      <c r="H313" s="171" t="str">
        <f t="shared" si="32"/>
        <v>M</v>
      </c>
      <c r="I313" s="170">
        <f>IFERROR((VLOOKUP($C313,Code!$H:$Q,5,FALSE))/(((VLOOKUP($C313,Code!$H:$Q,7,FALSE))+(VLOOKUP($C313,Code!$H:$Q,8,FALSE)))/2)-1,0)</f>
        <v>-0.20599130294733459</v>
      </c>
      <c r="J313" s="204">
        <f>IFERROR(POWER((VLOOKUP(C313,Code!H:W,12,FALSE))/(VLOOKUP(C313,Code!H:W,15,FALSE)),1/(P313-1))-1,"")</f>
        <v>0.27138912125055126</v>
      </c>
      <c r="K313" s="172" cm="1">
        <f t="array" ref="K313">IFERROR(IF(C313="","",_xlfn.IFS(AND(VLOOKUP(C313,Code!H:W,13,FALSE)=0,VLOOKUP(C313,Code!H:W,16,FALSE)=0),"無股息",AND(VLOOKUP(C313,Code!H:W,13,FALSE)=0,VLOOKUP(C313,Code!H:W,16,FALSE)&gt;0),"股息沒了",AND(VLOOKUP(C313,Code!H:W,13,FALSE)&gt;0,VLOOKUP(C313,Code!H:W,16,FALSE)=0),"發股息了",AND(VLOOKUP(C313,Code!H:W,13,FALSE)&gt;0,VLOOKUP(C313,Code!H:W,16,FALSE)&gt;0),POWER((VLOOKUP(C313,Code!H:W,13,FALSE))/(VLOOKUP(C313,Code!H:W,16,FALSE)),1/(P313-1))-1)),"")</f>
        <v>0.19473612343242541</v>
      </c>
      <c r="L313" s="173">
        <f>IFERROR(VLOOKUP(C313,Code!H:W,13,FALSE)*4/VLOOKUP(C313,Code!H:W,12,FALSE),"")</f>
        <v>1.200923843955796E-2</v>
      </c>
      <c r="M313" s="172">
        <f t="shared" si="33"/>
        <v>0.46612524468297667</v>
      </c>
      <c r="N313" s="172" t="str">
        <f t="shared" si="34"/>
        <v>-</v>
      </c>
      <c r="O313" s="172" t="str">
        <f t="shared" si="35"/>
        <v>Value</v>
      </c>
      <c r="P313" s="205">
        <f>IFERROR(YEARFRAC(VLOOKUP(C313,Code!H:W,11,FALSE),VLOOKUP(C313,Code!H:W,14,FALSE),3),"")</f>
        <v>4.7534246575342465</v>
      </c>
      <c r="Q313" s="174">
        <v>44547</v>
      </c>
      <c r="R313" s="175" t="str">
        <f t="shared" ca="1" si="36"/>
        <v/>
      </c>
      <c r="S313" s="176">
        <f>IFERROR(VLOOKUP($C313,Code!$H:$Q,5,FALSE),"")</f>
        <v>0.2465</v>
      </c>
      <c r="T313" s="177" t="str">
        <f t="shared" ca="1" si="37"/>
        <v/>
      </c>
      <c r="U313" s="178" t="str">
        <f t="shared" ca="1" si="38"/>
        <v/>
      </c>
      <c r="V313" s="179">
        <f>IFERROR(VLOOKUP($C313,Code!$H:$Q,6,FALSE),"")</f>
        <v>130.47</v>
      </c>
      <c r="W313" s="180" t="str">
        <f t="shared" ca="1" si="39"/>
        <v/>
      </c>
      <c r="X313" s="12"/>
      <c r="Y313" s="12"/>
      <c r="Z313" s="12"/>
      <c r="AA313" s="12"/>
      <c r="AB313" s="12"/>
    </row>
    <row r="314" spans="1:28" s="10" customFormat="1" ht="15" hidden="1">
      <c r="A314" s="9"/>
      <c r="B314" s="169" cm="1">
        <f t="array" ref="B314">_xlfn.IFS(OR(Code!R136&lt;&gt;Code!U136,Code!R136=""),0,Code!R136=Code!U136,1)</f>
        <v>0</v>
      </c>
      <c r="C314" s="193" t="str">
        <f>IF(Code!F136="","",Code!F136)</f>
        <v>DIS</v>
      </c>
      <c r="D314" s="155" t="str">
        <f>IFERROR(VLOOKUP($C314,Code!$H:$K,2,FALSE),"")</f>
        <v>XLC</v>
      </c>
      <c r="E314" s="156" t="str">
        <f>IFERROR(VLOOKUP($C314,Code!$H:$K,3,FALSE),"")</f>
        <v>娛樂</v>
      </c>
      <c r="F314" s="157" t="str">
        <f>IFERROR(VLOOKUP($C314,Code!$H:$K,4,FALSE),"")</f>
        <v>.SPX</v>
      </c>
      <c r="G314" s="170">
        <f>IFERROR(((VLOOKUP($C314,Code!$H:$Q,9,FALSE))+(VLOOKUP($C314,Code!$H:$Q,10,FALSE)))/2*0.5/(((VLOOKUP($C314,Code!$H:$Q,7,FALSE))+(VLOOKUP($C314,Code!$H:$Q,8,FALSE)))/2),0)</f>
        <v>0.48128612716763008</v>
      </c>
      <c r="H314" s="171" t="str">
        <f t="shared" si="32"/>
        <v>S</v>
      </c>
      <c r="I314" s="170">
        <f>IFERROR((VLOOKUP($C314,Code!$H:$Q,5,FALSE))/(((VLOOKUP($C314,Code!$H:$Q,7,FALSE))+(VLOOKUP($C314,Code!$H:$Q,8,FALSE)))/2)-1,0)</f>
        <v>-0.38381502890173402</v>
      </c>
      <c r="J314" s="204">
        <f>IFERROR(POWER((VLOOKUP(C314,Code!H:W,12,FALSE))/(VLOOKUP(C314,Code!H:W,15,FALSE)),1/(P314-1))-1,"")</f>
        <v>0.21436217477137109</v>
      </c>
      <c r="K314" s="172" cm="1">
        <f t="array" ref="K314">IFERROR(IF(C314="","",_xlfn.IFS(AND(VLOOKUP(C314,Code!H:W,13,FALSE)=0,VLOOKUP(C314,Code!H:W,16,FALSE)=0),"無股息",AND(VLOOKUP(C314,Code!H:W,13,FALSE)=0,VLOOKUP(C314,Code!H:W,16,FALSE)&gt;0),"股息沒了",AND(VLOOKUP(C314,Code!H:W,13,FALSE)&gt;0,VLOOKUP(C314,Code!H:W,16,FALSE)=0),"發股息了",AND(VLOOKUP(C314,Code!H:W,13,FALSE)&gt;0,VLOOKUP(C314,Code!H:W,16,FALSE)&gt;0),POWER((VLOOKUP(C314,Code!H:W,13,FALSE))/(VLOOKUP(C314,Code!H:W,16,FALSE)),1/(P314-1))-1)),"")</f>
        <v>6.1734290893085131E-2</v>
      </c>
      <c r="L314" s="173">
        <f>IFERROR(VLOOKUP(C314,Code!H:W,13,FALSE)*4/VLOOKUP(C314,Code!H:W,12,FALSE),"")</f>
        <v>2.4047000154276674E-2</v>
      </c>
      <c r="M314" s="172">
        <f t="shared" si="33"/>
        <v>0.27609646566445623</v>
      </c>
      <c r="N314" s="172" t="str">
        <f t="shared" si="34"/>
        <v>-</v>
      </c>
      <c r="O314" s="172" t="str">
        <f t="shared" si="35"/>
        <v>-</v>
      </c>
      <c r="P314" s="205">
        <f>IFERROR(YEARFRAC(VLOOKUP(C314,Code!H:W,11,FALSE),VLOOKUP(C314,Code!H:W,14,FALSE),3),"")</f>
        <v>3.0136986301369864</v>
      </c>
      <c r="Q314" s="174">
        <v>44547</v>
      </c>
      <c r="R314" s="175" t="str">
        <f t="shared" ca="1" si="36"/>
        <v/>
      </c>
      <c r="S314" s="176">
        <f>IFERROR(VLOOKUP($C314,Code!$H:$Q,5,FALSE),"")</f>
        <v>0.2132</v>
      </c>
      <c r="T314" s="177" t="str">
        <f t="shared" ca="1" si="37"/>
        <v/>
      </c>
      <c r="U314" s="178" t="str">
        <f t="shared" ca="1" si="38"/>
        <v/>
      </c>
      <c r="V314" s="179">
        <f>IFERROR(VLOOKUP($C314,Code!$H:$Q,6,FALSE),"")</f>
        <v>183.34</v>
      </c>
      <c r="W314" s="180" t="str">
        <f t="shared" ca="1" si="39"/>
        <v/>
      </c>
      <c r="X314" s="12"/>
      <c r="Y314" s="12"/>
      <c r="Z314" s="12"/>
      <c r="AA314" s="12"/>
      <c r="AB314" s="12"/>
    </row>
    <row r="315" spans="1:28" s="10" customFormat="1" ht="15" hidden="1">
      <c r="A315" s="9"/>
      <c r="B315" s="169" cm="1">
        <f t="array" ref="B315">_xlfn.IFS(OR(Code!R281&lt;&gt;Code!U281,Code!R281=""),0,Code!R281=Code!U281,1)</f>
        <v>0</v>
      </c>
      <c r="C315" s="193" t="str">
        <f>IF(Code!F281="","",Code!F281)</f>
        <v>LLY</v>
      </c>
      <c r="D315" s="155" t="str">
        <f>IFERROR(VLOOKUP($C315,Code!$H:$K,2,FALSE),"")</f>
        <v>XLV</v>
      </c>
      <c r="E315" s="156" t="str">
        <f>IFERROR(VLOOKUP($C315,Code!$H:$K,3,FALSE),"")</f>
        <v>藥品製造商— 常規</v>
      </c>
      <c r="F315" s="157" t="str">
        <f>IFERROR(VLOOKUP($C315,Code!$H:$K,4,FALSE),"")</f>
        <v>.SPX</v>
      </c>
      <c r="G315" s="170">
        <f>IFERROR(((VLOOKUP($C315,Code!$H:$Q,9,FALSE))+(VLOOKUP($C315,Code!$H:$Q,10,FALSE)))/2*0.5/(((VLOOKUP($C315,Code!$H:$Q,7,FALSE))+(VLOOKUP($C315,Code!$H:$Q,8,FALSE)))/2),0)</f>
        <v>0.49097419066089804</v>
      </c>
      <c r="H315" s="171" t="str">
        <f t="shared" si="32"/>
        <v>S</v>
      </c>
      <c r="I315" s="170">
        <f>IFERROR((VLOOKUP($C315,Code!$H:$Q,5,FALSE))/(((VLOOKUP($C315,Code!$H:$Q,7,FALSE))+(VLOOKUP($C315,Code!$H:$Q,8,FALSE)))/2)-1,0)</f>
        <v>-0.20722064747128155</v>
      </c>
      <c r="J315" s="204">
        <f>IFERROR(POWER((VLOOKUP(C315,Code!H:W,12,FALSE))/(VLOOKUP(C315,Code!H:W,15,FALSE)),1/(P315-1))-1,"")</f>
        <v>0.30211488876149839</v>
      </c>
      <c r="K315" s="172" cm="1">
        <f t="array" ref="K315">IFERROR(IF(C315="","",_xlfn.IFS(AND(VLOOKUP(C315,Code!H:W,13,FALSE)=0,VLOOKUP(C315,Code!H:W,16,FALSE)=0),"無股息",AND(VLOOKUP(C315,Code!H:W,13,FALSE)=0,VLOOKUP(C315,Code!H:W,16,FALSE)&gt;0),"股息沒了",AND(VLOOKUP(C315,Code!H:W,13,FALSE)&gt;0,VLOOKUP(C315,Code!H:W,16,FALSE)=0),"發股息了",AND(VLOOKUP(C315,Code!H:W,13,FALSE)&gt;0,VLOOKUP(C315,Code!H:W,16,FALSE)&gt;0),POWER((VLOOKUP(C315,Code!H:W,13,FALSE))/(VLOOKUP(C315,Code!H:W,16,FALSE)),1/(P315-1))-1)),"")</f>
        <v>0.14567801004449299</v>
      </c>
      <c r="L315" s="173">
        <f>IFERROR(VLOOKUP(C315,Code!H:W,13,FALSE)*4/VLOOKUP(C315,Code!H:W,12,FALSE),"")</f>
        <v>1.7441263760227733E-2</v>
      </c>
      <c r="M315" s="172">
        <f t="shared" si="33"/>
        <v>0.44779289880599138</v>
      </c>
      <c r="N315" s="172" t="str">
        <f t="shared" si="34"/>
        <v>-</v>
      </c>
      <c r="O315" s="172" t="str">
        <f t="shared" si="35"/>
        <v>Value</v>
      </c>
      <c r="P315" s="205">
        <f>IFERROR(YEARFRAC(VLOOKUP(C315,Code!H:W,11,FALSE),VLOOKUP(C315,Code!H:W,14,FALSE),3),"")</f>
        <v>4.7561643835616438</v>
      </c>
      <c r="Q315" s="174">
        <v>44547</v>
      </c>
      <c r="R315" s="175" t="str">
        <f t="shared" ca="1" si="36"/>
        <v/>
      </c>
      <c r="S315" s="176">
        <f>IFERROR(VLOOKUP($C315,Code!$H:$Q,5,FALSE),"")</f>
        <v>0.26569999999999999</v>
      </c>
      <c r="T315" s="177" t="str">
        <f t="shared" ca="1" si="37"/>
        <v/>
      </c>
      <c r="U315" s="178" t="str">
        <f t="shared" ca="1" si="38"/>
        <v/>
      </c>
      <c r="V315" s="179">
        <f>IFERROR(VLOOKUP($C315,Code!$H:$Q,6,FALSE),"")</f>
        <v>264.19</v>
      </c>
      <c r="W315" s="180" t="str">
        <f t="shared" ca="1" si="39"/>
        <v/>
      </c>
      <c r="X315" s="12"/>
      <c r="Y315" s="12"/>
      <c r="Z315" s="12"/>
      <c r="AA315" s="12"/>
      <c r="AB315" s="12"/>
    </row>
    <row r="316" spans="1:28" s="10" customFormat="1" ht="15" hidden="1">
      <c r="A316" s="9"/>
      <c r="B316" s="169" cm="1">
        <f t="array" ref="B316">_xlfn.IFS(OR(Code!R16&lt;&gt;Code!U16,Code!R16=""),0,Code!R16=Code!U16,1)</f>
        <v>0</v>
      </c>
      <c r="C316" s="193" t="str">
        <f>IF(Code!F16="","",Code!F16)</f>
        <v>ADP</v>
      </c>
      <c r="D316" s="155" t="str">
        <f>IFERROR(VLOOKUP($C316,Code!$H:$K,2,FALSE),"")</f>
        <v>XLK</v>
      </c>
      <c r="E316" s="156" t="str">
        <f>IFERROR(VLOOKUP($C316,Code!$H:$K,3,FALSE),"")</f>
        <v>人員配置和就業服務</v>
      </c>
      <c r="F316" s="157" t="str">
        <f>IFERROR(VLOOKUP($C316,Code!$H:$K,4,FALSE),"")</f>
        <v>.SPX</v>
      </c>
      <c r="G316" s="170">
        <f>IFERROR(((VLOOKUP($C316,Code!$H:$Q,9,FALSE))+(VLOOKUP($C316,Code!$H:$Q,10,FALSE)))/2*0.5/(((VLOOKUP($C316,Code!$H:$Q,7,FALSE))+(VLOOKUP($C316,Code!$H:$Q,8,FALSE)))/2),0)</f>
        <v>0.61783884489986018</v>
      </c>
      <c r="H316" s="171" t="str">
        <f t="shared" si="32"/>
        <v>L</v>
      </c>
      <c r="I316" s="170">
        <f>IFERROR((VLOOKUP($C316,Code!$H:$Q,5,FALSE))/(((VLOOKUP($C316,Code!$H:$Q,7,FALSE))+(VLOOKUP($C316,Code!$H:$Q,8,FALSE)))/2)-1,0)</f>
        <v>-0.20726595249184909</v>
      </c>
      <c r="J316" s="204">
        <f>IFERROR(POWER((VLOOKUP(C316,Code!H:W,12,FALSE))/(VLOOKUP(C316,Code!H:W,15,FALSE)),1/(P316-1))-1,"")</f>
        <v>0.27128194350539059</v>
      </c>
      <c r="K316" s="172" cm="1">
        <f t="array" ref="K316">IFERROR(IF(C316="","",_xlfn.IFS(AND(VLOOKUP(C316,Code!H:W,13,FALSE)=0,VLOOKUP(C316,Code!H:W,16,FALSE)=0),"無股息",AND(VLOOKUP(C316,Code!H:W,13,FALSE)=0,VLOOKUP(C316,Code!H:W,16,FALSE)&gt;0),"股息沒了",AND(VLOOKUP(C316,Code!H:W,13,FALSE)&gt;0,VLOOKUP(C316,Code!H:W,16,FALSE)=0),"發股息了",AND(VLOOKUP(C316,Code!H:W,13,FALSE)&gt;0,VLOOKUP(C316,Code!H:W,16,FALSE)&gt;0),POWER((VLOOKUP(C316,Code!H:W,13,FALSE))/(VLOOKUP(C316,Code!H:W,16,FALSE)),1/(P316-1))-1)),"")</f>
        <v>0.16136204001337684</v>
      </c>
      <c r="L316" s="173">
        <f>IFERROR(VLOOKUP(C316,Code!H:W,13,FALSE)*4/VLOOKUP(C316,Code!H:W,12,FALSE),"")</f>
        <v>1.8594421900412637E-2</v>
      </c>
      <c r="M316" s="172">
        <f t="shared" si="33"/>
        <v>0.43264398351876743</v>
      </c>
      <c r="N316" s="172" t="str">
        <f t="shared" si="34"/>
        <v>-</v>
      </c>
      <c r="O316" s="172" t="str">
        <f t="shared" si="35"/>
        <v>Value</v>
      </c>
      <c r="P316" s="205">
        <f>IFERROR(YEARFRAC(VLOOKUP(C316,Code!H:W,11,FALSE),VLOOKUP(C316,Code!H:W,14,FALSE),3),"")</f>
        <v>4.7589041095890412</v>
      </c>
      <c r="Q316" s="174">
        <v>44547</v>
      </c>
      <c r="R316" s="175" t="str">
        <f t="shared" ca="1" si="36"/>
        <v/>
      </c>
      <c r="S316" s="176">
        <f>IFERROR(VLOOKUP($C316,Code!$H:$Q,5,FALSE),"")</f>
        <v>0.17019999999999999</v>
      </c>
      <c r="T316" s="177" t="str">
        <f t="shared" ca="1" si="37"/>
        <v/>
      </c>
      <c r="U316" s="178" t="str">
        <f t="shared" ca="1" si="38"/>
        <v/>
      </c>
      <c r="V316" s="179">
        <f>IFERROR(VLOOKUP($C316,Code!$H:$Q,6,FALSE),"")</f>
        <v>213.29</v>
      </c>
      <c r="W316" s="180" t="str">
        <f t="shared" ca="1" si="39"/>
        <v/>
      </c>
      <c r="X316" s="12"/>
      <c r="Y316" s="12"/>
      <c r="Z316" s="12"/>
      <c r="AA316" s="12"/>
      <c r="AB316" s="12"/>
    </row>
    <row r="317" spans="1:28" s="10" customFormat="1" ht="15" hidden="1">
      <c r="A317" s="9"/>
      <c r="B317" s="169" cm="1">
        <f t="array" ref="B317">_xlfn.IFS(OR(Code!R43&lt;&gt;Code!U43,Code!R43=""),0,Code!R43=Code!U43,1)</f>
        <v>0</v>
      </c>
      <c r="C317" s="193" t="str">
        <f>IF(Code!F43="","",Code!F43)</f>
        <v>AOS</v>
      </c>
      <c r="D317" s="155" t="str">
        <f>IFERROR(VLOOKUP($C317,Code!$H:$K,2,FALSE),"")</f>
        <v>XLI</v>
      </c>
      <c r="E317" s="156" t="str">
        <f>IFERROR(VLOOKUP($C317,Code!$H:$K,3,FALSE),"")</f>
        <v>特種工業機械</v>
      </c>
      <c r="F317" s="157" t="str">
        <f>IFERROR(VLOOKUP($C317,Code!$H:$K,4,FALSE),"")</f>
        <v>.SPX</v>
      </c>
      <c r="G317" s="170">
        <f>IFERROR(((VLOOKUP($C317,Code!$H:$Q,9,FALSE))+(VLOOKUP($C317,Code!$H:$Q,10,FALSE)))/2*0.5/(((VLOOKUP($C317,Code!$H:$Q,7,FALSE))+(VLOOKUP($C317,Code!$H:$Q,8,FALSE)))/2),0)</f>
        <v>0.54378940194240932</v>
      </c>
      <c r="H317" s="171" t="str">
        <f t="shared" si="32"/>
        <v>M</v>
      </c>
      <c r="I317" s="170">
        <f>IFERROR((VLOOKUP($C317,Code!$H:$Q,5,FALSE))/(((VLOOKUP($C317,Code!$H:$Q,7,FALSE))+(VLOOKUP($C317,Code!$H:$Q,8,FALSE)))/2)-1,0)</f>
        <v>-0.20736070880899637</v>
      </c>
      <c r="J317" s="204">
        <f>IFERROR(POWER((VLOOKUP(C317,Code!H:W,12,FALSE))/(VLOOKUP(C317,Code!H:W,15,FALSE)),1/(P317-1))-1,"")</f>
        <v>0.10864550461763733</v>
      </c>
      <c r="K317" s="172" t="str" cm="1">
        <f t="array" ref="K317">IFERROR(IF(C317="","",_xlfn.IFS(AND(VLOOKUP(C317,Code!H:W,13,FALSE)=0,VLOOKUP(C317,Code!H:W,16,FALSE)=0),"無股息",AND(VLOOKUP(C317,Code!H:W,13,FALSE)=0,VLOOKUP(C317,Code!H:W,16,FALSE)&gt;0),"股息沒了",AND(VLOOKUP(C317,Code!H:W,13,FALSE)&gt;0,VLOOKUP(C317,Code!H:W,16,FALSE)=0),"發股息了",AND(VLOOKUP(C317,Code!H:W,13,FALSE)&gt;0,VLOOKUP(C317,Code!H:W,16,FALSE)&gt;0),POWER((VLOOKUP(C317,Code!H:W,13,FALSE))/(VLOOKUP(C317,Code!H:W,16,FALSE)),1/(P317-1))-1)),"")</f>
        <v>發股息了</v>
      </c>
      <c r="L317" s="173">
        <f>IFERROR(VLOOKUP(C317,Code!H:W,13,FALSE)*4/VLOOKUP(C317,Code!H:W,12,FALSE),"")</f>
        <v>1.4766434693932174E-2</v>
      </c>
      <c r="M317" s="172">
        <f t="shared" si="33"/>
        <v>0.10864550461763733</v>
      </c>
      <c r="N317" s="172" t="str">
        <f t="shared" si="34"/>
        <v>-</v>
      </c>
      <c r="O317" s="172" t="str">
        <f t="shared" si="35"/>
        <v/>
      </c>
      <c r="P317" s="205">
        <f>IFERROR(YEARFRAC(VLOOKUP(C317,Code!H:W,11,FALSE),VLOOKUP(C317,Code!H:W,14,FALSE),3),"")</f>
        <v>4.8136986301369866</v>
      </c>
      <c r="Q317" s="174">
        <v>44547</v>
      </c>
      <c r="R317" s="175" t="str">
        <f t="shared" ca="1" si="36"/>
        <v/>
      </c>
      <c r="S317" s="176">
        <f>IFERROR(VLOOKUP($C317,Code!$H:$Q,5,FALSE),"")</f>
        <v>0.2326</v>
      </c>
      <c r="T317" s="177" t="str">
        <f t="shared" ca="1" si="37"/>
        <v/>
      </c>
      <c r="U317" s="178" t="str">
        <f t="shared" ca="1" si="38"/>
        <v/>
      </c>
      <c r="V317" s="179">
        <f>IFERROR(VLOOKUP($C317,Code!$H:$Q,6,FALSE),"")</f>
        <v>71.34</v>
      </c>
      <c r="W317" s="180" t="str">
        <f t="shared" ca="1" si="39"/>
        <v/>
      </c>
      <c r="X317" s="12"/>
      <c r="Y317" s="12"/>
      <c r="Z317" s="12"/>
      <c r="AA317" s="12"/>
      <c r="AB317" s="12"/>
    </row>
    <row r="318" spans="1:28" s="10" customFormat="1" ht="15" hidden="1">
      <c r="A318" s="9"/>
      <c r="B318" s="169" cm="1">
        <f t="array" ref="B318">_xlfn.IFS(OR(Code!R150&lt;&gt;Code!U150,Code!R150=""),0,Code!R150=Code!U150,1)</f>
        <v>0</v>
      </c>
      <c r="C318" s="193" t="str">
        <f>IF(Code!F150="","",Code!F150)</f>
        <v>DVN</v>
      </c>
      <c r="D318" s="155" t="str">
        <f>IFERROR(VLOOKUP($C318,Code!$H:$K,2,FALSE),"")</f>
        <v>XLE</v>
      </c>
      <c r="E318" s="156" t="str">
        <f>IFERROR(VLOOKUP($C318,Code!$H:$K,3,FALSE),"")</f>
        <v>油氣E&amp;P</v>
      </c>
      <c r="F318" s="157" t="str">
        <f>IFERROR(VLOOKUP($C318,Code!$H:$K,4,FALSE),"")</f>
        <v>.SPX</v>
      </c>
      <c r="G318" s="170">
        <f>IFERROR(((VLOOKUP($C318,Code!$H:$Q,9,FALSE))+(VLOOKUP($C318,Code!$H:$Q,10,FALSE)))/2*0.5/(((VLOOKUP($C318,Code!$H:$Q,7,FALSE))+(VLOOKUP($C318,Code!$H:$Q,8,FALSE)))/2),0)</f>
        <v>0.578736407651401</v>
      </c>
      <c r="H318" s="171" t="str">
        <f t="shared" si="32"/>
        <v>M</v>
      </c>
      <c r="I318" s="170">
        <f>IFERROR((VLOOKUP($C318,Code!$H:$Q,5,FALSE))/(((VLOOKUP($C318,Code!$H:$Q,7,FALSE))+(VLOOKUP($C318,Code!$H:$Q,8,FALSE)))/2)-1,0)</f>
        <v>-0.20803238352250175</v>
      </c>
      <c r="J318" s="204">
        <f>IFERROR(POWER((VLOOKUP(C318,Code!H:W,12,FALSE))/(VLOOKUP(C318,Code!H:W,15,FALSE)),1/(P318-1))-1,"")</f>
        <v>-5.8381821430653846E-2</v>
      </c>
      <c r="K318" s="172" cm="1">
        <f t="array" ref="K318">IFERROR(IF(C318="","",_xlfn.IFS(AND(VLOOKUP(C318,Code!H:W,13,FALSE)=0,VLOOKUP(C318,Code!H:W,16,FALSE)=0),"無股息",AND(VLOOKUP(C318,Code!H:W,13,FALSE)=0,VLOOKUP(C318,Code!H:W,16,FALSE)&gt;0),"股息沒了",AND(VLOOKUP(C318,Code!H:W,13,FALSE)&gt;0,VLOOKUP(C318,Code!H:W,16,FALSE)=0),"發股息了",AND(VLOOKUP(C318,Code!H:W,13,FALSE)&gt;0,VLOOKUP(C318,Code!H:W,16,FALSE)&gt;0),POWER((VLOOKUP(C318,Code!H:W,13,FALSE))/(VLOOKUP(C318,Code!H:W,16,FALSE)),1/(P318-1))-1)),"")</f>
        <v>0.58907556232623182</v>
      </c>
      <c r="L318" s="173">
        <f>IFERROR(VLOOKUP(C318,Code!H:W,13,FALSE)*4/VLOOKUP(C318,Code!H:W,12,FALSE),"")</f>
        <v>4.6432227978491898E-2</v>
      </c>
      <c r="M318" s="172">
        <f t="shared" si="33"/>
        <v>0.53069374089557797</v>
      </c>
      <c r="N318" s="172" t="str">
        <f t="shared" si="34"/>
        <v>Venture</v>
      </c>
      <c r="O318" s="172" t="str">
        <f t="shared" si="35"/>
        <v>-</v>
      </c>
      <c r="P318" s="205">
        <f>IFERROR(YEARFRAC(VLOOKUP(C318,Code!H:W,11,FALSE),VLOOKUP(C318,Code!H:W,14,FALSE),3),"")</f>
        <v>4.7452054794520544</v>
      </c>
      <c r="Q318" s="174">
        <v>44547</v>
      </c>
      <c r="R318" s="175" t="str">
        <f t="shared" ca="1" si="36"/>
        <v/>
      </c>
      <c r="S318" s="176">
        <f>IFERROR(VLOOKUP($C318,Code!$H:$Q,5,FALSE),"")</f>
        <v>0.49890000000000001</v>
      </c>
      <c r="T318" s="177" t="str">
        <f t="shared" ca="1" si="37"/>
        <v/>
      </c>
      <c r="U318" s="178" t="str">
        <f t="shared" ca="1" si="38"/>
        <v/>
      </c>
      <c r="V318" s="179">
        <f>IFERROR(VLOOKUP($C318,Code!$H:$Q,6,FALSE),"")</f>
        <v>26.63</v>
      </c>
      <c r="W318" s="180" t="str">
        <f t="shared" ca="1" si="39"/>
        <v/>
      </c>
      <c r="X318" s="12"/>
      <c r="Y318" s="12"/>
      <c r="Z318" s="12"/>
      <c r="AA318" s="12"/>
      <c r="AB318" s="12"/>
    </row>
    <row r="319" spans="1:28" s="10" customFormat="1" ht="15">
      <c r="A319" s="9"/>
      <c r="B319" s="169" cm="1">
        <f t="array" ref="B319">_xlfn.IFS(OR(Code!R143&lt;&gt;Code!U143,Code!R143=""),0,Code!R143=Code!U143,1)</f>
        <v>0</v>
      </c>
      <c r="C319" s="193" t="str">
        <f>IF(Code!F143="","",Code!F143)</f>
        <v>DOW</v>
      </c>
      <c r="D319" s="155" t="str">
        <f>IFERROR(VLOOKUP($C319,Code!$H:$K,2,FALSE),"")</f>
        <v>XLB</v>
      </c>
      <c r="E319" s="156" t="str">
        <f>IFERROR(VLOOKUP($C319,Code!$H:$K,3,FALSE),"")</f>
        <v>化學品</v>
      </c>
      <c r="F319" s="157" t="str">
        <f>IFERROR(VLOOKUP($C319,Code!$H:$K,4,FALSE),"")</f>
        <v>.SPX</v>
      </c>
      <c r="G319" s="170">
        <f>IFERROR(((VLOOKUP($C319,Code!$H:$Q,9,FALSE))+(VLOOKUP($C319,Code!$H:$Q,10,FALSE)))/2*0.5/(((VLOOKUP($C319,Code!$H:$Q,7,FALSE))+(VLOOKUP($C319,Code!$H:$Q,8,FALSE)))/2),0)</f>
        <v>0.53273040482342804</v>
      </c>
      <c r="H319" s="171" t="str">
        <f t="shared" si="32"/>
        <v>M</v>
      </c>
      <c r="I319" s="170">
        <f>IFERROR((VLOOKUP($C319,Code!$H:$Q,5,FALSE))/(((VLOOKUP($C319,Code!$H:$Q,7,FALSE))+(VLOOKUP($C319,Code!$H:$Q,8,FALSE)))/2)-1,0)</f>
        <v>-0.20815389032443299</v>
      </c>
      <c r="J319" s="204">
        <f>IFERROR(POWER((VLOOKUP(C319,Code!H:W,12,FALSE))/(VLOOKUP(C319,Code!H:W,15,FALSE)),1/(P319-1))-1,"")</f>
        <v>0.58905400075948089</v>
      </c>
      <c r="K319" s="172" cm="1">
        <f t="array" ref="K319">IFERROR(IF(C319="","",_xlfn.IFS(AND(VLOOKUP(C319,Code!H:W,13,FALSE)=0,VLOOKUP(C319,Code!H:W,16,FALSE)=0),"無股息",AND(VLOOKUP(C319,Code!H:W,13,FALSE)=0,VLOOKUP(C319,Code!H:W,16,FALSE)&gt;0),"股息沒了",AND(VLOOKUP(C319,Code!H:W,13,FALSE)&gt;0,VLOOKUP(C319,Code!H:W,16,FALSE)=0),"發股息了",AND(VLOOKUP(C319,Code!H:W,13,FALSE)&gt;0,VLOOKUP(C319,Code!H:W,16,FALSE)&gt;0),POWER((VLOOKUP(C319,Code!H:W,13,FALSE))/(VLOOKUP(C319,Code!H:W,16,FALSE)),1/(P319-1))-1)),"")</f>
        <v>0</v>
      </c>
      <c r="L319" s="173">
        <f>IFERROR(VLOOKUP(C319,Code!H:W,13,FALSE)*4/VLOOKUP(C319,Code!H:W,12,FALSE),"")</f>
        <v>4.0780656141228951E-2</v>
      </c>
      <c r="M319" s="172">
        <f t="shared" si="33"/>
        <v>0.58905400075948089</v>
      </c>
      <c r="N319" s="172" t="str">
        <f t="shared" si="34"/>
        <v>-</v>
      </c>
      <c r="O319" s="172" t="str">
        <f t="shared" si="35"/>
        <v>-</v>
      </c>
      <c r="P319" s="205">
        <f>IFERROR(YEARFRAC(VLOOKUP(C319,Code!H:W,11,FALSE),VLOOKUP(C319,Code!H:W,14,FALSE),3),"")</f>
        <v>1.9945205479452055</v>
      </c>
      <c r="Q319" s="174">
        <v>44547</v>
      </c>
      <c r="R319" s="175" t="str">
        <f t="shared" ca="1" si="36"/>
        <v/>
      </c>
      <c r="S319" s="176">
        <f>IFERROR(VLOOKUP($C319,Code!$H:$Q,5,FALSE),"")</f>
        <v>0.27579999999999999</v>
      </c>
      <c r="T319" s="177" t="str">
        <f t="shared" ca="1" si="37"/>
        <v/>
      </c>
      <c r="U319" s="178" t="str">
        <f t="shared" ca="1" si="38"/>
        <v/>
      </c>
      <c r="V319" s="179">
        <f>IFERROR(VLOOKUP($C319,Code!$H:$Q,6,FALSE),"")</f>
        <v>61</v>
      </c>
      <c r="W319" s="180" t="str">
        <f t="shared" ca="1" si="39"/>
        <v/>
      </c>
      <c r="X319" s="12"/>
      <c r="Y319" s="12"/>
      <c r="Z319" s="12"/>
      <c r="AA319" s="12"/>
      <c r="AB319" s="12"/>
    </row>
    <row r="320" spans="1:28" s="10" customFormat="1" ht="15" hidden="1">
      <c r="A320" s="9"/>
      <c r="B320" s="169" cm="1">
        <f t="array" ref="B320">_xlfn.IFS(OR(Code!R465&lt;&gt;Code!U465,Code!R465=""),0,Code!R465=Code!U465,1)</f>
        <v>0</v>
      </c>
      <c r="C320" s="193" t="str">
        <f>IF(Code!F465="","",Code!F465)</f>
        <v>UNP</v>
      </c>
      <c r="D320" s="155" t="str">
        <f>IFERROR(VLOOKUP($C320,Code!$H:$K,2,FALSE),"")</f>
        <v>XLI</v>
      </c>
      <c r="E320" s="156" t="str">
        <f>IFERROR(VLOOKUP($C320,Code!$H:$K,3,FALSE),"")</f>
        <v>鐵路</v>
      </c>
      <c r="F320" s="157" t="str">
        <f>IFERROR(VLOOKUP($C320,Code!$H:$K,4,FALSE),"")</f>
        <v>.SPX</v>
      </c>
      <c r="G320" s="170">
        <f>IFERROR(((VLOOKUP($C320,Code!$H:$Q,9,FALSE))+(VLOOKUP($C320,Code!$H:$Q,10,FALSE)))/2*0.5/(((VLOOKUP($C320,Code!$H:$Q,7,FALSE))+(VLOOKUP($C320,Code!$H:$Q,8,FALSE)))/2),0)</f>
        <v>0.57139926138695118</v>
      </c>
      <c r="H320" s="171" t="str">
        <f t="shared" si="32"/>
        <v>M</v>
      </c>
      <c r="I320" s="170">
        <f>IFERROR((VLOOKUP($C320,Code!$H:$Q,5,FALSE))/(((VLOOKUP($C320,Code!$H:$Q,7,FALSE))+(VLOOKUP($C320,Code!$H:$Q,8,FALSE)))/2)-1,0)</f>
        <v>-0.21091505949938438</v>
      </c>
      <c r="J320" s="204">
        <f>IFERROR(POWER((VLOOKUP(C320,Code!H:W,12,FALSE))/(VLOOKUP(C320,Code!H:W,15,FALSE)),1/(P320-1))-1,"")</f>
        <v>0.28815162811003159</v>
      </c>
      <c r="K320" s="172" cm="1">
        <f t="array" ref="K320">IFERROR(IF(C320="","",_xlfn.IFS(AND(VLOOKUP(C320,Code!H:W,13,FALSE)=0,VLOOKUP(C320,Code!H:W,16,FALSE)=0),"無股息",AND(VLOOKUP(C320,Code!H:W,13,FALSE)=0,VLOOKUP(C320,Code!H:W,16,FALSE)&gt;0),"股息沒了",AND(VLOOKUP(C320,Code!H:W,13,FALSE)&gt;0,VLOOKUP(C320,Code!H:W,16,FALSE)=0),"發股息了",AND(VLOOKUP(C320,Code!H:W,13,FALSE)&gt;0,VLOOKUP(C320,Code!H:W,16,FALSE)&gt;0),POWER((VLOOKUP(C320,Code!H:W,13,FALSE))/(VLOOKUP(C320,Code!H:W,16,FALSE)),1/(P320-1))-1)),"")</f>
        <v>0.19445820001949077</v>
      </c>
      <c r="L320" s="173">
        <f>IFERROR(VLOOKUP(C320,Code!H:W,13,FALSE)*4/VLOOKUP(C320,Code!H:W,12,FALSE),"")</f>
        <v>1.9115677162451279E-2</v>
      </c>
      <c r="M320" s="172">
        <f t="shared" si="33"/>
        <v>0.48260982812952236</v>
      </c>
      <c r="N320" s="172" t="str">
        <f t="shared" si="34"/>
        <v>-</v>
      </c>
      <c r="O320" s="172" t="str">
        <f t="shared" si="35"/>
        <v>Value</v>
      </c>
      <c r="P320" s="205">
        <f>IFERROR(YEARFRAC(VLOOKUP(C320,Code!H:W,11,FALSE),VLOOKUP(C320,Code!H:W,14,FALSE),3),"")</f>
        <v>4.7452054794520544</v>
      </c>
      <c r="Q320" s="174">
        <v>44547</v>
      </c>
      <c r="R320" s="175" t="str">
        <f t="shared" ca="1" si="36"/>
        <v/>
      </c>
      <c r="S320" s="176">
        <f>IFERROR(VLOOKUP($C320,Code!$H:$Q,5,FALSE),"")</f>
        <v>0.1923</v>
      </c>
      <c r="T320" s="177" t="str">
        <f t="shared" ca="1" si="37"/>
        <v/>
      </c>
      <c r="U320" s="178" t="str">
        <f t="shared" ca="1" si="38"/>
        <v/>
      </c>
      <c r="V320" s="179">
        <f>IFERROR(VLOOKUP($C320,Code!$H:$Q,6,FALSE),"")</f>
        <v>219.16</v>
      </c>
      <c r="W320" s="180" t="str">
        <f t="shared" ca="1" si="39"/>
        <v/>
      </c>
      <c r="X320" s="12"/>
      <c r="Y320" s="12"/>
      <c r="Z320" s="12"/>
      <c r="AA320" s="12"/>
      <c r="AB320" s="12"/>
    </row>
    <row r="321" spans="1:28" s="10" customFormat="1" ht="15" hidden="1">
      <c r="A321" s="9"/>
      <c r="B321" s="169" cm="1">
        <f t="array" ref="B321">_xlfn.IFS(OR(Code!R221&lt;&gt;Code!U221,Code!R221=""),0,Code!R221=Code!U221,1)</f>
        <v>0</v>
      </c>
      <c r="C321" s="193" t="str">
        <f>IF(Code!F221="","",Code!F221)</f>
        <v>HII</v>
      </c>
      <c r="D321" s="155" t="str">
        <f>IFERROR(VLOOKUP($C321,Code!$H:$K,2,FALSE),"")</f>
        <v>XLI</v>
      </c>
      <c r="E321" s="156" t="str">
        <f>IFERROR(VLOOKUP($C321,Code!$H:$K,3,FALSE),"")</f>
        <v>航天軍工</v>
      </c>
      <c r="F321" s="157" t="str">
        <f>IFERROR(VLOOKUP($C321,Code!$H:$K,4,FALSE),"")</f>
        <v>.SPX</v>
      </c>
      <c r="G321" s="170">
        <f>IFERROR(((VLOOKUP($C321,Code!$H:$Q,9,FALSE))+(VLOOKUP($C321,Code!$H:$Q,10,FALSE)))/2*0.5/(((VLOOKUP($C321,Code!$H:$Q,7,FALSE))+(VLOOKUP($C321,Code!$H:$Q,8,FALSE)))/2),0)</f>
        <v>0.58735651586765691</v>
      </c>
      <c r="H321" s="171" t="str">
        <f t="shared" si="32"/>
        <v>M</v>
      </c>
      <c r="I321" s="170">
        <f>IFERROR((VLOOKUP($C321,Code!$H:$Q,5,FALSE))/(((VLOOKUP($C321,Code!$H:$Q,7,FALSE))+(VLOOKUP($C321,Code!$H:$Q,8,FALSE)))/2)-1,0)</f>
        <v>-0.21100607697501694</v>
      </c>
      <c r="J321" s="204">
        <f>IFERROR(POWER((VLOOKUP(C321,Code!H:W,12,FALSE))/(VLOOKUP(C321,Code!H:W,15,FALSE)),1/(P321-1))-1,"")</f>
        <v>9.3709664965178741E-2</v>
      </c>
      <c r="K321" s="172" cm="1">
        <f t="array" ref="K321">IFERROR(IF(C321="","",_xlfn.IFS(AND(VLOOKUP(C321,Code!H:W,13,FALSE)=0,VLOOKUP(C321,Code!H:W,16,FALSE)=0),"無股息",AND(VLOOKUP(C321,Code!H:W,13,FALSE)=0,VLOOKUP(C321,Code!H:W,16,FALSE)&gt;0),"股息沒了",AND(VLOOKUP(C321,Code!H:W,13,FALSE)&gt;0,VLOOKUP(C321,Code!H:W,16,FALSE)=0),"發股息了",AND(VLOOKUP(C321,Code!H:W,13,FALSE)&gt;0,VLOOKUP(C321,Code!H:W,16,FALSE)&gt;0),POWER((VLOOKUP(C321,Code!H:W,13,FALSE))/(VLOOKUP(C321,Code!H:W,16,FALSE)),1/(P321-1))-1)),"")</f>
        <v>0.24515435475577396</v>
      </c>
      <c r="L321" s="173">
        <f>IFERROR(VLOOKUP(C321,Code!H:W,13,FALSE)*4/VLOOKUP(C321,Code!H:W,12,FALSE),"")</f>
        <v>2.1148316961614306E-2</v>
      </c>
      <c r="M321" s="172">
        <f t="shared" si="33"/>
        <v>0.3388640197209527</v>
      </c>
      <c r="N321" s="172" t="str">
        <f t="shared" si="34"/>
        <v>-</v>
      </c>
      <c r="O321" s="172" t="str">
        <f t="shared" si="35"/>
        <v>Value</v>
      </c>
      <c r="P321" s="205">
        <f>IFERROR(YEARFRAC(VLOOKUP(C321,Code!H:W,11,FALSE),VLOOKUP(C321,Code!H:W,14,FALSE),3),"")</f>
        <v>4.7589041095890412</v>
      </c>
      <c r="Q321" s="174">
        <v>44547</v>
      </c>
      <c r="R321" s="175" t="str">
        <f t="shared" ca="1" si="36"/>
        <v/>
      </c>
      <c r="S321" s="176">
        <f>IFERROR(VLOOKUP($C321,Code!$H:$Q,5,FALSE),"")</f>
        <v>0.23369999999999999</v>
      </c>
      <c r="T321" s="177" t="str">
        <f t="shared" ca="1" si="37"/>
        <v/>
      </c>
      <c r="U321" s="178" t="str">
        <f t="shared" ca="1" si="38"/>
        <v/>
      </c>
      <c r="V321" s="179">
        <f>IFERROR(VLOOKUP($C321,Code!$H:$Q,6,FALSE),"")</f>
        <v>203.2</v>
      </c>
      <c r="W321" s="180" t="str">
        <f t="shared" ca="1" si="39"/>
        <v/>
      </c>
      <c r="X321" s="12"/>
      <c r="Y321" s="12"/>
      <c r="Z321" s="12"/>
      <c r="AA321" s="12"/>
      <c r="AB321" s="12"/>
    </row>
    <row r="322" spans="1:28" s="10" customFormat="1" ht="15" hidden="1">
      <c r="A322" s="9"/>
      <c r="B322" s="169" cm="1">
        <f t="array" ref="B322">_xlfn.IFS(OR(Code!R211&lt;&gt;Code!U211,Code!R211=""),0,Code!R211=Code!U211,1)</f>
        <v>0</v>
      </c>
      <c r="C322" s="193" t="str">
        <f>IF(Code!F211="","",Code!F211)</f>
        <v>GS</v>
      </c>
      <c r="D322" s="155" t="str">
        <f>IFERROR(VLOOKUP($C322,Code!$H:$K,2,FALSE),"")</f>
        <v>XLF</v>
      </c>
      <c r="E322" s="156" t="str">
        <f>IFERROR(VLOOKUP($C322,Code!$H:$K,3,FALSE),"")</f>
        <v>資本市場</v>
      </c>
      <c r="F322" s="157" t="str">
        <f>IFERROR(VLOOKUP($C322,Code!$H:$K,4,FALSE),"")</f>
        <v>.SPX</v>
      </c>
      <c r="G322" s="170">
        <f>IFERROR(((VLOOKUP($C322,Code!$H:$Q,9,FALSE))+(VLOOKUP($C322,Code!$H:$Q,10,FALSE)))/2*0.5/(((VLOOKUP($C322,Code!$H:$Q,7,FALSE))+(VLOOKUP($C322,Code!$H:$Q,8,FALSE)))/2),0)</f>
        <v>0.50996362486161639</v>
      </c>
      <c r="H322" s="171" t="str">
        <f t="shared" si="32"/>
        <v>M</v>
      </c>
      <c r="I322" s="170">
        <f>IFERROR((VLOOKUP($C322,Code!$H:$Q,5,FALSE))/(((VLOOKUP($C322,Code!$H:$Q,7,FALSE))+(VLOOKUP($C322,Code!$H:$Q,8,FALSE)))/2)-1,0)</f>
        <v>-0.21145026095207975</v>
      </c>
      <c r="J322" s="204">
        <f>IFERROR(POWER((VLOOKUP(C322,Code!H:W,12,FALSE))/(VLOOKUP(C322,Code!H:W,15,FALSE)),1/(P322-1))-1,"")</f>
        <v>0.26070414847777013</v>
      </c>
      <c r="K322" s="172" cm="1">
        <f t="array" ref="K322">IFERROR(IF(C322="","",_xlfn.IFS(AND(VLOOKUP(C322,Code!H:W,13,FALSE)=0,VLOOKUP(C322,Code!H:W,16,FALSE)=0),"無股息",AND(VLOOKUP(C322,Code!H:W,13,FALSE)=0,VLOOKUP(C322,Code!H:W,16,FALSE)&gt;0),"股息沒了",AND(VLOOKUP(C322,Code!H:W,13,FALSE)&gt;0,VLOOKUP(C322,Code!H:W,16,FALSE)=0),"發股息了",AND(VLOOKUP(C322,Code!H:W,13,FALSE)&gt;0,VLOOKUP(C322,Code!H:W,16,FALSE)&gt;0),POWER((VLOOKUP(C322,Code!H:W,13,FALSE))/(VLOOKUP(C322,Code!H:W,16,FALSE)),1/(P322-1))-1)),"")</f>
        <v>0.19077413451551517</v>
      </c>
      <c r="L322" s="173">
        <f>IFERROR(VLOOKUP(C322,Code!H:W,13,FALSE)*4/VLOOKUP(C322,Code!H:W,12,FALSE),"")</f>
        <v>1.3440138023917471E-2</v>
      </c>
      <c r="M322" s="172">
        <f t="shared" si="33"/>
        <v>0.4514782829932853</v>
      </c>
      <c r="N322" s="172" t="str">
        <f t="shared" si="34"/>
        <v>-</v>
      </c>
      <c r="O322" s="172" t="str">
        <f t="shared" si="35"/>
        <v>Value</v>
      </c>
      <c r="P322" s="205">
        <f>IFERROR(YEARFRAC(VLOOKUP(C322,Code!H:W,11,FALSE),VLOOKUP(C322,Code!H:W,14,FALSE),3),"")</f>
        <v>4.7452054794520544</v>
      </c>
      <c r="Q322" s="174">
        <v>44547</v>
      </c>
      <c r="R322" s="175" t="str">
        <f t="shared" ca="1" si="36"/>
        <v/>
      </c>
      <c r="S322" s="176">
        <f>IFERROR(VLOOKUP($C322,Code!$H:$Q,5,FALSE),"")</f>
        <v>0.24929999999999999</v>
      </c>
      <c r="T322" s="177" t="str">
        <f t="shared" ca="1" si="37"/>
        <v/>
      </c>
      <c r="U322" s="178" t="str">
        <f t="shared" ca="1" si="38"/>
        <v/>
      </c>
      <c r="V322" s="179">
        <f>IFERROR(VLOOKUP($C322,Code!$H:$Q,6,FALSE),"")</f>
        <v>384.3</v>
      </c>
      <c r="W322" s="180" t="str">
        <f t="shared" ca="1" si="39"/>
        <v/>
      </c>
      <c r="X322" s="12"/>
      <c r="Y322" s="12"/>
      <c r="Z322" s="12"/>
      <c r="AA322" s="12"/>
      <c r="AB322" s="12"/>
    </row>
    <row r="323" spans="1:28" s="10" customFormat="1" ht="15" hidden="1">
      <c r="A323" s="9"/>
      <c r="B323" s="169" cm="1">
        <f t="array" ref="B323">_xlfn.IFS(OR(Code!R134&lt;&gt;Code!U134,Code!R134=""),0,Code!R134=Code!U134,1)</f>
        <v>0</v>
      </c>
      <c r="C323" s="193" t="str">
        <f>IF(Code!F134="","",Code!F134)</f>
        <v>DHI</v>
      </c>
      <c r="D323" s="155" t="str">
        <f>IFERROR(VLOOKUP($C323,Code!$H:$K,2,FALSE),"")</f>
        <v>XLY</v>
      </c>
      <c r="E323" s="156" t="str">
        <f>IFERROR(VLOOKUP($C323,Code!$H:$K,3,FALSE),"")</f>
        <v>住宅建設</v>
      </c>
      <c r="F323" s="157" t="str">
        <f>IFERROR(VLOOKUP($C323,Code!$H:$K,4,FALSE),"")</f>
        <v>.SPX</v>
      </c>
      <c r="G323" s="170">
        <f>IFERROR(((VLOOKUP($C323,Code!$H:$Q,9,FALSE))+(VLOOKUP($C323,Code!$H:$Q,10,FALSE)))/2*0.5/(((VLOOKUP($C323,Code!$H:$Q,7,FALSE))+(VLOOKUP($C323,Code!$H:$Q,8,FALSE)))/2),0)</f>
        <v>0.5229914420743389</v>
      </c>
      <c r="H323" s="171" t="str">
        <f t="shared" si="32"/>
        <v>M</v>
      </c>
      <c r="I323" s="170">
        <f>IFERROR((VLOOKUP($C323,Code!$H:$Q,5,FALSE))/(((VLOOKUP($C323,Code!$H:$Q,7,FALSE))+(VLOOKUP($C323,Code!$H:$Q,8,FALSE)))/2)-1,0)</f>
        <v>-0.21215991825265046</v>
      </c>
      <c r="J323" s="204">
        <f>IFERROR(POWER((VLOOKUP(C323,Code!H:W,12,FALSE))/(VLOOKUP(C323,Code!H:W,15,FALSE)),1/(P323-1))-1,"")</f>
        <v>0.47251135880383477</v>
      </c>
      <c r="K323" s="172" cm="1">
        <f t="array" ref="K323">IFERROR(IF(C323="","",_xlfn.IFS(AND(VLOOKUP(C323,Code!H:W,13,FALSE)=0,VLOOKUP(C323,Code!H:W,16,FALSE)=0),"無股息",AND(VLOOKUP(C323,Code!H:W,13,FALSE)=0,VLOOKUP(C323,Code!H:W,16,FALSE)&gt;0),"股息沒了",AND(VLOOKUP(C323,Code!H:W,13,FALSE)&gt;0,VLOOKUP(C323,Code!H:W,16,FALSE)=0),"發股息了",AND(VLOOKUP(C323,Code!H:W,13,FALSE)&gt;0,VLOOKUP(C323,Code!H:W,16,FALSE)&gt;0),POWER((VLOOKUP(C323,Code!H:W,13,FALSE))/(VLOOKUP(C323,Code!H:W,16,FALSE)),1/(P323-1))-1)),"")</f>
        <v>0.22217664312609653</v>
      </c>
      <c r="L323" s="173">
        <f>IFERROR(VLOOKUP(C323,Code!H:W,13,FALSE)*4/VLOOKUP(C323,Code!H:W,12,FALSE),"")</f>
        <v>7.7019349075383098E-3</v>
      </c>
      <c r="M323" s="172">
        <f t="shared" si="33"/>
        <v>0.6946880019299313</v>
      </c>
      <c r="N323" s="172" t="str">
        <f t="shared" si="34"/>
        <v>-</v>
      </c>
      <c r="O323" s="172" t="str">
        <f t="shared" si="35"/>
        <v>Value</v>
      </c>
      <c r="P323" s="205">
        <f>IFERROR(YEARFRAC(VLOOKUP(C323,Code!H:W,11,FALSE),VLOOKUP(C323,Code!H:W,14,FALSE),3),"")</f>
        <v>4.4547945205479449</v>
      </c>
      <c r="Q323" s="174">
        <v>44547</v>
      </c>
      <c r="R323" s="175" t="str">
        <f t="shared" ca="1" si="36"/>
        <v/>
      </c>
      <c r="S323" s="176">
        <f>IFERROR(VLOOKUP($C323,Code!$H:$Q,5,FALSE),"")</f>
        <v>0.30840000000000001</v>
      </c>
      <c r="T323" s="177" t="str">
        <f t="shared" ca="1" si="37"/>
        <v/>
      </c>
      <c r="U323" s="178" t="str">
        <f t="shared" ca="1" si="38"/>
        <v/>
      </c>
      <c r="V323" s="179">
        <f>IFERROR(VLOOKUP($C323,Code!$H:$Q,6,FALSE),"")</f>
        <v>96.34</v>
      </c>
      <c r="W323" s="180" t="str">
        <f t="shared" ca="1" si="39"/>
        <v/>
      </c>
      <c r="X323" s="12"/>
      <c r="Y323" s="12"/>
      <c r="Z323" s="12"/>
      <c r="AA323" s="12"/>
      <c r="AB323" s="12"/>
    </row>
    <row r="324" spans="1:28" s="10" customFormat="1" ht="15" hidden="1">
      <c r="A324" s="9"/>
      <c r="B324" s="169" cm="1">
        <f t="array" ref="B324">_xlfn.IFS(OR(Code!R176&lt;&gt;Code!U176,Code!R176=""),0,Code!R176=Code!U176,1)</f>
        <v>0</v>
      </c>
      <c r="C324" s="193" t="str">
        <f>IF(Code!F176="","",Code!F176)</f>
        <v>EXR</v>
      </c>
      <c r="D324" s="155" t="str">
        <f>IFERROR(VLOOKUP($C324,Code!$H:$K,2,FALSE),"")</f>
        <v>XLRE</v>
      </c>
      <c r="E324" s="156" t="str">
        <f>IFERROR(VLOOKUP($C324,Code!$H:$K,3,FALSE),"")</f>
        <v>REIT-工業</v>
      </c>
      <c r="F324" s="157" t="str">
        <f>IFERROR(VLOOKUP($C324,Code!$H:$K,4,FALSE),"")</f>
        <v>.SPX</v>
      </c>
      <c r="G324" s="170">
        <f>IFERROR(((VLOOKUP($C324,Code!$H:$Q,9,FALSE))+(VLOOKUP($C324,Code!$H:$Q,10,FALSE)))/2*0.5/(((VLOOKUP($C324,Code!$H:$Q,7,FALSE))+(VLOOKUP($C324,Code!$H:$Q,8,FALSE)))/2),0)</f>
        <v>0.53284530918898099</v>
      </c>
      <c r="H324" s="171" t="str">
        <f t="shared" ref="H324:H387" si="40">IFERROR(IF(G324&gt;9E+306,"",IF(G324&gt;70%,"XL",IF(G324&gt;60%,"L",IF(G324&gt;50%,"M",IF(G324&gt;0%,"S",""))))),"")</f>
        <v>M</v>
      </c>
      <c r="I324" s="170">
        <f>IFERROR((VLOOKUP($C324,Code!$H:$Q,5,FALSE))/(((VLOOKUP($C324,Code!$H:$Q,7,FALSE))+(VLOOKUP($C324,Code!$H:$Q,8,FALSE)))/2)-1,0)</f>
        <v>-0.21672124831439021</v>
      </c>
      <c r="J324" s="204">
        <f>IFERROR(POWER((VLOOKUP(C324,Code!H:W,12,FALSE))/(VLOOKUP(C324,Code!H:W,15,FALSE)),1/(P324-1))-1,"")</f>
        <v>0.27488333224810924</v>
      </c>
      <c r="K324" s="172" cm="1">
        <f t="array" ref="K324">IFERROR(IF(C324="","",_xlfn.IFS(AND(VLOOKUP(C324,Code!H:W,13,FALSE)=0,VLOOKUP(C324,Code!H:W,16,FALSE)=0),"無股息",AND(VLOOKUP(C324,Code!H:W,13,FALSE)=0,VLOOKUP(C324,Code!H:W,16,FALSE)&gt;0),"股息沒了",AND(VLOOKUP(C324,Code!H:W,13,FALSE)&gt;0,VLOOKUP(C324,Code!H:W,16,FALSE)=0),"發股息了",AND(VLOOKUP(C324,Code!H:W,13,FALSE)&gt;0,VLOOKUP(C324,Code!H:W,16,FALSE)&gt;0),POWER((VLOOKUP(C324,Code!H:W,13,FALSE))/(VLOOKUP(C324,Code!H:W,16,FALSE)),1/(P324-1))-1)),"")</f>
        <v>6.8436013529501016E-2</v>
      </c>
      <c r="L324" s="173">
        <f>IFERROR(VLOOKUP(C324,Code!H:W,13,FALSE)*4/VLOOKUP(C324,Code!H:W,12,FALSE),"")</f>
        <v>2.5009378135187908E-2</v>
      </c>
      <c r="M324" s="172">
        <f t="shared" ref="M324:M387" si="41">IF(SUM(J324:K324)=0,"",SUM(J324:K324))</f>
        <v>0.34331934577761025</v>
      </c>
      <c r="N324" s="172" t="str">
        <f t="shared" ref="N324:N387" si="42">IFERROR(IF(L324&gt;3%,IF((K324+L324)&gt;12%,"Venture","-"),"-"),"")</f>
        <v>-</v>
      </c>
      <c r="O324" s="172" t="str">
        <f t="shared" ref="O324:O387" si="43">IFERROR(IF(OR(L324&lt;3%,L324=""),IF((K324+L324)&gt;15%,"Value","-"),"-"),"")</f>
        <v>-</v>
      </c>
      <c r="P324" s="205">
        <f>IFERROR(YEARFRAC(VLOOKUP(C324,Code!H:W,11,FALSE),VLOOKUP(C324,Code!H:W,14,FALSE),3),"")</f>
        <v>4.7534246575342465</v>
      </c>
      <c r="Q324" s="174">
        <v>44547</v>
      </c>
      <c r="R324" s="175" t="str">
        <f t="shared" ref="R324:R387" ca="1" si="44">IFERROR(IF(OR(_xlfn.DAYS(Q324,TODAY())+1&lt;0,C324=0),"",_xlfn.DAYS(Q324,TODAY())+1),"")</f>
        <v/>
      </c>
      <c r="S324" s="176">
        <f>IFERROR(VLOOKUP($C324,Code!$H:$Q,5,FALSE),"")</f>
        <v>0.20330000000000001</v>
      </c>
      <c r="T324" s="177" t="str">
        <f t="shared" ref="T324:T387" ca="1" si="45">IFERROR(IF(V324*S324*SQRT(R324/365)=0,"",V324*S324*SQRT(R324/365)),"")</f>
        <v/>
      </c>
      <c r="U324" s="178" t="str">
        <f t="shared" ref="U324:U387" ca="1" si="46">IFERROR(V324-T324,"")</f>
        <v/>
      </c>
      <c r="V324" s="179">
        <f>IFERROR(VLOOKUP($C324,Code!$H:$Q,6,FALSE),"")</f>
        <v>175.85</v>
      </c>
      <c r="W324" s="180" t="str">
        <f t="shared" ref="W324:W387" ca="1" si="47">IFERROR(V324+T324,"")</f>
        <v/>
      </c>
      <c r="X324" s="12"/>
      <c r="Y324" s="12"/>
      <c r="Z324" s="12"/>
      <c r="AA324" s="12"/>
      <c r="AB324" s="12"/>
    </row>
    <row r="325" spans="1:28" s="10" customFormat="1" ht="15" hidden="1">
      <c r="A325" s="9"/>
      <c r="B325" s="169" cm="1">
        <f t="array" ref="B325">_xlfn.IFS(OR(Code!R275&lt;&gt;Code!U275,Code!R275=""),0,Code!R275=Code!U275,1)</f>
        <v>0</v>
      </c>
      <c r="C325" s="193" t="str">
        <f>IF(Code!F275="","",Code!F275)</f>
        <v>LEG</v>
      </c>
      <c r="D325" s="155" t="str">
        <f>IFERROR(VLOOKUP($C325,Code!$H:$K,2,FALSE),"")</f>
        <v>XLY</v>
      </c>
      <c r="E325" s="156" t="str">
        <f>IFERROR(VLOOKUP($C325,Code!$H:$K,3,FALSE),"")</f>
        <v>-</v>
      </c>
      <c r="F325" s="157" t="str">
        <f>IFERROR(VLOOKUP($C325,Code!$H:$K,4,FALSE),"")</f>
        <v>.SPX</v>
      </c>
      <c r="G325" s="170">
        <f>IFERROR(((VLOOKUP($C325,Code!$H:$Q,9,FALSE))+(VLOOKUP($C325,Code!$H:$Q,10,FALSE)))/2*0.5/(((VLOOKUP($C325,Code!$H:$Q,7,FALSE))+(VLOOKUP($C325,Code!$H:$Q,8,FALSE)))/2),0)</f>
        <v>0.5732298739088264</v>
      </c>
      <c r="H325" s="171" t="str">
        <f t="shared" si="40"/>
        <v>M</v>
      </c>
      <c r="I325" s="170">
        <f>IFERROR((VLOOKUP($C325,Code!$H:$Q,5,FALSE))/(((VLOOKUP($C325,Code!$H:$Q,7,FALSE))+(VLOOKUP($C325,Code!$H:$Q,8,FALSE)))/2)-1,0)</f>
        <v>-0.21712622973534723</v>
      </c>
      <c r="J325" s="204">
        <f>IFERROR(POWER((VLOOKUP(C325,Code!H:W,12,FALSE))/(VLOOKUP(C325,Code!H:W,15,FALSE)),1/(P325-1))-1,"")</f>
        <v>6.197801242557599E-2</v>
      </c>
      <c r="K325" s="172" cm="1">
        <f t="array" ref="K325">IFERROR(IF(C325="","",_xlfn.IFS(AND(VLOOKUP(C325,Code!H:W,13,FALSE)=0,VLOOKUP(C325,Code!H:W,16,FALSE)=0),"無股息",AND(VLOOKUP(C325,Code!H:W,13,FALSE)=0,VLOOKUP(C325,Code!H:W,16,FALSE)&gt;0),"股息沒了",AND(VLOOKUP(C325,Code!H:W,13,FALSE)&gt;0,VLOOKUP(C325,Code!H:W,16,FALSE)=0),"發股息了",AND(VLOOKUP(C325,Code!H:W,13,FALSE)&gt;0,VLOOKUP(C325,Code!H:W,16,FALSE)&gt;0),POWER((VLOOKUP(C325,Code!H:W,13,FALSE))/(VLOOKUP(C325,Code!H:W,16,FALSE)),1/(P325-1))-1)),"")</f>
        <v>5.7912554416275741E-2</v>
      </c>
      <c r="L325" s="173">
        <f>IFERROR(VLOOKUP(C325,Code!H:W,13,FALSE)*4/VLOOKUP(C325,Code!H:W,12,FALSE),"")</f>
        <v>3.2227123836135033E-2</v>
      </c>
      <c r="M325" s="172">
        <f t="shared" si="41"/>
        <v>0.11989056684185173</v>
      </c>
      <c r="N325" s="172" t="str">
        <f t="shared" si="42"/>
        <v>-</v>
      </c>
      <c r="O325" s="172" t="str">
        <f t="shared" si="43"/>
        <v>-</v>
      </c>
      <c r="P325" s="205">
        <f>IFERROR(YEARFRAC(VLOOKUP(C325,Code!H:W,11,FALSE),VLOOKUP(C325,Code!H:W,14,FALSE),3),"")</f>
        <v>4.7534246575342465</v>
      </c>
      <c r="Q325" s="174">
        <v>44547</v>
      </c>
      <c r="R325" s="175" t="str">
        <f t="shared" ca="1" si="44"/>
        <v/>
      </c>
      <c r="S325" s="176">
        <f>IFERROR(VLOOKUP($C325,Code!$H:$Q,5,FALSE),"")</f>
        <v>0.28249999999999997</v>
      </c>
      <c r="T325" s="177" t="str">
        <f t="shared" ca="1" si="45"/>
        <v/>
      </c>
      <c r="U325" s="178" t="str">
        <f t="shared" ca="1" si="46"/>
        <v/>
      </c>
      <c r="V325" s="179">
        <f>IFERROR(VLOOKUP($C325,Code!$H:$Q,6,FALSE),"")</f>
        <v>48.07</v>
      </c>
      <c r="W325" s="180" t="str">
        <f t="shared" ca="1" si="47"/>
        <v/>
      </c>
      <c r="X325" s="12"/>
      <c r="Y325" s="12"/>
      <c r="Z325" s="12"/>
      <c r="AA325" s="12"/>
      <c r="AB325" s="12"/>
    </row>
    <row r="326" spans="1:28" s="10" customFormat="1" ht="15" hidden="1">
      <c r="A326" s="9"/>
      <c r="B326" s="169" cm="1">
        <f t="array" ref="B326">_xlfn.IFS(OR(Code!R441&lt;&gt;Code!U441,Code!R441=""),0,Code!R441=Code!U441,1)</f>
        <v>0</v>
      </c>
      <c r="C326" s="193" t="str">
        <f>IF(Code!F441="","",Code!F441)</f>
        <v>TJX</v>
      </c>
      <c r="D326" s="155" t="str">
        <f>IFERROR(VLOOKUP($C326,Code!$H:$K,2,FALSE),"")</f>
        <v>XLY</v>
      </c>
      <c r="E326" s="156" t="str">
        <f>IFERROR(VLOOKUP($C326,Code!$H:$K,3,FALSE),"")</f>
        <v>服裝零售</v>
      </c>
      <c r="F326" s="157" t="str">
        <f>IFERROR(VLOOKUP($C326,Code!$H:$K,4,FALSE),"")</f>
        <v>.SPX</v>
      </c>
      <c r="G326" s="170">
        <f>IFERROR(((VLOOKUP($C326,Code!$H:$Q,9,FALSE))+(VLOOKUP($C326,Code!$H:$Q,10,FALSE)))/2*0.5/(((VLOOKUP($C326,Code!$H:$Q,7,FALSE))+(VLOOKUP($C326,Code!$H:$Q,8,FALSE)))/2),0)</f>
        <v>0.49933667452830188</v>
      </c>
      <c r="H326" s="171" t="str">
        <f t="shared" si="40"/>
        <v>S</v>
      </c>
      <c r="I326" s="170">
        <f>IFERROR((VLOOKUP($C326,Code!$H:$Q,5,FALSE))/(((VLOOKUP($C326,Code!$H:$Q,7,FALSE))+(VLOOKUP($C326,Code!$H:$Q,8,FALSE)))/2)-1,0)</f>
        <v>-0.21727594339622636</v>
      </c>
      <c r="J326" s="204">
        <f>IFERROR(POWER((VLOOKUP(C326,Code!H:W,12,FALSE))/(VLOOKUP(C326,Code!H:W,15,FALSE)),1/(P326-1))-1,"")</f>
        <v>0.17481299618361823</v>
      </c>
      <c r="K326" s="172" cm="1">
        <f t="array" ref="K326">IFERROR(IF(C326="","",_xlfn.IFS(AND(VLOOKUP(C326,Code!H:W,13,FALSE)=0,VLOOKUP(C326,Code!H:W,16,FALSE)=0),"無股息",AND(VLOOKUP(C326,Code!H:W,13,FALSE)=0,VLOOKUP(C326,Code!H:W,16,FALSE)&gt;0),"股息沒了",AND(VLOOKUP(C326,Code!H:W,13,FALSE)&gt;0,VLOOKUP(C326,Code!H:W,16,FALSE)=0),"發股息了",AND(VLOOKUP(C326,Code!H:W,13,FALSE)&gt;0,VLOOKUP(C326,Code!H:W,16,FALSE)&gt;0),POWER((VLOOKUP(C326,Code!H:W,13,FALSE))/(VLOOKUP(C326,Code!H:W,16,FALSE)),1/(P326-1))-1)),"")</f>
        <v>0.20249840918770734</v>
      </c>
      <c r="L326" s="173">
        <f>IFERROR(VLOOKUP(C326,Code!H:W,13,FALSE)*4/VLOOKUP(C326,Code!H:W,12,FALSE),"")</f>
        <v>1.4957572533564743E-2</v>
      </c>
      <c r="M326" s="172">
        <f t="shared" si="41"/>
        <v>0.37731140537132557</v>
      </c>
      <c r="N326" s="172" t="str">
        <f t="shared" si="42"/>
        <v>-</v>
      </c>
      <c r="O326" s="172" t="str">
        <f t="shared" si="43"/>
        <v>Value</v>
      </c>
      <c r="P326" s="205">
        <f>IFERROR(YEARFRAC(VLOOKUP(C326,Code!H:W,11,FALSE),VLOOKUP(C326,Code!H:W,14,FALSE),3),"")</f>
        <v>4.7589041095890412</v>
      </c>
      <c r="Q326" s="174">
        <v>44547</v>
      </c>
      <c r="R326" s="175" t="str">
        <f t="shared" ca="1" si="44"/>
        <v/>
      </c>
      <c r="S326" s="176">
        <f>IFERROR(VLOOKUP($C326,Code!$H:$Q,5,FALSE),"")</f>
        <v>0.26550000000000001</v>
      </c>
      <c r="T326" s="177" t="str">
        <f t="shared" ca="1" si="45"/>
        <v/>
      </c>
      <c r="U326" s="178" t="str">
        <f t="shared" ca="1" si="46"/>
        <v/>
      </c>
      <c r="V326" s="179">
        <f>IFERROR(VLOOKUP($C326,Code!$H:$Q,6,FALSE),"")</f>
        <v>68.58</v>
      </c>
      <c r="W326" s="180" t="str">
        <f t="shared" ca="1" si="47"/>
        <v/>
      </c>
      <c r="X326" s="12"/>
      <c r="Y326" s="12"/>
      <c r="Z326" s="12"/>
      <c r="AA326" s="12"/>
      <c r="AB326" s="12"/>
    </row>
    <row r="327" spans="1:28" s="10" customFormat="1" ht="15" hidden="1">
      <c r="A327" s="9"/>
      <c r="B327" s="169" cm="1">
        <f t="array" ref="B327">_xlfn.IFS(OR(Code!R8&lt;&gt;Code!U8,Code!R8=""),0,Code!R8=Code!U8,1)</f>
        <v>0</v>
      </c>
      <c r="C327" s="193" t="str">
        <f>IF(Code!F8="","",Code!F8)</f>
        <v>ABBV</v>
      </c>
      <c r="D327" s="155" t="str">
        <f>IFERROR(VLOOKUP($C327,Code!$H:$K,2,FALSE),"")</f>
        <v>XLV</v>
      </c>
      <c r="E327" s="156" t="str">
        <f>IFERROR(VLOOKUP($C327,Code!$H:$K,3,FALSE),"")</f>
        <v>藥品製造商— 常規</v>
      </c>
      <c r="F327" s="157" t="str">
        <f>IFERROR(VLOOKUP($C327,Code!$H:$K,4,FALSE),"")</f>
        <v>.SPX</v>
      </c>
      <c r="G327" s="170">
        <f>IFERROR(((VLOOKUP($C327,Code!$H:$Q,9,FALSE))+(VLOOKUP($C327,Code!$H:$Q,10,FALSE)))/2*0.5/(((VLOOKUP($C327,Code!$H:$Q,7,FALSE))+(VLOOKUP($C327,Code!$H:$Q,8,FALSE)))/2),0)</f>
        <v>0.592935667752443</v>
      </c>
      <c r="H327" s="171" t="str">
        <f t="shared" si="40"/>
        <v>M</v>
      </c>
      <c r="I327" s="170">
        <f>IFERROR((VLOOKUP($C327,Code!$H:$Q,5,FALSE))/(((VLOOKUP($C327,Code!$H:$Q,7,FALSE))+(VLOOKUP($C327,Code!$H:$Q,8,FALSE)))/2)-1,0)</f>
        <v>-0.21824104234527686</v>
      </c>
      <c r="J327" s="204">
        <f>IFERROR(POWER((VLOOKUP(C327,Code!H:W,12,FALSE))/(VLOOKUP(C327,Code!H:W,15,FALSE)),1/(P327-1))-1,"")</f>
        <v>0.26019763962000009</v>
      </c>
      <c r="K327" s="172" cm="1">
        <f t="array" ref="K327">IFERROR(IF(C327="","",_xlfn.IFS(AND(VLOOKUP(C327,Code!H:W,13,FALSE)=0,VLOOKUP(C327,Code!H:W,16,FALSE)=0),"無股息",AND(VLOOKUP(C327,Code!H:W,13,FALSE)=0,VLOOKUP(C327,Code!H:W,16,FALSE)&gt;0),"股息沒了",AND(VLOOKUP(C327,Code!H:W,13,FALSE)&gt;0,VLOOKUP(C327,Code!H:W,16,FALSE)=0),"發股息了",AND(VLOOKUP(C327,Code!H:W,13,FALSE)&gt;0,VLOOKUP(C327,Code!H:W,16,FALSE)&gt;0),POWER((VLOOKUP(C327,Code!H:W,13,FALSE))/(VLOOKUP(C327,Code!H:W,16,FALSE)),1/(P327-1))-1)),"")</f>
        <v>0.24545553913664508</v>
      </c>
      <c r="L327" s="173">
        <f>IFERROR(VLOOKUP(C327,Code!H:W,13,FALSE)*4/VLOOKUP(C327,Code!H:W,12,FALSE),"")</f>
        <v>4.4308111562342364E-2</v>
      </c>
      <c r="M327" s="172">
        <f t="shared" si="41"/>
        <v>0.50565317875664517</v>
      </c>
      <c r="N327" s="172" t="str">
        <f t="shared" si="42"/>
        <v>Venture</v>
      </c>
      <c r="O327" s="172" t="str">
        <f t="shared" si="43"/>
        <v>-</v>
      </c>
      <c r="P327" s="205">
        <f>IFERROR(YEARFRAC(VLOOKUP(C327,Code!H:W,11,FALSE),VLOOKUP(C327,Code!H:W,14,FALSE),3),"")</f>
        <v>4.7561643835616438</v>
      </c>
      <c r="Q327" s="174">
        <v>44547</v>
      </c>
      <c r="R327" s="175" t="str">
        <f t="shared" ca="1" si="44"/>
        <v/>
      </c>
      <c r="S327" s="176">
        <f>IFERROR(VLOOKUP($C327,Code!$H:$Q,5,FALSE),"")</f>
        <v>0.192</v>
      </c>
      <c r="T327" s="177" t="str">
        <f t="shared" ca="1" si="45"/>
        <v/>
      </c>
      <c r="U327" s="178" t="str">
        <f t="shared" ca="1" si="46"/>
        <v/>
      </c>
      <c r="V327" s="179">
        <f>IFERROR(VLOOKUP($C327,Code!$H:$Q,6,FALSE),"")</f>
        <v>115.12</v>
      </c>
      <c r="W327" s="180" t="str">
        <f t="shared" ca="1" si="47"/>
        <v/>
      </c>
      <c r="X327" s="12"/>
      <c r="Y327" s="12"/>
      <c r="Z327" s="12"/>
      <c r="AA327" s="12"/>
      <c r="AB327" s="12"/>
    </row>
    <row r="328" spans="1:28" s="10" customFormat="1" ht="15" hidden="1">
      <c r="A328" s="9"/>
      <c r="B328" s="169" cm="1">
        <f t="array" ref="B328">_xlfn.IFS(OR(Code!R175&lt;&gt;Code!U175,Code!R175=""),0,Code!R175=Code!U175,1)</f>
        <v>0</v>
      </c>
      <c r="C328" s="193" t="str">
        <f>IF(Code!F175="","",Code!F175)</f>
        <v>EXPE</v>
      </c>
      <c r="D328" s="155" t="str">
        <f>IFERROR(VLOOKUP($C328,Code!$H:$K,2,FALSE),"")</f>
        <v>XLY</v>
      </c>
      <c r="E328" s="156" t="str">
        <f>IFERROR(VLOOKUP($C328,Code!$H:$K,3,FALSE),"")</f>
        <v>旅行服務</v>
      </c>
      <c r="F328" s="157" t="str">
        <f>IFERROR(VLOOKUP($C328,Code!$H:$K,4,FALSE),"")</f>
        <v>.SPX</v>
      </c>
      <c r="G328" s="170">
        <f>IFERROR(((VLOOKUP($C328,Code!$H:$Q,9,FALSE))+(VLOOKUP($C328,Code!$H:$Q,10,FALSE)))/2*0.5/(((VLOOKUP($C328,Code!$H:$Q,7,FALSE))+(VLOOKUP($C328,Code!$H:$Q,8,FALSE)))/2),0)</f>
        <v>0.50236523110278897</v>
      </c>
      <c r="H328" s="171" t="str">
        <f t="shared" si="40"/>
        <v>M</v>
      </c>
      <c r="I328" s="170">
        <f>IFERROR((VLOOKUP($C328,Code!$H:$Q,5,FALSE))/(((VLOOKUP($C328,Code!$H:$Q,7,FALSE))+(VLOOKUP($C328,Code!$H:$Q,8,FALSE)))/2)-1,0)</f>
        <v>-0.21868532571203314</v>
      </c>
      <c r="J328" s="204">
        <f>IFERROR(POWER((VLOOKUP(C328,Code!H:W,12,FALSE))/(VLOOKUP(C328,Code!H:W,15,FALSE)),1/(P328-1))-1,"")</f>
        <v>-8.9382920601438376E-2</v>
      </c>
      <c r="K328" s="172" cm="1">
        <f t="array" ref="K328">IFERROR(IF(C328="","",_xlfn.IFS(AND(VLOOKUP(C328,Code!H:W,13,FALSE)=0,VLOOKUP(C328,Code!H:W,16,FALSE)=0),"無股息",AND(VLOOKUP(C328,Code!H:W,13,FALSE)=0,VLOOKUP(C328,Code!H:W,16,FALSE)&gt;0),"股息沒了",AND(VLOOKUP(C328,Code!H:W,13,FALSE)&gt;0,VLOOKUP(C328,Code!H:W,16,FALSE)=0),"發股息了",AND(VLOOKUP(C328,Code!H:W,13,FALSE)&gt;0,VLOOKUP(C328,Code!H:W,16,FALSE)&gt;0),POWER((VLOOKUP(C328,Code!H:W,13,FALSE))/(VLOOKUP(C328,Code!H:W,16,FALSE)),1/(P328-1))-1)),"")</f>
        <v>0.11115469055791327</v>
      </c>
      <c r="L328" s="173">
        <f>IFERROR(VLOOKUP(C328,Code!H:W,13,FALSE)*4/VLOOKUP(C328,Code!H:W,12,FALSE),"")</f>
        <v>1.5758979744002442E-2</v>
      </c>
      <c r="M328" s="172">
        <f t="shared" si="41"/>
        <v>2.1771769956474896E-2</v>
      </c>
      <c r="N328" s="172" t="str">
        <f t="shared" si="42"/>
        <v>-</v>
      </c>
      <c r="O328" s="172" t="str">
        <f t="shared" si="43"/>
        <v>-</v>
      </c>
      <c r="P328" s="205">
        <f>IFERROR(YEARFRAC(VLOOKUP(C328,Code!H:W,11,FALSE),VLOOKUP(C328,Code!H:W,14,FALSE),3),"")</f>
        <v>3.5452054794520547</v>
      </c>
      <c r="Q328" s="174">
        <v>44547</v>
      </c>
      <c r="R328" s="175" t="str">
        <f t="shared" ca="1" si="44"/>
        <v/>
      </c>
      <c r="S328" s="176">
        <f>IFERROR(VLOOKUP($C328,Code!$H:$Q,5,FALSE),"")</f>
        <v>0.39639999999999997</v>
      </c>
      <c r="T328" s="177" t="str">
        <f t="shared" ca="1" si="45"/>
        <v/>
      </c>
      <c r="U328" s="178" t="str">
        <f t="shared" ca="1" si="46"/>
        <v/>
      </c>
      <c r="V328" s="179">
        <f>IFERROR(VLOOKUP($C328,Code!$H:$Q,6,FALSE),"")</f>
        <v>148.12</v>
      </c>
      <c r="W328" s="180" t="str">
        <f t="shared" ca="1" si="47"/>
        <v/>
      </c>
      <c r="X328" s="12"/>
      <c r="Y328" s="12"/>
      <c r="Z328" s="12"/>
      <c r="AA328" s="12"/>
      <c r="AB328" s="12"/>
    </row>
    <row r="329" spans="1:28" s="10" customFormat="1" ht="15" hidden="1">
      <c r="A329" s="9"/>
      <c r="B329" s="169" cm="1">
        <f t="array" ref="B329">_xlfn.IFS(OR(Code!R488&lt;&gt;Code!U488,Code!R488=""),0,Code!R488=Code!U488,1)</f>
        <v>0</v>
      </c>
      <c r="C329" s="193" t="str">
        <f>IF(Code!F488="","",Code!F488)</f>
        <v>WHR</v>
      </c>
      <c r="D329" s="155" t="str">
        <f>IFERROR(VLOOKUP($C329,Code!$H:$K,2,FALSE),"")</f>
        <v>XLY</v>
      </c>
      <c r="E329" s="156" t="str">
        <f>IFERROR(VLOOKUP($C329,Code!$H:$K,3,FALSE),"")</f>
        <v>-</v>
      </c>
      <c r="F329" s="157" t="str">
        <f>IFERROR(VLOOKUP($C329,Code!$H:$K,4,FALSE),"")</f>
        <v>.SPX</v>
      </c>
      <c r="G329" s="170">
        <f>IFERROR(((VLOOKUP($C329,Code!$H:$Q,9,FALSE))+(VLOOKUP($C329,Code!$H:$Q,10,FALSE)))/2*0.5/(((VLOOKUP($C329,Code!$H:$Q,7,FALSE))+(VLOOKUP($C329,Code!$H:$Q,8,FALSE)))/2),0)</f>
        <v>0.55340685904215137</v>
      </c>
      <c r="H329" s="171" t="str">
        <f t="shared" si="40"/>
        <v>M</v>
      </c>
      <c r="I329" s="170">
        <f>IFERROR((VLOOKUP($C329,Code!$H:$Q,5,FALSE))/(((VLOOKUP($C329,Code!$H:$Q,7,FALSE))+(VLOOKUP($C329,Code!$H:$Q,8,FALSE)))/2)-1,0)</f>
        <v>-0.21891524399456119</v>
      </c>
      <c r="J329" s="204">
        <f>IFERROR(POWER((VLOOKUP(C329,Code!H:W,12,FALSE))/(VLOOKUP(C329,Code!H:W,15,FALSE)),1/(P329-1))-1,"")</f>
        <v>0.11600012755131073</v>
      </c>
      <c r="K329" s="172" cm="1">
        <f t="array" ref="K329">IFERROR(IF(C329="","",_xlfn.IFS(AND(VLOOKUP(C329,Code!H:W,13,FALSE)=0,VLOOKUP(C329,Code!H:W,16,FALSE)=0),"無股息",AND(VLOOKUP(C329,Code!H:W,13,FALSE)=0,VLOOKUP(C329,Code!H:W,16,FALSE)&gt;0),"股息沒了",AND(VLOOKUP(C329,Code!H:W,13,FALSE)&gt;0,VLOOKUP(C329,Code!H:W,16,FALSE)=0),"發股息了",AND(VLOOKUP(C329,Code!H:W,13,FALSE)&gt;0,VLOOKUP(C329,Code!H:W,16,FALSE)&gt;0),POWER((VLOOKUP(C329,Code!H:W,13,FALSE))/(VLOOKUP(C329,Code!H:W,16,FALSE)),1/(P329-1))-1)),"")</f>
        <v>9.414411726852645E-2</v>
      </c>
      <c r="L329" s="173">
        <f>IFERROR(VLOOKUP(C329,Code!H:W,13,FALSE)*4/VLOOKUP(C329,Code!H:W,12,FALSE),"")</f>
        <v>2.3628691983122362E-2</v>
      </c>
      <c r="M329" s="172">
        <f t="shared" si="41"/>
        <v>0.21014424481983718</v>
      </c>
      <c r="N329" s="172" t="str">
        <f t="shared" si="42"/>
        <v>-</v>
      </c>
      <c r="O329" s="172" t="str">
        <f t="shared" si="43"/>
        <v>-</v>
      </c>
      <c r="P329" s="205">
        <f>IFERROR(YEARFRAC(VLOOKUP(C329,Code!H:W,11,FALSE),VLOOKUP(C329,Code!H:W,14,FALSE),3),"")</f>
        <v>4.7397260273972606</v>
      </c>
      <c r="Q329" s="174">
        <v>44547</v>
      </c>
      <c r="R329" s="175" t="str">
        <f t="shared" ca="1" si="44"/>
        <v/>
      </c>
      <c r="S329" s="176">
        <f>IFERROR(VLOOKUP($C329,Code!$H:$Q,5,FALSE),"")</f>
        <v>0.25850000000000001</v>
      </c>
      <c r="T329" s="177" t="str">
        <f t="shared" ca="1" si="45"/>
        <v/>
      </c>
      <c r="U329" s="178" t="str">
        <f t="shared" ca="1" si="46"/>
        <v/>
      </c>
      <c r="V329" s="179">
        <f>IFERROR(VLOOKUP($C329,Code!$H:$Q,6,FALSE),"")</f>
        <v>222.09</v>
      </c>
      <c r="W329" s="180" t="str">
        <f t="shared" ca="1" si="47"/>
        <v/>
      </c>
      <c r="X329" s="12"/>
      <c r="Y329" s="12"/>
      <c r="Z329" s="12"/>
      <c r="AA329" s="12"/>
      <c r="AB329" s="12"/>
    </row>
    <row r="330" spans="1:28" s="10" customFormat="1" ht="15" hidden="1">
      <c r="A330" s="9"/>
      <c r="B330" s="169" cm="1">
        <f t="array" ref="B330">_xlfn.IFS(OR(Code!R236&lt;&gt;Code!U236,Code!R236=""),0,Code!R236=Code!U236,1)</f>
        <v>0</v>
      </c>
      <c r="C330" s="193" t="str">
        <f>IF(Code!F236="","",Code!F236)</f>
        <v>IEX</v>
      </c>
      <c r="D330" s="155" t="str">
        <f>IFERROR(VLOOKUP($C330,Code!$H:$K,2,FALSE),"")</f>
        <v>XLI</v>
      </c>
      <c r="E330" s="156" t="str">
        <f>IFERROR(VLOOKUP($C330,Code!$H:$K,3,FALSE),"")</f>
        <v>特種工業機械</v>
      </c>
      <c r="F330" s="157" t="str">
        <f>IFERROR(VLOOKUP($C330,Code!$H:$K,4,FALSE),"")</f>
        <v>.SPX</v>
      </c>
      <c r="G330" s="170">
        <f>IFERROR(((VLOOKUP($C330,Code!$H:$Q,9,FALSE))+(VLOOKUP($C330,Code!$H:$Q,10,FALSE)))/2*0.5/(((VLOOKUP($C330,Code!$H:$Q,7,FALSE))+(VLOOKUP($C330,Code!$H:$Q,8,FALSE)))/2),0)</f>
        <v>0.60552813425468888</v>
      </c>
      <c r="H330" s="171" t="str">
        <f t="shared" si="40"/>
        <v>L</v>
      </c>
      <c r="I330" s="170">
        <f>IFERROR((VLOOKUP($C330,Code!$H:$Q,5,FALSE))/(((VLOOKUP($C330,Code!$H:$Q,7,FALSE))+(VLOOKUP($C330,Code!$H:$Q,8,FALSE)))/2)-1,0)</f>
        <v>-0.21934846989141177</v>
      </c>
      <c r="J330" s="204">
        <f>IFERROR(POWER((VLOOKUP(C330,Code!H:W,12,FALSE))/(VLOOKUP(C330,Code!H:W,15,FALSE)),1/(P330-1))-1,"")</f>
        <v>0.30850870547337284</v>
      </c>
      <c r="K330" s="172" cm="1">
        <f t="array" ref="K330">IFERROR(IF(C330="","",_xlfn.IFS(AND(VLOOKUP(C330,Code!H:W,13,FALSE)=0,VLOOKUP(C330,Code!H:W,16,FALSE)=0),"無股息",AND(VLOOKUP(C330,Code!H:W,13,FALSE)=0,VLOOKUP(C330,Code!H:W,16,FALSE)&gt;0),"股息沒了",AND(VLOOKUP(C330,Code!H:W,13,FALSE)&gt;0,VLOOKUP(C330,Code!H:W,16,FALSE)=0),"發股息了",AND(VLOOKUP(C330,Code!H:W,13,FALSE)&gt;0,VLOOKUP(C330,Code!H:W,16,FALSE)&gt;0),POWER((VLOOKUP(C330,Code!H:W,13,FALSE))/(VLOOKUP(C330,Code!H:W,16,FALSE)),1/(P330-1))-1)),"")</f>
        <v>0.13117137635483855</v>
      </c>
      <c r="L330" s="173">
        <f>IFERROR(VLOOKUP(C330,Code!H:W,13,FALSE)*4/VLOOKUP(C330,Code!H:W,12,FALSE),"")</f>
        <v>9.6463023296843083E-3</v>
      </c>
      <c r="M330" s="172">
        <f t="shared" si="41"/>
        <v>0.43968008182821139</v>
      </c>
      <c r="N330" s="172" t="str">
        <f t="shared" si="42"/>
        <v>-</v>
      </c>
      <c r="O330" s="172" t="str">
        <f t="shared" si="43"/>
        <v>-</v>
      </c>
      <c r="P330" s="205">
        <f>IFERROR(YEARFRAC(VLOOKUP(C330,Code!H:W,11,FALSE),VLOOKUP(C330,Code!H:W,14,FALSE),3),"")</f>
        <v>4.7534246575342465</v>
      </c>
      <c r="Q330" s="174">
        <v>44547</v>
      </c>
      <c r="R330" s="175" t="str">
        <f t="shared" ca="1" si="44"/>
        <v/>
      </c>
      <c r="S330" s="176">
        <f>IFERROR(VLOOKUP($C330,Code!$H:$Q,5,FALSE),"")</f>
        <v>0.19769999999999999</v>
      </c>
      <c r="T330" s="177" t="str">
        <f t="shared" ca="1" si="45"/>
        <v/>
      </c>
      <c r="U330" s="178" t="str">
        <f t="shared" ca="1" si="46"/>
        <v/>
      </c>
      <c r="V330" s="179">
        <f>IFERROR(VLOOKUP($C330,Code!$H:$Q,6,FALSE),"")</f>
        <v>227.11</v>
      </c>
      <c r="W330" s="180" t="str">
        <f t="shared" ca="1" si="47"/>
        <v/>
      </c>
      <c r="X330" s="12"/>
      <c r="Y330" s="12"/>
      <c r="Z330" s="12"/>
      <c r="AA330" s="12"/>
      <c r="AB330" s="12"/>
    </row>
    <row r="331" spans="1:28" s="10" customFormat="1" ht="15" hidden="1">
      <c r="A331" s="9"/>
      <c r="B331" s="169" cm="1">
        <f t="array" ref="B331">_xlfn.IFS(OR(Code!R364&lt;&gt;Code!U364,Code!R364=""),0,Code!R364=Code!U364,1)</f>
        <v>0</v>
      </c>
      <c r="C331" s="193" t="str">
        <f>IF(Code!F364="","",Code!F364)</f>
        <v>PEG</v>
      </c>
      <c r="D331" s="155" t="str">
        <f>IFERROR(VLOOKUP($C331,Code!$H:$K,2,FALSE),"")</f>
        <v>XLU</v>
      </c>
      <c r="E331" s="156" t="str">
        <f>IFERROR(VLOOKUP($C331,Code!$H:$K,3,FALSE),"")</f>
        <v>公用事業-多樣化</v>
      </c>
      <c r="F331" s="157" t="str">
        <f>IFERROR(VLOOKUP($C331,Code!$H:$K,4,FALSE),"")</f>
        <v>.SPX</v>
      </c>
      <c r="G331" s="170">
        <f>IFERROR(((VLOOKUP($C331,Code!$H:$Q,9,FALSE))+(VLOOKUP($C331,Code!$H:$Q,10,FALSE)))/2*0.5/(((VLOOKUP($C331,Code!$H:$Q,7,FALSE))+(VLOOKUP($C331,Code!$H:$Q,8,FALSE)))/2),0)</f>
        <v>0.60400599828620394</v>
      </c>
      <c r="H331" s="171" t="str">
        <f t="shared" si="40"/>
        <v>L</v>
      </c>
      <c r="I331" s="170">
        <f>IFERROR((VLOOKUP($C331,Code!$H:$Q,5,FALSE))/(((VLOOKUP($C331,Code!$H:$Q,7,FALSE))+(VLOOKUP($C331,Code!$H:$Q,8,FALSE)))/2)-1,0)</f>
        <v>-0.21936589545844043</v>
      </c>
      <c r="J331" s="204">
        <f>IFERROR(POWER((VLOOKUP(C331,Code!H:W,12,FALSE))/(VLOOKUP(C331,Code!H:W,15,FALSE)),1/(P331-1))-1,"")</f>
        <v>0.15153085250960996</v>
      </c>
      <c r="K331" s="172" cm="1">
        <f t="array" ref="K331">IFERROR(IF(C331="","",_xlfn.IFS(AND(VLOOKUP(C331,Code!H:W,13,FALSE)=0,VLOOKUP(C331,Code!H:W,16,FALSE)=0),"無股息",AND(VLOOKUP(C331,Code!H:W,13,FALSE)=0,VLOOKUP(C331,Code!H:W,16,FALSE)&gt;0),"股息沒了",AND(VLOOKUP(C331,Code!H:W,13,FALSE)&gt;0,VLOOKUP(C331,Code!H:W,16,FALSE)=0),"發股息了",AND(VLOOKUP(C331,Code!H:W,13,FALSE)&gt;0,VLOOKUP(C331,Code!H:W,16,FALSE)&gt;0),POWER((VLOOKUP(C331,Code!H:W,13,FALSE))/(VLOOKUP(C331,Code!H:W,16,FALSE)),1/(P331-1))-1)),"")</f>
        <v>5.9916702585022907E-2</v>
      </c>
      <c r="L331" s="173">
        <f>IFERROR(VLOOKUP(C331,Code!H:W,13,FALSE)*4/VLOOKUP(C331,Code!H:W,12,FALSE),"")</f>
        <v>3.3514046916327686E-2</v>
      </c>
      <c r="M331" s="172">
        <f t="shared" si="41"/>
        <v>0.21144755509463287</v>
      </c>
      <c r="N331" s="172" t="str">
        <f t="shared" si="42"/>
        <v>-</v>
      </c>
      <c r="O331" s="172" t="str">
        <f t="shared" si="43"/>
        <v>-</v>
      </c>
      <c r="P331" s="205">
        <f>IFERROR(YEARFRAC(VLOOKUP(C331,Code!H:W,11,FALSE),VLOOKUP(C331,Code!H:W,14,FALSE),3),"")</f>
        <v>4.7506849315068491</v>
      </c>
      <c r="Q331" s="174">
        <v>44547</v>
      </c>
      <c r="R331" s="175" t="str">
        <f t="shared" ca="1" si="44"/>
        <v/>
      </c>
      <c r="S331" s="176">
        <f>IFERROR(VLOOKUP($C331,Code!$H:$Q,5,FALSE),"")</f>
        <v>0.1822</v>
      </c>
      <c r="T331" s="177" t="str">
        <f t="shared" ca="1" si="45"/>
        <v/>
      </c>
      <c r="U331" s="178" t="str">
        <f t="shared" ca="1" si="46"/>
        <v/>
      </c>
      <c r="V331" s="179">
        <f>IFERROR(VLOOKUP($C331,Code!$H:$Q,6,FALSE),"")</f>
        <v>63.91</v>
      </c>
      <c r="W331" s="180" t="str">
        <f t="shared" ca="1" si="47"/>
        <v/>
      </c>
      <c r="X331" s="12"/>
      <c r="Y331" s="12"/>
      <c r="Z331" s="12"/>
      <c r="AA331" s="12"/>
      <c r="AB331" s="12"/>
    </row>
    <row r="332" spans="1:28" s="10" customFormat="1" ht="15" hidden="1">
      <c r="A332" s="9"/>
      <c r="B332" s="169" cm="1">
        <f t="array" ref="B332">_xlfn.IFS(OR(Code!R172&lt;&gt;Code!U172,Code!R172=""),0,Code!R172=Code!U172,1)</f>
        <v>1</v>
      </c>
      <c r="C332" s="193" t="str">
        <f>IF(Code!F172="","",Code!F172)</f>
        <v>EW</v>
      </c>
      <c r="D332" s="155" t="str">
        <f>IFERROR(VLOOKUP($C332,Code!$H:$K,2,FALSE),"")</f>
        <v>XLV</v>
      </c>
      <c r="E332" s="156" t="str">
        <f>IFERROR(VLOOKUP($C332,Code!$H:$K,3,FALSE),"")</f>
        <v>醫療設備</v>
      </c>
      <c r="F332" s="157" t="str">
        <f>IFERROR(VLOOKUP($C332,Code!$H:$K,4,FALSE),"")</f>
        <v>.SPX</v>
      </c>
      <c r="G332" s="170">
        <f>IFERROR(((VLOOKUP($C332,Code!$H:$Q,9,FALSE))+(VLOOKUP($C332,Code!$H:$Q,10,FALSE)))/2*0.5/(((VLOOKUP($C332,Code!$H:$Q,7,FALSE))+(VLOOKUP($C332,Code!$H:$Q,8,FALSE)))/2),0)</f>
        <v>0.64400859752821071</v>
      </c>
      <c r="H332" s="171" t="str">
        <f t="shared" si="40"/>
        <v>L</v>
      </c>
      <c r="I332" s="170">
        <f>IFERROR((VLOOKUP($C332,Code!$H:$Q,5,FALSE))/(((VLOOKUP($C332,Code!$H:$Q,7,FALSE))+(VLOOKUP($C332,Code!$H:$Q,8,FALSE)))/2)-1,0)</f>
        <v>-0.21977431488447075</v>
      </c>
      <c r="J332" s="204">
        <f>IFERROR(POWER((VLOOKUP(C332,Code!H:W,12,FALSE))/(VLOOKUP(C332,Code!H:W,15,FALSE)),1/(P332-1))-1,"")</f>
        <v>0</v>
      </c>
      <c r="K332" s="172" t="str" cm="1">
        <f t="array" ref="K332">IFERROR(IF(C332="","",_xlfn.IFS(AND(VLOOKUP(C332,Code!H:W,13,FALSE)=0,VLOOKUP(C332,Code!H:W,16,FALSE)=0),"無股息",AND(VLOOKUP(C332,Code!H:W,13,FALSE)=0,VLOOKUP(C332,Code!H:W,16,FALSE)&gt;0),"股息沒了",AND(VLOOKUP(C332,Code!H:W,13,FALSE)&gt;0,VLOOKUP(C332,Code!H:W,16,FALSE)=0),"發股息了",AND(VLOOKUP(C332,Code!H:W,13,FALSE)&gt;0,VLOOKUP(C332,Code!H:W,16,FALSE)&gt;0),POWER((VLOOKUP(C332,Code!H:W,13,FALSE))/(VLOOKUP(C332,Code!H:W,16,FALSE)),1/(P332-1))-1)),"")</f>
        <v>無股息</v>
      </c>
      <c r="L332" s="173">
        <f>IFERROR(VLOOKUP(C332,Code!H:W,13,FALSE)*4/VLOOKUP(C332,Code!H:W,12,FALSE),"")</f>
        <v>0</v>
      </c>
      <c r="M332" s="172" t="str">
        <f t="shared" si="41"/>
        <v/>
      </c>
      <c r="N332" s="172" t="str">
        <f t="shared" si="42"/>
        <v>-</v>
      </c>
      <c r="O332" s="172" t="str">
        <f t="shared" si="43"/>
        <v/>
      </c>
      <c r="P332" s="205">
        <f>IFERROR(YEARFRAC(VLOOKUP(C332,Code!H:W,11,FALSE),VLOOKUP(C332,Code!H:W,14,FALSE),3),"")</f>
        <v>0</v>
      </c>
      <c r="Q332" s="174">
        <v>44547</v>
      </c>
      <c r="R332" s="175" t="str">
        <f t="shared" ca="1" si="44"/>
        <v/>
      </c>
      <c r="S332" s="176">
        <f>IFERROR(VLOOKUP($C332,Code!$H:$Q,5,FALSE),"")</f>
        <v>0.21779999999999999</v>
      </c>
      <c r="T332" s="177" t="str">
        <f t="shared" ca="1" si="45"/>
        <v/>
      </c>
      <c r="U332" s="178" t="str">
        <f t="shared" ca="1" si="46"/>
        <v/>
      </c>
      <c r="V332" s="179">
        <f>IFERROR(VLOOKUP($C332,Code!$H:$Q,6,FALSE),"")</f>
        <v>114.78</v>
      </c>
      <c r="W332" s="180" t="str">
        <f t="shared" ca="1" si="47"/>
        <v/>
      </c>
      <c r="X332" s="12"/>
      <c r="Y332" s="12"/>
      <c r="Z332" s="12"/>
      <c r="AA332" s="12"/>
      <c r="AB332" s="12"/>
    </row>
    <row r="333" spans="1:28" s="10" customFormat="1" ht="15" hidden="1">
      <c r="A333" s="9"/>
      <c r="B333" s="169" cm="1">
        <f t="array" ref="B333">_xlfn.IFS(OR(Code!R71&lt;&gt;Code!U71,Code!R71=""),0,Code!R71=Code!U71,1)</f>
        <v>0</v>
      </c>
      <c r="C333" s="193" t="str">
        <f>IF(Code!F71="","",Code!F71)</f>
        <v>BMY</v>
      </c>
      <c r="D333" s="155" t="str">
        <f>IFERROR(VLOOKUP($C333,Code!$H:$K,2,FALSE),"")</f>
        <v>XLV</v>
      </c>
      <c r="E333" s="156" t="str">
        <f>IFERROR(VLOOKUP($C333,Code!$H:$K,3,FALSE),"")</f>
        <v>藥品製造商— 常規</v>
      </c>
      <c r="F333" s="157" t="str">
        <f>IFERROR(VLOOKUP($C333,Code!$H:$K,4,FALSE),"")</f>
        <v>.SPX</v>
      </c>
      <c r="G333" s="170">
        <f>IFERROR(((VLOOKUP($C333,Code!$H:$Q,9,FALSE))+(VLOOKUP($C333,Code!$H:$Q,10,FALSE)))/2*0.5/(((VLOOKUP($C333,Code!$H:$Q,7,FALSE))+(VLOOKUP($C333,Code!$H:$Q,8,FALSE)))/2),0)</f>
        <v>0.67590667590667586</v>
      </c>
      <c r="H333" s="171" t="str">
        <f t="shared" si="40"/>
        <v>L</v>
      </c>
      <c r="I333" s="170">
        <f>IFERROR((VLOOKUP($C333,Code!$H:$Q,5,FALSE))/(((VLOOKUP($C333,Code!$H:$Q,7,FALSE))+(VLOOKUP($C333,Code!$H:$Q,8,FALSE)))/2)-1,0)</f>
        <v>-0.2210672210672211</v>
      </c>
      <c r="J333" s="204">
        <f>IFERROR(POWER((VLOOKUP(C333,Code!H:W,12,FALSE))/(VLOOKUP(C333,Code!H:W,15,FALSE)),1/(P333-1))-1,"")</f>
        <v>9.3773138275270229E-2</v>
      </c>
      <c r="K333" s="172" cm="1">
        <f t="array" ref="K333">IFERROR(IF(C333="","",_xlfn.IFS(AND(VLOOKUP(C333,Code!H:W,13,FALSE)=0,VLOOKUP(C333,Code!H:W,16,FALSE)=0),"無股息",AND(VLOOKUP(C333,Code!H:W,13,FALSE)=0,VLOOKUP(C333,Code!H:W,16,FALSE)&gt;0),"股息沒了",AND(VLOOKUP(C333,Code!H:W,13,FALSE)&gt;0,VLOOKUP(C333,Code!H:W,16,FALSE)=0),"發股息了",AND(VLOOKUP(C333,Code!H:W,13,FALSE)&gt;0,VLOOKUP(C333,Code!H:W,16,FALSE)&gt;0),POWER((VLOOKUP(C333,Code!H:W,13,FALSE))/(VLOOKUP(C333,Code!H:W,16,FALSE)),1/(P333-1))-1)),"")</f>
        <v>7.0346066000812835E-2</v>
      </c>
      <c r="L333" s="173">
        <f>IFERROR(VLOOKUP(C333,Code!H:W,13,FALSE)*4/VLOOKUP(C333,Code!H:W,12,FALSE),"")</f>
        <v>2.9447116464729205E-2</v>
      </c>
      <c r="M333" s="172">
        <f t="shared" si="41"/>
        <v>0.16411920427608306</v>
      </c>
      <c r="N333" s="172" t="str">
        <f t="shared" si="42"/>
        <v>-</v>
      </c>
      <c r="O333" s="172" t="str">
        <f t="shared" si="43"/>
        <v>-</v>
      </c>
      <c r="P333" s="205">
        <f>IFERROR(YEARFRAC(VLOOKUP(C333,Code!H:W,11,FALSE),VLOOKUP(C333,Code!H:W,14,FALSE),3),"")</f>
        <v>4.7397260273972606</v>
      </c>
      <c r="Q333" s="174">
        <v>44547</v>
      </c>
      <c r="R333" s="175" t="str">
        <f t="shared" ca="1" si="44"/>
        <v/>
      </c>
      <c r="S333" s="176">
        <f>IFERROR(VLOOKUP($C333,Code!$H:$Q,5,FALSE),"")</f>
        <v>0.1686</v>
      </c>
      <c r="T333" s="177" t="str">
        <f t="shared" ca="1" si="45"/>
        <v/>
      </c>
      <c r="U333" s="178" t="str">
        <f t="shared" ca="1" si="46"/>
        <v/>
      </c>
      <c r="V333" s="179">
        <f>IFERROR(VLOOKUP($C333,Code!$H:$Q,6,FALSE),"")</f>
        <v>67.92</v>
      </c>
      <c r="W333" s="180" t="str">
        <f t="shared" ca="1" si="47"/>
        <v/>
      </c>
      <c r="X333" s="12"/>
      <c r="Y333" s="12"/>
      <c r="Z333" s="12"/>
      <c r="AA333" s="12"/>
      <c r="AB333" s="12"/>
    </row>
    <row r="334" spans="1:28" s="10" customFormat="1" ht="15" hidden="1">
      <c r="A334" s="9"/>
      <c r="B334" s="169" cm="1">
        <f t="array" ref="B334">_xlfn.IFS(OR(Code!R31&lt;&gt;Code!U31,Code!R31=""),0,Code!R31=Code!U31,1)</f>
        <v>0</v>
      </c>
      <c r="C334" s="193" t="str">
        <f>IF(Code!F31="","",Code!F31)</f>
        <v>AMAT</v>
      </c>
      <c r="D334" s="155" t="str">
        <f>IFERROR(VLOOKUP($C334,Code!$H:$K,2,FALSE),"")</f>
        <v>XLK</v>
      </c>
      <c r="E334" s="156" t="str">
        <f>IFERROR(VLOOKUP($C334,Code!$H:$K,3,FALSE),"")</f>
        <v>半導體設備與材料</v>
      </c>
      <c r="F334" s="157" t="str">
        <f>IFERROR(VLOOKUP($C334,Code!$H:$K,4,FALSE),"")</f>
        <v>.SPX</v>
      </c>
      <c r="G334" s="170">
        <f>IFERROR(((VLOOKUP($C334,Code!$H:$Q,9,FALSE))+(VLOOKUP($C334,Code!$H:$Q,10,FALSE)))/2*0.5/(((VLOOKUP($C334,Code!$H:$Q,7,FALSE))+(VLOOKUP($C334,Code!$H:$Q,8,FALSE)))/2),0)</f>
        <v>0.4406841719845172</v>
      </c>
      <c r="H334" s="171" t="str">
        <f t="shared" si="40"/>
        <v>S</v>
      </c>
      <c r="I334" s="170">
        <f>IFERROR((VLOOKUP($C334,Code!$H:$Q,5,FALSE))/(((VLOOKUP($C334,Code!$H:$Q,7,FALSE))+(VLOOKUP($C334,Code!$H:$Q,8,FALSE)))/2)-1,0)</f>
        <v>-0.22230358824144802</v>
      </c>
      <c r="J334" s="204">
        <f>IFERROR(POWER((VLOOKUP(C334,Code!H:W,12,FALSE))/(VLOOKUP(C334,Code!H:W,15,FALSE)),1/(P334-1))-1,"")</f>
        <v>0.5237734351442247</v>
      </c>
      <c r="K334" s="172" cm="1">
        <f t="array" ref="K334">IFERROR(IF(C334="","",_xlfn.IFS(AND(VLOOKUP(C334,Code!H:W,13,FALSE)=0,VLOOKUP(C334,Code!H:W,16,FALSE)=0),"無股息",AND(VLOOKUP(C334,Code!H:W,13,FALSE)=0,VLOOKUP(C334,Code!H:W,16,FALSE)&gt;0),"股息沒了",AND(VLOOKUP(C334,Code!H:W,13,FALSE)&gt;0,VLOOKUP(C334,Code!H:W,16,FALSE)=0),"發股息了",AND(VLOOKUP(C334,Code!H:W,13,FALSE)&gt;0,VLOOKUP(C334,Code!H:W,16,FALSE)&gt;0),POWER((VLOOKUP(C334,Code!H:W,13,FALSE))/(VLOOKUP(C334,Code!H:W,16,FALSE)),1/(P334-1))-1)),"")</f>
        <v>0.26226195359328575</v>
      </c>
      <c r="L334" s="173">
        <f>IFERROR(VLOOKUP(C334,Code!H:W,13,FALSE)*4/VLOOKUP(C334,Code!H:W,12,FALSE),"")</f>
        <v>7.0124181358685624E-3</v>
      </c>
      <c r="M334" s="172">
        <f t="shared" si="41"/>
        <v>0.78603538873751044</v>
      </c>
      <c r="N334" s="172" t="str">
        <f t="shared" si="42"/>
        <v>-</v>
      </c>
      <c r="O334" s="172" t="str">
        <f t="shared" si="43"/>
        <v>Value</v>
      </c>
      <c r="P334" s="205">
        <f>IFERROR(YEARFRAC(VLOOKUP(C334,Code!H:W,11,FALSE),VLOOKUP(C334,Code!H:W,14,FALSE),3),"")</f>
        <v>4.7589041095890412</v>
      </c>
      <c r="Q334" s="174">
        <v>44547</v>
      </c>
      <c r="R334" s="175" t="str">
        <f t="shared" ca="1" si="44"/>
        <v/>
      </c>
      <c r="S334" s="176">
        <f>IFERROR(VLOOKUP($C334,Code!$H:$Q,5,FALSE),"")</f>
        <v>0.37169999999999997</v>
      </c>
      <c r="T334" s="177" t="str">
        <f t="shared" ca="1" si="45"/>
        <v/>
      </c>
      <c r="U334" s="178" t="str">
        <f t="shared" ca="1" si="46"/>
        <v/>
      </c>
      <c r="V334" s="179">
        <f>IFERROR(VLOOKUP($C334,Code!$H:$Q,6,FALSE),"")</f>
        <v>142.27000000000001</v>
      </c>
      <c r="W334" s="180" t="str">
        <f t="shared" ca="1" si="47"/>
        <v/>
      </c>
      <c r="X334" s="12"/>
      <c r="Y334" s="12"/>
      <c r="Z334" s="12"/>
      <c r="AA334" s="12"/>
      <c r="AB334" s="12"/>
    </row>
    <row r="335" spans="1:28" s="10" customFormat="1" ht="15" hidden="1">
      <c r="A335" s="9"/>
      <c r="B335" s="169" cm="1">
        <f t="array" ref="B335">_xlfn.IFS(OR(Code!R312&lt;&gt;Code!U312,Code!R312=""),0,Code!R312=Code!U312,1)</f>
        <v>0</v>
      </c>
      <c r="C335" s="193" t="str">
        <f>IF(Code!F312="","",Code!F312)</f>
        <v>MO</v>
      </c>
      <c r="D335" s="155" t="str">
        <f>IFERROR(VLOOKUP($C335,Code!$H:$K,2,FALSE),"")</f>
        <v>XLP</v>
      </c>
      <c r="E335" s="156" t="str">
        <f>IFERROR(VLOOKUP($C335,Code!$H:$K,3,FALSE),"")</f>
        <v>煙草</v>
      </c>
      <c r="F335" s="157" t="str">
        <f>IFERROR(VLOOKUP($C335,Code!$H:$K,4,FALSE),"")</f>
        <v>.SPX</v>
      </c>
      <c r="G335" s="170">
        <f>IFERROR(((VLOOKUP($C335,Code!$H:$Q,9,FALSE))+(VLOOKUP($C335,Code!$H:$Q,10,FALSE)))/2*0.5/(((VLOOKUP($C335,Code!$H:$Q,7,FALSE))+(VLOOKUP($C335,Code!$H:$Q,8,FALSE)))/2),0)</f>
        <v>0.55301006780357509</v>
      </c>
      <c r="H335" s="171" t="str">
        <f t="shared" si="40"/>
        <v>M</v>
      </c>
      <c r="I335" s="170">
        <f>IFERROR((VLOOKUP($C335,Code!$H:$Q,5,FALSE))/(((VLOOKUP($C335,Code!$H:$Q,7,FALSE))+(VLOOKUP($C335,Code!$H:$Q,8,FALSE)))/2)-1,0)</f>
        <v>-0.22334086706389977</v>
      </c>
      <c r="J335" s="204">
        <f>IFERROR(POWER((VLOOKUP(C335,Code!H:W,12,FALSE))/(VLOOKUP(C335,Code!H:W,15,FALSE)),1/(P335-1))-1,"")</f>
        <v>1.7752307613712048E-3</v>
      </c>
      <c r="K335" s="172" cm="1">
        <f t="array" ref="K335">IFERROR(IF(C335="","",_xlfn.IFS(AND(VLOOKUP(C335,Code!H:W,13,FALSE)=0,VLOOKUP(C335,Code!H:W,16,FALSE)=0),"無股息",AND(VLOOKUP(C335,Code!H:W,13,FALSE)=0,VLOOKUP(C335,Code!H:W,16,FALSE)&gt;0),"股息沒了",AND(VLOOKUP(C335,Code!H:W,13,FALSE)&gt;0,VLOOKUP(C335,Code!H:W,16,FALSE)=0),"發股息了",AND(VLOOKUP(C335,Code!H:W,13,FALSE)&gt;0,VLOOKUP(C335,Code!H:W,16,FALSE)&gt;0),POWER((VLOOKUP(C335,Code!H:W,13,FALSE))/(VLOOKUP(C335,Code!H:W,16,FALSE)),1/(P335-1))-1)),"")</f>
        <v>9.5827017195577735E-2</v>
      </c>
      <c r="L335" s="173">
        <f>IFERROR(VLOOKUP(C335,Code!H:W,13,FALSE)*4/VLOOKUP(C335,Code!H:W,12,FALSE),"")</f>
        <v>7.1547418240282254E-2</v>
      </c>
      <c r="M335" s="172">
        <f t="shared" si="41"/>
        <v>9.760224795694894E-2</v>
      </c>
      <c r="N335" s="172" t="str">
        <f t="shared" si="42"/>
        <v>Venture</v>
      </c>
      <c r="O335" s="172" t="str">
        <f t="shared" si="43"/>
        <v>-</v>
      </c>
      <c r="P335" s="205">
        <f>IFERROR(YEARFRAC(VLOOKUP(C335,Code!H:W,11,FALSE),VLOOKUP(C335,Code!H:W,14,FALSE),3),"")</f>
        <v>4.7534246575342465</v>
      </c>
      <c r="Q335" s="174">
        <v>44547</v>
      </c>
      <c r="R335" s="175" t="str">
        <f t="shared" ca="1" si="44"/>
        <v/>
      </c>
      <c r="S335" s="176">
        <f>IFERROR(VLOOKUP($C335,Code!$H:$Q,5,FALSE),"")</f>
        <v>0.189</v>
      </c>
      <c r="T335" s="177" t="str">
        <f t="shared" ca="1" si="45"/>
        <v/>
      </c>
      <c r="U335" s="178" t="str">
        <f t="shared" ca="1" si="46"/>
        <v/>
      </c>
      <c r="V335" s="179">
        <f>IFERROR(VLOOKUP($C335,Code!$H:$Q,6,FALSE),"")</f>
        <v>47.37</v>
      </c>
      <c r="W335" s="180" t="str">
        <f t="shared" ca="1" si="47"/>
        <v/>
      </c>
      <c r="X335" s="12"/>
      <c r="Y335" s="12"/>
      <c r="Z335" s="12"/>
      <c r="AA335" s="12"/>
      <c r="AB335" s="12"/>
    </row>
    <row r="336" spans="1:28" s="10" customFormat="1" ht="15" hidden="1">
      <c r="A336" s="9"/>
      <c r="B336" s="169" cm="1">
        <f t="array" ref="B336">_xlfn.IFS(OR(Code!R448&lt;&gt;Code!U448,Code!R448=""),0,Code!R448=Code!U448,1)</f>
        <v>0</v>
      </c>
      <c r="C336" s="193" t="str">
        <f>IF(Code!F448="","",Code!F448)</f>
        <v>TSCO</v>
      </c>
      <c r="D336" s="155" t="str">
        <f>IFERROR(VLOOKUP($C336,Code!$H:$K,2,FALSE),"")</f>
        <v>XLY</v>
      </c>
      <c r="E336" s="156" t="str">
        <f>IFERROR(VLOOKUP($C336,Code!$H:$K,3,FALSE),"")</f>
        <v>專業零售</v>
      </c>
      <c r="F336" s="157" t="str">
        <f>IFERROR(VLOOKUP($C336,Code!$H:$K,4,FALSE),"")</f>
        <v>.SPX</v>
      </c>
      <c r="G336" s="170">
        <f>IFERROR(((VLOOKUP($C336,Code!$H:$Q,9,FALSE))+(VLOOKUP($C336,Code!$H:$Q,10,FALSE)))/2*0.5/(((VLOOKUP($C336,Code!$H:$Q,7,FALSE))+(VLOOKUP($C336,Code!$H:$Q,8,FALSE)))/2),0)</f>
        <v>0.50657581999683088</v>
      </c>
      <c r="H336" s="171" t="str">
        <f t="shared" si="40"/>
        <v>M</v>
      </c>
      <c r="I336" s="170">
        <f>IFERROR((VLOOKUP($C336,Code!$H:$Q,5,FALSE))/(((VLOOKUP($C336,Code!$H:$Q,7,FALSE))+(VLOOKUP($C336,Code!$H:$Q,8,FALSE)))/2)-1,0)</f>
        <v>-0.22389478688005071</v>
      </c>
      <c r="J336" s="204">
        <f>IFERROR(POWER((VLOOKUP(C336,Code!H:W,12,FALSE))/(VLOOKUP(C336,Code!H:W,15,FALSE)),1/(P336-1))-1,"")</f>
        <v>0.24325314639953066</v>
      </c>
      <c r="K336" s="172" cm="1">
        <f t="array" ref="K336">IFERROR(IF(C336="","",_xlfn.IFS(AND(VLOOKUP(C336,Code!H:W,13,FALSE)=0,VLOOKUP(C336,Code!H:W,16,FALSE)=0),"無股息",AND(VLOOKUP(C336,Code!H:W,13,FALSE)=0,VLOOKUP(C336,Code!H:W,16,FALSE)&gt;0),"股息沒了",AND(VLOOKUP(C336,Code!H:W,13,FALSE)&gt;0,VLOOKUP(C336,Code!H:W,16,FALSE)=0),"發股息了",AND(VLOOKUP(C336,Code!H:W,13,FALSE)&gt;0,VLOOKUP(C336,Code!H:W,16,FALSE)&gt;0),POWER((VLOOKUP(C336,Code!H:W,13,FALSE))/(VLOOKUP(C336,Code!H:W,16,FALSE)),1/(P336-1))-1)),"")</f>
        <v>0.22709724975672452</v>
      </c>
      <c r="L336" s="173">
        <f>IFERROR(VLOOKUP(C336,Code!H:W,13,FALSE)*4/VLOOKUP(C336,Code!H:W,12,FALSE),"")</f>
        <v>1.1345042225083412E-2</v>
      </c>
      <c r="M336" s="172">
        <f t="shared" si="41"/>
        <v>0.47035039615625518</v>
      </c>
      <c r="N336" s="172" t="str">
        <f t="shared" si="42"/>
        <v>-</v>
      </c>
      <c r="O336" s="172" t="str">
        <f t="shared" si="43"/>
        <v>Value</v>
      </c>
      <c r="P336" s="205">
        <f>IFERROR(YEARFRAC(VLOOKUP(C336,Code!H:W,11,FALSE),VLOOKUP(C336,Code!H:W,14,FALSE),3),"")</f>
        <v>4.7780821917808218</v>
      </c>
      <c r="Q336" s="174">
        <v>44547</v>
      </c>
      <c r="R336" s="175" t="str">
        <f t="shared" ca="1" si="44"/>
        <v/>
      </c>
      <c r="S336" s="176">
        <f>IFERROR(VLOOKUP($C336,Code!$H:$Q,5,FALSE),"")</f>
        <v>0.24490000000000001</v>
      </c>
      <c r="T336" s="177" t="str">
        <f t="shared" ca="1" si="45"/>
        <v/>
      </c>
      <c r="U336" s="178" t="str">
        <f t="shared" ca="1" si="46"/>
        <v/>
      </c>
      <c r="V336" s="179">
        <f>IFERROR(VLOOKUP($C336,Code!$H:$Q,6,FALSE),"")</f>
        <v>188.07</v>
      </c>
      <c r="W336" s="180" t="str">
        <f t="shared" ca="1" si="47"/>
        <v/>
      </c>
      <c r="X336" s="12"/>
      <c r="Y336" s="12"/>
      <c r="Z336" s="12"/>
      <c r="AA336" s="12"/>
      <c r="AB336" s="12"/>
    </row>
    <row r="337" spans="1:28" s="10" customFormat="1" ht="15" hidden="1">
      <c r="A337" s="9"/>
      <c r="B337" s="169" cm="1">
        <f t="array" ref="B337">_xlfn.IFS(OR(Code!R463&lt;&gt;Code!U463,Code!R463=""),0,Code!R463=Code!U463,1)</f>
        <v>0</v>
      </c>
      <c r="C337" s="193" t="str">
        <f>IF(Code!F463="","",Code!F463)</f>
        <v>UNH</v>
      </c>
      <c r="D337" s="155" t="str">
        <f>IFERROR(VLOOKUP($C337,Code!$H:$K,2,FALSE),"")</f>
        <v>XLV</v>
      </c>
      <c r="E337" s="156" t="str">
        <f>IFERROR(VLOOKUP($C337,Code!$H:$K,3,FALSE),"")</f>
        <v>醫療保健計劃</v>
      </c>
      <c r="F337" s="157" t="str">
        <f>IFERROR(VLOOKUP($C337,Code!$H:$K,4,FALSE),"")</f>
        <v>.SPX</v>
      </c>
      <c r="G337" s="170">
        <f>IFERROR(((VLOOKUP($C337,Code!$H:$Q,9,FALSE))+(VLOOKUP($C337,Code!$H:$Q,10,FALSE)))/2*0.5/(((VLOOKUP($C337,Code!$H:$Q,7,FALSE))+(VLOOKUP($C337,Code!$H:$Q,8,FALSE)))/2),0)</f>
        <v>0.56746345318056102</v>
      </c>
      <c r="H337" s="171" t="str">
        <f t="shared" si="40"/>
        <v>M</v>
      </c>
      <c r="I337" s="170">
        <f>IFERROR((VLOOKUP($C337,Code!$H:$Q,5,FALSE))/(((VLOOKUP($C337,Code!$H:$Q,7,FALSE))+(VLOOKUP($C337,Code!$H:$Q,8,FALSE)))/2)-1,0)</f>
        <v>-0.2244172263927301</v>
      </c>
      <c r="J337" s="204">
        <f>IFERROR(POWER((VLOOKUP(C337,Code!H:W,12,FALSE))/(VLOOKUP(C337,Code!H:W,15,FALSE)),1/(P337-1))-1,"")</f>
        <v>0.34905495350253868</v>
      </c>
      <c r="K337" s="172" cm="1">
        <f t="array" ref="K337">IFERROR(IF(C337="","",_xlfn.IFS(AND(VLOOKUP(C337,Code!H:W,13,FALSE)=0,VLOOKUP(C337,Code!H:W,16,FALSE)=0),"無股息",AND(VLOOKUP(C337,Code!H:W,13,FALSE)=0,VLOOKUP(C337,Code!H:W,16,FALSE)&gt;0),"股息沒了",AND(VLOOKUP(C337,Code!H:W,13,FALSE)&gt;0,VLOOKUP(C337,Code!H:W,16,FALSE)=0),"發股息了",AND(VLOOKUP(C337,Code!H:W,13,FALSE)&gt;0,VLOOKUP(C337,Code!H:W,16,FALSE)&gt;0),POWER((VLOOKUP(C337,Code!H:W,13,FALSE))/(VLOOKUP(C337,Code!H:W,16,FALSE)),1/(P337-1))-1)),"")</f>
        <v>0.24930628130042876</v>
      </c>
      <c r="L337" s="173">
        <f>IFERROR(VLOOKUP(C337,Code!H:W,13,FALSE)*4/VLOOKUP(C337,Code!H:W,12,FALSE),"")</f>
        <v>1.4895857597487447E-2</v>
      </c>
      <c r="M337" s="172">
        <f t="shared" si="41"/>
        <v>0.59836123480296743</v>
      </c>
      <c r="N337" s="172" t="str">
        <f t="shared" si="42"/>
        <v>-</v>
      </c>
      <c r="O337" s="172" t="str">
        <f t="shared" si="43"/>
        <v>Value</v>
      </c>
      <c r="P337" s="205">
        <f>IFERROR(YEARFRAC(VLOOKUP(C337,Code!H:W,11,FALSE),VLOOKUP(C337,Code!H:W,14,FALSE),3),"")</f>
        <v>4.7808219178082192</v>
      </c>
      <c r="Q337" s="174">
        <v>44547</v>
      </c>
      <c r="R337" s="175" t="str">
        <f t="shared" ca="1" si="44"/>
        <v/>
      </c>
      <c r="S337" s="176">
        <f>IFERROR(VLOOKUP($C337,Code!$H:$Q,5,FALSE),"")</f>
        <v>0.1963</v>
      </c>
      <c r="T337" s="177" t="str">
        <f t="shared" ca="1" si="45"/>
        <v/>
      </c>
      <c r="U337" s="178" t="str">
        <f t="shared" ca="1" si="46"/>
        <v/>
      </c>
      <c r="V337" s="179">
        <f>IFERROR(VLOOKUP($C337,Code!$H:$Q,6,FALSE),"")</f>
        <v>411.19</v>
      </c>
      <c r="W337" s="180" t="str">
        <f t="shared" ca="1" si="47"/>
        <v/>
      </c>
      <c r="X337" s="12"/>
      <c r="Y337" s="12"/>
      <c r="Z337" s="12"/>
      <c r="AA337" s="12"/>
      <c r="AB337" s="12"/>
    </row>
    <row r="338" spans="1:28" s="10" customFormat="1" ht="15">
      <c r="A338" s="9"/>
      <c r="B338" s="169" cm="1">
        <f t="array" ref="B338">_xlfn.IFS(OR(Code!R455&lt;&gt;Code!U455,Code!R455=""),0,Code!R455=Code!U455,1)</f>
        <v>0</v>
      </c>
      <c r="C338" s="193" t="str">
        <f>IF(Code!F455="","",Code!F455)</f>
        <v>TXT</v>
      </c>
      <c r="D338" s="155" t="str">
        <f>IFERROR(VLOOKUP($C338,Code!$H:$K,2,FALSE),"")</f>
        <v>XLI</v>
      </c>
      <c r="E338" s="156" t="str">
        <f>IFERROR(VLOOKUP($C338,Code!$H:$K,3,FALSE),"")</f>
        <v>航天軍工</v>
      </c>
      <c r="F338" s="157" t="str">
        <f>IFERROR(VLOOKUP($C338,Code!$H:$K,4,FALSE),"")</f>
        <v>.SPX</v>
      </c>
      <c r="G338" s="170">
        <f>IFERROR(((VLOOKUP($C338,Code!$H:$Q,9,FALSE))+(VLOOKUP($C338,Code!$H:$Q,10,FALSE)))/2*0.5/(((VLOOKUP($C338,Code!$H:$Q,7,FALSE))+(VLOOKUP($C338,Code!$H:$Q,8,FALSE)))/2),0)</f>
        <v>0.55197421434327154</v>
      </c>
      <c r="H338" s="171" t="str">
        <f t="shared" si="40"/>
        <v>M</v>
      </c>
      <c r="I338" s="170">
        <f>IFERROR((VLOOKUP($C338,Code!$H:$Q,5,FALSE))/(((VLOOKUP($C338,Code!$H:$Q,7,FALSE))+(VLOOKUP($C338,Code!$H:$Q,8,FALSE)))/2)-1,0)</f>
        <v>-0.22455009401020687</v>
      </c>
      <c r="J338" s="204">
        <f>IFERROR(POWER((VLOOKUP(C338,Code!H:W,12,FALSE))/(VLOOKUP(C338,Code!H:W,15,FALSE)),1/(P338-1))-1,"")</f>
        <v>0.14885440802015859</v>
      </c>
      <c r="K338" s="172" cm="1">
        <f t="array" ref="K338">IFERROR(IF(C338="","",_xlfn.IFS(AND(VLOOKUP(C338,Code!H:W,13,FALSE)=0,VLOOKUP(C338,Code!H:W,16,FALSE)=0),"無股息",AND(VLOOKUP(C338,Code!H:W,13,FALSE)=0,VLOOKUP(C338,Code!H:W,16,FALSE)&gt;0),"股息沒了",AND(VLOOKUP(C338,Code!H:W,13,FALSE)&gt;0,VLOOKUP(C338,Code!H:W,16,FALSE)=0),"發股息了",AND(VLOOKUP(C338,Code!H:W,13,FALSE)&gt;0,VLOOKUP(C338,Code!H:W,16,FALSE)&gt;0),POWER((VLOOKUP(C338,Code!H:W,13,FALSE))/(VLOOKUP(C338,Code!H:W,16,FALSE)),1/(P338-1))-1)),"")</f>
        <v>0</v>
      </c>
      <c r="L338" s="173">
        <f>IFERROR(VLOOKUP(C338,Code!H:W,13,FALSE)*4/VLOOKUP(C338,Code!H:W,12,FALSE),"")</f>
        <v>1.1726766134346237E-3</v>
      </c>
      <c r="M338" s="172">
        <f t="shared" si="41"/>
        <v>0.14885440802015859</v>
      </c>
      <c r="N338" s="172" t="str">
        <f t="shared" si="42"/>
        <v>-</v>
      </c>
      <c r="O338" s="172" t="str">
        <f t="shared" si="43"/>
        <v>-</v>
      </c>
      <c r="P338" s="205">
        <f>IFERROR(YEARFRAC(VLOOKUP(C338,Code!H:W,11,FALSE),VLOOKUP(C338,Code!H:W,14,FALSE),3),"")</f>
        <v>4.7589041095890412</v>
      </c>
      <c r="Q338" s="174">
        <v>44547</v>
      </c>
      <c r="R338" s="175" t="str">
        <f t="shared" ca="1" si="44"/>
        <v/>
      </c>
      <c r="S338" s="176">
        <f>IFERROR(VLOOKUP($C338,Code!$H:$Q,5,FALSE),"")</f>
        <v>0.28870000000000001</v>
      </c>
      <c r="T338" s="177" t="str">
        <f t="shared" ca="1" si="45"/>
        <v/>
      </c>
      <c r="U338" s="178" t="str">
        <f t="shared" ca="1" si="46"/>
        <v/>
      </c>
      <c r="V338" s="179">
        <f>IFERROR(VLOOKUP($C338,Code!$H:$Q,6,FALSE),"")</f>
        <v>71.709999999999994</v>
      </c>
      <c r="W338" s="180" t="str">
        <f t="shared" ca="1" si="47"/>
        <v/>
      </c>
      <c r="X338" s="12"/>
      <c r="Y338" s="12"/>
      <c r="Z338" s="12"/>
      <c r="AA338" s="12"/>
      <c r="AB338" s="12"/>
    </row>
    <row r="339" spans="1:28" s="10" customFormat="1" ht="15" hidden="1">
      <c r="A339" s="9"/>
      <c r="B339" s="169" cm="1">
        <f t="array" ref="B339">_xlfn.IFS(OR(Code!R188&lt;&gt;Code!U188,Code!R188=""),0,Code!R188=Code!U188,1)</f>
        <v>0</v>
      </c>
      <c r="C339" s="193" t="str">
        <f>IF(Code!F188="","",Code!F188)</f>
        <v>FITB</v>
      </c>
      <c r="D339" s="155" t="str">
        <f>IFERROR(VLOOKUP($C339,Code!$H:$K,2,FALSE),"")</f>
        <v>XLF</v>
      </c>
      <c r="E339" s="156" t="str">
        <f>IFERROR(VLOOKUP($C339,Code!$H:$K,3,FALSE),"")</f>
        <v>銀行-區域</v>
      </c>
      <c r="F339" s="157" t="str">
        <f>IFERROR(VLOOKUP($C339,Code!$H:$K,4,FALSE),"")</f>
        <v>.SPX</v>
      </c>
      <c r="G339" s="170">
        <f>IFERROR(((VLOOKUP($C339,Code!$H:$Q,9,FALSE))+(VLOOKUP($C339,Code!$H:$Q,10,FALSE)))/2*0.5/(((VLOOKUP($C339,Code!$H:$Q,7,FALSE))+(VLOOKUP($C339,Code!$H:$Q,8,FALSE)))/2),0)</f>
        <v>0.52217223650385602</v>
      </c>
      <c r="H339" s="171" t="str">
        <f t="shared" si="40"/>
        <v>M</v>
      </c>
      <c r="I339" s="170">
        <f>IFERROR((VLOOKUP($C339,Code!$H:$Q,5,FALSE))/(((VLOOKUP($C339,Code!$H:$Q,7,FALSE))+(VLOOKUP($C339,Code!$H:$Q,8,FALSE)))/2)-1,0)</f>
        <v>-0.22673521850899747</v>
      </c>
      <c r="J339" s="204">
        <f>IFERROR(POWER((VLOOKUP(C339,Code!H:W,12,FALSE))/(VLOOKUP(C339,Code!H:W,15,FALSE)),1/(P339-1))-1,"")</f>
        <v>0.22887105909496008</v>
      </c>
      <c r="K339" s="172" cm="1">
        <f t="array" ref="K339">IFERROR(IF(C339="","",_xlfn.IFS(AND(VLOOKUP(C339,Code!H:W,13,FALSE)=0,VLOOKUP(C339,Code!H:W,16,FALSE)=0),"無股息",AND(VLOOKUP(C339,Code!H:W,13,FALSE)=0,VLOOKUP(C339,Code!H:W,16,FALSE)&gt;0),"股息沒了",AND(VLOOKUP(C339,Code!H:W,13,FALSE)&gt;0,VLOOKUP(C339,Code!H:W,16,FALSE)=0),"發股息了",AND(VLOOKUP(C339,Code!H:W,13,FALSE)&gt;0,VLOOKUP(C339,Code!H:W,16,FALSE)&gt;0),POWER((VLOOKUP(C339,Code!H:W,13,FALSE))/(VLOOKUP(C339,Code!H:W,16,FALSE)),1/(P339-1))-1)),"")</f>
        <v>0.21497743438914352</v>
      </c>
      <c r="L339" s="173">
        <f>IFERROR(VLOOKUP(C339,Code!H:W,13,FALSE)*4/VLOOKUP(C339,Code!H:W,12,FALSE),"")</f>
        <v>2.8353898547480733E-2</v>
      </c>
      <c r="M339" s="172">
        <f t="shared" si="41"/>
        <v>0.4438484934841036</v>
      </c>
      <c r="N339" s="172" t="str">
        <f t="shared" si="42"/>
        <v>-</v>
      </c>
      <c r="O339" s="172" t="str">
        <f t="shared" si="43"/>
        <v>Value</v>
      </c>
      <c r="P339" s="205">
        <f>IFERROR(YEARFRAC(VLOOKUP(C339,Code!H:W,11,FALSE),VLOOKUP(C339,Code!H:W,14,FALSE),3),"")</f>
        <v>4.7534246575342465</v>
      </c>
      <c r="Q339" s="174">
        <v>44547</v>
      </c>
      <c r="R339" s="175" t="str">
        <f t="shared" ca="1" si="44"/>
        <v/>
      </c>
      <c r="S339" s="176">
        <f>IFERROR(VLOOKUP($C339,Code!$H:$Q,5,FALSE),"")</f>
        <v>0.30080000000000001</v>
      </c>
      <c r="T339" s="177" t="str">
        <f t="shared" ca="1" si="45"/>
        <v/>
      </c>
      <c r="U339" s="178" t="str">
        <f t="shared" ca="1" si="46"/>
        <v/>
      </c>
      <c r="V339" s="179">
        <f>IFERROR(VLOOKUP($C339,Code!$H:$Q,6,FALSE),"")</f>
        <v>36.979999999999997</v>
      </c>
      <c r="W339" s="180" t="str">
        <f t="shared" ca="1" si="47"/>
        <v/>
      </c>
      <c r="X339" s="12"/>
      <c r="Y339" s="12"/>
      <c r="Z339" s="12"/>
      <c r="AA339" s="12"/>
      <c r="AB339" s="12"/>
    </row>
    <row r="340" spans="1:28" s="10" customFormat="1" ht="15" hidden="1">
      <c r="A340" s="9"/>
      <c r="B340" s="169" cm="1">
        <f t="array" ref="B340">_xlfn.IFS(OR(Code!R11&lt;&gt;Code!U11,Code!R11=""),0,Code!R11=Code!U11,1)</f>
        <v>0</v>
      </c>
      <c r="C340" s="193" t="str">
        <f>IF(Code!F11="","",Code!F11)</f>
        <v>ABT</v>
      </c>
      <c r="D340" s="155" t="str">
        <f>IFERROR(VLOOKUP($C340,Code!$H:$K,2,FALSE),"")</f>
        <v>XLV</v>
      </c>
      <c r="E340" s="156" t="str">
        <f>IFERROR(VLOOKUP($C340,Code!$H:$K,3,FALSE),"")</f>
        <v>醫療設備</v>
      </c>
      <c r="F340" s="157" t="str">
        <f>IFERROR(VLOOKUP($C340,Code!$H:$K,4,FALSE),"")</f>
        <v>.SPX</v>
      </c>
      <c r="G340" s="170">
        <f>IFERROR(((VLOOKUP($C340,Code!$H:$Q,9,FALSE))+(VLOOKUP($C340,Code!$H:$Q,10,FALSE)))/2*0.5/(((VLOOKUP($C340,Code!$H:$Q,7,FALSE))+(VLOOKUP($C340,Code!$H:$Q,8,FALSE)))/2),0)</f>
        <v>0.64948566425913778</v>
      </c>
      <c r="H340" s="171" t="str">
        <f t="shared" si="40"/>
        <v>L</v>
      </c>
      <c r="I340" s="170">
        <f>IFERROR((VLOOKUP($C340,Code!$H:$Q,5,FALSE))/(((VLOOKUP($C340,Code!$H:$Q,7,FALSE))+(VLOOKUP($C340,Code!$H:$Q,8,FALSE)))/2)-1,0)</f>
        <v>-0.22696432479754858</v>
      </c>
      <c r="J340" s="204">
        <f>IFERROR(POWER((VLOOKUP(C340,Code!H:W,12,FALSE))/(VLOOKUP(C340,Code!H:W,15,FALSE)),1/(P340-1))-1,"")</f>
        <v>0.3528686022483376</v>
      </c>
      <c r="K340" s="172" cm="1">
        <f t="array" ref="K340">IFERROR(IF(C340="","",_xlfn.IFS(AND(VLOOKUP(C340,Code!H:W,13,FALSE)=0,VLOOKUP(C340,Code!H:W,16,FALSE)=0),"無股息",AND(VLOOKUP(C340,Code!H:W,13,FALSE)=0,VLOOKUP(C340,Code!H:W,16,FALSE)&gt;0),"股息沒了",AND(VLOOKUP(C340,Code!H:W,13,FALSE)&gt;0,VLOOKUP(C340,Code!H:W,16,FALSE)=0),"發股息了",AND(VLOOKUP(C340,Code!H:W,13,FALSE)&gt;0,VLOOKUP(C340,Code!H:W,16,FALSE)&gt;0),POWER((VLOOKUP(C340,Code!H:W,13,FALSE))/(VLOOKUP(C340,Code!H:W,16,FALSE)),1/(P340-1))-1)),"")</f>
        <v>0.15724731546532222</v>
      </c>
      <c r="L340" s="173">
        <f>IFERROR(VLOOKUP(C340,Code!H:W,13,FALSE)*4/VLOOKUP(C340,Code!H:W,12,FALSE),"")</f>
        <v>1.5362294342657727E-2</v>
      </c>
      <c r="M340" s="172">
        <f t="shared" si="41"/>
        <v>0.51011591771365983</v>
      </c>
      <c r="N340" s="172" t="str">
        <f t="shared" si="42"/>
        <v>-</v>
      </c>
      <c r="O340" s="172" t="str">
        <f t="shared" si="43"/>
        <v>Value</v>
      </c>
      <c r="P340" s="205">
        <f>IFERROR(YEARFRAC(VLOOKUP(C340,Code!H:W,11,FALSE),VLOOKUP(C340,Code!H:W,14,FALSE),3),"")</f>
        <v>4.7561643835616438</v>
      </c>
      <c r="Q340" s="174">
        <v>44547</v>
      </c>
      <c r="R340" s="175" t="str">
        <f t="shared" ca="1" si="44"/>
        <v/>
      </c>
      <c r="S340" s="176">
        <f>IFERROR(VLOOKUP($C340,Code!$H:$Q,5,FALSE),"")</f>
        <v>0.17660000000000001</v>
      </c>
      <c r="T340" s="177" t="str">
        <f t="shared" ca="1" si="45"/>
        <v/>
      </c>
      <c r="U340" s="178" t="str">
        <f t="shared" ca="1" si="46"/>
        <v/>
      </c>
      <c r="V340" s="179">
        <f>IFERROR(VLOOKUP($C340,Code!$H:$Q,6,FALSE),"")</f>
        <v>122.21</v>
      </c>
      <c r="W340" s="180" t="str">
        <f t="shared" ca="1" si="47"/>
        <v/>
      </c>
      <c r="X340" s="12"/>
      <c r="Y340" s="12"/>
      <c r="Z340" s="12"/>
      <c r="AA340" s="12"/>
      <c r="AB340" s="12"/>
    </row>
    <row r="341" spans="1:28" s="10" customFormat="1" ht="15">
      <c r="A341" s="9"/>
      <c r="B341" s="169" cm="1">
        <f t="array" ref="B341">_xlfn.IFS(OR(Code!R337&lt;&gt;Code!U337,Code!R337=""),0,Code!R337=Code!U337,1)</f>
        <v>0</v>
      </c>
      <c r="C341" s="193" t="str">
        <f>IF(Code!F337="","",Code!F337)</f>
        <v>NOV</v>
      </c>
      <c r="D341" s="155" t="str">
        <f>IFERROR(VLOOKUP($C341,Code!$H:$K,2,FALSE),"")</f>
        <v>XLE</v>
      </c>
      <c r="E341" s="156" t="str">
        <f>IFERROR(VLOOKUP($C341,Code!$H:$K,3,FALSE),"")</f>
        <v>石油和天然氣設備和服務</v>
      </c>
      <c r="F341" s="157" t="str">
        <f>IFERROR(VLOOKUP($C341,Code!$H:$K,4,FALSE),"")</f>
        <v>.SPX</v>
      </c>
      <c r="G341" s="170">
        <f>IFERROR(((VLOOKUP($C341,Code!$H:$Q,9,FALSE))+(VLOOKUP($C341,Code!$H:$Q,10,FALSE)))/2*0.5/(((VLOOKUP($C341,Code!$H:$Q,7,FALSE))+(VLOOKUP($C341,Code!$H:$Q,8,FALSE)))/2),0)</f>
        <v>0.50320465046951857</v>
      </c>
      <c r="H341" s="171" t="str">
        <f t="shared" si="40"/>
        <v>M</v>
      </c>
      <c r="I341" s="170">
        <f>IFERROR((VLOOKUP($C341,Code!$H:$Q,5,FALSE))/(((VLOOKUP($C341,Code!$H:$Q,7,FALSE))+(VLOOKUP($C341,Code!$H:$Q,8,FALSE)))/2)-1,0)</f>
        <v>-0.22700849605008211</v>
      </c>
      <c r="J341" s="204">
        <f>IFERROR(POWER((VLOOKUP(C341,Code!H:W,12,FALSE))/(VLOOKUP(C341,Code!H:W,15,FALSE)),1/(P341-1))-1,"")</f>
        <v>-0.4030467162059086</v>
      </c>
      <c r="K341" s="172" cm="1">
        <f t="array" ref="K341">IFERROR(IF(C341="","",_xlfn.IFS(AND(VLOOKUP(C341,Code!H:W,13,FALSE)=0,VLOOKUP(C341,Code!H:W,16,FALSE)=0),"無股息",AND(VLOOKUP(C341,Code!H:W,13,FALSE)=0,VLOOKUP(C341,Code!H:W,16,FALSE)&gt;0),"股息沒了",AND(VLOOKUP(C341,Code!H:W,13,FALSE)&gt;0,VLOOKUP(C341,Code!H:W,16,FALSE)=0),"發股息了",AND(VLOOKUP(C341,Code!H:W,13,FALSE)&gt;0,VLOOKUP(C341,Code!H:W,16,FALSE)&gt;0),POWER((VLOOKUP(C341,Code!H:W,13,FALSE))/(VLOOKUP(C341,Code!H:W,16,FALSE)),1/(P341-1))-1)),"")</f>
        <v>0</v>
      </c>
      <c r="L341" s="173">
        <f>IFERROR(VLOOKUP(C341,Code!H:W,13,FALSE)*4/VLOOKUP(C341,Code!H:W,12,FALSE),"")</f>
        <v>2.2988506251116064E-2</v>
      </c>
      <c r="M341" s="172">
        <f t="shared" si="41"/>
        <v>-0.4030467162059086</v>
      </c>
      <c r="N341" s="172" t="str">
        <f t="shared" si="42"/>
        <v>-</v>
      </c>
      <c r="O341" s="172" t="str">
        <f t="shared" si="43"/>
        <v>-</v>
      </c>
      <c r="P341" s="205">
        <f>IFERROR(YEARFRAC(VLOOKUP(C341,Code!H:W,11,FALSE),VLOOKUP(C341,Code!H:W,14,FALSE),3),"")</f>
        <v>3.493150684931507</v>
      </c>
      <c r="Q341" s="174">
        <v>44547</v>
      </c>
      <c r="R341" s="175" t="str">
        <f t="shared" ca="1" si="44"/>
        <v/>
      </c>
      <c r="S341" s="176">
        <f>IFERROR(VLOOKUP($C341,Code!$H:$Q,5,FALSE),"")</f>
        <v>0.51859999999999995</v>
      </c>
      <c r="T341" s="177" t="str">
        <f t="shared" ca="1" si="45"/>
        <v/>
      </c>
      <c r="U341" s="178" t="str">
        <f t="shared" ca="1" si="46"/>
        <v/>
      </c>
      <c r="V341" s="179">
        <f>IFERROR(VLOOKUP($C341,Code!$H:$Q,6,FALSE),"")</f>
        <v>13.54</v>
      </c>
      <c r="W341" s="180" t="str">
        <f t="shared" ca="1" si="47"/>
        <v/>
      </c>
      <c r="X341" s="12"/>
      <c r="Y341" s="12"/>
      <c r="Z341" s="12"/>
      <c r="AA341" s="12"/>
      <c r="AB341" s="12"/>
    </row>
    <row r="342" spans="1:28" s="10" customFormat="1" ht="15" hidden="1">
      <c r="A342" s="9"/>
      <c r="B342" s="169" cm="1">
        <f t="array" ref="B342">_xlfn.IFS(OR(Code!R20&lt;&gt;Code!U20,Code!R20=""),0,Code!R20=Code!U20,1)</f>
        <v>0</v>
      </c>
      <c r="C342" s="193" t="str">
        <f>IF(Code!F20="","",Code!F20)</f>
        <v>AES</v>
      </c>
      <c r="D342" s="155" t="str">
        <f>IFERROR(VLOOKUP($C342,Code!$H:$K,2,FALSE),"")</f>
        <v>XLU</v>
      </c>
      <c r="E342" s="156" t="str">
        <f>IFERROR(VLOOKUP($C342,Code!$H:$K,3,FALSE),"")</f>
        <v>公用事業-多樣化</v>
      </c>
      <c r="F342" s="157" t="str">
        <f>IFERROR(VLOOKUP($C342,Code!$H:$K,4,FALSE),"")</f>
        <v>.SPX</v>
      </c>
      <c r="G342" s="170">
        <f>IFERROR(((VLOOKUP($C342,Code!$H:$Q,9,FALSE))+(VLOOKUP($C342,Code!$H:$Q,10,FALSE)))/2*0.5/(((VLOOKUP($C342,Code!$H:$Q,7,FALSE))+(VLOOKUP($C342,Code!$H:$Q,8,FALSE)))/2),0)</f>
        <v>0.54562845401728777</v>
      </c>
      <c r="H342" s="171" t="str">
        <f t="shared" si="40"/>
        <v>M</v>
      </c>
      <c r="I342" s="170">
        <f>IFERROR((VLOOKUP($C342,Code!$H:$Q,5,FALSE))/(((VLOOKUP($C342,Code!$H:$Q,7,FALSE))+(VLOOKUP($C342,Code!$H:$Q,8,FALSE)))/2)-1,0)</f>
        <v>-0.22743375371971086</v>
      </c>
      <c r="J342" s="204">
        <f>IFERROR(POWER((VLOOKUP(C342,Code!H:W,12,FALSE))/(VLOOKUP(C342,Code!H:W,15,FALSE)),1/(P342-1))-1,"")</f>
        <v>0.26338615637237894</v>
      </c>
      <c r="K342" s="172" cm="1">
        <f t="array" ref="K342">IFERROR(IF(C342="","",_xlfn.IFS(AND(VLOOKUP(C342,Code!H:W,13,FALSE)=0,VLOOKUP(C342,Code!H:W,16,FALSE)=0),"無股息",AND(VLOOKUP(C342,Code!H:W,13,FALSE)=0,VLOOKUP(C342,Code!H:W,16,FALSE)&gt;0),"股息沒了",AND(VLOOKUP(C342,Code!H:W,13,FALSE)&gt;0,VLOOKUP(C342,Code!H:W,16,FALSE)=0),"發股息了",AND(VLOOKUP(C342,Code!H:W,13,FALSE)&gt;0,VLOOKUP(C342,Code!H:W,16,FALSE)&gt;0),POWER((VLOOKUP(C342,Code!H:W,13,FALSE))/(VLOOKUP(C342,Code!H:W,16,FALSE)),1/(P342-1))-1)),"")</f>
        <v>8.8000073343219576E-2</v>
      </c>
      <c r="L342" s="173">
        <f>IFERROR(VLOOKUP(C342,Code!H:W,13,FALSE)*4/VLOOKUP(C342,Code!H:W,12,FALSE),"")</f>
        <v>2.5485231247101812E-2</v>
      </c>
      <c r="M342" s="172">
        <f t="shared" si="41"/>
        <v>0.35138622971559852</v>
      </c>
      <c r="N342" s="172" t="str">
        <f t="shared" si="42"/>
        <v>-</v>
      </c>
      <c r="O342" s="172" t="str">
        <f t="shared" si="43"/>
        <v>-</v>
      </c>
      <c r="P342" s="205">
        <f>IFERROR(YEARFRAC(VLOOKUP(C342,Code!H:W,11,FALSE),VLOOKUP(C342,Code!H:W,14,FALSE),3),"")</f>
        <v>4.7561643835616438</v>
      </c>
      <c r="Q342" s="174">
        <v>44547</v>
      </c>
      <c r="R342" s="175" t="str">
        <f t="shared" ca="1" si="44"/>
        <v/>
      </c>
      <c r="S342" s="176">
        <f>IFERROR(VLOOKUP($C342,Code!$H:$Q,5,FALSE),"")</f>
        <v>0.27260000000000001</v>
      </c>
      <c r="T342" s="177" t="str">
        <f t="shared" ca="1" si="45"/>
        <v/>
      </c>
      <c r="U342" s="178" t="str">
        <f t="shared" ca="1" si="46"/>
        <v/>
      </c>
      <c r="V342" s="179">
        <f>IFERROR(VLOOKUP($C342,Code!$H:$Q,6,FALSE),"")</f>
        <v>24.85</v>
      </c>
      <c r="W342" s="180" t="str">
        <f t="shared" ca="1" si="47"/>
        <v/>
      </c>
      <c r="X342" s="12"/>
      <c r="Y342" s="12"/>
      <c r="Z342" s="12"/>
      <c r="AA342" s="12"/>
      <c r="AB342" s="12"/>
    </row>
    <row r="343" spans="1:28" s="10" customFormat="1" ht="15" hidden="1">
      <c r="A343" s="9"/>
      <c r="B343" s="169" cm="1">
        <f t="array" ref="B343">_xlfn.IFS(OR(Code!R162&lt;&gt;Code!U162,Code!R162=""),0,Code!R162=Code!U162,1)</f>
        <v>1</v>
      </c>
      <c r="C343" s="193" t="str">
        <f>IF(Code!F162="","",Code!F162)</f>
        <v>ENPH</v>
      </c>
      <c r="D343" s="155" t="str">
        <f>IFERROR(VLOOKUP($C343,Code!$H:$K,2,FALSE),"")</f>
        <v>XLK</v>
      </c>
      <c r="E343" s="156" t="str">
        <f>IFERROR(VLOOKUP($C343,Code!$H:$K,3,FALSE),"")</f>
        <v>太陽能</v>
      </c>
      <c r="F343" s="157" t="str">
        <f>IFERROR(VLOOKUP($C343,Code!$H:$K,4,FALSE),"")</f>
        <v>.SPX</v>
      </c>
      <c r="G343" s="170">
        <f>IFERROR(((VLOOKUP($C343,Code!$H:$Q,9,FALSE))+(VLOOKUP($C343,Code!$H:$Q,10,FALSE)))/2*0.5/(((VLOOKUP($C343,Code!$H:$Q,7,FALSE))+(VLOOKUP($C343,Code!$H:$Q,8,FALSE)))/2),0)</f>
        <v>0.54581170197839202</v>
      </c>
      <c r="H343" s="171" t="str">
        <f t="shared" si="40"/>
        <v>M</v>
      </c>
      <c r="I343" s="170">
        <f>IFERROR((VLOOKUP($C343,Code!$H:$Q,5,FALSE))/(((VLOOKUP($C343,Code!$H:$Q,7,FALSE))+(VLOOKUP($C343,Code!$H:$Q,8,FALSE)))/2)-1,0)</f>
        <v>-0.22758523923109308</v>
      </c>
      <c r="J343" s="204" t="str">
        <f>IFERROR(POWER((VLOOKUP(C343,Code!H:W,12,FALSE))/(VLOOKUP(C343,Code!H:W,15,FALSE)),1/(P343-1))-1,"")</f>
        <v/>
      </c>
      <c r="K343" s="172" t="str" cm="1">
        <f t="array" ref="K343">IFERROR(IF(C343="","",_xlfn.IFS(AND(VLOOKUP(C343,Code!H:W,13,FALSE)=0,VLOOKUP(C343,Code!H:W,16,FALSE)=0),"無股息",AND(VLOOKUP(C343,Code!H:W,13,FALSE)=0,VLOOKUP(C343,Code!H:W,16,FALSE)&gt;0),"股息沒了",AND(VLOOKUP(C343,Code!H:W,13,FALSE)&gt;0,VLOOKUP(C343,Code!H:W,16,FALSE)=0),"發股息了",AND(VLOOKUP(C343,Code!H:W,13,FALSE)&gt;0,VLOOKUP(C343,Code!H:W,16,FALSE)&gt;0),POWER((VLOOKUP(C343,Code!H:W,13,FALSE))/(VLOOKUP(C343,Code!H:W,16,FALSE)),1/(P343-1))-1)),"")</f>
        <v>無股息</v>
      </c>
      <c r="L343" s="173" t="str">
        <f>IFERROR(VLOOKUP(C343,Code!H:W,13,FALSE)*4/VLOOKUP(C343,Code!H:W,12,FALSE),"")</f>
        <v/>
      </c>
      <c r="M343" s="172" t="str">
        <f t="shared" si="41"/>
        <v/>
      </c>
      <c r="N343" s="172" t="str">
        <f t="shared" si="42"/>
        <v/>
      </c>
      <c r="O343" s="172" t="str">
        <f t="shared" si="43"/>
        <v/>
      </c>
      <c r="P343" s="205">
        <f>IFERROR(YEARFRAC(VLOOKUP(C343,Code!H:W,11,FALSE),VLOOKUP(C343,Code!H:W,14,FALSE),3),"")</f>
        <v>0</v>
      </c>
      <c r="Q343" s="174">
        <v>44547</v>
      </c>
      <c r="R343" s="175" t="str">
        <f t="shared" ca="1" si="44"/>
        <v/>
      </c>
      <c r="S343" s="176">
        <f>IFERROR(VLOOKUP($C343,Code!$H:$Q,5,FALSE),"")</f>
        <v>0.55049999999999999</v>
      </c>
      <c r="T343" s="177" t="str">
        <f t="shared" ca="1" si="45"/>
        <v/>
      </c>
      <c r="U343" s="178" t="str">
        <f t="shared" ca="1" si="46"/>
        <v/>
      </c>
      <c r="V343" s="179">
        <f>IFERROR(VLOOKUP($C343,Code!$H:$Q,6,FALSE),"")</f>
        <v>183.45</v>
      </c>
      <c r="W343" s="180" t="str">
        <f t="shared" ca="1" si="47"/>
        <v/>
      </c>
      <c r="X343" s="12"/>
      <c r="Y343" s="12"/>
      <c r="Z343" s="12"/>
      <c r="AA343" s="12"/>
      <c r="AB343" s="12"/>
    </row>
    <row r="344" spans="1:28" s="10" customFormat="1" ht="15" hidden="1">
      <c r="A344" s="9"/>
      <c r="B344" s="169" cm="1">
        <f t="array" ref="B344">_xlfn.IFS(OR(Code!R498&lt;&gt;Code!U498,Code!R498=""),0,Code!R498=Code!U498,1)</f>
        <v>0</v>
      </c>
      <c r="C344" s="193" t="str">
        <f>IF(Code!F498="","",Code!F498)</f>
        <v>WYNN</v>
      </c>
      <c r="D344" s="155" t="str">
        <f>IFERROR(VLOOKUP($C344,Code!$H:$K,2,FALSE),"")</f>
        <v>XLY</v>
      </c>
      <c r="E344" s="156" t="str">
        <f>IFERROR(VLOOKUP($C344,Code!$H:$K,3,FALSE),"")</f>
        <v>度假村和賭場</v>
      </c>
      <c r="F344" s="157" t="str">
        <f>IFERROR(VLOOKUP($C344,Code!$H:$K,4,FALSE),"")</f>
        <v>.SPX</v>
      </c>
      <c r="G344" s="170">
        <f>IFERROR(((VLOOKUP($C344,Code!$H:$Q,9,FALSE))+(VLOOKUP($C344,Code!$H:$Q,10,FALSE)))/2*0.5/(((VLOOKUP($C344,Code!$H:$Q,7,FALSE))+(VLOOKUP($C344,Code!$H:$Q,8,FALSE)))/2),0)</f>
        <v>0.47975173870939353</v>
      </c>
      <c r="H344" s="171" t="str">
        <f t="shared" si="40"/>
        <v>S</v>
      </c>
      <c r="I344" s="170">
        <f>IFERROR((VLOOKUP($C344,Code!$H:$Q,5,FALSE))/(((VLOOKUP($C344,Code!$H:$Q,7,FALSE))+(VLOOKUP($C344,Code!$H:$Q,8,FALSE)))/2)-1,0)</f>
        <v>-0.22774892155999649</v>
      </c>
      <c r="J344" s="204">
        <f>IFERROR(POWER((VLOOKUP(C344,Code!H:W,12,FALSE))/(VLOOKUP(C344,Code!H:W,15,FALSE)),1/(P344-1))-1,"")</f>
        <v>8.6093296272365727E-2</v>
      </c>
      <c r="K344" s="172" cm="1">
        <f t="array" ref="K344">IFERROR(IF(C344="","",_xlfn.IFS(AND(VLOOKUP(C344,Code!H:W,13,FALSE)=0,VLOOKUP(C344,Code!H:W,16,FALSE)=0),"無股息",AND(VLOOKUP(C344,Code!H:W,13,FALSE)=0,VLOOKUP(C344,Code!H:W,16,FALSE)&gt;0),"股息沒了",AND(VLOOKUP(C344,Code!H:W,13,FALSE)&gt;0,VLOOKUP(C344,Code!H:W,16,FALSE)=0),"發股息了",AND(VLOOKUP(C344,Code!H:W,13,FALSE)&gt;0,VLOOKUP(C344,Code!H:W,16,FALSE)&gt;0),POWER((VLOOKUP(C344,Code!H:W,13,FALSE))/(VLOOKUP(C344,Code!H:W,16,FALSE)),1/(P344-1))-1)),"")</f>
        <v>0.31264165250877785</v>
      </c>
      <c r="L344" s="173">
        <f>IFERROR(VLOOKUP(C344,Code!H:W,13,FALSE)*4/VLOOKUP(C344,Code!H:W,12,FALSE),"")</f>
        <v>3.5121608757893968E-2</v>
      </c>
      <c r="M344" s="172">
        <f t="shared" si="41"/>
        <v>0.39873494878114357</v>
      </c>
      <c r="N344" s="172" t="str">
        <f t="shared" si="42"/>
        <v>Venture</v>
      </c>
      <c r="O344" s="172" t="str">
        <f t="shared" si="43"/>
        <v>-</v>
      </c>
      <c r="P344" s="205">
        <f>IFERROR(YEARFRAC(VLOOKUP(C344,Code!H:W,11,FALSE),VLOOKUP(C344,Code!H:W,14,FALSE),3),"")</f>
        <v>3.547945205479452</v>
      </c>
      <c r="Q344" s="174">
        <v>44547</v>
      </c>
      <c r="R344" s="175" t="str">
        <f t="shared" ca="1" si="44"/>
        <v/>
      </c>
      <c r="S344" s="176">
        <f>IFERROR(VLOOKUP($C344,Code!$H:$Q,5,FALSE),"")</f>
        <v>0.43859999999999999</v>
      </c>
      <c r="T344" s="177" t="str">
        <f t="shared" ca="1" si="45"/>
        <v/>
      </c>
      <c r="U344" s="178" t="str">
        <f t="shared" ca="1" si="46"/>
        <v/>
      </c>
      <c r="V344" s="179">
        <f>IFERROR(VLOOKUP($C344,Code!$H:$Q,6,FALSE),"")</f>
        <v>98.68</v>
      </c>
      <c r="W344" s="180" t="str">
        <f t="shared" ca="1" si="47"/>
        <v/>
      </c>
      <c r="X344" s="12"/>
      <c r="Y344" s="12"/>
      <c r="Z344" s="12"/>
      <c r="AA344" s="12"/>
      <c r="AB344" s="12"/>
    </row>
    <row r="345" spans="1:28" s="10" customFormat="1" ht="15" hidden="1">
      <c r="A345" s="9"/>
      <c r="B345" s="169" cm="1">
        <f t="array" ref="B345">_xlfn.IFS(OR(Code!R318&lt;&gt;Code!U318,Code!R318=""),0,Code!R318=Code!U318,1)</f>
        <v>0</v>
      </c>
      <c r="C345" s="193" t="str">
        <f>IF(Code!F318="","",Code!F318)</f>
        <v>MRO</v>
      </c>
      <c r="D345" s="155" t="str">
        <f>IFERROR(VLOOKUP($C345,Code!$H:$K,2,FALSE),"")</f>
        <v>XLE</v>
      </c>
      <c r="E345" s="156" t="str">
        <f>IFERROR(VLOOKUP($C345,Code!$H:$K,3,FALSE),"")</f>
        <v>油氣E&amp;P</v>
      </c>
      <c r="F345" s="157" t="str">
        <f>IFERROR(VLOOKUP($C345,Code!$H:$K,4,FALSE),"")</f>
        <v>.SPX</v>
      </c>
      <c r="G345" s="170">
        <f>IFERROR(((VLOOKUP($C345,Code!$H:$Q,9,FALSE))+(VLOOKUP($C345,Code!$H:$Q,10,FALSE)))/2*0.5/(((VLOOKUP($C345,Code!$H:$Q,7,FALSE))+(VLOOKUP($C345,Code!$H:$Q,8,FALSE)))/2),0)</f>
        <v>0.49750873800847778</v>
      </c>
      <c r="H345" s="171" t="str">
        <f t="shared" si="40"/>
        <v>S</v>
      </c>
      <c r="I345" s="170">
        <f>IFERROR((VLOOKUP($C345,Code!$H:$Q,5,FALSE))/(((VLOOKUP($C345,Code!$H:$Q,7,FALSE))+(VLOOKUP($C345,Code!$H:$Q,8,FALSE)))/2)-1,0)</f>
        <v>-0.22808061277608382</v>
      </c>
      <c r="J345" s="204">
        <f>IFERROR(POWER((VLOOKUP(C345,Code!H:W,12,FALSE))/(VLOOKUP(C345,Code!H:W,15,FALSE)),1/(P345-1))-1,"")</f>
        <v>-4.2389987608147162E-2</v>
      </c>
      <c r="K345" s="172" cm="1">
        <f t="array" ref="K345">IFERROR(IF(C345="","",_xlfn.IFS(AND(VLOOKUP(C345,Code!H:W,13,FALSE)=0,VLOOKUP(C345,Code!H:W,16,FALSE)=0),"無股息",AND(VLOOKUP(C345,Code!H:W,13,FALSE)=0,VLOOKUP(C345,Code!H:W,16,FALSE)&gt;0),"股息沒了",AND(VLOOKUP(C345,Code!H:W,13,FALSE)&gt;0,VLOOKUP(C345,Code!H:W,16,FALSE)=0),"發股息了",AND(VLOOKUP(C345,Code!H:W,13,FALSE)&gt;0,VLOOKUP(C345,Code!H:W,16,FALSE)&gt;0),POWER((VLOOKUP(C345,Code!H:W,13,FALSE))/(VLOOKUP(C345,Code!H:W,16,FALSE)),1/(P345-1))-1)),"")</f>
        <v>-5.7636305577525415E-2</v>
      </c>
      <c r="L345" s="173">
        <f>IFERROR(VLOOKUP(C345,Code!H:W,13,FALSE)*4/VLOOKUP(C345,Code!H:W,12,FALSE),"")</f>
        <v>1.3411567133873899E-2</v>
      </c>
      <c r="M345" s="172">
        <f t="shared" si="41"/>
        <v>-0.10002629318567258</v>
      </c>
      <c r="N345" s="172" t="str">
        <f t="shared" si="42"/>
        <v>-</v>
      </c>
      <c r="O345" s="172" t="str">
        <f t="shared" si="43"/>
        <v>-</v>
      </c>
      <c r="P345" s="205">
        <f>IFERROR(YEARFRAC(VLOOKUP(C345,Code!H:W,11,FALSE),VLOOKUP(C345,Code!H:W,14,FALSE),3),"")</f>
        <v>4.7589041095890412</v>
      </c>
      <c r="Q345" s="174">
        <v>44547</v>
      </c>
      <c r="R345" s="175" t="str">
        <f t="shared" ca="1" si="44"/>
        <v/>
      </c>
      <c r="S345" s="176">
        <f>IFERROR(VLOOKUP($C345,Code!$H:$Q,5,FALSE),"")</f>
        <v>0.51900000000000002</v>
      </c>
      <c r="T345" s="177" t="str">
        <f t="shared" ca="1" si="45"/>
        <v/>
      </c>
      <c r="U345" s="178" t="str">
        <f t="shared" ca="1" si="46"/>
        <v/>
      </c>
      <c r="V345" s="179">
        <f>IFERROR(VLOOKUP($C345,Code!$H:$Q,6,FALSE),"")</f>
        <v>12.04</v>
      </c>
      <c r="W345" s="180" t="str">
        <f t="shared" ca="1" si="47"/>
        <v/>
      </c>
      <c r="X345" s="12"/>
      <c r="Y345" s="12"/>
      <c r="Z345" s="12"/>
      <c r="AA345" s="12"/>
      <c r="AB345" s="12"/>
    </row>
    <row r="346" spans="1:28" s="10" customFormat="1" ht="15">
      <c r="A346" s="9"/>
      <c r="B346" s="169" cm="1">
        <f t="array" ref="B346">_xlfn.IFS(OR(Code!R388&lt;&gt;Code!U388,Code!R388=""),0,Code!R388=Code!U388,1)</f>
        <v>0</v>
      </c>
      <c r="C346" s="193" t="str">
        <f>IF(Code!F388="","",Code!F388)</f>
        <v>PVH</v>
      </c>
      <c r="D346" s="155" t="str">
        <f>IFERROR(VLOOKUP($C346,Code!$H:$K,2,FALSE),"")</f>
        <v>XLY</v>
      </c>
      <c r="E346" s="156" t="str">
        <f>IFERROR(VLOOKUP($C346,Code!$H:$K,3,FALSE),"")</f>
        <v>服裝製造</v>
      </c>
      <c r="F346" s="157" t="str">
        <f>IFERROR(VLOOKUP($C346,Code!$H:$K,4,FALSE),"")</f>
        <v>.SPX</v>
      </c>
      <c r="G346" s="170">
        <f>IFERROR(((VLOOKUP($C346,Code!$H:$Q,9,FALSE))+(VLOOKUP($C346,Code!$H:$Q,10,FALSE)))/2*0.5/(((VLOOKUP($C346,Code!$H:$Q,7,FALSE))+(VLOOKUP($C346,Code!$H:$Q,8,FALSE)))/2),0)</f>
        <v>0.47932784294151909</v>
      </c>
      <c r="H346" s="171" t="str">
        <f t="shared" si="40"/>
        <v>S</v>
      </c>
      <c r="I346" s="170">
        <f>IFERROR((VLOOKUP($C346,Code!$H:$Q,5,FALSE))/(((VLOOKUP($C346,Code!$H:$Q,7,FALSE))+(VLOOKUP($C346,Code!$H:$Q,8,FALSE)))/2)-1,0)</f>
        <v>-0.22835038682305964</v>
      </c>
      <c r="J346" s="204">
        <f>IFERROR(POWER((VLOOKUP(C346,Code!H:W,12,FALSE))/(VLOOKUP(C346,Code!H:W,15,FALSE)),1/(P346-1))-1,"")</f>
        <v>-0.35914231664768603</v>
      </c>
      <c r="K346" s="172" cm="1">
        <f t="array" ref="K346">IFERROR(IF(C346="","",_xlfn.IFS(AND(VLOOKUP(C346,Code!H:W,13,FALSE)=0,VLOOKUP(C346,Code!H:W,16,FALSE)=0),"無股息",AND(VLOOKUP(C346,Code!H:W,13,FALSE)=0,VLOOKUP(C346,Code!H:W,16,FALSE)&gt;0),"股息沒了",AND(VLOOKUP(C346,Code!H:W,13,FALSE)&gt;0,VLOOKUP(C346,Code!H:W,16,FALSE)=0),"發股息了",AND(VLOOKUP(C346,Code!H:W,13,FALSE)&gt;0,VLOOKUP(C346,Code!H:W,16,FALSE)&gt;0),POWER((VLOOKUP(C346,Code!H:W,13,FALSE))/(VLOOKUP(C346,Code!H:W,16,FALSE)),1/(P346-1))-1)),"")</f>
        <v>0</v>
      </c>
      <c r="L346" s="173">
        <f>IFERROR(VLOOKUP(C346,Code!H:W,13,FALSE)*4/VLOOKUP(C346,Code!H:W,12,FALSE),"")</f>
        <v>4.4837756093894223E-3</v>
      </c>
      <c r="M346" s="172">
        <f t="shared" si="41"/>
        <v>-0.35914231664768603</v>
      </c>
      <c r="N346" s="172" t="str">
        <f t="shared" si="42"/>
        <v>-</v>
      </c>
      <c r="O346" s="172" t="str">
        <f t="shared" si="43"/>
        <v>-</v>
      </c>
      <c r="P346" s="205">
        <f>IFERROR(YEARFRAC(VLOOKUP(C346,Code!H:W,11,FALSE),VLOOKUP(C346,Code!H:W,14,FALSE),3),"")</f>
        <v>3.5753424657534247</v>
      </c>
      <c r="Q346" s="174">
        <v>44547</v>
      </c>
      <c r="R346" s="175" t="str">
        <f t="shared" ca="1" si="44"/>
        <v/>
      </c>
      <c r="S346" s="176">
        <f>IFERROR(VLOOKUP($C346,Code!$H:$Q,5,FALSE),"")</f>
        <v>0.46379999999999999</v>
      </c>
      <c r="T346" s="177" t="str">
        <f t="shared" ca="1" si="45"/>
        <v/>
      </c>
      <c r="U346" s="178" t="str">
        <f t="shared" ca="1" si="46"/>
        <v/>
      </c>
      <c r="V346" s="179">
        <f>IFERROR(VLOOKUP($C346,Code!$H:$Q,6,FALSE),"")</f>
        <v>110.59</v>
      </c>
      <c r="W346" s="180" t="str">
        <f t="shared" ca="1" si="47"/>
        <v/>
      </c>
      <c r="X346" s="12"/>
      <c r="Y346" s="12"/>
      <c r="Z346" s="12"/>
      <c r="AA346" s="12"/>
      <c r="AB346" s="12"/>
    </row>
    <row r="347" spans="1:28" s="10" customFormat="1" ht="15" hidden="1">
      <c r="A347" s="9"/>
      <c r="B347" s="169" cm="1">
        <f t="array" ref="B347">_xlfn.IFS(OR(Code!R52&lt;&gt;Code!U52,Code!R52=""),0,Code!R52=Code!U52,1)</f>
        <v>0</v>
      </c>
      <c r="C347" s="193" t="str">
        <f>IF(Code!F52="","",Code!F52)</f>
        <v>AVGO</v>
      </c>
      <c r="D347" s="155" t="str">
        <f>IFERROR(VLOOKUP($C347,Code!$H:$K,2,FALSE),"")</f>
        <v>XLK</v>
      </c>
      <c r="E347" s="156" t="str">
        <f>IFERROR(VLOOKUP($C347,Code!$H:$K,3,FALSE),"")</f>
        <v>半導體</v>
      </c>
      <c r="F347" s="157" t="str">
        <f>IFERROR(VLOOKUP($C347,Code!$H:$K,4,FALSE),"")</f>
        <v>.SPX</v>
      </c>
      <c r="G347" s="170">
        <f>IFERROR(((VLOOKUP($C347,Code!$H:$Q,9,FALSE))+(VLOOKUP($C347,Code!$H:$Q,10,FALSE)))/2*0.5/(((VLOOKUP($C347,Code!$H:$Q,7,FALSE))+(VLOOKUP($C347,Code!$H:$Q,8,FALSE)))/2),0)</f>
        <v>0.53462624461286967</v>
      </c>
      <c r="H347" s="171" t="str">
        <f t="shared" si="40"/>
        <v>M</v>
      </c>
      <c r="I347" s="170">
        <f>IFERROR((VLOOKUP($C347,Code!$H:$Q,5,FALSE))/(((VLOOKUP($C347,Code!$H:$Q,7,FALSE))+(VLOOKUP($C347,Code!$H:$Q,8,FALSE)))/2)-1,0)</f>
        <v>-0.22990043097042656</v>
      </c>
      <c r="J347" s="204">
        <f>IFERROR(POWER((VLOOKUP(C347,Code!H:W,12,FALSE))/(VLOOKUP(C347,Code!H:W,15,FALSE)),1/(P347-1))-1,"")</f>
        <v>0.36003869640310748</v>
      </c>
      <c r="K347" s="172" cm="1">
        <f t="array" ref="K347">IFERROR(IF(C347="","",_xlfn.IFS(AND(VLOOKUP(C347,Code!H:W,13,FALSE)=0,VLOOKUP(C347,Code!H:W,16,FALSE)=0),"無股息",AND(VLOOKUP(C347,Code!H:W,13,FALSE)=0,VLOOKUP(C347,Code!H:W,16,FALSE)&gt;0),"股息沒了",AND(VLOOKUP(C347,Code!H:W,13,FALSE)&gt;0,VLOOKUP(C347,Code!H:W,16,FALSE)=0),"發股息了",AND(VLOOKUP(C347,Code!H:W,13,FALSE)&gt;0,VLOOKUP(C347,Code!H:W,16,FALSE)&gt;0),POWER((VLOOKUP(C347,Code!H:W,13,FALSE))/(VLOOKUP(C347,Code!H:W,16,FALSE)),1/(P347-1))-1)),"")</f>
        <v>0.67996352862108123</v>
      </c>
      <c r="L347" s="173">
        <f>IFERROR(VLOOKUP(C347,Code!H:W,13,FALSE)*4/VLOOKUP(C347,Code!H:W,12,FALSE),"")</f>
        <v>3.0993737659563602E-2</v>
      </c>
      <c r="M347" s="172">
        <f t="shared" si="41"/>
        <v>1.0400022250241887</v>
      </c>
      <c r="N347" s="172" t="str">
        <f t="shared" si="42"/>
        <v>Venture</v>
      </c>
      <c r="O347" s="172" t="str">
        <f t="shared" si="43"/>
        <v>-</v>
      </c>
      <c r="P347" s="205">
        <f>IFERROR(YEARFRAC(VLOOKUP(C347,Code!H:W,11,FALSE),VLOOKUP(C347,Code!H:W,14,FALSE),3),"")</f>
        <v>4.7671232876712333</v>
      </c>
      <c r="Q347" s="174">
        <v>44547</v>
      </c>
      <c r="R347" s="175" t="str">
        <f t="shared" ca="1" si="44"/>
        <v/>
      </c>
      <c r="S347" s="176">
        <f>IFERROR(VLOOKUP($C347,Code!$H:$Q,5,FALSE),"")</f>
        <v>0.2591</v>
      </c>
      <c r="T347" s="177" t="str">
        <f t="shared" ca="1" si="45"/>
        <v/>
      </c>
      <c r="U347" s="178" t="str">
        <f t="shared" ca="1" si="46"/>
        <v/>
      </c>
      <c r="V347" s="179">
        <f>IFERROR(VLOOKUP($C347,Code!$H:$Q,6,FALSE),"")</f>
        <v>487.67</v>
      </c>
      <c r="W347" s="180" t="str">
        <f t="shared" ca="1" si="47"/>
        <v/>
      </c>
      <c r="X347" s="12"/>
      <c r="Y347" s="12"/>
      <c r="Z347" s="12"/>
      <c r="AA347" s="12"/>
      <c r="AB347" s="12"/>
    </row>
    <row r="348" spans="1:28" s="10" customFormat="1" ht="15">
      <c r="A348" s="9"/>
      <c r="B348" s="169" cm="1">
        <f t="array" ref="B348">_xlfn.IFS(OR(Code!R505&lt;&gt;Code!U505,Code!R505=""),0,Code!R505=Code!U505,1)</f>
        <v>0</v>
      </c>
      <c r="C348" s="193" t="str">
        <f>IF(Code!F505="","",Code!F505)</f>
        <v>ZBH</v>
      </c>
      <c r="D348" s="155" t="str">
        <f>IFERROR(VLOOKUP($C348,Code!$H:$K,2,FALSE),"")</f>
        <v>XLV</v>
      </c>
      <c r="E348" s="156" t="str">
        <f>IFERROR(VLOOKUP($C348,Code!$H:$K,3,FALSE),"")</f>
        <v>醫療設備</v>
      </c>
      <c r="F348" s="157" t="str">
        <f>IFERROR(VLOOKUP($C348,Code!$H:$K,4,FALSE),"")</f>
        <v>.SPX</v>
      </c>
      <c r="G348" s="170">
        <f>IFERROR(((VLOOKUP($C348,Code!$H:$Q,9,FALSE))+(VLOOKUP($C348,Code!$H:$Q,10,FALSE)))/2*0.5/(((VLOOKUP($C348,Code!$H:$Q,7,FALSE))+(VLOOKUP($C348,Code!$H:$Q,8,FALSE)))/2),0)</f>
        <v>0.53203679793415104</v>
      </c>
      <c r="H348" s="171" t="str">
        <f t="shared" si="40"/>
        <v>M</v>
      </c>
      <c r="I348" s="170">
        <f>IFERROR((VLOOKUP($C348,Code!$H:$Q,5,FALSE))/(((VLOOKUP($C348,Code!$H:$Q,7,FALSE))+(VLOOKUP($C348,Code!$H:$Q,8,FALSE)))/2)-1,0)</f>
        <v>-0.23014848289218859</v>
      </c>
      <c r="J348" s="204">
        <f>IFERROR(POWER((VLOOKUP(C348,Code!H:W,12,FALSE))/(VLOOKUP(C348,Code!H:W,15,FALSE)),1/(P348-1))-1,"")</f>
        <v>8.3747285706239349E-2</v>
      </c>
      <c r="K348" s="172" cm="1">
        <f t="array" ref="K348">IFERROR(IF(C348="","",_xlfn.IFS(AND(VLOOKUP(C348,Code!H:W,13,FALSE)=0,VLOOKUP(C348,Code!H:W,16,FALSE)=0),"無股息",AND(VLOOKUP(C348,Code!H:W,13,FALSE)=0,VLOOKUP(C348,Code!H:W,16,FALSE)&gt;0),"股息沒了",AND(VLOOKUP(C348,Code!H:W,13,FALSE)&gt;0,VLOOKUP(C348,Code!H:W,16,FALSE)=0),"發股息了",AND(VLOOKUP(C348,Code!H:W,13,FALSE)&gt;0,VLOOKUP(C348,Code!H:W,16,FALSE)&gt;0),POWER((VLOOKUP(C348,Code!H:W,13,FALSE))/(VLOOKUP(C348,Code!H:W,16,FALSE)),1/(P348-1))-1)),"")</f>
        <v>0</v>
      </c>
      <c r="L348" s="173">
        <f>IFERROR(VLOOKUP(C348,Code!H:W,13,FALSE)*4/VLOOKUP(C348,Code!H:W,12,FALSE),"")</f>
        <v>5.788362765575164E-3</v>
      </c>
      <c r="M348" s="172">
        <f t="shared" si="41"/>
        <v>8.3747285706239349E-2</v>
      </c>
      <c r="N348" s="172" t="str">
        <f t="shared" si="42"/>
        <v>-</v>
      </c>
      <c r="O348" s="172" t="str">
        <f t="shared" si="43"/>
        <v>-</v>
      </c>
      <c r="P348" s="205">
        <f>IFERROR(YEARFRAC(VLOOKUP(C348,Code!H:W,11,FALSE),VLOOKUP(C348,Code!H:W,14,FALSE),3),"")</f>
        <v>4.7616438356164386</v>
      </c>
      <c r="Q348" s="174">
        <v>44547</v>
      </c>
      <c r="R348" s="175" t="str">
        <f t="shared" ca="1" si="44"/>
        <v/>
      </c>
      <c r="S348" s="176">
        <f>IFERROR(VLOOKUP($C348,Code!$H:$Q,5,FALSE),"")</f>
        <v>0.23849999999999999</v>
      </c>
      <c r="T348" s="177" t="str">
        <f t="shared" ca="1" si="45"/>
        <v/>
      </c>
      <c r="U348" s="178" t="str">
        <f t="shared" ca="1" si="46"/>
        <v/>
      </c>
      <c r="V348" s="179">
        <f>IFERROR(VLOOKUP($C348,Code!$H:$Q,6,FALSE),"")</f>
        <v>148.41999999999999</v>
      </c>
      <c r="W348" s="180" t="str">
        <f t="shared" ca="1" si="47"/>
        <v/>
      </c>
      <c r="X348" s="12"/>
      <c r="Y348" s="12"/>
      <c r="Z348" s="12"/>
      <c r="AA348" s="12"/>
      <c r="AB348" s="12"/>
    </row>
    <row r="349" spans="1:28" s="10" customFormat="1" ht="15" hidden="1">
      <c r="A349" s="9"/>
      <c r="B349" s="169" cm="1">
        <f t="array" ref="B349">_xlfn.IFS(OR(Code!R250&lt;&gt;Code!U250,Code!R250=""),0,Code!R250=Code!U250,1)</f>
        <v>1</v>
      </c>
      <c r="C349" s="193" t="str">
        <f>IF(Code!F250="","",Code!F250)</f>
        <v>IT</v>
      </c>
      <c r="D349" s="155" t="str">
        <f>IFERROR(VLOOKUP($C349,Code!$H:$K,2,FALSE),"")</f>
        <v>XLK</v>
      </c>
      <c r="E349" s="156" t="str">
        <f>IFERROR(VLOOKUP($C349,Code!$H:$K,3,FALSE),"")</f>
        <v>信息技術處</v>
      </c>
      <c r="F349" s="157" t="str">
        <f>IFERROR(VLOOKUP($C349,Code!$H:$K,4,FALSE),"")</f>
        <v>.SPX</v>
      </c>
      <c r="G349" s="170">
        <f>IFERROR(((VLOOKUP($C349,Code!$H:$Q,9,FALSE))+(VLOOKUP($C349,Code!$H:$Q,10,FALSE)))/2*0.5/(((VLOOKUP($C349,Code!$H:$Q,7,FALSE))+(VLOOKUP($C349,Code!$H:$Q,8,FALSE)))/2),0)</f>
        <v>0.57912484316185708</v>
      </c>
      <c r="H349" s="171" t="str">
        <f t="shared" si="40"/>
        <v>M</v>
      </c>
      <c r="I349" s="170">
        <f>IFERROR((VLOOKUP($C349,Code!$H:$Q,5,FALSE))/(((VLOOKUP($C349,Code!$H:$Q,7,FALSE))+(VLOOKUP($C349,Code!$H:$Q,8,FALSE)))/2)-1,0)</f>
        <v>-0.23055207026348801</v>
      </c>
      <c r="J349" s="204" t="str">
        <f>IFERROR(POWER((VLOOKUP(C349,Code!H:W,12,FALSE))/(VLOOKUP(C349,Code!H:W,15,FALSE)),1/(P349-1))-1,"")</f>
        <v/>
      </c>
      <c r="K349" s="172" t="str" cm="1">
        <f t="array" ref="K349">IFERROR(IF(C349="","",_xlfn.IFS(AND(VLOOKUP(C349,Code!H:W,13,FALSE)=0,VLOOKUP(C349,Code!H:W,16,FALSE)=0),"無股息",AND(VLOOKUP(C349,Code!H:W,13,FALSE)=0,VLOOKUP(C349,Code!H:W,16,FALSE)&gt;0),"股息沒了",AND(VLOOKUP(C349,Code!H:W,13,FALSE)&gt;0,VLOOKUP(C349,Code!H:W,16,FALSE)=0),"發股息了",AND(VLOOKUP(C349,Code!H:W,13,FALSE)&gt;0,VLOOKUP(C349,Code!H:W,16,FALSE)&gt;0),POWER((VLOOKUP(C349,Code!H:W,13,FALSE))/(VLOOKUP(C349,Code!H:W,16,FALSE)),1/(P349-1))-1)),"")</f>
        <v>無股息</v>
      </c>
      <c r="L349" s="173" t="str">
        <f>IFERROR(VLOOKUP(C349,Code!H:W,13,FALSE)*4/VLOOKUP(C349,Code!H:W,12,FALSE),"")</f>
        <v/>
      </c>
      <c r="M349" s="172" t="str">
        <f t="shared" si="41"/>
        <v/>
      </c>
      <c r="N349" s="172" t="str">
        <f t="shared" si="42"/>
        <v/>
      </c>
      <c r="O349" s="172" t="str">
        <f t="shared" si="43"/>
        <v/>
      </c>
      <c r="P349" s="205">
        <f>IFERROR(YEARFRAC(VLOOKUP(C349,Code!H:W,11,FALSE),VLOOKUP(C349,Code!H:W,14,FALSE),3),"")</f>
        <v>0</v>
      </c>
      <c r="Q349" s="174">
        <v>44547</v>
      </c>
      <c r="R349" s="175" t="str">
        <f t="shared" ca="1" si="44"/>
        <v/>
      </c>
      <c r="S349" s="176">
        <f>IFERROR(VLOOKUP($C349,Code!$H:$Q,5,FALSE),"")</f>
        <v>0.24529999999999999</v>
      </c>
      <c r="T349" s="177" t="str">
        <f t="shared" ca="1" si="45"/>
        <v/>
      </c>
      <c r="U349" s="178" t="str">
        <f t="shared" ca="1" si="46"/>
        <v/>
      </c>
      <c r="V349" s="179">
        <f>IFERROR(VLOOKUP($C349,Code!$H:$Q,6,FALSE),"")</f>
        <v>295.23</v>
      </c>
      <c r="W349" s="180" t="str">
        <f t="shared" ca="1" si="47"/>
        <v/>
      </c>
      <c r="X349" s="12"/>
      <c r="Y349" s="12"/>
      <c r="Z349" s="12"/>
      <c r="AA349" s="12"/>
      <c r="AB349" s="12"/>
    </row>
    <row r="350" spans="1:28" s="10" customFormat="1" ht="15" hidden="1">
      <c r="A350" s="9"/>
      <c r="B350" s="169" cm="1">
        <f t="array" ref="B350">_xlfn.IFS(OR(Code!R131&lt;&gt;Code!U131,Code!R131=""),0,Code!R131=Code!U131,1)</f>
        <v>0</v>
      </c>
      <c r="C350" s="193" t="str">
        <f>IF(Code!F131="","",Code!F131)</f>
        <v>DFS</v>
      </c>
      <c r="D350" s="155" t="str">
        <f>IFERROR(VLOOKUP($C350,Code!$H:$K,2,FALSE),"")</f>
        <v>XLF</v>
      </c>
      <c r="E350" s="156" t="str">
        <f>IFERROR(VLOOKUP($C350,Code!$H:$K,3,FALSE),"")</f>
        <v>信貸服務</v>
      </c>
      <c r="F350" s="157" t="str">
        <f>IFERROR(VLOOKUP($C350,Code!$H:$K,4,FALSE),"")</f>
        <v>.SPX</v>
      </c>
      <c r="G350" s="170">
        <f>IFERROR(((VLOOKUP($C350,Code!$H:$Q,9,FALSE))+(VLOOKUP($C350,Code!$H:$Q,10,FALSE)))/2*0.5/(((VLOOKUP($C350,Code!$H:$Q,7,FALSE))+(VLOOKUP($C350,Code!$H:$Q,8,FALSE)))/2),0)</f>
        <v>0.52751504729148757</v>
      </c>
      <c r="H350" s="171" t="str">
        <f t="shared" si="40"/>
        <v>M</v>
      </c>
      <c r="I350" s="170">
        <f>IFERROR((VLOOKUP($C350,Code!$H:$Q,5,FALSE))/(((VLOOKUP($C350,Code!$H:$Q,7,FALSE))+(VLOOKUP($C350,Code!$H:$Q,8,FALSE)))/2)-1,0)</f>
        <v>-0.2310526962289644</v>
      </c>
      <c r="J350" s="204">
        <f>IFERROR(POWER((VLOOKUP(C350,Code!H:W,12,FALSE))/(VLOOKUP(C350,Code!H:W,15,FALSE)),1/(P350-1))-1,"")</f>
        <v>0.25901737679020154</v>
      </c>
      <c r="K350" s="172" cm="1">
        <f t="array" ref="K350">IFERROR(IF(C350="","",_xlfn.IFS(AND(VLOOKUP(C350,Code!H:W,13,FALSE)=0,VLOOKUP(C350,Code!H:W,16,FALSE)=0),"無股息",AND(VLOOKUP(C350,Code!H:W,13,FALSE)=0,VLOOKUP(C350,Code!H:W,16,FALSE)&gt;0),"股息沒了",AND(VLOOKUP(C350,Code!H:W,13,FALSE)&gt;0,VLOOKUP(C350,Code!H:W,16,FALSE)=0),"發股息了",AND(VLOOKUP(C350,Code!H:W,13,FALSE)&gt;0,VLOOKUP(C350,Code!H:W,16,FALSE)&gt;0),POWER((VLOOKUP(C350,Code!H:W,13,FALSE))/(VLOOKUP(C350,Code!H:W,16,FALSE)),1/(P350-1))-1)),"")</f>
        <v>0.11398939668394847</v>
      </c>
      <c r="L350" s="173">
        <f>IFERROR(VLOOKUP(C350,Code!H:W,13,FALSE)*4/VLOOKUP(C350,Code!H:W,12,FALSE),"")</f>
        <v>1.5348391280228033E-2</v>
      </c>
      <c r="M350" s="172">
        <f t="shared" si="41"/>
        <v>0.37300677347415001</v>
      </c>
      <c r="N350" s="172" t="str">
        <f t="shared" si="42"/>
        <v>-</v>
      </c>
      <c r="O350" s="172" t="str">
        <f t="shared" si="43"/>
        <v>-</v>
      </c>
      <c r="P350" s="205">
        <f>IFERROR(YEARFRAC(VLOOKUP(C350,Code!H:W,11,FALSE),VLOOKUP(C350,Code!H:W,14,FALSE),3),"")</f>
        <v>4.5479452054794525</v>
      </c>
      <c r="Q350" s="174">
        <v>44547</v>
      </c>
      <c r="R350" s="175" t="str">
        <f t="shared" ca="1" si="44"/>
        <v/>
      </c>
      <c r="S350" s="176">
        <f>IFERROR(VLOOKUP($C350,Code!$H:$Q,5,FALSE),"")</f>
        <v>0.313</v>
      </c>
      <c r="T350" s="177" t="str">
        <f t="shared" ca="1" si="45"/>
        <v/>
      </c>
      <c r="U350" s="178" t="str">
        <f t="shared" ca="1" si="46"/>
        <v/>
      </c>
      <c r="V350" s="179">
        <f>IFERROR(VLOOKUP($C350,Code!$H:$Q,6,FALSE),"")</f>
        <v>127.1</v>
      </c>
      <c r="W350" s="180" t="str">
        <f t="shared" ca="1" si="47"/>
        <v/>
      </c>
      <c r="X350" s="12"/>
      <c r="Y350" s="12"/>
      <c r="Z350" s="12"/>
      <c r="AA350" s="12"/>
      <c r="AB350" s="12"/>
    </row>
    <row r="351" spans="1:28" s="10" customFormat="1" ht="15" hidden="1">
      <c r="A351" s="9"/>
      <c r="B351" s="169" cm="1">
        <f t="array" ref="B351">_xlfn.IFS(OR(Code!R96&lt;&gt;Code!U96,Code!R96=""),0,Code!R96=Code!U96,1)</f>
        <v>0</v>
      </c>
      <c r="C351" s="193" t="str">
        <f>IF(Code!F96="","",Code!F96)</f>
        <v>CI</v>
      </c>
      <c r="D351" s="155" t="str">
        <f>IFERROR(VLOOKUP($C351,Code!$H:$K,2,FALSE),"")</f>
        <v>XLV</v>
      </c>
      <c r="E351" s="156" t="str">
        <f>IFERROR(VLOOKUP($C351,Code!$H:$K,3,FALSE),"")</f>
        <v>醫療保健計劃</v>
      </c>
      <c r="F351" s="157" t="str">
        <f>IFERROR(VLOOKUP($C351,Code!$H:$K,4,FALSE),"")</f>
        <v>.SPX</v>
      </c>
      <c r="G351" s="170">
        <f>IFERROR(((VLOOKUP($C351,Code!$H:$Q,9,FALSE))+(VLOOKUP($C351,Code!$H:$Q,10,FALSE)))/2*0.5/(((VLOOKUP($C351,Code!$H:$Q,7,FALSE))+(VLOOKUP($C351,Code!$H:$Q,8,FALSE)))/2),0)</f>
        <v>0.47284644194756548</v>
      </c>
      <c r="H351" s="171" t="str">
        <f t="shared" si="40"/>
        <v>S</v>
      </c>
      <c r="I351" s="170">
        <f>IFERROR((VLOOKUP($C351,Code!$H:$Q,5,FALSE))/(((VLOOKUP($C351,Code!$H:$Q,7,FALSE))+(VLOOKUP($C351,Code!$H:$Q,8,FALSE)))/2)-1,0)</f>
        <v>-0.23113964686998401</v>
      </c>
      <c r="J351" s="204">
        <f>IFERROR(POWER((VLOOKUP(C351,Code!H:W,12,FALSE))/(VLOOKUP(C351,Code!H:W,15,FALSE)),1/(P351-1))-1,"")</f>
        <v>0.16449516186613788</v>
      </c>
      <c r="K351" s="172" cm="1">
        <f t="array" ref="K351">IFERROR(IF(C351="","",_xlfn.IFS(AND(VLOOKUP(C351,Code!H:W,13,FALSE)=0,VLOOKUP(C351,Code!H:W,16,FALSE)=0),"無股息",AND(VLOOKUP(C351,Code!H:W,13,FALSE)=0,VLOOKUP(C351,Code!H:W,16,FALSE)&gt;0),"股息沒了",AND(VLOOKUP(C351,Code!H:W,13,FALSE)&gt;0,VLOOKUP(C351,Code!H:W,16,FALSE)=0),"發股息了",AND(VLOOKUP(C351,Code!H:W,13,FALSE)&gt;0,VLOOKUP(C351,Code!H:W,16,FALSE)&gt;0),POWER((VLOOKUP(C351,Code!H:W,13,FALSE))/(VLOOKUP(C351,Code!H:W,16,FALSE)),1/(P351-1))-1)),"")</f>
        <v>1.6906896513236322</v>
      </c>
      <c r="L351" s="173">
        <f>IFERROR(VLOOKUP(C351,Code!H:W,13,FALSE)*4/VLOOKUP(C351,Code!H:W,12,FALSE),"")</f>
        <v>1.6155088454754343E-2</v>
      </c>
      <c r="M351" s="172">
        <f t="shared" si="41"/>
        <v>1.8551848131897701</v>
      </c>
      <c r="N351" s="172" t="str">
        <f t="shared" si="42"/>
        <v>-</v>
      </c>
      <c r="O351" s="172" t="str">
        <f t="shared" si="43"/>
        <v>Value</v>
      </c>
      <c r="P351" s="205">
        <f>IFERROR(YEARFRAC(VLOOKUP(C351,Code!H:W,11,FALSE),VLOOKUP(C351,Code!H:W,14,FALSE),3),"")</f>
        <v>4.2520547945205482</v>
      </c>
      <c r="Q351" s="174">
        <v>44547</v>
      </c>
      <c r="R351" s="175" t="str">
        <f t="shared" ca="1" si="44"/>
        <v/>
      </c>
      <c r="S351" s="176">
        <f>IFERROR(VLOOKUP($C351,Code!$H:$Q,5,FALSE),"")</f>
        <v>0.28739999999999999</v>
      </c>
      <c r="T351" s="177" t="str">
        <f t="shared" ca="1" si="45"/>
        <v/>
      </c>
      <c r="U351" s="178" t="str">
        <f t="shared" ca="1" si="46"/>
        <v/>
      </c>
      <c r="V351" s="179">
        <f>IFERROR(VLOOKUP($C351,Code!$H:$Q,6,FALSE),"")</f>
        <v>206.21</v>
      </c>
      <c r="W351" s="180" t="str">
        <f t="shared" ca="1" si="47"/>
        <v/>
      </c>
      <c r="X351" s="12"/>
      <c r="Y351" s="12"/>
      <c r="Z351" s="12"/>
      <c r="AA351" s="12"/>
      <c r="AB351" s="12"/>
    </row>
    <row r="352" spans="1:28" s="10" customFormat="1" ht="15" hidden="1">
      <c r="A352" s="9"/>
      <c r="B352" s="169" cm="1">
        <f t="array" ref="B352">_xlfn.IFS(OR(Code!R442&lt;&gt;Code!U442,Code!R442=""),0,Code!R442=Code!U442,1)</f>
        <v>0</v>
      </c>
      <c r="C352" s="193" t="str">
        <f>IF(Code!F442="","",Code!F442)</f>
        <v>TMO</v>
      </c>
      <c r="D352" s="155" t="str">
        <f>IFERROR(VLOOKUP($C352,Code!$H:$K,2,FALSE),"")</f>
        <v>XLV</v>
      </c>
      <c r="E352" s="156" t="str">
        <f>IFERROR(VLOOKUP($C352,Code!$H:$K,3,FALSE),"")</f>
        <v>診斷與研究</v>
      </c>
      <c r="F352" s="157" t="str">
        <f>IFERROR(VLOOKUP($C352,Code!$H:$K,4,FALSE),"")</f>
        <v>.SPX</v>
      </c>
      <c r="G352" s="170">
        <f>IFERROR(((VLOOKUP($C352,Code!$H:$Q,9,FALSE))+(VLOOKUP($C352,Code!$H:$Q,10,FALSE)))/2*0.5/(((VLOOKUP($C352,Code!$H:$Q,7,FALSE))+(VLOOKUP($C352,Code!$H:$Q,8,FALSE)))/2),0)</f>
        <v>0.52515779981965738</v>
      </c>
      <c r="H352" s="171" t="str">
        <f t="shared" si="40"/>
        <v>M</v>
      </c>
      <c r="I352" s="170">
        <f>IFERROR((VLOOKUP($C352,Code!$H:$Q,5,FALSE))/(((VLOOKUP($C352,Code!$H:$Q,7,FALSE))+(VLOOKUP($C352,Code!$H:$Q,8,FALSE)))/2)-1,0)</f>
        <v>-0.23174030658250677</v>
      </c>
      <c r="J352" s="204">
        <f>IFERROR(POWER((VLOOKUP(C352,Code!H:W,12,FALSE))/(VLOOKUP(C352,Code!H:W,15,FALSE)),1/(P352-1))-1,"")</f>
        <v>0.37257780857204215</v>
      </c>
      <c r="K352" s="172" cm="1">
        <f t="array" ref="K352">IFERROR(IF(C352="","",_xlfn.IFS(AND(VLOOKUP(C352,Code!H:W,13,FALSE)=0,VLOOKUP(C352,Code!H:W,16,FALSE)=0),"無股息",AND(VLOOKUP(C352,Code!H:W,13,FALSE)=0,VLOOKUP(C352,Code!H:W,16,FALSE)&gt;0),"股息沒了",AND(VLOOKUP(C352,Code!H:W,13,FALSE)&gt;0,VLOOKUP(C352,Code!H:W,16,FALSE)=0),"發股息了",AND(VLOOKUP(C352,Code!H:W,13,FALSE)&gt;0,VLOOKUP(C352,Code!H:W,16,FALSE)&gt;0),POWER((VLOOKUP(C352,Code!H:W,13,FALSE))/(VLOOKUP(C352,Code!H:W,16,FALSE)),1/(P352-1))-1)),"")</f>
        <v>0.15782725411093756</v>
      </c>
      <c r="L352" s="173">
        <f>IFERROR(VLOOKUP(C352,Code!H:W,13,FALSE)*4/VLOOKUP(C352,Code!H:W,12,FALSE),"")</f>
        <v>2.212436411163515E-3</v>
      </c>
      <c r="M352" s="172">
        <f t="shared" si="41"/>
        <v>0.53040506268297971</v>
      </c>
      <c r="N352" s="172" t="str">
        <f t="shared" si="42"/>
        <v>-</v>
      </c>
      <c r="O352" s="172" t="str">
        <f t="shared" si="43"/>
        <v>Value</v>
      </c>
      <c r="P352" s="205">
        <f>IFERROR(YEARFRAC(VLOOKUP(C352,Code!H:W,11,FALSE),VLOOKUP(C352,Code!H:W,14,FALSE),3),"")</f>
        <v>4.7534246575342465</v>
      </c>
      <c r="Q352" s="174">
        <v>44547</v>
      </c>
      <c r="R352" s="175" t="str">
        <f t="shared" ca="1" si="44"/>
        <v/>
      </c>
      <c r="S352" s="176">
        <f>IFERROR(VLOOKUP($C352,Code!$H:$Q,5,FALSE),"")</f>
        <v>0.21299999999999999</v>
      </c>
      <c r="T352" s="177" t="str">
        <f t="shared" ca="1" si="45"/>
        <v/>
      </c>
      <c r="U352" s="178" t="str">
        <f t="shared" ca="1" si="46"/>
        <v/>
      </c>
      <c r="V352" s="179">
        <f>IFERROR(VLOOKUP($C352,Code!$H:$Q,6,FALSE),"")</f>
        <v>542.35</v>
      </c>
      <c r="W352" s="180" t="str">
        <f t="shared" ca="1" si="47"/>
        <v/>
      </c>
      <c r="X352" s="12"/>
      <c r="Y352" s="12"/>
      <c r="Z352" s="12"/>
      <c r="AA352" s="12"/>
      <c r="AB352" s="12"/>
    </row>
    <row r="353" spans="1:28" s="10" customFormat="1" ht="15" hidden="1">
      <c r="A353" s="9"/>
      <c r="B353" s="169" cm="1">
        <f t="array" ref="B353">_xlfn.IFS(OR(Code!R223&lt;&gt;Code!U223,Code!R223=""),0,Code!R223=Code!U223,1)</f>
        <v>1</v>
      </c>
      <c r="C353" s="193" t="str">
        <f>IF(Code!F223="","",Code!F223)</f>
        <v>HOLX</v>
      </c>
      <c r="D353" s="155" t="str">
        <f>IFERROR(VLOOKUP($C353,Code!$H:$K,2,FALSE),"")</f>
        <v>XLV</v>
      </c>
      <c r="E353" s="156" t="str">
        <f>IFERROR(VLOOKUP($C353,Code!$H:$K,3,FALSE),"")</f>
        <v>醫療器械及用品</v>
      </c>
      <c r="F353" s="157" t="str">
        <f>IFERROR(VLOOKUP($C353,Code!$H:$K,4,FALSE),"")</f>
        <v>.SPX</v>
      </c>
      <c r="G353" s="170">
        <f>IFERROR(((VLOOKUP($C353,Code!$H:$Q,9,FALSE))+(VLOOKUP($C353,Code!$H:$Q,10,FALSE)))/2*0.5/(((VLOOKUP($C353,Code!$H:$Q,7,FALSE))+(VLOOKUP($C353,Code!$H:$Q,8,FALSE)))/2),0)</f>
        <v>0.62433655947549183</v>
      </c>
      <c r="H353" s="171" t="str">
        <f t="shared" si="40"/>
        <v>L</v>
      </c>
      <c r="I353" s="170">
        <f>IFERROR((VLOOKUP($C353,Code!$H:$Q,5,FALSE))/(((VLOOKUP($C353,Code!$H:$Q,7,FALSE))+(VLOOKUP($C353,Code!$H:$Q,8,FALSE)))/2)-1,0)</f>
        <v>-0.23290665001561028</v>
      </c>
      <c r="J353" s="204" t="str">
        <f>IFERROR(POWER((VLOOKUP(C353,Code!H:W,12,FALSE))/(VLOOKUP(C353,Code!H:W,15,FALSE)),1/(P353-1))-1,"")</f>
        <v/>
      </c>
      <c r="K353" s="172" t="str" cm="1">
        <f t="array" ref="K353">IFERROR(IF(C353="","",_xlfn.IFS(AND(VLOOKUP(C353,Code!H:W,13,FALSE)=0,VLOOKUP(C353,Code!H:W,16,FALSE)=0),"無股息",AND(VLOOKUP(C353,Code!H:W,13,FALSE)=0,VLOOKUP(C353,Code!H:W,16,FALSE)&gt;0),"股息沒了",AND(VLOOKUP(C353,Code!H:W,13,FALSE)&gt;0,VLOOKUP(C353,Code!H:W,16,FALSE)=0),"發股息了",AND(VLOOKUP(C353,Code!H:W,13,FALSE)&gt;0,VLOOKUP(C353,Code!H:W,16,FALSE)&gt;0),POWER((VLOOKUP(C353,Code!H:W,13,FALSE))/(VLOOKUP(C353,Code!H:W,16,FALSE)),1/(P353-1))-1)),"")</f>
        <v>無股息</v>
      </c>
      <c r="L353" s="173" t="str">
        <f>IFERROR(VLOOKUP(C353,Code!H:W,13,FALSE)*4/VLOOKUP(C353,Code!H:W,12,FALSE),"")</f>
        <v/>
      </c>
      <c r="M353" s="172" t="str">
        <f t="shared" si="41"/>
        <v/>
      </c>
      <c r="N353" s="172" t="str">
        <f t="shared" si="42"/>
        <v/>
      </c>
      <c r="O353" s="172" t="str">
        <f t="shared" si="43"/>
        <v/>
      </c>
      <c r="P353" s="205">
        <f>IFERROR(YEARFRAC(VLOOKUP(C353,Code!H:W,11,FALSE),VLOOKUP(C353,Code!H:W,14,FALSE),3),"")</f>
        <v>0</v>
      </c>
      <c r="Q353" s="174">
        <v>44547</v>
      </c>
      <c r="R353" s="175" t="str">
        <f t="shared" ca="1" si="44"/>
        <v/>
      </c>
      <c r="S353" s="176">
        <f>IFERROR(VLOOKUP($C353,Code!$H:$Q,5,FALSE),"")</f>
        <v>0.2457</v>
      </c>
      <c r="T353" s="177" t="str">
        <f t="shared" ca="1" si="45"/>
        <v/>
      </c>
      <c r="U353" s="178" t="str">
        <f t="shared" ca="1" si="46"/>
        <v/>
      </c>
      <c r="V353" s="179">
        <f>IFERROR(VLOOKUP($C353,Code!$H:$Q,6,FALSE),"")</f>
        <v>76.349999999999994</v>
      </c>
      <c r="W353" s="180" t="str">
        <f t="shared" ca="1" si="47"/>
        <v/>
      </c>
      <c r="X353" s="12"/>
      <c r="Y353" s="12"/>
      <c r="Z353" s="12"/>
      <c r="AA353" s="12"/>
      <c r="AB353" s="12"/>
    </row>
    <row r="354" spans="1:28" s="10" customFormat="1" ht="15" hidden="1">
      <c r="A354" s="9"/>
      <c r="B354" s="169" cm="1">
        <f t="array" ref="B354">_xlfn.IFS(OR(Code!R430&lt;&gt;Code!U430,Code!R430=""),0,Code!R430=Code!U430,1)</f>
        <v>0</v>
      </c>
      <c r="C354" s="193" t="str">
        <f>IF(Code!F430="","",Code!F430)</f>
        <v>SYK</v>
      </c>
      <c r="D354" s="155" t="str">
        <f>IFERROR(VLOOKUP($C354,Code!$H:$K,2,FALSE),"")</f>
        <v>XLV</v>
      </c>
      <c r="E354" s="156" t="str">
        <f>IFERROR(VLOOKUP($C354,Code!$H:$K,3,FALSE),"")</f>
        <v>醫療設備</v>
      </c>
      <c r="F354" s="157" t="str">
        <f>IFERROR(VLOOKUP($C354,Code!$H:$K,4,FALSE),"")</f>
        <v>.SPX</v>
      </c>
      <c r="G354" s="170">
        <f>IFERROR(((VLOOKUP($C354,Code!$H:$Q,9,FALSE))+(VLOOKUP($C354,Code!$H:$Q,10,FALSE)))/2*0.5/(((VLOOKUP($C354,Code!$H:$Q,7,FALSE))+(VLOOKUP($C354,Code!$H:$Q,8,FALSE)))/2),0)</f>
        <v>0.58504915600074192</v>
      </c>
      <c r="H354" s="171" t="str">
        <f t="shared" si="40"/>
        <v>M</v>
      </c>
      <c r="I354" s="170">
        <f>IFERROR((VLOOKUP($C354,Code!$H:$Q,5,FALSE))/(((VLOOKUP($C354,Code!$H:$Q,7,FALSE))+(VLOOKUP($C354,Code!$H:$Q,8,FALSE)))/2)-1,0)</f>
        <v>-0.23353737710999811</v>
      </c>
      <c r="J354" s="204">
        <f>IFERROR(POWER((VLOOKUP(C354,Code!H:W,12,FALSE))/(VLOOKUP(C354,Code!H:W,15,FALSE)),1/(P354-1))-1,"")</f>
        <v>0.25512196676965049</v>
      </c>
      <c r="K354" s="172" cm="1">
        <f t="array" ref="K354">IFERROR(IF(C354="","",_xlfn.IFS(AND(VLOOKUP(C354,Code!H:W,13,FALSE)=0,VLOOKUP(C354,Code!H:W,16,FALSE)=0),"無股息",AND(VLOOKUP(C354,Code!H:W,13,FALSE)=0,VLOOKUP(C354,Code!H:W,16,FALSE)&gt;0),"股息沒了",AND(VLOOKUP(C354,Code!H:W,13,FALSE)&gt;0,VLOOKUP(C354,Code!H:W,16,FALSE)=0),"發股息了",AND(VLOOKUP(C354,Code!H:W,13,FALSE)&gt;0,VLOOKUP(C354,Code!H:W,16,FALSE)&gt;0),POWER((VLOOKUP(C354,Code!H:W,13,FALSE))/(VLOOKUP(C354,Code!H:W,16,FALSE)),1/(P354-1))-1)),"")</f>
        <v>0.14418197183045534</v>
      </c>
      <c r="L354" s="173">
        <f>IFERROR(VLOOKUP(C354,Code!H:W,13,FALSE)*4/VLOOKUP(C354,Code!H:W,12,FALSE),"")</f>
        <v>9.6759329456962036E-3</v>
      </c>
      <c r="M354" s="172">
        <f t="shared" si="41"/>
        <v>0.39930393860010582</v>
      </c>
      <c r="N354" s="172" t="str">
        <f t="shared" si="42"/>
        <v>-</v>
      </c>
      <c r="O354" s="172" t="str">
        <f t="shared" si="43"/>
        <v>Value</v>
      </c>
      <c r="P354" s="205">
        <f>IFERROR(YEARFRAC(VLOOKUP(C354,Code!H:W,11,FALSE),VLOOKUP(C354,Code!H:W,14,FALSE),3),"")</f>
        <v>4.7534246575342465</v>
      </c>
      <c r="Q354" s="174">
        <v>44547</v>
      </c>
      <c r="R354" s="175" t="str">
        <f t="shared" ca="1" si="44"/>
        <v/>
      </c>
      <c r="S354" s="176">
        <f>IFERROR(VLOOKUP($C354,Code!$H:$Q,5,FALSE),"")</f>
        <v>0.20660000000000001</v>
      </c>
      <c r="T354" s="177" t="str">
        <f t="shared" ca="1" si="45"/>
        <v/>
      </c>
      <c r="U354" s="178" t="str">
        <f t="shared" ca="1" si="46"/>
        <v/>
      </c>
      <c r="V354" s="179">
        <f>IFERROR(VLOOKUP($C354,Code!$H:$Q,6,FALSE),"")</f>
        <v>264.51</v>
      </c>
      <c r="W354" s="180" t="str">
        <f t="shared" ca="1" si="47"/>
        <v/>
      </c>
      <c r="X354" s="12"/>
      <c r="Y354" s="12"/>
      <c r="Z354" s="12"/>
      <c r="AA354" s="12"/>
      <c r="AB354" s="12"/>
    </row>
    <row r="355" spans="1:28" s="10" customFormat="1" ht="15" hidden="1">
      <c r="A355" s="9"/>
      <c r="B355" s="169" cm="1">
        <f t="array" ref="B355">_xlfn.IFS(OR(Code!R424&lt;&gt;Code!U424,Code!R424=""),0,Code!R424=Code!U424,1)</f>
        <v>0</v>
      </c>
      <c r="C355" s="193" t="str">
        <f>IF(Code!F424="","",Code!F424)</f>
        <v>STT</v>
      </c>
      <c r="D355" s="155" t="str">
        <f>IFERROR(VLOOKUP($C355,Code!$H:$K,2,FALSE),"")</f>
        <v>XLF</v>
      </c>
      <c r="E355" s="156" t="str">
        <f>IFERROR(VLOOKUP($C355,Code!$H:$K,3,FALSE),"")</f>
        <v>資產管理</v>
      </c>
      <c r="F355" s="157" t="str">
        <f>IFERROR(VLOOKUP($C355,Code!$H:$K,4,FALSE),"")</f>
        <v>.SPX</v>
      </c>
      <c r="G355" s="170">
        <f>IFERROR(((VLOOKUP($C355,Code!$H:$Q,9,FALSE))+(VLOOKUP($C355,Code!$H:$Q,10,FALSE)))/2*0.5/(((VLOOKUP($C355,Code!$H:$Q,7,FALSE))+(VLOOKUP($C355,Code!$H:$Q,8,FALSE)))/2),0)</f>
        <v>0.5111929520508377</v>
      </c>
      <c r="H355" s="171" t="str">
        <f t="shared" si="40"/>
        <v>M</v>
      </c>
      <c r="I355" s="170">
        <f>IFERROR((VLOOKUP($C355,Code!$H:$Q,5,FALSE))/(((VLOOKUP($C355,Code!$H:$Q,7,FALSE))+(VLOOKUP($C355,Code!$H:$Q,8,FALSE)))/2)-1,0)</f>
        <v>-0.23541305603697282</v>
      </c>
      <c r="J355" s="204">
        <f>IFERROR(POWER((VLOOKUP(C355,Code!H:W,12,FALSE))/(VLOOKUP(C355,Code!H:W,15,FALSE)),1/(P355-1))-1,"")</f>
        <v>8.436464251065412E-2</v>
      </c>
      <c r="K355" s="172" cm="1">
        <f t="array" ref="K355">IFERROR(IF(C355="","",_xlfn.IFS(AND(VLOOKUP(C355,Code!H:W,13,FALSE)=0,VLOOKUP(C355,Code!H:W,16,FALSE)=0),"無股息",AND(VLOOKUP(C355,Code!H:W,13,FALSE)=0,VLOOKUP(C355,Code!H:W,16,FALSE)&gt;0),"股息沒了",AND(VLOOKUP(C355,Code!H:W,13,FALSE)&gt;0,VLOOKUP(C355,Code!H:W,16,FALSE)=0),"發股息了",AND(VLOOKUP(C355,Code!H:W,13,FALSE)&gt;0,VLOOKUP(C355,Code!H:W,16,FALSE)&gt;0),POWER((VLOOKUP(C355,Code!H:W,13,FALSE))/(VLOOKUP(C355,Code!H:W,16,FALSE)),1/(P355-1))-1)),"")</f>
        <v>8.7156639123557422E-2</v>
      </c>
      <c r="L355" s="173">
        <f>IFERROR(VLOOKUP(C355,Code!H:W,13,FALSE)*4/VLOOKUP(C355,Code!H:W,12,FALSE),"")</f>
        <v>2.527953367596995E-2</v>
      </c>
      <c r="M355" s="172">
        <f t="shared" si="41"/>
        <v>0.17152128163421154</v>
      </c>
      <c r="N355" s="172" t="str">
        <f t="shared" si="42"/>
        <v>-</v>
      </c>
      <c r="O355" s="172" t="str">
        <f t="shared" si="43"/>
        <v>-</v>
      </c>
      <c r="P355" s="205">
        <f>IFERROR(YEARFRAC(VLOOKUP(C355,Code!H:W,11,FALSE),VLOOKUP(C355,Code!H:W,14,FALSE),3),"")</f>
        <v>4.7534246575342465</v>
      </c>
      <c r="Q355" s="174">
        <v>44547</v>
      </c>
      <c r="R355" s="175" t="str">
        <f t="shared" ca="1" si="44"/>
        <v/>
      </c>
      <c r="S355" s="176">
        <f>IFERROR(VLOOKUP($C355,Code!$H:$Q,5,FALSE),"")</f>
        <v>0.26469999999999999</v>
      </c>
      <c r="T355" s="177" t="str">
        <f t="shared" ca="1" si="45"/>
        <v/>
      </c>
      <c r="U355" s="178" t="str">
        <f t="shared" ca="1" si="46"/>
        <v/>
      </c>
      <c r="V355" s="179">
        <f>IFERROR(VLOOKUP($C355,Code!$H:$Q,6,FALSE),"")</f>
        <v>89.33</v>
      </c>
      <c r="W355" s="180" t="str">
        <f t="shared" ca="1" si="47"/>
        <v/>
      </c>
      <c r="X355" s="12"/>
      <c r="Y355" s="12"/>
      <c r="Z355" s="12"/>
      <c r="AA355" s="12"/>
      <c r="AB355" s="12"/>
    </row>
    <row r="356" spans="1:28" s="10" customFormat="1" ht="15" hidden="1">
      <c r="A356" s="9"/>
      <c r="B356" s="169" cm="1">
        <f t="array" ref="B356">_xlfn.IFS(OR(Code!R470&lt;&gt;Code!U470,Code!R470=""),0,Code!R470=Code!U470,1)</f>
        <v>0</v>
      </c>
      <c r="C356" s="193" t="str">
        <f>IF(Code!F470="","",Code!F470)</f>
        <v>VFC</v>
      </c>
      <c r="D356" s="155" t="str">
        <f>IFERROR(VLOOKUP($C356,Code!$H:$K,2,FALSE),"")</f>
        <v>XLY</v>
      </c>
      <c r="E356" s="156" t="str">
        <f>IFERROR(VLOOKUP($C356,Code!$H:$K,3,FALSE),"")</f>
        <v>服裝製造</v>
      </c>
      <c r="F356" s="157" t="str">
        <f>IFERROR(VLOOKUP($C356,Code!$H:$K,4,FALSE),"")</f>
        <v>.SPX</v>
      </c>
      <c r="G356" s="170">
        <f>IFERROR(((VLOOKUP($C356,Code!$H:$Q,9,FALSE))+(VLOOKUP($C356,Code!$H:$Q,10,FALSE)))/2*0.5/(((VLOOKUP($C356,Code!$H:$Q,7,FALSE))+(VLOOKUP($C356,Code!$H:$Q,8,FALSE)))/2),0)</f>
        <v>0.51056237510705116</v>
      </c>
      <c r="H356" s="171" t="str">
        <f t="shared" si="40"/>
        <v>M</v>
      </c>
      <c r="I356" s="170">
        <f>IFERROR((VLOOKUP($C356,Code!$H:$Q,5,FALSE))/(((VLOOKUP($C356,Code!$H:$Q,7,FALSE))+(VLOOKUP($C356,Code!$H:$Q,8,FALSE)))/2)-1,0)</f>
        <v>-0.23551241792749078</v>
      </c>
      <c r="J356" s="204">
        <f>IFERROR(POWER((VLOOKUP(C356,Code!H:W,12,FALSE))/(VLOOKUP(C356,Code!H:W,15,FALSE)),1/(P356-1))-1,"")</f>
        <v>0.12388784192092372</v>
      </c>
      <c r="K356" s="172" cm="1">
        <f t="array" ref="K356">IFERROR(IF(C356="","",_xlfn.IFS(AND(VLOOKUP(C356,Code!H:W,13,FALSE)=0,VLOOKUP(C356,Code!H:W,16,FALSE)=0),"無股息",AND(VLOOKUP(C356,Code!H:W,13,FALSE)=0,VLOOKUP(C356,Code!H:W,16,FALSE)&gt;0),"股息沒了",AND(VLOOKUP(C356,Code!H:W,13,FALSE)&gt;0,VLOOKUP(C356,Code!H:W,16,FALSE)=0),"發股息了",AND(VLOOKUP(C356,Code!H:W,13,FALSE)&gt;0,VLOOKUP(C356,Code!H:W,16,FALSE)&gt;0),POWER((VLOOKUP(C356,Code!H:W,13,FALSE))/(VLOOKUP(C356,Code!H:W,16,FALSE)),1/(P356-1))-1)),"")</f>
        <v>9.5049183411254123E-2</v>
      </c>
      <c r="L356" s="173">
        <f>IFERROR(VLOOKUP(C356,Code!H:W,13,FALSE)*4/VLOOKUP(C356,Code!H:W,12,FALSE),"")</f>
        <v>2.4980882269572804E-2</v>
      </c>
      <c r="M356" s="172">
        <f t="shared" si="41"/>
        <v>0.21893702533217785</v>
      </c>
      <c r="N356" s="172" t="str">
        <f t="shared" si="42"/>
        <v>-</v>
      </c>
      <c r="O356" s="172" t="str">
        <f t="shared" si="43"/>
        <v>-</v>
      </c>
      <c r="P356" s="205">
        <f>IFERROR(YEARFRAC(VLOOKUP(C356,Code!H:W,11,FALSE),VLOOKUP(C356,Code!H:W,14,FALSE),3),"")</f>
        <v>4.7561643835616438</v>
      </c>
      <c r="Q356" s="174">
        <v>44547</v>
      </c>
      <c r="R356" s="175" t="str">
        <f t="shared" ca="1" si="44"/>
        <v/>
      </c>
      <c r="S356" s="176">
        <f>IFERROR(VLOOKUP($C356,Code!$H:$Q,5,FALSE),"")</f>
        <v>0.26779999999999998</v>
      </c>
      <c r="T356" s="177" t="str">
        <f t="shared" ca="1" si="45"/>
        <v/>
      </c>
      <c r="U356" s="178" t="str">
        <f t="shared" ca="1" si="46"/>
        <v/>
      </c>
      <c r="V356" s="179">
        <f>IFERROR(VLOOKUP($C356,Code!$H:$Q,6,FALSE),"")</f>
        <v>81.09</v>
      </c>
      <c r="W356" s="180" t="str">
        <f t="shared" ca="1" si="47"/>
        <v/>
      </c>
      <c r="X356" s="12"/>
      <c r="Y356" s="12"/>
      <c r="Z356" s="12"/>
      <c r="AA356" s="12"/>
      <c r="AB356" s="12"/>
    </row>
    <row r="357" spans="1:28" s="10" customFormat="1" ht="15" hidden="1">
      <c r="A357" s="9"/>
      <c r="B357" s="169" cm="1">
        <f t="array" ref="B357">_xlfn.IFS(OR(Code!R123&lt;&gt;Code!U123,Code!R123=""),0,Code!R123=Code!U123,1)</f>
        <v>0</v>
      </c>
      <c r="C357" s="193" t="str">
        <f>IF(Code!F123="","",Code!F123)</f>
        <v>CTXS</v>
      </c>
      <c r="D357" s="155" t="str">
        <f>IFERROR(VLOOKUP($C357,Code!$H:$K,2,FALSE),"")</f>
        <v>XLK</v>
      </c>
      <c r="E357" s="156" t="str">
        <f>IFERROR(VLOOKUP($C357,Code!$H:$K,3,FALSE),"")</f>
        <v>軟件-應用</v>
      </c>
      <c r="F357" s="157" t="str">
        <f>IFERROR(VLOOKUP($C357,Code!$H:$K,4,FALSE),"")</f>
        <v>.SPX</v>
      </c>
      <c r="G357" s="170">
        <f>IFERROR(((VLOOKUP($C357,Code!$H:$Q,9,FALSE))+(VLOOKUP($C357,Code!$H:$Q,10,FALSE)))/2*0.5/(((VLOOKUP($C357,Code!$H:$Q,7,FALSE))+(VLOOKUP($C357,Code!$H:$Q,8,FALSE)))/2),0)</f>
        <v>0.47918774389362623</v>
      </c>
      <c r="H357" s="171" t="str">
        <f t="shared" si="40"/>
        <v>S</v>
      </c>
      <c r="I357" s="170">
        <f>IFERROR((VLOOKUP($C357,Code!$H:$Q,5,FALSE))/(((VLOOKUP($C357,Code!$H:$Q,7,FALSE))+(VLOOKUP($C357,Code!$H:$Q,8,FALSE)))/2)-1,0)</f>
        <v>-0.23572770631594164</v>
      </c>
      <c r="J357" s="204">
        <f>IFERROR(POWER((VLOOKUP(C357,Code!H:W,12,FALSE))/(VLOOKUP(C357,Code!H:W,15,FALSE)),1/(P357-1))-1,"")</f>
        <v>0.1760188417770292</v>
      </c>
      <c r="K357" s="172" t="str" cm="1">
        <f t="array" ref="K357">IFERROR(IF(C357="","",_xlfn.IFS(AND(VLOOKUP(C357,Code!H:W,13,FALSE)=0,VLOOKUP(C357,Code!H:W,16,FALSE)=0),"無股息",AND(VLOOKUP(C357,Code!H:W,13,FALSE)=0,VLOOKUP(C357,Code!H:W,16,FALSE)&gt;0),"股息沒了",AND(VLOOKUP(C357,Code!H:W,13,FALSE)&gt;0,VLOOKUP(C357,Code!H:W,16,FALSE)=0),"發股息了",AND(VLOOKUP(C357,Code!H:W,13,FALSE)&gt;0,VLOOKUP(C357,Code!H:W,16,FALSE)&gt;0),POWER((VLOOKUP(C357,Code!H:W,13,FALSE))/(VLOOKUP(C357,Code!H:W,16,FALSE)),1/(P357-1))-1)),"")</f>
        <v>發股息了</v>
      </c>
      <c r="L357" s="173">
        <f>IFERROR(VLOOKUP(C357,Code!H:W,13,FALSE)*4/VLOOKUP(C357,Code!H:W,12,FALSE),"")</f>
        <v>1.2473661870768763E-2</v>
      </c>
      <c r="M357" s="172">
        <f t="shared" si="41"/>
        <v>0.1760188417770292</v>
      </c>
      <c r="N357" s="172" t="str">
        <f t="shared" si="42"/>
        <v>-</v>
      </c>
      <c r="O357" s="172" t="str">
        <f t="shared" si="43"/>
        <v/>
      </c>
      <c r="P357" s="205">
        <f>IFERROR(YEARFRAC(VLOOKUP(C357,Code!H:W,11,FALSE),VLOOKUP(C357,Code!H:W,14,FALSE),3),"")</f>
        <v>4.3561643835616435</v>
      </c>
      <c r="Q357" s="174">
        <v>44547</v>
      </c>
      <c r="R357" s="175" t="str">
        <f t="shared" ca="1" si="44"/>
        <v/>
      </c>
      <c r="S357" s="176">
        <f>IFERROR(VLOOKUP($C357,Code!$H:$Q,5,FALSE),"")</f>
        <v>0.26440000000000002</v>
      </c>
      <c r="T357" s="177" t="str">
        <f t="shared" ca="1" si="45"/>
        <v/>
      </c>
      <c r="U357" s="178" t="str">
        <f t="shared" ca="1" si="46"/>
        <v/>
      </c>
      <c r="V357" s="179">
        <f>IFERROR(VLOOKUP($C357,Code!$H:$Q,6,FALSE),"")</f>
        <v>101.51</v>
      </c>
      <c r="W357" s="180" t="str">
        <f t="shared" ca="1" si="47"/>
        <v/>
      </c>
      <c r="X357" s="12"/>
      <c r="Y357" s="12"/>
      <c r="Z357" s="12"/>
      <c r="AA357" s="12"/>
      <c r="AB357" s="12"/>
    </row>
    <row r="358" spans="1:28" s="10" customFormat="1" ht="15" hidden="1">
      <c r="A358" s="9"/>
      <c r="B358" s="169" cm="1">
        <f t="array" ref="B358">_xlfn.IFS(OR(Code!R207&lt;&gt;Code!U207,Code!R207=""),0,Code!R207=Code!U207,1)</f>
        <v>0</v>
      </c>
      <c r="C358" s="193" t="str">
        <f>IF(Code!F207="","",Code!F207)</f>
        <v>GPC</v>
      </c>
      <c r="D358" s="155" t="str">
        <f>IFERROR(VLOOKUP($C358,Code!$H:$K,2,FALSE),"")</f>
        <v>XLY</v>
      </c>
      <c r="E358" s="156" t="str">
        <f>IFERROR(VLOOKUP($C358,Code!$H:$K,3,FALSE),"")</f>
        <v>專業零售</v>
      </c>
      <c r="F358" s="157" t="str">
        <f>IFERROR(VLOOKUP($C358,Code!$H:$K,4,FALSE),"")</f>
        <v>.SPX</v>
      </c>
      <c r="G358" s="170">
        <f>IFERROR(((VLOOKUP($C358,Code!$H:$Q,9,FALSE))+(VLOOKUP($C358,Code!$H:$Q,10,FALSE)))/2*0.5/(((VLOOKUP($C358,Code!$H:$Q,7,FALSE))+(VLOOKUP($C358,Code!$H:$Q,8,FALSE)))/2),0)</f>
        <v>0.54258492129246072</v>
      </c>
      <c r="H358" s="171" t="str">
        <f t="shared" si="40"/>
        <v>M</v>
      </c>
      <c r="I358" s="170">
        <f>IFERROR((VLOOKUP($C358,Code!$H:$Q,5,FALSE))/(((VLOOKUP($C358,Code!$H:$Q,7,FALSE))+(VLOOKUP($C358,Code!$H:$Q,8,FALSE)))/2)-1,0)</f>
        <v>-0.23612261806130885</v>
      </c>
      <c r="J358" s="204">
        <f>IFERROR(POWER((VLOOKUP(C358,Code!H:W,12,FALSE))/(VLOOKUP(C358,Code!H:W,15,FALSE)),1/(P358-1))-1,"")</f>
        <v>0.11205087406929404</v>
      </c>
      <c r="K358" s="172" cm="1">
        <f t="array" ref="K358">IFERROR(IF(C358="","",_xlfn.IFS(AND(VLOOKUP(C358,Code!H:W,13,FALSE)=0,VLOOKUP(C358,Code!H:W,16,FALSE)=0),"無股息",AND(VLOOKUP(C358,Code!H:W,13,FALSE)=0,VLOOKUP(C358,Code!H:W,16,FALSE)&gt;0),"股息沒了",AND(VLOOKUP(C358,Code!H:W,13,FALSE)&gt;0,VLOOKUP(C358,Code!H:W,16,FALSE)=0),"發股息了",AND(VLOOKUP(C358,Code!H:W,13,FALSE)&gt;0,VLOOKUP(C358,Code!H:W,16,FALSE)&gt;0),POWER((VLOOKUP(C358,Code!H:W,13,FALSE))/(VLOOKUP(C358,Code!H:W,16,FALSE)),1/(P358-1))-1)),"")</f>
        <v>5.8887624311683373E-2</v>
      </c>
      <c r="L358" s="173">
        <f>IFERROR(VLOOKUP(C358,Code!H:W,13,FALSE)*4/VLOOKUP(C358,Code!H:W,12,FALSE),"")</f>
        <v>2.5240011672099147E-2</v>
      </c>
      <c r="M358" s="172">
        <f t="shared" si="41"/>
        <v>0.17093849838097741</v>
      </c>
      <c r="N358" s="172" t="str">
        <f t="shared" si="42"/>
        <v>-</v>
      </c>
      <c r="O358" s="172" t="str">
        <f t="shared" si="43"/>
        <v>-</v>
      </c>
      <c r="P358" s="205">
        <f>IFERROR(YEARFRAC(VLOOKUP(C358,Code!H:W,11,FALSE),VLOOKUP(C358,Code!H:W,14,FALSE),3),"")</f>
        <v>4.7397260273972606</v>
      </c>
      <c r="Q358" s="174">
        <v>44547</v>
      </c>
      <c r="R358" s="175" t="str">
        <f t="shared" ca="1" si="44"/>
        <v/>
      </c>
      <c r="S358" s="176">
        <f>IFERROR(VLOOKUP($C358,Code!$H:$Q,5,FALSE),"")</f>
        <v>0.23050000000000001</v>
      </c>
      <c r="T358" s="177" t="str">
        <f t="shared" ca="1" si="45"/>
        <v/>
      </c>
      <c r="U358" s="178" t="str">
        <f t="shared" ca="1" si="46"/>
        <v/>
      </c>
      <c r="V358" s="179">
        <f>IFERROR(VLOOKUP($C358,Code!$H:$Q,6,FALSE),"")</f>
        <v>124.96</v>
      </c>
      <c r="W358" s="180" t="str">
        <f t="shared" ca="1" si="47"/>
        <v/>
      </c>
      <c r="X358" s="12"/>
      <c r="Y358" s="12"/>
      <c r="Z358" s="12"/>
      <c r="AA358" s="12"/>
      <c r="AB358" s="12"/>
    </row>
    <row r="359" spans="1:28" s="10" customFormat="1" ht="15" hidden="1">
      <c r="A359" s="9"/>
      <c r="B359" s="169" cm="1">
        <f t="array" ref="B359">_xlfn.IFS(OR(Code!R338&lt;&gt;Code!U338,Code!R338=""),0,Code!R338=Code!U338,1)</f>
        <v>1</v>
      </c>
      <c r="C359" s="193" t="str">
        <f>IF(Code!F338="","",Code!F338)</f>
        <v>NOW</v>
      </c>
      <c r="D359" s="155" t="str">
        <f>IFERROR(VLOOKUP($C359,Code!$H:$K,2,FALSE),"")</f>
        <v>XLK</v>
      </c>
      <c r="E359" s="156" t="str">
        <f>IFERROR(VLOOKUP($C359,Code!$H:$K,3,FALSE),"")</f>
        <v>軟件-應用</v>
      </c>
      <c r="F359" s="157" t="str">
        <f>IFERROR(VLOOKUP($C359,Code!$H:$K,4,FALSE),"")</f>
        <v>.SPX</v>
      </c>
      <c r="G359" s="170">
        <f>IFERROR(((VLOOKUP($C359,Code!$H:$Q,9,FALSE))+(VLOOKUP($C359,Code!$H:$Q,10,FALSE)))/2*0.5/(((VLOOKUP($C359,Code!$H:$Q,7,FALSE))+(VLOOKUP($C359,Code!$H:$Q,8,FALSE)))/2),0)</f>
        <v>0.57639413631555081</v>
      </c>
      <c r="H359" s="171" t="str">
        <f t="shared" si="40"/>
        <v>M</v>
      </c>
      <c r="I359" s="170">
        <f>IFERROR((VLOOKUP($C359,Code!$H:$Q,5,FALSE))/(((VLOOKUP($C359,Code!$H:$Q,7,FALSE))+(VLOOKUP($C359,Code!$H:$Q,8,FALSE)))/2)-1,0)</f>
        <v>-0.23651201450808523</v>
      </c>
      <c r="J359" s="204" t="str">
        <f>IFERROR(POWER((VLOOKUP(C359,Code!H:W,12,FALSE))/(VLOOKUP(C359,Code!H:W,15,FALSE)),1/(P359-1))-1,"")</f>
        <v/>
      </c>
      <c r="K359" s="172" t="str" cm="1">
        <f t="array" ref="K359">IFERROR(IF(C359="","",_xlfn.IFS(AND(VLOOKUP(C359,Code!H:W,13,FALSE)=0,VLOOKUP(C359,Code!H:W,16,FALSE)=0),"無股息",AND(VLOOKUP(C359,Code!H:W,13,FALSE)=0,VLOOKUP(C359,Code!H:W,16,FALSE)&gt;0),"股息沒了",AND(VLOOKUP(C359,Code!H:W,13,FALSE)&gt;0,VLOOKUP(C359,Code!H:W,16,FALSE)=0),"發股息了",AND(VLOOKUP(C359,Code!H:W,13,FALSE)&gt;0,VLOOKUP(C359,Code!H:W,16,FALSE)&gt;0),POWER((VLOOKUP(C359,Code!H:W,13,FALSE))/(VLOOKUP(C359,Code!H:W,16,FALSE)),1/(P359-1))-1)),"")</f>
        <v>無股息</v>
      </c>
      <c r="L359" s="173" t="str">
        <f>IFERROR(VLOOKUP(C359,Code!H:W,13,FALSE)*4/VLOOKUP(C359,Code!H:W,12,FALSE),"")</f>
        <v/>
      </c>
      <c r="M359" s="172" t="str">
        <f t="shared" si="41"/>
        <v/>
      </c>
      <c r="N359" s="172" t="str">
        <f t="shared" si="42"/>
        <v/>
      </c>
      <c r="O359" s="172" t="str">
        <f t="shared" si="43"/>
        <v/>
      </c>
      <c r="P359" s="205">
        <f>IFERROR(YEARFRAC(VLOOKUP(C359,Code!H:W,11,FALSE),VLOOKUP(C359,Code!H:W,14,FALSE),3),"")</f>
        <v>0</v>
      </c>
      <c r="Q359" s="174">
        <v>44547</v>
      </c>
      <c r="R359" s="175" t="str">
        <f t="shared" ca="1" si="44"/>
        <v/>
      </c>
      <c r="S359" s="176">
        <f>IFERROR(VLOOKUP($C359,Code!$H:$Q,5,FALSE),"")</f>
        <v>0.25259999999999999</v>
      </c>
      <c r="T359" s="177" t="str">
        <f t="shared" ca="1" si="45"/>
        <v/>
      </c>
      <c r="U359" s="178" t="str">
        <f t="shared" ca="1" si="46"/>
        <v/>
      </c>
      <c r="V359" s="179">
        <f>IFERROR(VLOOKUP($C359,Code!$H:$Q,6,FALSE),"")</f>
        <v>595.5</v>
      </c>
      <c r="W359" s="180" t="str">
        <f t="shared" ca="1" si="47"/>
        <v/>
      </c>
      <c r="X359" s="12"/>
      <c r="Y359" s="12"/>
      <c r="Z359" s="12"/>
      <c r="AA359" s="12"/>
      <c r="AB359" s="12"/>
    </row>
    <row r="360" spans="1:28" s="10" customFormat="1" ht="15" hidden="1">
      <c r="A360" s="9"/>
      <c r="B360" s="169" cm="1">
        <f t="array" ref="B360">_xlfn.IFS(OR(Code!R447&lt;&gt;Code!U447,Code!R447=""),0,Code!R447=Code!U447,1)</f>
        <v>0</v>
      </c>
      <c r="C360" s="193" t="str">
        <f>IF(Code!F447="","",Code!F447)</f>
        <v>TRV</v>
      </c>
      <c r="D360" s="155" t="str">
        <f>IFERROR(VLOOKUP($C360,Code!$H:$K,2,FALSE),"")</f>
        <v>XLF</v>
      </c>
      <c r="E360" s="156" t="str">
        <f>IFERROR(VLOOKUP($C360,Code!$H:$K,3,FALSE),"")</f>
        <v>保險-財產及意外事故</v>
      </c>
      <c r="F360" s="157" t="str">
        <f>IFERROR(VLOOKUP($C360,Code!$H:$K,4,FALSE),"")</f>
        <v>.SPX</v>
      </c>
      <c r="G360" s="170">
        <f>IFERROR(((VLOOKUP($C360,Code!$H:$Q,9,FALSE))+(VLOOKUP($C360,Code!$H:$Q,10,FALSE)))/2*0.5/(((VLOOKUP($C360,Code!$H:$Q,7,FALSE))+(VLOOKUP($C360,Code!$H:$Q,8,FALSE)))/2),0)</f>
        <v>0.53430831493745401</v>
      </c>
      <c r="H360" s="171" t="str">
        <f t="shared" si="40"/>
        <v>M</v>
      </c>
      <c r="I360" s="170">
        <f>IFERROR((VLOOKUP($C360,Code!$H:$Q,5,FALSE))/(((VLOOKUP($C360,Code!$H:$Q,7,FALSE))+(VLOOKUP($C360,Code!$H:$Q,8,FALSE)))/2)-1,0)</f>
        <v>-0.23693892568064745</v>
      </c>
      <c r="J360" s="204">
        <f>IFERROR(POWER((VLOOKUP(C360,Code!H:W,12,FALSE))/(VLOOKUP(C360,Code!H:W,15,FALSE)),1/(P360-1))-1,"")</f>
        <v>0.1058859727963648</v>
      </c>
      <c r="K360" s="172" cm="1">
        <f t="array" ref="K360">IFERROR(IF(C360="","",_xlfn.IFS(AND(VLOOKUP(C360,Code!H:W,13,FALSE)=0,VLOOKUP(C360,Code!H:W,16,FALSE)=0),"無股息",AND(VLOOKUP(C360,Code!H:W,13,FALSE)=0,VLOOKUP(C360,Code!H:W,16,FALSE)&gt;0),"股息沒了",AND(VLOOKUP(C360,Code!H:W,13,FALSE)&gt;0,VLOOKUP(C360,Code!H:W,16,FALSE)=0),"發股息了",AND(VLOOKUP(C360,Code!H:W,13,FALSE)&gt;0,VLOOKUP(C360,Code!H:W,16,FALSE)&gt;0),POWER((VLOOKUP(C360,Code!H:W,13,FALSE))/(VLOOKUP(C360,Code!H:W,16,FALSE)),1/(P360-1))-1)),"")</f>
        <v>7.528506112540434E-2</v>
      </c>
      <c r="L360" s="173">
        <f>IFERROR(VLOOKUP(C360,Code!H:W,13,FALSE)*4/VLOOKUP(C360,Code!H:W,12,FALSE),"")</f>
        <v>2.274783427066315E-2</v>
      </c>
      <c r="M360" s="172">
        <f t="shared" si="41"/>
        <v>0.18117103392176914</v>
      </c>
      <c r="N360" s="172" t="str">
        <f t="shared" si="42"/>
        <v>-</v>
      </c>
      <c r="O360" s="172" t="str">
        <f t="shared" si="43"/>
        <v>-</v>
      </c>
      <c r="P360" s="205">
        <f>IFERROR(YEARFRAC(VLOOKUP(C360,Code!H:W,11,FALSE),VLOOKUP(C360,Code!H:W,14,FALSE),3),"")</f>
        <v>4.7561643835616438</v>
      </c>
      <c r="Q360" s="174">
        <v>44547</v>
      </c>
      <c r="R360" s="175" t="str">
        <f t="shared" ca="1" si="44"/>
        <v/>
      </c>
      <c r="S360" s="176">
        <f>IFERROR(VLOOKUP($C360,Code!$H:$Q,5,FALSE),"")</f>
        <v>0.2074</v>
      </c>
      <c r="T360" s="177" t="str">
        <f t="shared" ca="1" si="45"/>
        <v/>
      </c>
      <c r="U360" s="178" t="str">
        <f t="shared" ca="1" si="46"/>
        <v/>
      </c>
      <c r="V360" s="179">
        <f>IFERROR(VLOOKUP($C360,Code!$H:$Q,6,FALSE),"")</f>
        <v>152.22999999999999</v>
      </c>
      <c r="W360" s="180" t="str">
        <f t="shared" ca="1" si="47"/>
        <v/>
      </c>
      <c r="X360" s="12"/>
      <c r="Y360" s="12"/>
      <c r="Z360" s="12"/>
      <c r="AA360" s="12"/>
      <c r="AB360" s="12"/>
    </row>
    <row r="361" spans="1:28" s="10" customFormat="1" ht="15" hidden="1">
      <c r="A361" s="9"/>
      <c r="B361" s="169" cm="1">
        <f t="array" ref="B361">_xlfn.IFS(OR(Code!R308&lt;&gt;Code!U308,Code!R308=""),0,Code!R308=Code!U308,1)</f>
        <v>0</v>
      </c>
      <c r="C361" s="193" t="str">
        <f>IF(Code!F308="","",Code!F308)</f>
        <v>MLM</v>
      </c>
      <c r="D361" s="155" t="str">
        <f>IFERROR(VLOOKUP($C361,Code!$H:$K,2,FALSE),"")</f>
        <v>XLB</v>
      </c>
      <c r="E361" s="156" t="str">
        <f>IFERROR(VLOOKUP($C361,Code!$H:$K,3,FALSE),"")</f>
        <v>建築材料</v>
      </c>
      <c r="F361" s="157" t="str">
        <f>IFERROR(VLOOKUP($C361,Code!$H:$K,4,FALSE),"")</f>
        <v>.SPX</v>
      </c>
      <c r="G361" s="170">
        <f>IFERROR(((VLOOKUP($C361,Code!$H:$Q,9,FALSE))+(VLOOKUP($C361,Code!$H:$Q,10,FALSE)))/2*0.5/(((VLOOKUP($C361,Code!$H:$Q,7,FALSE))+(VLOOKUP($C361,Code!$H:$Q,8,FALSE)))/2),0)</f>
        <v>0.53317570563026451</v>
      </c>
      <c r="H361" s="171" t="str">
        <f t="shared" si="40"/>
        <v>M</v>
      </c>
      <c r="I361" s="170">
        <f>IFERROR((VLOOKUP($C361,Code!$H:$Q,5,FALSE))/(((VLOOKUP($C361,Code!$H:$Q,7,FALSE))+(VLOOKUP($C361,Code!$H:$Q,8,FALSE)))/2)-1,0)</f>
        <v>-0.23836264223437287</v>
      </c>
      <c r="J361" s="204">
        <f>IFERROR(POWER((VLOOKUP(C361,Code!H:W,12,FALSE))/(VLOOKUP(C361,Code!H:W,15,FALSE)),1/(P361-1))-1,"")</f>
        <v>0.20436694606179184</v>
      </c>
      <c r="K361" s="172" cm="1">
        <f t="array" ref="K361">IFERROR(IF(C361="","",_xlfn.IFS(AND(VLOOKUP(C361,Code!H:W,13,FALSE)=0,VLOOKUP(C361,Code!H:W,16,FALSE)=0),"無股息",AND(VLOOKUP(C361,Code!H:W,13,FALSE)=0,VLOOKUP(C361,Code!H:W,16,FALSE)&gt;0),"股息沒了",AND(VLOOKUP(C361,Code!H:W,13,FALSE)&gt;0,VLOOKUP(C361,Code!H:W,16,FALSE)=0),"發股息了",AND(VLOOKUP(C361,Code!H:W,13,FALSE)&gt;0,VLOOKUP(C361,Code!H:W,16,FALSE)&gt;0),POWER((VLOOKUP(C361,Code!H:W,13,FALSE))/(VLOOKUP(C361,Code!H:W,16,FALSE)),1/(P361-1))-1)),"")</f>
        <v>8.495591820076287E-2</v>
      </c>
      <c r="L361" s="173">
        <f>IFERROR(VLOOKUP(C361,Code!H:W,13,FALSE)*4/VLOOKUP(C361,Code!H:W,12,FALSE),"")</f>
        <v>6.2697649890488408E-3</v>
      </c>
      <c r="M361" s="172">
        <f t="shared" si="41"/>
        <v>0.28932286426255471</v>
      </c>
      <c r="N361" s="172" t="str">
        <f t="shared" si="42"/>
        <v>-</v>
      </c>
      <c r="O361" s="172" t="str">
        <f t="shared" si="43"/>
        <v>-</v>
      </c>
      <c r="P361" s="205">
        <f>IFERROR(YEARFRAC(VLOOKUP(C361,Code!H:W,11,FALSE),VLOOKUP(C361,Code!H:W,14,FALSE),3),"")</f>
        <v>4.7452054794520544</v>
      </c>
      <c r="Q361" s="174">
        <v>44547</v>
      </c>
      <c r="R361" s="175" t="str">
        <f t="shared" ca="1" si="44"/>
        <v/>
      </c>
      <c r="S361" s="176">
        <f>IFERROR(VLOOKUP($C361,Code!$H:$Q,5,FALSE),"")</f>
        <v>0.25769999999999998</v>
      </c>
      <c r="T361" s="177" t="str">
        <f t="shared" ca="1" si="45"/>
        <v/>
      </c>
      <c r="U361" s="178" t="str">
        <f t="shared" ca="1" si="46"/>
        <v/>
      </c>
      <c r="V361" s="179">
        <f>IFERROR(VLOOKUP($C361,Code!$H:$Q,6,FALSE),"")</f>
        <v>367.07</v>
      </c>
      <c r="W361" s="180" t="str">
        <f t="shared" ca="1" si="47"/>
        <v/>
      </c>
      <c r="X361" s="12"/>
      <c r="Y361" s="12"/>
      <c r="Z361" s="12"/>
      <c r="AA361" s="12"/>
      <c r="AB361" s="12"/>
    </row>
    <row r="362" spans="1:28" s="10" customFormat="1" ht="15" hidden="1">
      <c r="A362" s="9"/>
      <c r="B362" s="169" cm="1">
        <f t="array" ref="B362">_xlfn.IFS(OR(Code!R502&lt;&gt;Code!U502,Code!R502=""),0,Code!R502=Code!U502,1)</f>
        <v>0</v>
      </c>
      <c r="C362" s="193" t="str">
        <f>IF(Code!F502="","",Code!F502)</f>
        <v>XRAY</v>
      </c>
      <c r="D362" s="155" t="str">
        <f>IFERROR(VLOOKUP($C362,Code!$H:$K,2,FALSE),"")</f>
        <v>XLV</v>
      </c>
      <c r="E362" s="156" t="str">
        <f>IFERROR(VLOOKUP($C362,Code!$H:$K,3,FALSE),"")</f>
        <v>醫療器械及用品</v>
      </c>
      <c r="F362" s="157" t="str">
        <f>IFERROR(VLOOKUP($C362,Code!$H:$K,4,FALSE),"")</f>
        <v>.SPX</v>
      </c>
      <c r="G362" s="170">
        <f>IFERROR(((VLOOKUP($C362,Code!$H:$Q,9,FALSE))+(VLOOKUP($C362,Code!$H:$Q,10,FALSE)))/2*0.5/(((VLOOKUP($C362,Code!$H:$Q,7,FALSE))+(VLOOKUP($C362,Code!$H:$Q,8,FALSE)))/2),0)</f>
        <v>0.50292955443520915</v>
      </c>
      <c r="H362" s="171" t="str">
        <f t="shared" si="40"/>
        <v>M</v>
      </c>
      <c r="I362" s="170">
        <f>IFERROR((VLOOKUP($C362,Code!$H:$Q,5,FALSE))/(((VLOOKUP($C362,Code!$H:$Q,7,FALSE))+(VLOOKUP($C362,Code!$H:$Q,8,FALSE)))/2)-1,0)</f>
        <v>-0.23967843030385605</v>
      </c>
      <c r="J362" s="204">
        <f>IFERROR(POWER((VLOOKUP(C362,Code!H:W,12,FALSE))/(VLOOKUP(C362,Code!H:W,15,FALSE)),1/(P362-1))-1,"")</f>
        <v>2.7677054793178835E-2</v>
      </c>
      <c r="K362" s="172" cm="1">
        <f t="array" ref="K362">IFERROR(IF(C362="","",_xlfn.IFS(AND(VLOOKUP(C362,Code!H:W,13,FALSE)=0,VLOOKUP(C362,Code!H:W,16,FALSE)=0),"無股息",AND(VLOOKUP(C362,Code!H:W,13,FALSE)=0,VLOOKUP(C362,Code!H:W,16,FALSE)&gt;0),"股息沒了",AND(VLOOKUP(C362,Code!H:W,13,FALSE)&gt;0,VLOOKUP(C362,Code!H:W,16,FALSE)=0),"發股息了",AND(VLOOKUP(C362,Code!H:W,13,FALSE)&gt;0,VLOOKUP(C362,Code!H:W,16,FALSE)&gt;0),POWER((VLOOKUP(C362,Code!H:W,13,FALSE))/(VLOOKUP(C362,Code!H:W,16,FALSE)),1/(P362-1))-1)),"")</f>
        <v>9.628178404200205E-2</v>
      </c>
      <c r="L362" s="173">
        <f>IFERROR(VLOOKUP(C362,Code!H:W,13,FALSE)*4/VLOOKUP(C362,Code!H:W,12,FALSE),"")</f>
        <v>6.8997960928575269E-3</v>
      </c>
      <c r="M362" s="172">
        <f t="shared" si="41"/>
        <v>0.12395883883518088</v>
      </c>
      <c r="N362" s="172" t="str">
        <f t="shared" si="42"/>
        <v>-</v>
      </c>
      <c r="O362" s="172" t="str">
        <f t="shared" si="43"/>
        <v>-</v>
      </c>
      <c r="P362" s="205">
        <f>IFERROR(YEARFRAC(VLOOKUP(C362,Code!H:W,11,FALSE),VLOOKUP(C362,Code!H:W,14,FALSE),3),"")</f>
        <v>4.7397260273972606</v>
      </c>
      <c r="Q362" s="174">
        <v>44547</v>
      </c>
      <c r="R362" s="175" t="str">
        <f t="shared" ca="1" si="44"/>
        <v/>
      </c>
      <c r="S362" s="176">
        <f>IFERROR(VLOOKUP($C362,Code!$H:$Q,5,FALSE),"")</f>
        <v>0.27900000000000003</v>
      </c>
      <c r="T362" s="177" t="str">
        <f t="shared" ca="1" si="45"/>
        <v/>
      </c>
      <c r="U362" s="178" t="str">
        <f t="shared" ca="1" si="46"/>
        <v/>
      </c>
      <c r="V362" s="179">
        <f>IFERROR(VLOOKUP($C362,Code!$H:$Q,6,FALSE),"")</f>
        <v>59.29</v>
      </c>
      <c r="W362" s="180" t="str">
        <f t="shared" ca="1" si="47"/>
        <v/>
      </c>
      <c r="X362" s="12"/>
      <c r="Y362" s="12"/>
      <c r="Z362" s="12"/>
      <c r="AA362" s="12"/>
      <c r="AB362" s="12"/>
    </row>
    <row r="363" spans="1:28" s="10" customFormat="1" ht="15" hidden="1">
      <c r="A363" s="9"/>
      <c r="B363" s="169" cm="1">
        <f t="array" ref="B363">_xlfn.IFS(OR(Code!R433&lt;&gt;Code!U433,Code!R433=""),0,Code!R433=Code!U433,1)</f>
        <v>0</v>
      </c>
      <c r="C363" s="193" t="str">
        <f>IF(Code!F433="","",Code!F433)</f>
        <v>TAP</v>
      </c>
      <c r="D363" s="155" t="str">
        <f>IFERROR(VLOOKUP($C363,Code!$H:$K,2,FALSE),"")</f>
        <v>XLP</v>
      </c>
      <c r="E363" s="156" t="str">
        <f>IFERROR(VLOOKUP($C363,Code!$H:$K,3,FALSE),"")</f>
        <v>飲料-啤酒</v>
      </c>
      <c r="F363" s="157" t="str">
        <f>IFERROR(VLOOKUP($C363,Code!$H:$K,4,FALSE),"")</f>
        <v>.SPX</v>
      </c>
      <c r="G363" s="170">
        <f>IFERROR(((VLOOKUP($C363,Code!$H:$Q,9,FALSE))+(VLOOKUP($C363,Code!$H:$Q,10,FALSE)))/2*0.5/(((VLOOKUP($C363,Code!$H:$Q,7,FALSE))+(VLOOKUP($C363,Code!$H:$Q,8,FALSE)))/2),0)</f>
        <v>0.58430949445129465</v>
      </c>
      <c r="H363" s="171" t="str">
        <f t="shared" si="40"/>
        <v>M</v>
      </c>
      <c r="I363" s="170">
        <f>IFERROR((VLOOKUP($C363,Code!$H:$Q,5,FALSE))/(((VLOOKUP($C363,Code!$H:$Q,7,FALSE))+(VLOOKUP($C363,Code!$H:$Q,8,FALSE)))/2)-1,0)</f>
        <v>-0.2410604192355118</v>
      </c>
      <c r="J363" s="204">
        <f>IFERROR(POWER((VLOOKUP(C363,Code!H:W,12,FALSE))/(VLOOKUP(C363,Code!H:W,15,FALSE)),1/(P363-1))-1,"")</f>
        <v>-0.23372677272454889</v>
      </c>
      <c r="K363" s="172" cm="1">
        <f t="array" ref="K363">IFERROR(IF(C363="","",_xlfn.IFS(AND(VLOOKUP(C363,Code!H:W,13,FALSE)=0,VLOOKUP(C363,Code!H:W,16,FALSE)=0),"無股息",AND(VLOOKUP(C363,Code!H:W,13,FALSE)=0,VLOOKUP(C363,Code!H:W,16,FALSE)&gt;0),"股息沒了",AND(VLOOKUP(C363,Code!H:W,13,FALSE)&gt;0,VLOOKUP(C363,Code!H:W,16,FALSE)=0),"發股息了",AND(VLOOKUP(C363,Code!H:W,13,FALSE)&gt;0,VLOOKUP(C363,Code!H:W,16,FALSE)&gt;0),POWER((VLOOKUP(C363,Code!H:W,13,FALSE))/(VLOOKUP(C363,Code!H:W,16,FALSE)),1/(P363-1))-1)),"")</f>
        <v>0.13964554856969769</v>
      </c>
      <c r="L363" s="173">
        <f>IFERROR(VLOOKUP(C363,Code!H:W,13,FALSE)*4/VLOOKUP(C363,Code!H:W,12,FALSE),"")</f>
        <v>4.7460448720829794E-2</v>
      </c>
      <c r="M363" s="172">
        <f t="shared" si="41"/>
        <v>-9.4081224154851206E-2</v>
      </c>
      <c r="N363" s="172" t="str">
        <f t="shared" si="42"/>
        <v>Venture</v>
      </c>
      <c r="O363" s="172" t="str">
        <f t="shared" si="43"/>
        <v>-</v>
      </c>
      <c r="P363" s="205">
        <f>IFERROR(YEARFRAC(VLOOKUP(C363,Code!H:W,11,FALSE),VLOOKUP(C363,Code!H:W,14,FALSE),3),"")</f>
        <v>3.5205479452054793</v>
      </c>
      <c r="Q363" s="174">
        <v>44547</v>
      </c>
      <c r="R363" s="175" t="str">
        <f t="shared" ca="1" si="44"/>
        <v/>
      </c>
      <c r="S363" s="176">
        <f>IFERROR(VLOOKUP($C363,Code!$H:$Q,5,FALSE),"")</f>
        <v>0.2462</v>
      </c>
      <c r="T363" s="177" t="str">
        <f t="shared" ca="1" si="45"/>
        <v/>
      </c>
      <c r="U363" s="178" t="str">
        <f t="shared" ca="1" si="46"/>
        <v/>
      </c>
      <c r="V363" s="179">
        <f>IFERROR(VLOOKUP($C363,Code!$H:$Q,6,FALSE),"")</f>
        <v>49.16</v>
      </c>
      <c r="W363" s="180" t="str">
        <f t="shared" ca="1" si="47"/>
        <v/>
      </c>
      <c r="X363" s="12"/>
      <c r="Y363" s="12"/>
      <c r="Z363" s="12"/>
      <c r="AA363" s="12"/>
      <c r="AB363" s="12"/>
    </row>
    <row r="364" spans="1:28" s="10" customFormat="1" ht="15" hidden="1">
      <c r="A364" s="9"/>
      <c r="B364" s="169" cm="1">
        <f t="array" ref="B364">_xlfn.IFS(OR(Code!R124&lt;&gt;Code!U124,Code!R124=""),0,Code!R124=Code!U124,1)</f>
        <v>0</v>
      </c>
      <c r="C364" s="193" t="str">
        <f>IF(Code!F124="","",Code!F124)</f>
        <v>CVS</v>
      </c>
      <c r="D364" s="155" t="str">
        <f>IFERROR(VLOOKUP($C364,Code!$H:$K,2,FALSE),"")</f>
        <v>XLV</v>
      </c>
      <c r="E364" s="156" t="str">
        <f>IFERROR(VLOOKUP($C364,Code!$H:$K,3,FALSE),"")</f>
        <v>醫療保健計劃</v>
      </c>
      <c r="F364" s="157" t="str">
        <f>IFERROR(VLOOKUP($C364,Code!$H:$K,4,FALSE),"")</f>
        <v>.SPX</v>
      </c>
      <c r="G364" s="170">
        <f>IFERROR(((VLOOKUP($C364,Code!$H:$Q,9,FALSE))+(VLOOKUP($C364,Code!$H:$Q,10,FALSE)))/2*0.5/(((VLOOKUP($C364,Code!$H:$Q,7,FALSE))+(VLOOKUP($C364,Code!$H:$Q,8,FALSE)))/2),0)</f>
        <v>0.50299708854255865</v>
      </c>
      <c r="H364" s="171" t="str">
        <f t="shared" si="40"/>
        <v>M</v>
      </c>
      <c r="I364" s="170">
        <f>IFERROR((VLOOKUP($C364,Code!$H:$Q,5,FALSE))/(((VLOOKUP($C364,Code!$H:$Q,7,FALSE))+(VLOOKUP($C364,Code!$H:$Q,8,FALSE)))/2)-1,0)</f>
        <v>-0.24130844322657985</v>
      </c>
      <c r="J364" s="204">
        <f>IFERROR(POWER((VLOOKUP(C364,Code!H:W,12,FALSE))/(VLOOKUP(C364,Code!H:W,15,FALSE)),1/(P364-1))-1,"")</f>
        <v>2.2317585060570355E-2</v>
      </c>
      <c r="K364" s="172" cm="1">
        <f t="array" ref="K364">IFERROR(IF(C364="","",_xlfn.IFS(AND(VLOOKUP(C364,Code!H:W,13,FALSE)=0,VLOOKUP(C364,Code!H:W,16,FALSE)=0),"無股息",AND(VLOOKUP(C364,Code!H:W,13,FALSE)=0,VLOOKUP(C364,Code!H:W,16,FALSE)&gt;0),"股息沒了",AND(VLOOKUP(C364,Code!H:W,13,FALSE)&gt;0,VLOOKUP(C364,Code!H:W,16,FALSE)=0),"發股息了",AND(VLOOKUP(C364,Code!H:W,13,FALSE)&gt;0,VLOOKUP(C364,Code!H:W,16,FALSE)&gt;0),POWER((VLOOKUP(C364,Code!H:W,13,FALSE))/(VLOOKUP(C364,Code!H:W,16,FALSE)),1/(P364-1))-1)),"")</f>
        <v>4.4216931785041602E-2</v>
      </c>
      <c r="L364" s="173">
        <f>IFERROR(VLOOKUP(C364,Code!H:W,13,FALSE)*4/VLOOKUP(C364,Code!H:W,12,FALSE),"")</f>
        <v>2.4204284962834999E-2</v>
      </c>
      <c r="M364" s="172">
        <f t="shared" si="41"/>
        <v>6.6534516845611957E-2</v>
      </c>
      <c r="N364" s="172" t="str">
        <f t="shared" si="42"/>
        <v>-</v>
      </c>
      <c r="O364" s="172" t="str">
        <f t="shared" si="43"/>
        <v>-</v>
      </c>
      <c r="P364" s="205">
        <f>IFERROR(YEARFRAC(VLOOKUP(C364,Code!H:W,11,FALSE),VLOOKUP(C364,Code!H:W,14,FALSE),3),"")</f>
        <v>4.7561643835616438</v>
      </c>
      <c r="Q364" s="174">
        <v>44547</v>
      </c>
      <c r="R364" s="175" t="str">
        <f t="shared" ca="1" si="44"/>
        <v/>
      </c>
      <c r="S364" s="176">
        <f>IFERROR(VLOOKUP($C364,Code!$H:$Q,5,FALSE),"")</f>
        <v>0.2215</v>
      </c>
      <c r="T364" s="177" t="str">
        <f t="shared" ca="1" si="45"/>
        <v/>
      </c>
      <c r="U364" s="178" t="str">
        <f t="shared" ca="1" si="46"/>
        <v/>
      </c>
      <c r="V364" s="179">
        <f>IFERROR(VLOOKUP($C364,Code!$H:$Q,6,FALSE),"")</f>
        <v>80.95</v>
      </c>
      <c r="W364" s="180" t="str">
        <f t="shared" ca="1" si="47"/>
        <v/>
      </c>
      <c r="X364" s="12"/>
      <c r="Y364" s="12"/>
      <c r="Z364" s="12"/>
      <c r="AA364" s="12"/>
      <c r="AB364" s="12"/>
    </row>
    <row r="365" spans="1:28" s="10" customFormat="1" ht="15" hidden="1">
      <c r="A365" s="9"/>
      <c r="B365" s="169" cm="1">
        <f t="array" ref="B365">_xlfn.IFS(OR(Code!R416&lt;&gt;Code!U416,Code!R416=""),0,Code!R416=Code!U416,1)</f>
        <v>0</v>
      </c>
      <c r="C365" s="193" t="str">
        <f>IF(Code!F416="","",Code!F416)</f>
        <v>SLB</v>
      </c>
      <c r="D365" s="155" t="str">
        <f>IFERROR(VLOOKUP($C365,Code!$H:$K,2,FALSE),"")</f>
        <v>XLE</v>
      </c>
      <c r="E365" s="156" t="str">
        <f>IFERROR(VLOOKUP($C365,Code!$H:$K,3,FALSE),"")</f>
        <v>石油和天然氣設備和服務</v>
      </c>
      <c r="F365" s="157" t="str">
        <f>IFERROR(VLOOKUP($C365,Code!$H:$K,4,FALSE),"")</f>
        <v>.SPX</v>
      </c>
      <c r="G365" s="170">
        <f>IFERROR(((VLOOKUP($C365,Code!$H:$Q,9,FALSE))+(VLOOKUP($C365,Code!$H:$Q,10,FALSE)))/2*0.5/(((VLOOKUP($C365,Code!$H:$Q,7,FALSE))+(VLOOKUP($C365,Code!$H:$Q,8,FALSE)))/2),0)</f>
        <v>0.45728620502621586</v>
      </c>
      <c r="H365" s="171" t="str">
        <f t="shared" si="40"/>
        <v>S</v>
      </c>
      <c r="I365" s="170">
        <f>IFERROR((VLOOKUP($C365,Code!$H:$Q,5,FALSE))/(((VLOOKUP($C365,Code!$H:$Q,7,FALSE))+(VLOOKUP($C365,Code!$H:$Q,8,FALSE)))/2)-1,0)</f>
        <v>-0.24154764057132516</v>
      </c>
      <c r="J365" s="204">
        <f>IFERROR(POWER((VLOOKUP(C365,Code!H:W,12,FALSE))/(VLOOKUP(C365,Code!H:W,15,FALSE)),1/(P365-1))-1,"")</f>
        <v>-0.1711508004705885</v>
      </c>
      <c r="K365" s="172" cm="1">
        <f t="array" ref="K365">IFERROR(IF(C365="","",_xlfn.IFS(AND(VLOOKUP(C365,Code!H:W,13,FALSE)=0,VLOOKUP(C365,Code!H:W,16,FALSE)=0),"無股息",AND(VLOOKUP(C365,Code!H:W,13,FALSE)=0,VLOOKUP(C365,Code!H:W,16,FALSE)&gt;0),"股息沒了",AND(VLOOKUP(C365,Code!H:W,13,FALSE)&gt;0,VLOOKUP(C365,Code!H:W,16,FALSE)=0),"發股息了",AND(VLOOKUP(C365,Code!H:W,13,FALSE)&gt;0,VLOOKUP(C365,Code!H:W,16,FALSE)&gt;0),POWER((VLOOKUP(C365,Code!H:W,13,FALSE))/(VLOOKUP(C365,Code!H:W,16,FALSE)),1/(P365-1))-1)),"")</f>
        <v>-0.30918358515576405</v>
      </c>
      <c r="L365" s="173">
        <f>IFERROR(VLOOKUP(C365,Code!H:W,13,FALSE)*4/VLOOKUP(C365,Code!H:W,12,FALSE),"")</f>
        <v>1.5183722908177853E-2</v>
      </c>
      <c r="M365" s="172">
        <f t="shared" si="41"/>
        <v>-0.48033438562635256</v>
      </c>
      <c r="N365" s="172" t="str">
        <f t="shared" si="42"/>
        <v>-</v>
      </c>
      <c r="O365" s="172" t="str">
        <f t="shared" si="43"/>
        <v>-</v>
      </c>
      <c r="P365" s="205">
        <f>IFERROR(YEARFRAC(VLOOKUP(C365,Code!H:W,11,FALSE),VLOOKUP(C365,Code!H:W,14,FALSE),3),"")</f>
        <v>4.7479452054794518</v>
      </c>
      <c r="Q365" s="174">
        <v>44547</v>
      </c>
      <c r="R365" s="175" t="str">
        <f t="shared" ca="1" si="44"/>
        <v/>
      </c>
      <c r="S365" s="176">
        <f>IFERROR(VLOOKUP($C365,Code!$H:$Q,5,FALSE),"")</f>
        <v>0.41949999999999998</v>
      </c>
      <c r="T365" s="177" t="str">
        <f t="shared" ca="1" si="45"/>
        <v/>
      </c>
      <c r="U365" s="178" t="str">
        <f t="shared" ca="1" si="46"/>
        <v/>
      </c>
      <c r="V365" s="179">
        <f>IFERROR(VLOOKUP($C365,Code!$H:$Q,6,FALSE),"")</f>
        <v>28.6</v>
      </c>
      <c r="W365" s="180" t="str">
        <f t="shared" ca="1" si="47"/>
        <v/>
      </c>
      <c r="X365" s="12"/>
      <c r="Y365" s="12"/>
      <c r="Z365" s="12"/>
      <c r="AA365" s="12"/>
      <c r="AB365" s="12"/>
    </row>
    <row r="366" spans="1:28" s="10" customFormat="1" ht="15">
      <c r="A366" s="9"/>
      <c r="B366" s="169" cm="1">
        <f t="array" ref="B366">_xlfn.IFS(OR(Code!R192&lt;&gt;Code!U192,Code!R192=""),0,Code!R192=Code!U192,1)</f>
        <v>0</v>
      </c>
      <c r="C366" s="193" t="str">
        <f>IF(Code!F192="","",Code!F192)</f>
        <v>FOXA</v>
      </c>
      <c r="D366" s="155" t="str">
        <f>IFERROR(VLOOKUP($C366,Code!$H:$K,2,FALSE),"")</f>
        <v>XLC</v>
      </c>
      <c r="E366" s="156" t="str">
        <f>IFERROR(VLOOKUP($C366,Code!$H:$K,3,FALSE),"")</f>
        <v>廣播</v>
      </c>
      <c r="F366" s="157" t="str">
        <f>IFERROR(VLOOKUP($C366,Code!$H:$K,4,FALSE),"")</f>
        <v>.SPX</v>
      </c>
      <c r="G366" s="170">
        <f>IFERROR(((VLOOKUP($C366,Code!$H:$Q,9,FALSE))+(VLOOKUP($C366,Code!$H:$Q,10,FALSE)))/2*0.5/(((VLOOKUP($C366,Code!$H:$Q,7,FALSE))+(VLOOKUP($C366,Code!$H:$Q,8,FALSE)))/2),0)</f>
        <v>0.62946373024760482</v>
      </c>
      <c r="H366" s="171" t="str">
        <f t="shared" si="40"/>
        <v>L</v>
      </c>
      <c r="I366" s="170">
        <f>IFERROR((VLOOKUP($C366,Code!$H:$Q,5,FALSE))/(((VLOOKUP($C366,Code!$H:$Q,7,FALSE))+(VLOOKUP($C366,Code!$H:$Q,8,FALSE)))/2)-1,0)</f>
        <v>-0.24175687445564253</v>
      </c>
      <c r="J366" s="204">
        <f>IFERROR(POWER((VLOOKUP(C366,Code!H:W,12,FALSE))/(VLOOKUP(C366,Code!H:W,15,FALSE)),1/(P366-1))-1,"")</f>
        <v>0.13802024943454128</v>
      </c>
      <c r="K366" s="172" cm="1">
        <f t="array" ref="K366">IFERROR(IF(C366="","",_xlfn.IFS(AND(VLOOKUP(C366,Code!H:W,13,FALSE)=0,VLOOKUP(C366,Code!H:W,16,FALSE)=0),"無股息",AND(VLOOKUP(C366,Code!H:W,13,FALSE)=0,VLOOKUP(C366,Code!H:W,16,FALSE)&gt;0),"股息沒了",AND(VLOOKUP(C366,Code!H:W,13,FALSE)&gt;0,VLOOKUP(C366,Code!H:W,16,FALSE)=0),"發股息了",AND(VLOOKUP(C366,Code!H:W,13,FALSE)&gt;0,VLOOKUP(C366,Code!H:W,16,FALSE)&gt;0),POWER((VLOOKUP(C366,Code!H:W,13,FALSE))/(VLOOKUP(C366,Code!H:W,16,FALSE)),1/(P366-1))-1)),"")</f>
        <v>0</v>
      </c>
      <c r="L366" s="173">
        <f>IFERROR(VLOOKUP(C366,Code!H:W,13,FALSE)*4/VLOOKUP(C366,Code!H:W,12,FALSE),"")</f>
        <v>2.2817460490162124E-2</v>
      </c>
      <c r="M366" s="172">
        <f t="shared" si="41"/>
        <v>0.13802024943454128</v>
      </c>
      <c r="N366" s="172" t="str">
        <f t="shared" si="42"/>
        <v>-</v>
      </c>
      <c r="O366" s="172" t="str">
        <f t="shared" si="43"/>
        <v>-</v>
      </c>
      <c r="P366" s="205">
        <f>IFERROR(YEARFRAC(VLOOKUP(C366,Code!H:W,11,FALSE),VLOOKUP(C366,Code!H:W,14,FALSE),3),"")</f>
        <v>1.8136986301369864</v>
      </c>
      <c r="Q366" s="174">
        <v>44547</v>
      </c>
      <c r="R366" s="175" t="str">
        <f t="shared" ca="1" si="44"/>
        <v/>
      </c>
      <c r="S366" s="176">
        <f>IFERROR(VLOOKUP($C366,Code!$H:$Q,5,FALSE),"")</f>
        <v>0.30470000000000003</v>
      </c>
      <c r="T366" s="177" t="str">
        <f t="shared" ca="1" si="45"/>
        <v/>
      </c>
      <c r="U366" s="178" t="str">
        <f t="shared" ca="1" si="46"/>
        <v/>
      </c>
      <c r="V366" s="179">
        <f>IFERROR(VLOOKUP($C366,Code!$H:$Q,6,FALSE),"")</f>
        <v>36.71</v>
      </c>
      <c r="W366" s="180" t="str">
        <f t="shared" ca="1" si="47"/>
        <v/>
      </c>
      <c r="X366" s="12"/>
      <c r="Y366" s="12"/>
      <c r="Z366" s="12"/>
      <c r="AA366" s="12"/>
      <c r="AB366" s="12"/>
    </row>
    <row r="367" spans="1:28" s="10" customFormat="1" ht="15" hidden="1">
      <c r="A367" s="9"/>
      <c r="B367" s="169" cm="1">
        <f t="array" ref="B367">_xlfn.IFS(OR(Code!R475&lt;&gt;Code!U475,Code!R475=""),0,Code!R475=Code!U475,1)</f>
        <v>0</v>
      </c>
      <c r="C367" s="193" t="str">
        <f>IF(Code!F475="","",Code!F475)</f>
        <v>VRSK</v>
      </c>
      <c r="D367" s="155" t="str">
        <f>IFERROR(VLOOKUP($C367,Code!$H:$K,2,FALSE),"")</f>
        <v>XLI</v>
      </c>
      <c r="E367" s="156" t="str">
        <f>IFERROR(VLOOKUP($C367,Code!$H:$K,3,FALSE),"")</f>
        <v>咨詢服務</v>
      </c>
      <c r="F367" s="157" t="str">
        <f>IFERROR(VLOOKUP($C367,Code!$H:$K,4,FALSE),"")</f>
        <v>.SPX</v>
      </c>
      <c r="G367" s="170">
        <f>IFERROR(((VLOOKUP($C367,Code!$H:$Q,9,FALSE))+(VLOOKUP($C367,Code!$H:$Q,10,FALSE)))/2*0.5/(((VLOOKUP($C367,Code!$H:$Q,7,FALSE))+(VLOOKUP($C367,Code!$H:$Q,8,FALSE)))/2),0)</f>
        <v>0.50643451930355798</v>
      </c>
      <c r="H367" s="171" t="str">
        <f t="shared" si="40"/>
        <v>M</v>
      </c>
      <c r="I367" s="170">
        <f>IFERROR((VLOOKUP($C367,Code!$H:$Q,5,FALSE))/(((VLOOKUP($C367,Code!$H:$Q,7,FALSE))+(VLOOKUP($C367,Code!$H:$Q,8,FALSE)))/2)-1,0)</f>
        <v>-0.24224072672218022</v>
      </c>
      <c r="J367" s="204">
        <f>IFERROR(POWER((VLOOKUP(C367,Code!H:W,12,FALSE))/(VLOOKUP(C367,Code!H:W,15,FALSE)),1/(P367-1))-1,"")</f>
        <v>0.28691707382799669</v>
      </c>
      <c r="K367" s="172" cm="1">
        <f t="array" ref="K367">IFERROR(IF(C367="","",_xlfn.IFS(AND(VLOOKUP(C367,Code!H:W,13,FALSE)=0,VLOOKUP(C367,Code!H:W,16,FALSE)=0),"無股息",AND(VLOOKUP(C367,Code!H:W,13,FALSE)=0,VLOOKUP(C367,Code!H:W,16,FALSE)&gt;0),"股息沒了",AND(VLOOKUP(C367,Code!H:W,13,FALSE)&gt;0,VLOOKUP(C367,Code!H:W,16,FALSE)=0),"發股息了",AND(VLOOKUP(C367,Code!H:W,13,FALSE)&gt;0,VLOOKUP(C367,Code!H:W,16,FALSE)&gt;0),POWER((VLOOKUP(C367,Code!H:W,13,FALSE))/(VLOOKUP(C367,Code!H:W,16,FALSE)),1/(P367-1))-1)),"")</f>
        <v>0.12556183343242644</v>
      </c>
      <c r="L367" s="173">
        <f>IFERROR(VLOOKUP(C367,Code!H:W,13,FALSE)*4/VLOOKUP(C367,Code!H:W,12,FALSE),"")</f>
        <v>6.6947536872911211E-3</v>
      </c>
      <c r="M367" s="172">
        <f t="shared" si="41"/>
        <v>0.41247890726042313</v>
      </c>
      <c r="N367" s="172" t="str">
        <f t="shared" si="42"/>
        <v>-</v>
      </c>
      <c r="O367" s="172" t="str">
        <f t="shared" si="43"/>
        <v>-</v>
      </c>
      <c r="P367" s="205">
        <f>IFERROR(YEARFRAC(VLOOKUP(C367,Code!H:W,11,FALSE),VLOOKUP(C367,Code!H:W,14,FALSE),3),"")</f>
        <v>2.2547945205479452</v>
      </c>
      <c r="Q367" s="174">
        <v>44547</v>
      </c>
      <c r="R367" s="175" t="str">
        <f t="shared" ca="1" si="44"/>
        <v/>
      </c>
      <c r="S367" s="176">
        <f>IFERROR(VLOOKUP($C367,Code!$H:$Q,5,FALSE),"")</f>
        <v>0.20019999999999999</v>
      </c>
      <c r="T367" s="177" t="str">
        <f t="shared" ca="1" si="45"/>
        <v/>
      </c>
      <c r="U367" s="178" t="str">
        <f t="shared" ca="1" si="46"/>
        <v/>
      </c>
      <c r="V367" s="179">
        <f>IFERROR(VLOOKUP($C367,Code!$H:$Q,6,FALSE),"")</f>
        <v>189.91</v>
      </c>
      <c r="W367" s="180" t="str">
        <f t="shared" ca="1" si="47"/>
        <v/>
      </c>
      <c r="X367" s="12"/>
      <c r="Y367" s="12"/>
      <c r="Z367" s="12"/>
      <c r="AA367" s="12"/>
      <c r="AB367" s="12"/>
    </row>
    <row r="368" spans="1:28" s="10" customFormat="1" ht="15" hidden="1">
      <c r="A368" s="9"/>
      <c r="B368" s="169" cm="1">
        <f t="array" ref="B368">_xlfn.IFS(OR(Code!R329&lt;&gt;Code!U329,Code!R329=""),0,Code!R329=Code!U329,1)</f>
        <v>0</v>
      </c>
      <c r="C368" s="193" t="str">
        <f>IF(Code!F329="","",Code!F329)</f>
        <v>NEE</v>
      </c>
      <c r="D368" s="155" t="str">
        <f>IFERROR(VLOOKUP($C368,Code!$H:$K,2,FALSE),"")</f>
        <v>XLU</v>
      </c>
      <c r="E368" s="156" t="str">
        <f>IFERROR(VLOOKUP($C368,Code!$H:$K,3,FALSE),"")</f>
        <v>公用事業—受監督的電力</v>
      </c>
      <c r="F368" s="157" t="str">
        <f>IFERROR(VLOOKUP($C368,Code!$H:$K,4,FALSE),"")</f>
        <v>.SPX</v>
      </c>
      <c r="G368" s="170">
        <f>IFERROR(((VLOOKUP($C368,Code!$H:$Q,9,FALSE))+(VLOOKUP($C368,Code!$H:$Q,10,FALSE)))/2*0.5/(((VLOOKUP($C368,Code!$H:$Q,7,FALSE))+(VLOOKUP($C368,Code!$H:$Q,8,FALSE)))/2),0)</f>
        <v>0.53451454321999192</v>
      </c>
      <c r="H368" s="171" t="str">
        <f t="shared" si="40"/>
        <v>M</v>
      </c>
      <c r="I368" s="170">
        <f>IFERROR((VLOOKUP($C368,Code!$H:$Q,5,FALSE))/(((VLOOKUP($C368,Code!$H:$Q,7,FALSE))+(VLOOKUP($C368,Code!$H:$Q,8,FALSE)))/2)-1,0)</f>
        <v>-0.24457189676362134</v>
      </c>
      <c r="J368" s="204">
        <f>IFERROR(POWER((VLOOKUP(C368,Code!H:W,12,FALSE))/(VLOOKUP(C368,Code!H:W,15,FALSE)),1/(P368-1))-1,"")</f>
        <v>0.29727231909261054</v>
      </c>
      <c r="K368" s="172" cm="1">
        <f t="array" ref="K368">IFERROR(IF(C368="","",_xlfn.IFS(AND(VLOOKUP(C368,Code!H:W,13,FALSE)=0,VLOOKUP(C368,Code!H:W,16,FALSE)=0),"無股息",AND(VLOOKUP(C368,Code!H:W,13,FALSE)=0,VLOOKUP(C368,Code!H:W,16,FALSE)&gt;0),"股息沒了",AND(VLOOKUP(C368,Code!H:W,13,FALSE)&gt;0,VLOOKUP(C368,Code!H:W,16,FALSE)=0),"發股息了",AND(VLOOKUP(C368,Code!H:W,13,FALSE)&gt;0,VLOOKUP(C368,Code!H:W,16,FALSE)&gt;0),POWER((VLOOKUP(C368,Code!H:W,13,FALSE))/(VLOOKUP(C368,Code!H:W,16,FALSE)),1/(P368-1))-1)),"")</f>
        <v>0.16367878563828442</v>
      </c>
      <c r="L368" s="173">
        <f>IFERROR(VLOOKUP(C368,Code!H:W,13,FALSE)*4/VLOOKUP(C368,Code!H:W,12,FALSE),"")</f>
        <v>2.135329924225475E-2</v>
      </c>
      <c r="M368" s="172">
        <f t="shared" si="41"/>
        <v>0.46095110473089496</v>
      </c>
      <c r="N368" s="172" t="str">
        <f t="shared" si="42"/>
        <v>-</v>
      </c>
      <c r="O368" s="172" t="str">
        <f t="shared" si="43"/>
        <v>Value</v>
      </c>
      <c r="P368" s="205">
        <f>IFERROR(YEARFRAC(VLOOKUP(C368,Code!H:W,11,FALSE),VLOOKUP(C368,Code!H:W,14,FALSE),3),"")</f>
        <v>4.7671232876712333</v>
      </c>
      <c r="Q368" s="174">
        <v>44547</v>
      </c>
      <c r="R368" s="175" t="str">
        <f t="shared" ca="1" si="44"/>
        <v/>
      </c>
      <c r="S368" s="176">
        <f>IFERROR(VLOOKUP($C368,Code!$H:$Q,5,FALSE),"")</f>
        <v>0.18440000000000001</v>
      </c>
      <c r="T368" s="177" t="str">
        <f t="shared" ca="1" si="45"/>
        <v/>
      </c>
      <c r="U368" s="178" t="str">
        <f t="shared" ca="1" si="46"/>
        <v/>
      </c>
      <c r="V368" s="179">
        <f>IFERROR(VLOOKUP($C368,Code!$H:$Q,6,FALSE),"")</f>
        <v>80.489999999999995</v>
      </c>
      <c r="W368" s="180" t="str">
        <f t="shared" ca="1" si="47"/>
        <v/>
      </c>
      <c r="X368" s="12"/>
      <c r="Y368" s="12"/>
      <c r="Z368" s="12"/>
      <c r="AA368" s="12"/>
      <c r="AB368" s="12"/>
    </row>
    <row r="369" spans="1:28" s="10" customFormat="1" ht="15" hidden="1">
      <c r="A369" s="9"/>
      <c r="B369" s="169" cm="1">
        <f t="array" ref="B369">_xlfn.IFS(OR(Code!R376&lt;&gt;Code!U376,Code!R376=""),0,Code!R376=Code!U376,1)</f>
        <v>0</v>
      </c>
      <c r="C369" s="193" t="str">
        <f>IF(Code!F376="","",Code!F376)</f>
        <v>PM</v>
      </c>
      <c r="D369" s="155" t="str">
        <f>IFERROR(VLOOKUP($C369,Code!$H:$K,2,FALSE),"")</f>
        <v>XLP</v>
      </c>
      <c r="E369" s="156" t="str">
        <f>IFERROR(VLOOKUP($C369,Code!$H:$K,3,FALSE),"")</f>
        <v>煙草</v>
      </c>
      <c r="F369" s="157" t="str">
        <f>IFERROR(VLOOKUP($C369,Code!$H:$K,4,FALSE),"")</f>
        <v>.SPX</v>
      </c>
      <c r="G369" s="170">
        <f>IFERROR(((VLOOKUP($C369,Code!$H:$Q,9,FALSE))+(VLOOKUP($C369,Code!$H:$Q,10,FALSE)))/2*0.5/(((VLOOKUP($C369,Code!$H:$Q,7,FALSE))+(VLOOKUP($C369,Code!$H:$Q,8,FALSE)))/2),0)</f>
        <v>0.58850364963503654</v>
      </c>
      <c r="H369" s="171" t="str">
        <f t="shared" si="40"/>
        <v>M</v>
      </c>
      <c r="I369" s="170">
        <f>IFERROR((VLOOKUP($C369,Code!$H:$Q,5,FALSE))/(((VLOOKUP($C369,Code!$H:$Q,7,FALSE))+(VLOOKUP($C369,Code!$H:$Q,8,FALSE)))/2)-1,0)</f>
        <v>-0.24589416058394153</v>
      </c>
      <c r="J369" s="204">
        <f>IFERROR(POWER((VLOOKUP(C369,Code!H:W,12,FALSE))/(VLOOKUP(C369,Code!H:W,15,FALSE)),1/(P369-1))-1,"")</f>
        <v>6.8547387511974645E-2</v>
      </c>
      <c r="K369" s="172" cm="1">
        <f t="array" ref="K369">IFERROR(IF(C369="","",_xlfn.IFS(AND(VLOOKUP(C369,Code!H:W,13,FALSE)=0,VLOOKUP(C369,Code!H:W,16,FALSE)=0),"無股息",AND(VLOOKUP(C369,Code!H:W,13,FALSE)=0,VLOOKUP(C369,Code!H:W,16,FALSE)&gt;0),"股息沒了",AND(VLOOKUP(C369,Code!H:W,13,FALSE)&gt;0,VLOOKUP(C369,Code!H:W,16,FALSE)=0),"發股息了",AND(VLOOKUP(C369,Code!H:W,13,FALSE)&gt;0,VLOOKUP(C369,Code!H:W,16,FALSE)&gt;0),POWER((VLOOKUP(C369,Code!H:W,13,FALSE))/(VLOOKUP(C369,Code!H:W,16,FALSE)),1/(P369-1))-1)),"")</f>
        <v>3.8948430142261348E-2</v>
      </c>
      <c r="L369" s="173">
        <f>IFERROR(VLOOKUP(C369,Code!H:W,13,FALSE)*4/VLOOKUP(C369,Code!H:W,12,FALSE),"")</f>
        <v>4.8470161154879135E-2</v>
      </c>
      <c r="M369" s="172">
        <f t="shared" si="41"/>
        <v>0.10749581765423599</v>
      </c>
      <c r="N369" s="172" t="str">
        <f t="shared" si="42"/>
        <v>-</v>
      </c>
      <c r="O369" s="172" t="str">
        <f t="shared" si="43"/>
        <v>-</v>
      </c>
      <c r="P369" s="205">
        <f>IFERROR(YEARFRAC(VLOOKUP(C369,Code!H:W,11,FALSE),VLOOKUP(C369,Code!H:W,14,FALSE),3),"")</f>
        <v>4.7452054794520544</v>
      </c>
      <c r="Q369" s="174">
        <v>44547</v>
      </c>
      <c r="R369" s="175" t="str">
        <f t="shared" ca="1" si="44"/>
        <v/>
      </c>
      <c r="S369" s="176">
        <f>IFERROR(VLOOKUP($C369,Code!$H:$Q,5,FALSE),"")</f>
        <v>0.1653</v>
      </c>
      <c r="T369" s="177" t="str">
        <f t="shared" ca="1" si="45"/>
        <v/>
      </c>
      <c r="U369" s="178" t="str">
        <f t="shared" ca="1" si="46"/>
        <v/>
      </c>
      <c r="V369" s="179">
        <f>IFERROR(VLOOKUP($C369,Code!$H:$Q,6,FALSE),"")</f>
        <v>99.47</v>
      </c>
      <c r="W369" s="180" t="str">
        <f t="shared" ca="1" si="47"/>
        <v/>
      </c>
      <c r="X369" s="12"/>
      <c r="Y369" s="12"/>
      <c r="Z369" s="12"/>
      <c r="AA369" s="12"/>
      <c r="AB369" s="12"/>
    </row>
    <row r="370" spans="1:28" s="10" customFormat="1" ht="15" hidden="1">
      <c r="A370" s="9"/>
      <c r="B370" s="169" cm="1">
        <f t="array" ref="B370">_xlfn.IFS(OR(Code!R333&lt;&gt;Code!U333,Code!R333=""),0,Code!R333=Code!U333,1)</f>
        <v>0</v>
      </c>
      <c r="C370" s="193" t="str">
        <f>IF(Code!F333="","",Code!F333)</f>
        <v>NKE</v>
      </c>
      <c r="D370" s="155" t="str">
        <f>IFERROR(VLOOKUP($C370,Code!$H:$K,2,FALSE),"")</f>
        <v>XLY</v>
      </c>
      <c r="E370" s="156" t="str">
        <f>IFERROR(VLOOKUP($C370,Code!$H:$K,3,FALSE),"")</f>
        <v>鞋類及配件</v>
      </c>
      <c r="F370" s="157" t="str">
        <f>IFERROR(VLOOKUP($C370,Code!$H:$K,4,FALSE),"")</f>
        <v>.SPX</v>
      </c>
      <c r="G370" s="170">
        <f>IFERROR(((VLOOKUP($C370,Code!$H:$Q,9,FALSE))+(VLOOKUP($C370,Code!$H:$Q,10,FALSE)))/2*0.5/(((VLOOKUP($C370,Code!$H:$Q,7,FALSE))+(VLOOKUP($C370,Code!$H:$Q,8,FALSE)))/2),0)</f>
        <v>0.52394603709949406</v>
      </c>
      <c r="H370" s="171" t="str">
        <f t="shared" si="40"/>
        <v>M</v>
      </c>
      <c r="I370" s="170">
        <f>IFERROR((VLOOKUP($C370,Code!$H:$Q,5,FALSE))/(((VLOOKUP($C370,Code!$H:$Q,7,FALSE))+(VLOOKUP($C370,Code!$H:$Q,8,FALSE)))/2)-1,0)</f>
        <v>-0.24721753794266432</v>
      </c>
      <c r="J370" s="204">
        <f>IFERROR(POWER((VLOOKUP(C370,Code!H:W,12,FALSE))/(VLOOKUP(C370,Code!H:W,15,FALSE)),1/(P370-1))-1,"")</f>
        <v>0.27157150610590652</v>
      </c>
      <c r="K370" s="172" cm="1">
        <f t="array" ref="K370">IFERROR(IF(C370="","",_xlfn.IFS(AND(VLOOKUP(C370,Code!H:W,13,FALSE)=0,VLOOKUP(C370,Code!H:W,16,FALSE)=0),"無股息",AND(VLOOKUP(C370,Code!H:W,13,FALSE)=0,VLOOKUP(C370,Code!H:W,16,FALSE)&gt;0),"股息沒了",AND(VLOOKUP(C370,Code!H:W,13,FALSE)&gt;0,VLOOKUP(C370,Code!H:W,16,FALSE)=0),"發股息了",AND(VLOOKUP(C370,Code!H:W,13,FALSE)&gt;0,VLOOKUP(C370,Code!H:W,16,FALSE)&gt;0),POWER((VLOOKUP(C370,Code!H:W,13,FALSE))/(VLOOKUP(C370,Code!H:W,16,FALSE)),1/(P370-1))-1)),"")</f>
        <v>0.1558346417480525</v>
      </c>
      <c r="L370" s="173">
        <f>IFERROR(VLOOKUP(C370,Code!H:W,13,FALSE)*4/VLOOKUP(C370,Code!H:W,12,FALSE),"")</f>
        <v>8.0609698510898491E-3</v>
      </c>
      <c r="M370" s="172">
        <f t="shared" si="41"/>
        <v>0.42740614785395903</v>
      </c>
      <c r="N370" s="172" t="str">
        <f t="shared" si="42"/>
        <v>-</v>
      </c>
      <c r="O370" s="172" t="str">
        <f t="shared" si="43"/>
        <v>Value</v>
      </c>
      <c r="P370" s="205">
        <f>IFERROR(YEARFRAC(VLOOKUP(C370,Code!H:W,11,FALSE),VLOOKUP(C370,Code!H:W,14,FALSE),3),"")</f>
        <v>4.7397260273972606</v>
      </c>
      <c r="Q370" s="174">
        <v>44547</v>
      </c>
      <c r="R370" s="175" t="str">
        <f t="shared" ca="1" si="44"/>
        <v/>
      </c>
      <c r="S370" s="176">
        <f>IFERROR(VLOOKUP($C370,Code!$H:$Q,5,FALSE),"")</f>
        <v>0.22320000000000001</v>
      </c>
      <c r="T370" s="177" t="str">
        <f t="shared" ca="1" si="45"/>
        <v/>
      </c>
      <c r="U370" s="178" t="str">
        <f t="shared" ca="1" si="46"/>
        <v/>
      </c>
      <c r="V370" s="179">
        <f>IFERROR(VLOOKUP($C370,Code!$H:$Q,6,FALSE),"")</f>
        <v>173.85</v>
      </c>
      <c r="W370" s="180" t="str">
        <f t="shared" ca="1" si="47"/>
        <v/>
      </c>
      <c r="X370" s="12"/>
      <c r="Y370" s="12"/>
      <c r="Z370" s="12"/>
      <c r="AA370" s="12"/>
      <c r="AB370" s="12"/>
    </row>
    <row r="371" spans="1:28" s="10" customFormat="1" ht="15" hidden="1">
      <c r="A371" s="9"/>
      <c r="B371" s="169" cm="1">
        <f t="array" ref="B371">_xlfn.IFS(OR(Code!R491&lt;&gt;Code!U491,Code!R491=""),0,Code!R491=Code!U491,1)</f>
        <v>0</v>
      </c>
      <c r="C371" s="193" t="str">
        <f>IF(Code!F491="","",Code!F491)</f>
        <v>WMB</v>
      </c>
      <c r="D371" s="155" t="str">
        <f>IFERROR(VLOOKUP($C371,Code!$H:$K,2,FALSE),"")</f>
        <v>XLE</v>
      </c>
      <c r="E371" s="156" t="str">
        <f>IFERROR(VLOOKUP($C371,Code!$H:$K,3,FALSE),"")</f>
        <v>油氣中流</v>
      </c>
      <c r="F371" s="157" t="str">
        <f>IFERROR(VLOOKUP($C371,Code!$H:$K,4,FALSE),"")</f>
        <v>.SPX</v>
      </c>
      <c r="G371" s="170">
        <f>IFERROR(((VLOOKUP($C371,Code!$H:$Q,9,FALSE))+(VLOOKUP($C371,Code!$H:$Q,10,FALSE)))/2*0.5/(((VLOOKUP($C371,Code!$H:$Q,7,FALSE))+(VLOOKUP($C371,Code!$H:$Q,8,FALSE)))/2),0)</f>
        <v>0.57978893508154794</v>
      </c>
      <c r="H371" s="171" t="str">
        <f t="shared" si="40"/>
        <v>M</v>
      </c>
      <c r="I371" s="170">
        <f>IFERROR((VLOOKUP($C371,Code!$H:$Q,5,FALSE))/(((VLOOKUP($C371,Code!$H:$Q,7,FALSE))+(VLOOKUP($C371,Code!$H:$Q,8,FALSE)))/2)-1,0)</f>
        <v>-0.24752158618484166</v>
      </c>
      <c r="J371" s="204">
        <f>IFERROR(POWER((VLOOKUP(C371,Code!H:W,12,FALSE))/(VLOOKUP(C371,Code!H:W,15,FALSE)),1/(P371-1))-1,"")</f>
        <v>4.9578283322626149E-2</v>
      </c>
      <c r="K371" s="172" cm="1">
        <f t="array" ref="K371">IFERROR(IF(C371="","",_xlfn.IFS(AND(VLOOKUP(C371,Code!H:W,13,FALSE)=0,VLOOKUP(C371,Code!H:W,16,FALSE)=0),"無股息",AND(VLOOKUP(C371,Code!H:W,13,FALSE)=0,VLOOKUP(C371,Code!H:W,16,FALSE)&gt;0),"股息沒了",AND(VLOOKUP(C371,Code!H:W,13,FALSE)&gt;0,VLOOKUP(C371,Code!H:W,16,FALSE)=0),"發股息了",AND(VLOOKUP(C371,Code!H:W,13,FALSE)&gt;0,VLOOKUP(C371,Code!H:W,16,FALSE)&gt;0),POWER((VLOOKUP(C371,Code!H:W,13,FALSE))/(VLOOKUP(C371,Code!H:W,16,FALSE)),1/(P371-1))-1)),"")</f>
        <v>0.21042374273069098</v>
      </c>
      <c r="L371" s="173">
        <f>IFERROR(VLOOKUP(C371,Code!H:W,13,FALSE)*4/VLOOKUP(C371,Code!H:W,12,FALSE),"")</f>
        <v>5.9184411915732614E-2</v>
      </c>
      <c r="M371" s="172">
        <f t="shared" si="41"/>
        <v>0.26000202605331713</v>
      </c>
      <c r="N371" s="172" t="str">
        <f t="shared" si="42"/>
        <v>Venture</v>
      </c>
      <c r="O371" s="172" t="str">
        <f t="shared" si="43"/>
        <v>-</v>
      </c>
      <c r="P371" s="205">
        <f>IFERROR(YEARFRAC(VLOOKUP(C371,Code!H:W,11,FALSE),VLOOKUP(C371,Code!H:W,14,FALSE),3),"")</f>
        <v>4.7589041095890412</v>
      </c>
      <c r="Q371" s="174">
        <v>44547</v>
      </c>
      <c r="R371" s="175" t="str">
        <f t="shared" ca="1" si="44"/>
        <v/>
      </c>
      <c r="S371" s="176">
        <f>IFERROR(VLOOKUP($C371,Code!$H:$Q,5,FALSE),"")</f>
        <v>0.23530000000000001</v>
      </c>
      <c r="T371" s="177" t="str">
        <f t="shared" ca="1" si="45"/>
        <v/>
      </c>
      <c r="U371" s="178" t="str">
        <f t="shared" ca="1" si="46"/>
        <v/>
      </c>
      <c r="V371" s="179">
        <f>IFERROR(VLOOKUP($C371,Code!$H:$Q,6,FALSE),"")</f>
        <v>25.14</v>
      </c>
      <c r="W371" s="180" t="str">
        <f t="shared" ca="1" si="47"/>
        <v/>
      </c>
      <c r="X371" s="12"/>
      <c r="Y371" s="12"/>
      <c r="Z371" s="12"/>
      <c r="AA371" s="12"/>
      <c r="AB371" s="12"/>
    </row>
    <row r="372" spans="1:28" s="10" customFormat="1" ht="15" hidden="1">
      <c r="A372" s="9"/>
      <c r="B372" s="169" cm="1">
        <f t="array" ref="B372">_xlfn.IFS(OR(Code!R480&lt;&gt;Code!U480,Code!R480=""),0,Code!R480=Code!U480,1)</f>
        <v>0</v>
      </c>
      <c r="C372" s="193" t="str">
        <f>IF(Code!F480="","",Code!F480)</f>
        <v>VZ</v>
      </c>
      <c r="D372" s="155" t="str">
        <f>IFERROR(VLOOKUP($C372,Code!$H:$K,2,FALSE),"")</f>
        <v>XLC</v>
      </c>
      <c r="E372" s="156" t="str">
        <f>IFERROR(VLOOKUP($C372,Code!$H:$K,3,FALSE),"")</f>
        <v>電信業務</v>
      </c>
      <c r="F372" s="157" t="str">
        <f>IFERROR(VLOOKUP($C372,Code!$H:$K,4,FALSE),"")</f>
        <v>.SPX</v>
      </c>
      <c r="G372" s="170">
        <f>IFERROR(((VLOOKUP($C372,Code!$H:$Q,9,FALSE))+(VLOOKUP($C372,Code!$H:$Q,10,FALSE)))/2*0.5/(((VLOOKUP($C372,Code!$H:$Q,7,FALSE))+(VLOOKUP($C372,Code!$H:$Q,8,FALSE)))/2),0)</f>
        <v>0.54546865301055247</v>
      </c>
      <c r="H372" s="171" t="str">
        <f t="shared" si="40"/>
        <v>M</v>
      </c>
      <c r="I372" s="170">
        <f>IFERROR((VLOOKUP($C372,Code!$H:$Q,5,FALSE))/(((VLOOKUP($C372,Code!$H:$Q,7,FALSE))+(VLOOKUP($C372,Code!$H:$Q,8,FALSE)))/2)-1,0)</f>
        <v>-0.24767225325884534</v>
      </c>
      <c r="J372" s="204">
        <f>IFERROR(POWER((VLOOKUP(C372,Code!H:W,12,FALSE))/(VLOOKUP(C372,Code!H:W,15,FALSE)),1/(P372-1))-1,"")</f>
        <v>8.6783527713466535E-2</v>
      </c>
      <c r="K372" s="172" cm="1">
        <f t="array" ref="K372">IFERROR(IF(C372="","",_xlfn.IFS(AND(VLOOKUP(C372,Code!H:W,13,FALSE)=0,VLOOKUP(C372,Code!H:W,16,FALSE)=0),"無股息",AND(VLOOKUP(C372,Code!H:W,13,FALSE)=0,VLOOKUP(C372,Code!H:W,16,FALSE)&gt;0),"股息沒了",AND(VLOOKUP(C372,Code!H:W,13,FALSE)&gt;0,VLOOKUP(C372,Code!H:W,16,FALSE)=0),"發股息了",AND(VLOOKUP(C372,Code!H:W,13,FALSE)&gt;0,VLOOKUP(C372,Code!H:W,16,FALSE)&gt;0),POWER((VLOOKUP(C372,Code!H:W,13,FALSE))/(VLOOKUP(C372,Code!H:W,16,FALSE)),1/(P372-1))-1)),"")</f>
        <v>2.2317325109741049E-2</v>
      </c>
      <c r="L372" s="173">
        <f>IFERROR(VLOOKUP(C372,Code!H:W,13,FALSE)*4/VLOOKUP(C372,Code!H:W,12,FALSE),"")</f>
        <v>4.51149422814658E-2</v>
      </c>
      <c r="M372" s="172">
        <f t="shared" si="41"/>
        <v>0.10910085282320758</v>
      </c>
      <c r="N372" s="172" t="str">
        <f t="shared" si="42"/>
        <v>-</v>
      </c>
      <c r="O372" s="172" t="str">
        <f t="shared" si="43"/>
        <v>-</v>
      </c>
      <c r="P372" s="205">
        <f>IFERROR(YEARFRAC(VLOOKUP(C372,Code!H:W,11,FALSE),VLOOKUP(C372,Code!H:W,14,FALSE),3),"")</f>
        <v>4.7589041095890412</v>
      </c>
      <c r="Q372" s="174">
        <v>44547</v>
      </c>
      <c r="R372" s="175" t="str">
        <f t="shared" ca="1" si="44"/>
        <v/>
      </c>
      <c r="S372" s="176">
        <f>IFERROR(VLOOKUP($C372,Code!$H:$Q,5,FALSE),"")</f>
        <v>0.1212</v>
      </c>
      <c r="T372" s="177" t="str">
        <f t="shared" ca="1" si="45"/>
        <v/>
      </c>
      <c r="U372" s="178" t="str">
        <f t="shared" ca="1" si="46"/>
        <v/>
      </c>
      <c r="V372" s="179">
        <f>IFERROR(VLOOKUP($C372,Code!$H:$Q,6,FALSE),"")</f>
        <v>55.38</v>
      </c>
      <c r="W372" s="180" t="str">
        <f t="shared" ca="1" si="47"/>
        <v/>
      </c>
      <c r="X372" s="12"/>
      <c r="Y372" s="12"/>
      <c r="Z372" s="12"/>
      <c r="AA372" s="12"/>
      <c r="AB372" s="12"/>
    </row>
    <row r="373" spans="1:28" s="10" customFormat="1" ht="15" hidden="1">
      <c r="A373" s="9"/>
      <c r="B373" s="169" cm="1">
        <f t="array" ref="B373">_xlfn.IFS(OR(Code!R155&lt;&gt;Code!U155,Code!R155=""),0,Code!R155=Code!U155,1)</f>
        <v>0</v>
      </c>
      <c r="C373" s="193" t="str">
        <f>IF(Code!F155="","",Code!F155)</f>
        <v>ECL</v>
      </c>
      <c r="D373" s="155" t="str">
        <f>IFERROR(VLOOKUP($C373,Code!$H:$K,2,FALSE),"")</f>
        <v>XLB</v>
      </c>
      <c r="E373" s="156" t="str">
        <f>IFERROR(VLOOKUP($C373,Code!$H:$K,3,FALSE),"")</f>
        <v>特種化學品</v>
      </c>
      <c r="F373" s="157" t="str">
        <f>IFERROR(VLOOKUP($C373,Code!$H:$K,4,FALSE),"")</f>
        <v>.SPX</v>
      </c>
      <c r="G373" s="170">
        <f>IFERROR(((VLOOKUP($C373,Code!$H:$Q,9,FALSE))+(VLOOKUP($C373,Code!$H:$Q,10,FALSE)))/2*0.5/(((VLOOKUP($C373,Code!$H:$Q,7,FALSE))+(VLOOKUP($C373,Code!$H:$Q,8,FALSE)))/2),0)</f>
        <v>0.48867373036170991</v>
      </c>
      <c r="H373" s="171" t="str">
        <f t="shared" si="40"/>
        <v>S</v>
      </c>
      <c r="I373" s="170">
        <f>IFERROR((VLOOKUP($C373,Code!$H:$Q,5,FALSE))/(((VLOOKUP($C373,Code!$H:$Q,7,FALSE))+(VLOOKUP($C373,Code!$H:$Q,8,FALSE)))/2)-1,0)</f>
        <v>-0.24881256850566313</v>
      </c>
      <c r="J373" s="204">
        <f>IFERROR(POWER((VLOOKUP(C373,Code!H:W,12,FALSE))/(VLOOKUP(C373,Code!H:W,15,FALSE)),1/(P373-1))-1,"")</f>
        <v>0.18861070270339608</v>
      </c>
      <c r="K373" s="172" cm="1">
        <f t="array" ref="K373">IFERROR(IF(C373="","",_xlfn.IFS(AND(VLOOKUP(C373,Code!H:W,13,FALSE)=0,VLOOKUP(C373,Code!H:W,16,FALSE)=0),"無股息",AND(VLOOKUP(C373,Code!H:W,13,FALSE)=0,VLOOKUP(C373,Code!H:W,16,FALSE)&gt;0),"股息沒了",AND(VLOOKUP(C373,Code!H:W,13,FALSE)&gt;0,VLOOKUP(C373,Code!H:W,16,FALSE)=0),"發股息了",AND(VLOOKUP(C373,Code!H:W,13,FALSE)&gt;0,VLOOKUP(C373,Code!H:W,16,FALSE)&gt;0),POWER((VLOOKUP(C373,Code!H:W,13,FALSE))/(VLOOKUP(C373,Code!H:W,16,FALSE)),1/(P373-1))-1)),"")</f>
        <v>8.7993614190021718E-2</v>
      </c>
      <c r="L373" s="173">
        <f>IFERROR(VLOOKUP(C373,Code!H:W,13,FALSE)*4/VLOOKUP(C373,Code!H:W,12,FALSE),"")</f>
        <v>9.003938991464483E-3</v>
      </c>
      <c r="M373" s="172">
        <f t="shared" si="41"/>
        <v>0.2766043168934178</v>
      </c>
      <c r="N373" s="172" t="str">
        <f t="shared" si="42"/>
        <v>-</v>
      </c>
      <c r="O373" s="172" t="str">
        <f t="shared" si="43"/>
        <v>-</v>
      </c>
      <c r="P373" s="205">
        <f>IFERROR(YEARFRAC(VLOOKUP(C373,Code!H:W,11,FALSE),VLOOKUP(C373,Code!H:W,14,FALSE),3),"")</f>
        <v>4.7452054794520544</v>
      </c>
      <c r="Q373" s="174">
        <v>44547</v>
      </c>
      <c r="R373" s="175" t="str">
        <f t="shared" ca="1" si="44"/>
        <v/>
      </c>
      <c r="S373" s="176">
        <f>IFERROR(VLOOKUP($C373,Code!$H:$Q,5,FALSE),"")</f>
        <v>0.2056</v>
      </c>
      <c r="T373" s="177" t="str">
        <f t="shared" ca="1" si="45"/>
        <v/>
      </c>
      <c r="U373" s="178" t="str">
        <f t="shared" ca="1" si="46"/>
        <v/>
      </c>
      <c r="V373" s="179">
        <f>IFERROR(VLOOKUP($C373,Code!$H:$Q,6,FALSE),"")</f>
        <v>218.15</v>
      </c>
      <c r="W373" s="180" t="str">
        <f t="shared" ca="1" si="47"/>
        <v/>
      </c>
      <c r="X373" s="12"/>
      <c r="Y373" s="12"/>
      <c r="Z373" s="12"/>
      <c r="AA373" s="12"/>
      <c r="AB373" s="12"/>
    </row>
    <row r="374" spans="1:28" s="10" customFormat="1" ht="15" hidden="1">
      <c r="A374" s="9"/>
      <c r="B374" s="169" cm="1">
        <f t="array" ref="B374">_xlfn.IFS(OR(Code!R325&lt;&gt;Code!U325,Code!R325=""),0,Code!R325=Code!U325,1)</f>
        <v>1</v>
      </c>
      <c r="C374" s="193" t="str">
        <f>IF(Code!F325="","",Code!F325)</f>
        <v>MU</v>
      </c>
      <c r="D374" s="155" t="str">
        <f>IFERROR(VLOOKUP($C374,Code!$H:$K,2,FALSE),"")</f>
        <v>XLK</v>
      </c>
      <c r="E374" s="156" t="str">
        <f>IFERROR(VLOOKUP($C374,Code!$H:$K,3,FALSE),"")</f>
        <v>半導體</v>
      </c>
      <c r="F374" s="157" t="str">
        <f>IFERROR(VLOOKUP($C374,Code!$H:$K,4,FALSE),"")</f>
        <v>.SPX</v>
      </c>
      <c r="G374" s="170">
        <f>IFERROR(((VLOOKUP($C374,Code!$H:$Q,9,FALSE))+(VLOOKUP($C374,Code!$H:$Q,10,FALSE)))/2*0.5/(((VLOOKUP($C374,Code!$H:$Q,7,FALSE))+(VLOOKUP($C374,Code!$H:$Q,8,FALSE)))/2),0)</f>
        <v>0.49582142071695623</v>
      </c>
      <c r="H374" s="171" t="str">
        <f t="shared" si="40"/>
        <v>S</v>
      </c>
      <c r="I374" s="170">
        <f>IFERROR((VLOOKUP($C374,Code!$H:$Q,5,FALSE))/(((VLOOKUP($C374,Code!$H:$Q,7,FALSE))+(VLOOKUP($C374,Code!$H:$Q,8,FALSE)))/2)-1,0)</f>
        <v>-0.24917528040466241</v>
      </c>
      <c r="J374" s="204" t="str">
        <f>IFERROR(POWER((VLOOKUP(C374,Code!H:W,12,FALSE))/(VLOOKUP(C374,Code!H:W,15,FALSE)),1/(P374-1))-1,"")</f>
        <v/>
      </c>
      <c r="K374" s="172" t="str" cm="1">
        <f t="array" ref="K374">IFERROR(IF(C374="","",_xlfn.IFS(AND(VLOOKUP(C374,Code!H:W,13,FALSE)=0,VLOOKUP(C374,Code!H:W,16,FALSE)=0),"無股息",AND(VLOOKUP(C374,Code!H:W,13,FALSE)=0,VLOOKUP(C374,Code!H:W,16,FALSE)&gt;0),"股息沒了",AND(VLOOKUP(C374,Code!H:W,13,FALSE)&gt;0,VLOOKUP(C374,Code!H:W,16,FALSE)=0),"發股息了",AND(VLOOKUP(C374,Code!H:W,13,FALSE)&gt;0,VLOOKUP(C374,Code!H:W,16,FALSE)&gt;0),POWER((VLOOKUP(C374,Code!H:W,13,FALSE))/(VLOOKUP(C374,Code!H:W,16,FALSE)),1/(P374-1))-1)),"")</f>
        <v>無股息</v>
      </c>
      <c r="L374" s="173" t="str">
        <f>IFERROR(VLOOKUP(C374,Code!H:W,13,FALSE)*4/VLOOKUP(C374,Code!H:W,12,FALSE),"")</f>
        <v/>
      </c>
      <c r="M374" s="172" t="str">
        <f t="shared" si="41"/>
        <v/>
      </c>
      <c r="N374" s="172" t="str">
        <f t="shared" si="42"/>
        <v/>
      </c>
      <c r="O374" s="172" t="str">
        <f t="shared" si="43"/>
        <v/>
      </c>
      <c r="P374" s="205">
        <f>IFERROR(YEARFRAC(VLOOKUP(C374,Code!H:W,11,FALSE),VLOOKUP(C374,Code!H:W,14,FALSE),3),"")</f>
        <v>0</v>
      </c>
      <c r="Q374" s="174">
        <v>44547</v>
      </c>
      <c r="R374" s="175" t="str">
        <f t="shared" ca="1" si="44"/>
        <v/>
      </c>
      <c r="S374" s="176">
        <f>IFERROR(VLOOKUP($C374,Code!$H:$Q,5,FALSE),"")</f>
        <v>0.34139999999999998</v>
      </c>
      <c r="T374" s="177" t="str">
        <f t="shared" ca="1" si="45"/>
        <v/>
      </c>
      <c r="U374" s="178" t="str">
        <f t="shared" ca="1" si="46"/>
        <v/>
      </c>
      <c r="V374" s="179">
        <f>IFERROR(VLOOKUP($C374,Code!$H:$Q,6,FALSE),"")</f>
        <v>81.489999999999995</v>
      </c>
      <c r="W374" s="180" t="str">
        <f t="shared" ca="1" si="47"/>
        <v/>
      </c>
      <c r="X374" s="12"/>
      <c r="Y374" s="12"/>
      <c r="Z374" s="12"/>
      <c r="AA374" s="12"/>
      <c r="AB374" s="12"/>
    </row>
    <row r="375" spans="1:28" s="10" customFormat="1" ht="15" hidden="1">
      <c r="A375" s="9"/>
      <c r="B375" s="169" cm="1">
        <f t="array" ref="B375">_xlfn.IFS(OR(Code!R73&lt;&gt;Code!U73,Code!R73=""),0,Code!R73=Code!U73,1)</f>
        <v>0</v>
      </c>
      <c r="C375" s="193" t="str">
        <f>IF(Code!F73="","",Code!F73)</f>
        <v>BRK.B</v>
      </c>
      <c r="D375" s="155" t="str">
        <f>IFERROR(VLOOKUP($C375,Code!$H:$K,2,FALSE),"")</f>
        <v>XLF</v>
      </c>
      <c r="E375" s="156" t="str">
        <f>IFERROR(VLOOKUP($C375,Code!$H:$K,3,FALSE),"")</f>
        <v>保險-多樣化</v>
      </c>
      <c r="F375" s="157" t="str">
        <f>IFERROR(VLOOKUP($C375,Code!$H:$K,4,FALSE),"")</f>
        <v>.SPX</v>
      </c>
      <c r="G375" s="170">
        <f>IFERROR(((VLOOKUP($C375,Code!$H:$Q,9,FALSE))+(VLOOKUP($C375,Code!$H:$Q,10,FALSE)))/2*0.5/(((VLOOKUP($C375,Code!$H:$Q,7,FALSE))+(VLOOKUP($C375,Code!$H:$Q,8,FALSE)))/2),0)</f>
        <v>0.50253361917754824</v>
      </c>
      <c r="H375" s="171" t="str">
        <f t="shared" si="40"/>
        <v>M</v>
      </c>
      <c r="I375" s="170">
        <f>IFERROR((VLOOKUP($C375,Code!$H:$Q,5,FALSE))/(((VLOOKUP($C375,Code!$H:$Q,7,FALSE))+(VLOOKUP($C375,Code!$H:$Q,8,FALSE)))/2)-1,0)</f>
        <v>-0.24965893587994537</v>
      </c>
      <c r="J375" s="204">
        <f>IFERROR(POWER((VLOOKUP(C375,Code!H:W,12,FALSE))/(VLOOKUP(C375,Code!H:W,15,FALSE)),1/(P375-1))-1,"")</f>
        <v>0.27987529365377983</v>
      </c>
      <c r="K375" s="172" cm="1">
        <f t="array" ref="K375">IFERROR(IF(C375="","",_xlfn.IFS(AND(VLOOKUP(C375,Code!H:W,13,FALSE)=0,VLOOKUP(C375,Code!H:W,16,FALSE)=0),"無股息",AND(VLOOKUP(C375,Code!H:W,13,FALSE)=0,VLOOKUP(C375,Code!H:W,16,FALSE)&gt;0),"股息沒了",AND(VLOOKUP(C375,Code!H:W,13,FALSE)&gt;0,VLOOKUP(C375,Code!H:W,16,FALSE)=0),"發股息了",AND(VLOOKUP(C375,Code!H:W,13,FALSE)&gt;0,VLOOKUP(C375,Code!H:W,16,FALSE)&gt;0),POWER((VLOOKUP(C375,Code!H:W,13,FALSE))/(VLOOKUP(C375,Code!H:W,16,FALSE)),1/(P375-1))-1)),"")</f>
        <v>0.11498888532234841</v>
      </c>
      <c r="L375" s="173">
        <f>IFERROR(VLOOKUP(C375,Code!H:W,13,FALSE)*4/VLOOKUP(C375,Code!H:W,12,FALSE),"")</f>
        <v>2.7374704642632395E-2</v>
      </c>
      <c r="M375" s="172">
        <f t="shared" si="41"/>
        <v>0.39486417897612824</v>
      </c>
      <c r="N375" s="172" t="str">
        <f t="shared" si="42"/>
        <v>-</v>
      </c>
      <c r="O375" s="172" t="str">
        <f t="shared" si="43"/>
        <v>-</v>
      </c>
      <c r="P375" s="205">
        <f>IFERROR(YEARFRAC(VLOOKUP(C375,Code!H:W,11,FALSE),VLOOKUP(C375,Code!H:W,14,FALSE),3),"")</f>
        <v>4.7424657534246579</v>
      </c>
      <c r="Q375" s="174">
        <v>44547</v>
      </c>
      <c r="R375" s="175" t="str">
        <f t="shared" ca="1" si="44"/>
        <v/>
      </c>
      <c r="S375" s="176">
        <f>IFERROR(VLOOKUP($C375,Code!$H:$Q,5,FALSE),"")</f>
        <v>0.1925</v>
      </c>
      <c r="T375" s="177" t="str">
        <f t="shared" ca="1" si="45"/>
        <v/>
      </c>
      <c r="U375" s="178" t="str">
        <f t="shared" ca="1" si="46"/>
        <v/>
      </c>
      <c r="V375" s="179">
        <f>IFERROR(VLOOKUP($C375,Code!$H:$Q,6,FALSE),"")</f>
        <v>193.45</v>
      </c>
      <c r="W375" s="180" t="str">
        <f t="shared" ca="1" si="47"/>
        <v/>
      </c>
      <c r="X375" s="12"/>
      <c r="Y375" s="12"/>
      <c r="Z375" s="12"/>
      <c r="AA375" s="12"/>
      <c r="AB375" s="12"/>
    </row>
    <row r="376" spans="1:28" s="10" customFormat="1" ht="15" hidden="1">
      <c r="A376" s="9"/>
      <c r="B376" s="169" cm="1">
        <f t="array" ref="B376">_xlfn.IFS(OR(Code!R467&lt;&gt;Code!U467,Code!R467=""),0,Code!R467=Code!U467,1)</f>
        <v>1</v>
      </c>
      <c r="C376" s="193" t="str">
        <f>IF(Code!F467="","",Code!F467)</f>
        <v>URI</v>
      </c>
      <c r="D376" s="155" t="str">
        <f>IFERROR(VLOOKUP($C376,Code!$H:$K,2,FALSE),"")</f>
        <v>XLI</v>
      </c>
      <c r="E376" s="156" t="str">
        <f>IFERROR(VLOOKUP($C376,Code!$H:$K,3,FALSE),"")</f>
        <v>租賃服務</v>
      </c>
      <c r="F376" s="157" t="str">
        <f>IFERROR(VLOOKUP($C376,Code!$H:$K,4,FALSE),"")</f>
        <v>.SPX</v>
      </c>
      <c r="G376" s="170">
        <f>IFERROR(((VLOOKUP($C376,Code!$H:$Q,9,FALSE))+(VLOOKUP($C376,Code!$H:$Q,10,FALSE)))/2*0.5/(((VLOOKUP($C376,Code!$H:$Q,7,FALSE))+(VLOOKUP($C376,Code!$H:$Q,8,FALSE)))/2),0)</f>
        <v>0.46794163166040237</v>
      </c>
      <c r="H376" s="171" t="str">
        <f t="shared" si="40"/>
        <v>S</v>
      </c>
      <c r="I376" s="170">
        <f>IFERROR((VLOOKUP($C376,Code!$H:$Q,5,FALSE))/(((VLOOKUP($C376,Code!$H:$Q,7,FALSE))+(VLOOKUP($C376,Code!$H:$Q,8,FALSE)))/2)-1,0)</f>
        <v>-0.25425602476232601</v>
      </c>
      <c r="J376" s="204" t="str">
        <f>IFERROR(POWER((VLOOKUP(C376,Code!H:W,12,FALSE))/(VLOOKUP(C376,Code!H:W,15,FALSE)),1/(P376-1))-1,"")</f>
        <v/>
      </c>
      <c r="K376" s="172" t="str" cm="1">
        <f t="array" ref="K376">IFERROR(IF(C376="","",_xlfn.IFS(AND(VLOOKUP(C376,Code!H:W,13,FALSE)=0,VLOOKUP(C376,Code!H:W,16,FALSE)=0),"無股息",AND(VLOOKUP(C376,Code!H:W,13,FALSE)=0,VLOOKUP(C376,Code!H:W,16,FALSE)&gt;0),"股息沒了",AND(VLOOKUP(C376,Code!H:W,13,FALSE)&gt;0,VLOOKUP(C376,Code!H:W,16,FALSE)=0),"發股息了",AND(VLOOKUP(C376,Code!H:W,13,FALSE)&gt;0,VLOOKUP(C376,Code!H:W,16,FALSE)&gt;0),POWER((VLOOKUP(C376,Code!H:W,13,FALSE))/(VLOOKUP(C376,Code!H:W,16,FALSE)),1/(P376-1))-1)),"")</f>
        <v>無股息</v>
      </c>
      <c r="L376" s="173" t="str">
        <f>IFERROR(VLOOKUP(C376,Code!H:W,13,FALSE)*4/VLOOKUP(C376,Code!H:W,12,FALSE),"")</f>
        <v/>
      </c>
      <c r="M376" s="172" t="str">
        <f t="shared" si="41"/>
        <v/>
      </c>
      <c r="N376" s="172" t="str">
        <f t="shared" si="42"/>
        <v/>
      </c>
      <c r="O376" s="172" t="str">
        <f t="shared" si="43"/>
        <v/>
      </c>
      <c r="P376" s="205">
        <f>IFERROR(YEARFRAC(VLOOKUP(C376,Code!H:W,11,FALSE),VLOOKUP(C376,Code!H:W,14,FALSE),3),"")</f>
        <v>0</v>
      </c>
      <c r="Q376" s="174">
        <v>44547</v>
      </c>
      <c r="R376" s="175" t="str">
        <f t="shared" ca="1" si="44"/>
        <v/>
      </c>
      <c r="S376" s="176">
        <f>IFERROR(VLOOKUP($C376,Code!$H:$Q,5,FALSE),"")</f>
        <v>0.33729999999999999</v>
      </c>
      <c r="T376" s="177" t="str">
        <f t="shared" ca="1" si="45"/>
        <v/>
      </c>
      <c r="U376" s="178" t="str">
        <f t="shared" ca="1" si="46"/>
        <v/>
      </c>
      <c r="V376" s="179">
        <f>IFERROR(VLOOKUP($C376,Code!$H:$Q,6,FALSE),"")</f>
        <v>325.39</v>
      </c>
      <c r="W376" s="180" t="str">
        <f t="shared" ca="1" si="47"/>
        <v/>
      </c>
      <c r="X376" s="12"/>
      <c r="Y376" s="12"/>
      <c r="Z376" s="12"/>
      <c r="AA376" s="12"/>
      <c r="AB376" s="12"/>
    </row>
    <row r="377" spans="1:28" s="10" customFormat="1" ht="15" hidden="1">
      <c r="A377" s="9"/>
      <c r="B377" s="169" cm="1">
        <f t="array" ref="B377">_xlfn.IFS(OR(Code!R224&lt;&gt;Code!U224,Code!R224=""),0,Code!R224=Code!U224,1)</f>
        <v>0</v>
      </c>
      <c r="C377" s="193" t="str">
        <f>IF(Code!F224="","",Code!F224)</f>
        <v>HON</v>
      </c>
      <c r="D377" s="155" t="str">
        <f>IFERROR(VLOOKUP($C377,Code!$H:$K,2,FALSE),"")</f>
        <v>XLI</v>
      </c>
      <c r="E377" s="156" t="str">
        <f>IFERROR(VLOOKUP($C377,Code!$H:$K,3,FALSE),"")</f>
        <v>特種工業機械</v>
      </c>
      <c r="F377" s="157" t="str">
        <f>IFERROR(VLOOKUP($C377,Code!$H:$K,4,FALSE),"")</f>
        <v>.SPX</v>
      </c>
      <c r="G377" s="170">
        <f>IFERROR(((VLOOKUP($C377,Code!$H:$Q,9,FALSE))+(VLOOKUP($C377,Code!$H:$Q,10,FALSE)))/2*0.5/(((VLOOKUP($C377,Code!$H:$Q,7,FALSE))+(VLOOKUP($C377,Code!$H:$Q,8,FALSE)))/2),0)</f>
        <v>0.53737354814537275</v>
      </c>
      <c r="H377" s="171" t="str">
        <f t="shared" si="40"/>
        <v>M</v>
      </c>
      <c r="I377" s="170">
        <f>IFERROR((VLOOKUP($C377,Code!$H:$Q,5,FALSE))/(((VLOOKUP($C377,Code!$H:$Q,7,FALSE))+(VLOOKUP($C377,Code!$H:$Q,8,FALSE)))/2)-1,0)</f>
        <v>-0.25440239790183594</v>
      </c>
      <c r="J377" s="204">
        <f>IFERROR(POWER((VLOOKUP(C377,Code!H:W,12,FALSE))/(VLOOKUP(C377,Code!H:W,15,FALSE)),1/(P377-1))-1,"")</f>
        <v>0.24009301407956141</v>
      </c>
      <c r="K377" s="172" cm="1">
        <f t="array" ref="K377">IFERROR(IF(C377="","",_xlfn.IFS(AND(VLOOKUP(C377,Code!H:W,13,FALSE)=0,VLOOKUP(C377,Code!H:W,16,FALSE)=0),"無股息",AND(VLOOKUP(C377,Code!H:W,13,FALSE)=0,VLOOKUP(C377,Code!H:W,16,FALSE)&gt;0),"股息沒了",AND(VLOOKUP(C377,Code!H:W,13,FALSE)&gt;0,VLOOKUP(C377,Code!H:W,16,FALSE)=0),"發股息了",AND(VLOOKUP(C377,Code!H:W,13,FALSE)&gt;0,VLOOKUP(C377,Code!H:W,16,FALSE)&gt;0),POWER((VLOOKUP(C377,Code!H:W,13,FALSE))/(VLOOKUP(C377,Code!H:W,16,FALSE)),1/(P377-1))-1)),"")</f>
        <v>0.14133164016967226</v>
      </c>
      <c r="L377" s="173">
        <f>IFERROR(VLOOKUP(C377,Code!H:W,13,FALSE)*4/VLOOKUP(C377,Code!H:W,12,FALSE),"")</f>
        <v>1.6630901832118954E-2</v>
      </c>
      <c r="M377" s="172">
        <f t="shared" si="41"/>
        <v>0.38142465424923366</v>
      </c>
      <c r="N377" s="172" t="str">
        <f t="shared" si="42"/>
        <v>-</v>
      </c>
      <c r="O377" s="172" t="str">
        <f t="shared" si="43"/>
        <v>Value</v>
      </c>
      <c r="P377" s="205">
        <f>IFERROR(YEARFRAC(VLOOKUP(C377,Code!H:W,11,FALSE),VLOOKUP(C377,Code!H:W,14,FALSE),3),"")</f>
        <v>4.7397260273972606</v>
      </c>
      <c r="Q377" s="174">
        <v>44547</v>
      </c>
      <c r="R377" s="175" t="str">
        <f t="shared" ca="1" si="44"/>
        <v/>
      </c>
      <c r="S377" s="176">
        <f>IFERROR(VLOOKUP($C377,Code!$H:$Q,5,FALSE),"")</f>
        <v>0.19900000000000001</v>
      </c>
      <c r="T377" s="177" t="str">
        <f t="shared" ca="1" si="45"/>
        <v/>
      </c>
      <c r="U377" s="178" t="str">
        <f t="shared" ca="1" si="46"/>
        <v/>
      </c>
      <c r="V377" s="179">
        <f>IFERROR(VLOOKUP($C377,Code!$H:$Q,6,FALSE),"")</f>
        <v>229.88</v>
      </c>
      <c r="W377" s="180" t="str">
        <f t="shared" ca="1" si="47"/>
        <v/>
      </c>
      <c r="X377" s="12"/>
      <c r="Y377" s="12"/>
      <c r="Z377" s="12"/>
      <c r="AA377" s="12"/>
      <c r="AB377" s="12"/>
    </row>
    <row r="378" spans="1:28" s="10" customFormat="1" ht="15" hidden="1">
      <c r="A378" s="9"/>
      <c r="B378" s="169" cm="1">
        <f t="array" ref="B378">_xlfn.IFS(OR(Code!R244&lt;&gt;Code!U244,Code!R244=""),0,Code!R244=Code!U244,1)</f>
        <v>0</v>
      </c>
      <c r="C378" s="193" t="str">
        <f>IF(Code!F244="","",Code!F244)</f>
        <v>IPG</v>
      </c>
      <c r="D378" s="155" t="str">
        <f>IFERROR(VLOOKUP($C378,Code!$H:$K,2,FALSE),"")</f>
        <v>XLC</v>
      </c>
      <c r="E378" s="156" t="str">
        <f>IFERROR(VLOOKUP($C378,Code!$H:$K,3,FALSE),"")</f>
        <v>廣告公司</v>
      </c>
      <c r="F378" s="157" t="str">
        <f>IFERROR(VLOOKUP($C378,Code!$H:$K,4,FALSE),"")</f>
        <v>.SPX</v>
      </c>
      <c r="G378" s="170">
        <f>IFERROR(((VLOOKUP($C378,Code!$H:$Q,9,FALSE))+(VLOOKUP($C378,Code!$H:$Q,10,FALSE)))/2*0.5/(((VLOOKUP($C378,Code!$H:$Q,7,FALSE))+(VLOOKUP($C378,Code!$H:$Q,8,FALSE)))/2),0)</f>
        <v>0.52218528689116928</v>
      </c>
      <c r="H378" s="171" t="str">
        <f t="shared" si="40"/>
        <v>M</v>
      </c>
      <c r="I378" s="170">
        <f>IFERROR((VLOOKUP($C378,Code!$H:$Q,5,FALSE))/(((VLOOKUP($C378,Code!$H:$Q,7,FALSE))+(VLOOKUP($C378,Code!$H:$Q,8,FALSE)))/2)-1,0)</f>
        <v>-0.25509466685937277</v>
      </c>
      <c r="J378" s="204">
        <f>IFERROR(POWER((VLOOKUP(C378,Code!H:W,12,FALSE))/(VLOOKUP(C378,Code!H:W,15,FALSE)),1/(P378-1))-1,"")</f>
        <v>0.16150304322373743</v>
      </c>
      <c r="K378" s="172" cm="1">
        <f t="array" ref="K378">IFERROR(IF(C378="","",_xlfn.IFS(AND(VLOOKUP(C378,Code!H:W,13,FALSE)=0,VLOOKUP(C378,Code!H:W,16,FALSE)=0),"無股息",AND(VLOOKUP(C378,Code!H:W,13,FALSE)=0,VLOOKUP(C378,Code!H:W,16,FALSE)&gt;0),"股息沒了",AND(VLOOKUP(C378,Code!H:W,13,FALSE)&gt;0,VLOOKUP(C378,Code!H:W,16,FALSE)=0),"發股息了",AND(VLOOKUP(C378,Code!H:W,13,FALSE)&gt;0,VLOOKUP(C378,Code!H:W,16,FALSE)&gt;0),POWER((VLOOKUP(C378,Code!H:W,13,FALSE))/(VLOOKUP(C378,Code!H:W,16,FALSE)),1/(P378-1))-1)),"")</f>
        <v>0.16899476158840221</v>
      </c>
      <c r="L378" s="173">
        <f>IFERROR(VLOOKUP(C378,Code!H:W,13,FALSE)*4/VLOOKUP(C378,Code!H:W,12,FALSE),"")</f>
        <v>3.2009482699263375E-2</v>
      </c>
      <c r="M378" s="172">
        <f t="shared" si="41"/>
        <v>0.33049780481213964</v>
      </c>
      <c r="N378" s="172" t="str">
        <f t="shared" si="42"/>
        <v>Venture</v>
      </c>
      <c r="O378" s="172" t="str">
        <f t="shared" si="43"/>
        <v>-</v>
      </c>
      <c r="P378" s="205">
        <f>IFERROR(YEARFRAC(VLOOKUP(C378,Code!H:W,11,FALSE),VLOOKUP(C378,Code!H:W,14,FALSE),3),"")</f>
        <v>4.7643835616438359</v>
      </c>
      <c r="Q378" s="174">
        <v>44547</v>
      </c>
      <c r="R378" s="175" t="str">
        <f t="shared" ca="1" si="44"/>
        <v/>
      </c>
      <c r="S378" s="176">
        <f>IFERROR(VLOOKUP($C378,Code!$H:$Q,5,FALSE),"")</f>
        <v>0.25769999999999998</v>
      </c>
      <c r="T378" s="177" t="str">
        <f t="shared" ca="1" si="45"/>
        <v/>
      </c>
      <c r="U378" s="178" t="str">
        <f t="shared" ca="1" si="46"/>
        <v/>
      </c>
      <c r="V378" s="179">
        <f>IFERROR(VLOOKUP($C378,Code!$H:$Q,6,FALSE),"")</f>
        <v>36.479999999999997</v>
      </c>
      <c r="W378" s="180" t="str">
        <f t="shared" ca="1" si="47"/>
        <v/>
      </c>
      <c r="X378" s="12"/>
      <c r="Y378" s="12"/>
      <c r="Z378" s="12"/>
      <c r="AA378" s="12"/>
      <c r="AB378" s="12"/>
    </row>
    <row r="379" spans="1:28" s="10" customFormat="1" ht="15" hidden="1">
      <c r="A379" s="9"/>
      <c r="B379" s="169" cm="1">
        <f t="array" ref="B379">_xlfn.IFS(OR(Code!R204&lt;&gt;Code!U204,Code!R204=""),0,Code!R204=Code!U204,1)</f>
        <v>1</v>
      </c>
      <c r="C379" s="193" t="str">
        <f>IF(Code!F204="","",Code!F204)</f>
        <v>GNRC</v>
      </c>
      <c r="D379" s="155" t="str">
        <f>IFERROR(VLOOKUP($C379,Code!$H:$K,2,FALSE),"")</f>
        <v>XLI</v>
      </c>
      <c r="E379" s="156" t="str">
        <f>IFERROR(VLOOKUP($C379,Code!$H:$K,3,FALSE),"")</f>
        <v>特種工業機械</v>
      </c>
      <c r="F379" s="157" t="str">
        <f>IFERROR(VLOOKUP($C379,Code!$H:$K,4,FALSE),"")</f>
        <v>.SPX</v>
      </c>
      <c r="G379" s="170">
        <f>IFERROR(((VLOOKUP($C379,Code!$H:$Q,9,FALSE))+(VLOOKUP($C379,Code!$H:$Q,10,FALSE)))/2*0.5/(((VLOOKUP($C379,Code!$H:$Q,7,FALSE))+(VLOOKUP($C379,Code!$H:$Q,8,FALSE)))/2),0)</f>
        <v>0.48007360672975813</v>
      </c>
      <c r="H379" s="171" t="str">
        <f t="shared" si="40"/>
        <v>S</v>
      </c>
      <c r="I379" s="170">
        <f>IFERROR((VLOOKUP($C379,Code!$H:$Q,5,FALSE))/(((VLOOKUP($C379,Code!$H:$Q,7,FALSE))+(VLOOKUP($C379,Code!$H:$Q,8,FALSE)))/2)-1,0)</f>
        <v>-0.25636172450052575</v>
      </c>
      <c r="J379" s="204" t="str">
        <f>IFERROR(POWER((VLOOKUP(C379,Code!H:W,12,FALSE))/(VLOOKUP(C379,Code!H:W,15,FALSE)),1/(P379-1))-1,"")</f>
        <v/>
      </c>
      <c r="K379" s="172" t="str" cm="1">
        <f t="array" ref="K379">IFERROR(IF(C379="","",_xlfn.IFS(AND(VLOOKUP(C379,Code!H:W,13,FALSE)=0,VLOOKUP(C379,Code!H:W,16,FALSE)=0),"無股息",AND(VLOOKUP(C379,Code!H:W,13,FALSE)=0,VLOOKUP(C379,Code!H:W,16,FALSE)&gt;0),"股息沒了",AND(VLOOKUP(C379,Code!H:W,13,FALSE)&gt;0,VLOOKUP(C379,Code!H:W,16,FALSE)=0),"發股息了",AND(VLOOKUP(C379,Code!H:W,13,FALSE)&gt;0,VLOOKUP(C379,Code!H:W,16,FALSE)&gt;0),POWER((VLOOKUP(C379,Code!H:W,13,FALSE))/(VLOOKUP(C379,Code!H:W,16,FALSE)),1/(P379-1))-1)),"")</f>
        <v>無股息</v>
      </c>
      <c r="L379" s="173" t="str">
        <f>IFERROR(VLOOKUP(C379,Code!H:W,13,FALSE)*4/VLOOKUP(C379,Code!H:W,12,FALSE),"")</f>
        <v/>
      </c>
      <c r="M379" s="172" t="str">
        <f t="shared" si="41"/>
        <v/>
      </c>
      <c r="N379" s="172" t="str">
        <f t="shared" si="42"/>
        <v/>
      </c>
      <c r="O379" s="172" t="str">
        <f t="shared" si="43"/>
        <v/>
      </c>
      <c r="P379" s="205">
        <f>IFERROR(YEARFRAC(VLOOKUP(C379,Code!H:W,11,FALSE),VLOOKUP(C379,Code!H:W,14,FALSE),3),"")</f>
        <v>0</v>
      </c>
      <c r="Q379" s="174">
        <v>44547</v>
      </c>
      <c r="R379" s="175" t="str">
        <f t="shared" ca="1" si="44"/>
        <v/>
      </c>
      <c r="S379" s="176">
        <f>IFERROR(VLOOKUP($C379,Code!$H:$Q,5,FALSE),"")</f>
        <v>0.35360000000000003</v>
      </c>
      <c r="T379" s="177" t="str">
        <f t="shared" ca="1" si="45"/>
        <v/>
      </c>
      <c r="U379" s="178" t="str">
        <f t="shared" ca="1" si="46"/>
        <v/>
      </c>
      <c r="V379" s="179">
        <f>IFERROR(VLOOKUP($C379,Code!$H:$Q,6,FALSE),"")</f>
        <v>403.72</v>
      </c>
      <c r="W379" s="180" t="str">
        <f t="shared" ca="1" si="47"/>
        <v/>
      </c>
      <c r="X379" s="12"/>
      <c r="Y379" s="12"/>
      <c r="Z379" s="12"/>
      <c r="AA379" s="12"/>
      <c r="AB379" s="12"/>
    </row>
    <row r="380" spans="1:28" s="10" customFormat="1" ht="15" hidden="1">
      <c r="A380" s="9"/>
      <c r="B380" s="169" cm="1">
        <f t="array" ref="B380">_xlfn.IFS(OR(Code!R232&lt;&gt;Code!U232,Code!R232=""),0,Code!R232=Code!U232,1)</f>
        <v>0</v>
      </c>
      <c r="C380" s="193" t="str">
        <f>IF(Code!F232="","",Code!F232)</f>
        <v>HWM</v>
      </c>
      <c r="D380" s="155" t="str">
        <f>IFERROR(VLOOKUP($C380,Code!$H:$K,2,FALSE),"")</f>
        <v>XLI</v>
      </c>
      <c r="E380" s="156" t="str">
        <f>IFERROR(VLOOKUP($C380,Code!$H:$K,3,FALSE),"")</f>
        <v>特種工業機械</v>
      </c>
      <c r="F380" s="157" t="str">
        <f>IFERROR(VLOOKUP($C380,Code!$H:$K,4,FALSE),"")</f>
        <v>.SPX</v>
      </c>
      <c r="G380" s="170">
        <f>IFERROR(((VLOOKUP($C380,Code!$H:$Q,9,FALSE))+(VLOOKUP($C380,Code!$H:$Q,10,FALSE)))/2*0.5/(((VLOOKUP($C380,Code!$H:$Q,7,FALSE))+(VLOOKUP($C380,Code!$H:$Q,8,FALSE)))/2),0)</f>
        <v>0.50321525885558582</v>
      </c>
      <c r="H380" s="171" t="str">
        <f t="shared" si="40"/>
        <v>M</v>
      </c>
      <c r="I380" s="170">
        <f>IFERROR((VLOOKUP($C380,Code!$H:$Q,5,FALSE))/(((VLOOKUP($C380,Code!$H:$Q,7,FALSE))+(VLOOKUP($C380,Code!$H:$Q,8,FALSE)))/2)-1,0)</f>
        <v>-0.25689373297002727</v>
      </c>
      <c r="J380" s="204">
        <f>IFERROR(POWER((VLOOKUP(C380,Code!H:W,12,FALSE))/(VLOOKUP(C380,Code!H:W,15,FALSE)),1/(P380-1))-1,"")</f>
        <v>0.18192420889883021</v>
      </c>
      <c r="K380" s="172" cm="1">
        <f t="array" ref="K380">IFERROR(IF(C380="","",_xlfn.IFS(AND(VLOOKUP(C380,Code!H:W,13,FALSE)=0,VLOOKUP(C380,Code!H:W,16,FALSE)=0),"無股息",AND(VLOOKUP(C380,Code!H:W,13,FALSE)=0,VLOOKUP(C380,Code!H:W,16,FALSE)&gt;0),"股息沒了",AND(VLOOKUP(C380,Code!H:W,13,FALSE)&gt;0,VLOOKUP(C380,Code!H:W,16,FALSE)=0),"發股息了",AND(VLOOKUP(C380,Code!H:W,13,FALSE)&gt;0,VLOOKUP(C380,Code!H:W,16,FALSE)&gt;0),POWER((VLOOKUP(C380,Code!H:W,13,FALSE))/(VLOOKUP(C380,Code!H:W,16,FALSE)),1/(P380-1))-1)),"")</f>
        <v>-0.33094885082462899</v>
      </c>
      <c r="L380" s="173">
        <f>IFERROR(VLOOKUP(C380,Code!H:W,13,FALSE)*4/VLOOKUP(C380,Code!H:W,12,FALSE),"")</f>
        <v>2.5276461600069727E-3</v>
      </c>
      <c r="M380" s="172">
        <f t="shared" si="41"/>
        <v>-0.14902464192579878</v>
      </c>
      <c r="N380" s="172" t="str">
        <f t="shared" si="42"/>
        <v>-</v>
      </c>
      <c r="O380" s="172" t="str">
        <f t="shared" si="43"/>
        <v>-</v>
      </c>
      <c r="P380" s="205">
        <f>IFERROR(YEARFRAC(VLOOKUP(C380,Code!H:W,11,FALSE),VLOOKUP(C380,Code!H:W,14,FALSE),3),"")</f>
        <v>4.7424657534246579</v>
      </c>
      <c r="Q380" s="174">
        <v>44547</v>
      </c>
      <c r="R380" s="175" t="str">
        <f t="shared" ca="1" si="44"/>
        <v/>
      </c>
      <c r="S380" s="176">
        <f>IFERROR(VLOOKUP($C380,Code!$H:$Q,5,FALSE),"")</f>
        <v>0.34089999999999998</v>
      </c>
      <c r="T380" s="177" t="str">
        <f t="shared" ca="1" si="45"/>
        <v/>
      </c>
      <c r="U380" s="178" t="str">
        <f t="shared" ca="1" si="46"/>
        <v/>
      </c>
      <c r="V380" s="179">
        <f>IFERROR(VLOOKUP($C380,Code!$H:$Q,6,FALSE),"")</f>
        <v>31.95</v>
      </c>
      <c r="W380" s="180" t="str">
        <f t="shared" ca="1" si="47"/>
        <v/>
      </c>
      <c r="X380" s="12"/>
      <c r="Y380" s="12"/>
      <c r="Z380" s="12"/>
      <c r="AA380" s="12"/>
      <c r="AB380" s="12"/>
    </row>
    <row r="381" spans="1:28" s="10" customFormat="1" ht="15" hidden="1">
      <c r="A381" s="9"/>
      <c r="B381" s="169" cm="1">
        <f t="array" ref="B381">_xlfn.IFS(OR(Code!R335&lt;&gt;Code!U335,Code!R335=""),0,Code!R335=Code!U335,1)</f>
        <v>0</v>
      </c>
      <c r="C381" s="193" t="str">
        <f>IF(Code!F335="","",Code!F335)</f>
        <v>NLSN</v>
      </c>
      <c r="D381" s="155" t="str">
        <f>IFERROR(VLOOKUP($C381,Code!$H:$K,2,FALSE),"")</f>
        <v>XLI</v>
      </c>
      <c r="E381" s="156" t="str">
        <f>IFERROR(VLOOKUP($C381,Code!$H:$K,3,FALSE),"")</f>
        <v>咨詢服務</v>
      </c>
      <c r="F381" s="157" t="str">
        <f>IFERROR(VLOOKUP($C381,Code!$H:$K,4,FALSE),"")</f>
        <v>.SPX</v>
      </c>
      <c r="G381" s="170">
        <f>IFERROR(((VLOOKUP($C381,Code!$H:$Q,9,FALSE))+(VLOOKUP($C381,Code!$H:$Q,10,FALSE)))/2*0.5/(((VLOOKUP($C381,Code!$H:$Q,7,FALSE))+(VLOOKUP($C381,Code!$H:$Q,8,FALSE)))/2),0)</f>
        <v>0.60161836657884837</v>
      </c>
      <c r="H381" s="171" t="str">
        <f t="shared" si="40"/>
        <v>L</v>
      </c>
      <c r="I381" s="170">
        <f>IFERROR((VLOOKUP($C381,Code!$H:$Q,5,FALSE))/(((VLOOKUP($C381,Code!$H:$Q,7,FALSE))+(VLOOKUP($C381,Code!$H:$Q,8,FALSE)))/2)-1,0)</f>
        <v>-0.25730774055952832</v>
      </c>
      <c r="J381" s="204">
        <f>IFERROR(POWER((VLOOKUP(C381,Code!H:W,12,FALSE))/(VLOOKUP(C381,Code!H:W,15,FALSE)),1/(P381-1))-1,"")</f>
        <v>-0.12399452334428052</v>
      </c>
      <c r="K381" s="172" cm="1">
        <f t="array" ref="K381">IFERROR(IF(C381="","",_xlfn.IFS(AND(VLOOKUP(C381,Code!H:W,13,FALSE)=0,VLOOKUP(C381,Code!H:W,16,FALSE)=0),"無股息",AND(VLOOKUP(C381,Code!H:W,13,FALSE)=0,VLOOKUP(C381,Code!H:W,16,FALSE)&gt;0),"股息沒了",AND(VLOOKUP(C381,Code!H:W,13,FALSE)&gt;0,VLOOKUP(C381,Code!H:W,16,FALSE)=0),"發股息了",AND(VLOOKUP(C381,Code!H:W,13,FALSE)&gt;0,VLOOKUP(C381,Code!H:W,16,FALSE)&gt;0),POWER((VLOOKUP(C381,Code!H:W,13,FALSE))/(VLOOKUP(C381,Code!H:W,16,FALSE)),1/(P381-1))-1)),"")</f>
        <v>-0.35252319970685819</v>
      </c>
      <c r="L381" s="173">
        <f>IFERROR(VLOOKUP(C381,Code!H:W,13,FALSE)*4/VLOOKUP(C381,Code!H:W,12,FALSE),"")</f>
        <v>8.7655225477107114E-3</v>
      </c>
      <c r="M381" s="172">
        <f t="shared" si="41"/>
        <v>-0.47651772305113871</v>
      </c>
      <c r="N381" s="172" t="str">
        <f t="shared" si="42"/>
        <v>-</v>
      </c>
      <c r="O381" s="172" t="str">
        <f t="shared" si="43"/>
        <v>-</v>
      </c>
      <c r="P381" s="205">
        <f>IFERROR(YEARFRAC(VLOOKUP(C381,Code!H:W,11,FALSE),VLOOKUP(C381,Code!H:W,14,FALSE),3),"")</f>
        <v>4.7780821917808218</v>
      </c>
      <c r="Q381" s="174">
        <v>44547</v>
      </c>
      <c r="R381" s="175" t="str">
        <f t="shared" ca="1" si="44"/>
        <v/>
      </c>
      <c r="S381" s="176">
        <f>IFERROR(VLOOKUP($C381,Code!$H:$Q,5,FALSE),"")</f>
        <v>0.29599999999999999</v>
      </c>
      <c r="T381" s="177" t="str">
        <f t="shared" ca="1" si="45"/>
        <v/>
      </c>
      <c r="U381" s="178" t="str">
        <f t="shared" ca="1" si="46"/>
        <v/>
      </c>
      <c r="V381" s="179">
        <f>IFERROR(VLOOKUP($C381,Code!$H:$Q,6,FALSE),"")</f>
        <v>23.24</v>
      </c>
      <c r="W381" s="180" t="str">
        <f t="shared" ca="1" si="47"/>
        <v/>
      </c>
      <c r="X381" s="12"/>
      <c r="Y381" s="12"/>
      <c r="Z381" s="12"/>
      <c r="AA381" s="12"/>
      <c r="AB381" s="12"/>
    </row>
    <row r="382" spans="1:28" s="10" customFormat="1" ht="15" hidden="1">
      <c r="A382" s="9"/>
      <c r="B382" s="169" cm="1">
        <f t="array" ref="B382">_xlfn.IFS(OR(Code!R206&lt;&gt;Code!U206,Code!R206=""),0,Code!R206=Code!U206,1)</f>
        <v>1</v>
      </c>
      <c r="C382" s="193" t="str">
        <f>IF(Code!F206="","",Code!F206)</f>
        <v>GOOGL</v>
      </c>
      <c r="D382" s="155" t="str">
        <f>IFERROR(VLOOKUP($C382,Code!$H:$K,2,FALSE),"")</f>
        <v>XLC</v>
      </c>
      <c r="E382" s="156" t="str">
        <f>IFERROR(VLOOKUP($C382,Code!$H:$K,3,FALSE),"")</f>
        <v>互聯網內容與信息</v>
      </c>
      <c r="F382" s="157" t="str">
        <f>IFERROR(VLOOKUP($C382,Code!$H:$K,4,FALSE),"")</f>
        <v>.SPX</v>
      </c>
      <c r="G382" s="170">
        <f>IFERROR(((VLOOKUP($C382,Code!$H:$Q,9,FALSE))+(VLOOKUP($C382,Code!$H:$Q,10,FALSE)))/2*0.5/(((VLOOKUP($C382,Code!$H:$Q,7,FALSE))+(VLOOKUP($C382,Code!$H:$Q,8,FALSE)))/2),0)</f>
        <v>0.66646574241510947</v>
      </c>
      <c r="H382" s="171" t="str">
        <f t="shared" si="40"/>
        <v>L</v>
      </c>
      <c r="I382" s="170">
        <f>IFERROR((VLOOKUP($C382,Code!$H:$Q,5,FALSE))/(((VLOOKUP($C382,Code!$H:$Q,7,FALSE))+(VLOOKUP($C382,Code!$H:$Q,8,FALSE)))/2)-1,0)</f>
        <v>-0.25939320876029748</v>
      </c>
      <c r="J382" s="204" t="str">
        <f>IFERROR(POWER((VLOOKUP(C382,Code!H:W,12,FALSE))/(VLOOKUP(C382,Code!H:W,15,FALSE)),1/(P382-1))-1,"")</f>
        <v/>
      </c>
      <c r="K382" s="172" t="str" cm="1">
        <f t="array" ref="K382">IFERROR(IF(C382="","",_xlfn.IFS(AND(VLOOKUP(C382,Code!H:W,13,FALSE)=0,VLOOKUP(C382,Code!H:W,16,FALSE)=0),"無股息",AND(VLOOKUP(C382,Code!H:W,13,FALSE)=0,VLOOKUP(C382,Code!H:W,16,FALSE)&gt;0),"股息沒了",AND(VLOOKUP(C382,Code!H:W,13,FALSE)&gt;0,VLOOKUP(C382,Code!H:W,16,FALSE)=0),"發股息了",AND(VLOOKUP(C382,Code!H:W,13,FALSE)&gt;0,VLOOKUP(C382,Code!H:W,16,FALSE)&gt;0),POWER((VLOOKUP(C382,Code!H:W,13,FALSE))/(VLOOKUP(C382,Code!H:W,16,FALSE)),1/(P382-1))-1)),"")</f>
        <v>無股息</v>
      </c>
      <c r="L382" s="173" t="str">
        <f>IFERROR(VLOOKUP(C382,Code!H:W,13,FALSE)*4/VLOOKUP(C382,Code!H:W,12,FALSE),"")</f>
        <v/>
      </c>
      <c r="M382" s="172" t="str">
        <f t="shared" si="41"/>
        <v/>
      </c>
      <c r="N382" s="172" t="str">
        <f t="shared" si="42"/>
        <v/>
      </c>
      <c r="O382" s="172" t="str">
        <f t="shared" si="43"/>
        <v/>
      </c>
      <c r="P382" s="205">
        <f>IFERROR(YEARFRAC(VLOOKUP(C382,Code!H:W,11,FALSE),VLOOKUP(C382,Code!H:W,14,FALSE),3),"")</f>
        <v>0</v>
      </c>
      <c r="Q382" s="174">
        <v>44547</v>
      </c>
      <c r="R382" s="175" t="str">
        <f t="shared" ca="1" si="44"/>
        <v/>
      </c>
      <c r="S382" s="176">
        <f>IFERROR(VLOOKUP($C382,Code!$H:$Q,5,FALSE),"")</f>
        <v>0.18429999999999999</v>
      </c>
      <c r="T382" s="177" t="str">
        <f t="shared" ca="1" si="45"/>
        <v/>
      </c>
      <c r="U382" s="178" t="str">
        <f t="shared" ca="1" si="46"/>
        <v/>
      </c>
      <c r="V382" s="179">
        <f>IFERROR(VLOOKUP($C382,Code!$H:$Q,6,FALSE),"")</f>
        <v>2725.03</v>
      </c>
      <c r="W382" s="180" t="str">
        <f t="shared" ca="1" si="47"/>
        <v/>
      </c>
      <c r="X382" s="12"/>
      <c r="Y382" s="12"/>
      <c r="Z382" s="12"/>
      <c r="AA382" s="12"/>
      <c r="AB382" s="12"/>
    </row>
    <row r="383" spans="1:28" s="10" customFormat="1" ht="15" hidden="1">
      <c r="A383" s="9"/>
      <c r="B383" s="169" cm="1">
        <f t="array" ref="B383">_xlfn.IFS(OR(Code!R129&lt;&gt;Code!U129,Code!R129=""),0,Code!R129=Code!U129,1)</f>
        <v>0</v>
      </c>
      <c r="C383" s="193" t="str">
        <f>IF(Code!F129="","",Code!F129)</f>
        <v>DD</v>
      </c>
      <c r="D383" s="155" t="str">
        <f>IFERROR(VLOOKUP($C383,Code!$H:$K,2,FALSE),"")</f>
        <v>XLB</v>
      </c>
      <c r="E383" s="156" t="str">
        <f>IFERROR(VLOOKUP($C383,Code!$H:$K,3,FALSE),"")</f>
        <v>特種化學品</v>
      </c>
      <c r="F383" s="157" t="str">
        <f>IFERROR(VLOOKUP($C383,Code!$H:$K,4,FALSE),"")</f>
        <v>.SPX</v>
      </c>
      <c r="G383" s="170">
        <f>IFERROR(((VLOOKUP($C383,Code!$H:$Q,9,FALSE))+(VLOOKUP($C383,Code!$H:$Q,10,FALSE)))/2*0.5/(((VLOOKUP($C383,Code!$H:$Q,7,FALSE))+(VLOOKUP($C383,Code!$H:$Q,8,FALSE)))/2),0)</f>
        <v>0.56363773130735684</v>
      </c>
      <c r="H383" s="171" t="str">
        <f t="shared" si="40"/>
        <v>M</v>
      </c>
      <c r="I383" s="170">
        <f>IFERROR((VLOOKUP($C383,Code!$H:$Q,5,FALSE))/(((VLOOKUP($C383,Code!$H:$Q,7,FALSE))+(VLOOKUP($C383,Code!$H:$Q,8,FALSE)))/2)-1,0)</f>
        <v>-0.25951557093425592</v>
      </c>
      <c r="J383" s="204">
        <f>IFERROR(POWER((VLOOKUP(C383,Code!H:W,12,FALSE))/(VLOOKUP(C383,Code!H:W,15,FALSE)),1/(P383-1))-1,"")</f>
        <v>3.1693458353475146E-2</v>
      </c>
      <c r="K383" s="172" cm="1">
        <f t="array" ref="K383">IFERROR(IF(C383="","",_xlfn.IFS(AND(VLOOKUP(C383,Code!H:W,13,FALSE)=0,VLOOKUP(C383,Code!H:W,16,FALSE)=0),"無股息",AND(VLOOKUP(C383,Code!H:W,13,FALSE)=0,VLOOKUP(C383,Code!H:W,16,FALSE)&gt;0),"股息沒了",AND(VLOOKUP(C383,Code!H:W,13,FALSE)&gt;0,VLOOKUP(C383,Code!H:W,16,FALSE)=0),"發股息了",AND(VLOOKUP(C383,Code!H:W,13,FALSE)&gt;0,VLOOKUP(C383,Code!H:W,16,FALSE)&gt;0),POWER((VLOOKUP(C383,Code!H:W,13,FALSE))/(VLOOKUP(C383,Code!H:W,16,FALSE)),1/(P383-1))-1)),"")</f>
        <v>-0.18409848542275353</v>
      </c>
      <c r="L383" s="173">
        <f>IFERROR(VLOOKUP(C383,Code!H:W,13,FALSE)*4/VLOOKUP(C383,Code!H:W,12,FALSE),"")</f>
        <v>1.5980823791763552E-2</v>
      </c>
      <c r="M383" s="172">
        <f t="shared" si="41"/>
        <v>-0.15240502706927839</v>
      </c>
      <c r="N383" s="172" t="str">
        <f t="shared" si="42"/>
        <v>-</v>
      </c>
      <c r="O383" s="172" t="str">
        <f t="shared" si="43"/>
        <v>-</v>
      </c>
      <c r="P383" s="205">
        <f>IFERROR(YEARFRAC(VLOOKUP(C383,Code!H:W,11,FALSE),VLOOKUP(C383,Code!H:W,14,FALSE),3),"")</f>
        <v>4.8356164383561646</v>
      </c>
      <c r="Q383" s="174">
        <v>44547</v>
      </c>
      <c r="R383" s="175" t="str">
        <f t="shared" ca="1" si="44"/>
        <v/>
      </c>
      <c r="S383" s="176">
        <f>IFERROR(VLOOKUP($C383,Code!$H:$Q,5,FALSE),"")</f>
        <v>0.24610000000000001</v>
      </c>
      <c r="T383" s="177" t="str">
        <f t="shared" ca="1" si="45"/>
        <v/>
      </c>
      <c r="U383" s="178" t="str">
        <f t="shared" ca="1" si="46"/>
        <v/>
      </c>
      <c r="V383" s="179">
        <f>IFERROR(VLOOKUP($C383,Code!$H:$Q,6,FALSE),"")</f>
        <v>76.02</v>
      </c>
      <c r="W383" s="180" t="str">
        <f t="shared" ca="1" si="47"/>
        <v/>
      </c>
      <c r="X383" s="12"/>
      <c r="Y383" s="12"/>
      <c r="Z383" s="12"/>
      <c r="AA383" s="12"/>
      <c r="AB383" s="12"/>
    </row>
    <row r="384" spans="1:28" s="10" customFormat="1" ht="15" hidden="1">
      <c r="A384" s="9"/>
      <c r="B384" s="169" cm="1">
        <f t="array" ref="B384">_xlfn.IFS(OR(Code!R315&lt;&gt;Code!U315,Code!R315=""),0,Code!R315=Code!U315,1)</f>
        <v>0</v>
      </c>
      <c r="C384" s="193" t="str">
        <f>IF(Code!F315="","",Code!F315)</f>
        <v>MPWR</v>
      </c>
      <c r="D384" s="155" t="str">
        <f>IFERROR(VLOOKUP($C384,Code!$H:$K,2,FALSE),"")</f>
        <v>XLK</v>
      </c>
      <c r="E384" s="156" t="str">
        <f>IFERROR(VLOOKUP($C384,Code!$H:$K,3,FALSE),"")</f>
        <v>半導體</v>
      </c>
      <c r="F384" s="157" t="str">
        <f>IFERROR(VLOOKUP($C384,Code!$H:$K,4,FALSE),"")</f>
        <v>.SPX</v>
      </c>
      <c r="G384" s="170">
        <f>IFERROR(((VLOOKUP($C384,Code!$H:$Q,9,FALSE))+(VLOOKUP($C384,Code!$H:$Q,10,FALSE)))/2*0.5/(((VLOOKUP($C384,Code!$H:$Q,7,FALSE))+(VLOOKUP($C384,Code!$H:$Q,8,FALSE)))/2),0)</f>
        <v>0.45385622341005777</v>
      </c>
      <c r="H384" s="171" t="str">
        <f t="shared" si="40"/>
        <v>S</v>
      </c>
      <c r="I384" s="170">
        <f>IFERROR((VLOOKUP($C384,Code!$H:$Q,5,FALSE))/(((VLOOKUP($C384,Code!$H:$Q,7,FALSE))+(VLOOKUP($C384,Code!$H:$Q,8,FALSE)))/2)-1,0)</f>
        <v>-0.25995418348423704</v>
      </c>
      <c r="J384" s="204">
        <f>IFERROR(POWER((VLOOKUP(C384,Code!H:W,12,FALSE))/(VLOOKUP(C384,Code!H:W,15,FALSE)),1/(P384-1))-1,"")</f>
        <v>0.53458319985819602</v>
      </c>
      <c r="K384" s="172" cm="1">
        <f t="array" ref="K384">IFERROR(IF(C384="","",_xlfn.IFS(AND(VLOOKUP(C384,Code!H:W,13,FALSE)=0,VLOOKUP(C384,Code!H:W,16,FALSE)=0),"無股息",AND(VLOOKUP(C384,Code!H:W,13,FALSE)=0,VLOOKUP(C384,Code!H:W,16,FALSE)&gt;0),"股息沒了",AND(VLOOKUP(C384,Code!H:W,13,FALSE)&gt;0,VLOOKUP(C384,Code!H:W,16,FALSE)=0),"發股息了",AND(VLOOKUP(C384,Code!H:W,13,FALSE)&gt;0,VLOOKUP(C384,Code!H:W,16,FALSE)&gt;0),POWER((VLOOKUP(C384,Code!H:W,13,FALSE))/(VLOOKUP(C384,Code!H:W,16,FALSE)),1/(P384-1))-1)),"")</f>
        <v>0.34003532387771696</v>
      </c>
      <c r="L384" s="173">
        <f>IFERROR(VLOOKUP(C384,Code!H:W,13,FALSE)*4/VLOOKUP(C384,Code!H:W,12,FALSE),"")</f>
        <v>6.3593005797935691E-3</v>
      </c>
      <c r="M384" s="172">
        <f t="shared" si="41"/>
        <v>0.87461852373591298</v>
      </c>
      <c r="N384" s="172" t="str">
        <f t="shared" si="42"/>
        <v>-</v>
      </c>
      <c r="O384" s="172" t="str">
        <f t="shared" si="43"/>
        <v>Value</v>
      </c>
      <c r="P384" s="205">
        <f>IFERROR(YEARFRAC(VLOOKUP(C384,Code!H:W,11,FALSE),VLOOKUP(C384,Code!H:W,14,FALSE),3),"")</f>
        <v>4.7534246575342465</v>
      </c>
      <c r="Q384" s="174">
        <v>44547</v>
      </c>
      <c r="R384" s="175" t="str">
        <f t="shared" ca="1" si="44"/>
        <v/>
      </c>
      <c r="S384" s="176">
        <f>IFERROR(VLOOKUP($C384,Code!$H:$Q,5,FALSE),"")</f>
        <v>0.3392</v>
      </c>
      <c r="T384" s="177" t="str">
        <f t="shared" ca="1" si="45"/>
        <v/>
      </c>
      <c r="U384" s="178" t="str">
        <f t="shared" ca="1" si="46"/>
        <v/>
      </c>
      <c r="V384" s="179">
        <f>IFERROR(VLOOKUP($C384,Code!$H:$Q,6,FALSE),"")</f>
        <v>463.48</v>
      </c>
      <c r="W384" s="180" t="str">
        <f t="shared" ca="1" si="47"/>
        <v/>
      </c>
      <c r="X384" s="12"/>
      <c r="Y384" s="12"/>
      <c r="Z384" s="12"/>
      <c r="AA384" s="12"/>
      <c r="AB384" s="12"/>
    </row>
    <row r="385" spans="1:28" s="10" customFormat="1" ht="15" hidden="1">
      <c r="A385" s="9"/>
      <c r="B385" s="169" cm="1">
        <f t="array" ref="B385">_xlfn.IFS(OR(Code!R342&lt;&gt;Code!U342,Code!R342=""),0,Code!R342=Code!U342,1)</f>
        <v>0</v>
      </c>
      <c r="C385" s="193" t="str">
        <f>IF(Code!F342="","",Code!F342)</f>
        <v>NTRS</v>
      </c>
      <c r="D385" s="155" t="str">
        <f>IFERROR(VLOOKUP($C385,Code!$H:$K,2,FALSE),"")</f>
        <v>XLF</v>
      </c>
      <c r="E385" s="156" t="str">
        <f>IFERROR(VLOOKUP($C385,Code!$H:$K,3,FALSE),"")</f>
        <v>資產管理</v>
      </c>
      <c r="F385" s="157" t="str">
        <f>IFERROR(VLOOKUP($C385,Code!$H:$K,4,FALSE),"")</f>
        <v>.SPX</v>
      </c>
      <c r="G385" s="170">
        <f>IFERROR(((VLOOKUP($C385,Code!$H:$Q,9,FALSE))+(VLOOKUP($C385,Code!$H:$Q,10,FALSE)))/2*0.5/(((VLOOKUP($C385,Code!$H:$Q,7,FALSE))+(VLOOKUP($C385,Code!$H:$Q,8,FALSE)))/2),0)</f>
        <v>0.51624165148755308</v>
      </c>
      <c r="H385" s="171" t="str">
        <f t="shared" si="40"/>
        <v>M</v>
      </c>
      <c r="I385" s="170">
        <f>IFERROR((VLOOKUP($C385,Code!$H:$Q,5,FALSE))/(((VLOOKUP($C385,Code!$H:$Q,7,FALSE))+(VLOOKUP($C385,Code!$H:$Q,8,FALSE)))/2)-1,0)</f>
        <v>-0.26077717061323624</v>
      </c>
      <c r="J385" s="204">
        <f>IFERROR(POWER((VLOOKUP(C385,Code!H:W,12,FALSE))/(VLOOKUP(C385,Code!H:W,15,FALSE)),1/(P385-1))-1,"")</f>
        <v>0.17899432328680831</v>
      </c>
      <c r="K385" s="172" cm="1">
        <f t="array" ref="K385">IFERROR(IF(C385="","",_xlfn.IFS(AND(VLOOKUP(C385,Code!H:W,13,FALSE)=0,VLOOKUP(C385,Code!H:W,16,FALSE)=0),"無股息",AND(VLOOKUP(C385,Code!H:W,13,FALSE)=0,VLOOKUP(C385,Code!H:W,16,FALSE)&gt;0),"股息沒了",AND(VLOOKUP(C385,Code!H:W,13,FALSE)&gt;0,VLOOKUP(C385,Code!H:W,16,FALSE)=0),"發股息了",AND(VLOOKUP(C385,Code!H:W,13,FALSE)&gt;0,VLOOKUP(C385,Code!H:W,16,FALSE)&gt;0),POWER((VLOOKUP(C385,Code!H:W,13,FALSE))/(VLOOKUP(C385,Code!H:W,16,FALSE)),1/(P385-1))-1)),"")</f>
        <v>0.17550541789936847</v>
      </c>
      <c r="L385" s="173">
        <f>IFERROR(VLOOKUP(C385,Code!H:W,13,FALSE)*4/VLOOKUP(C385,Code!H:W,12,FALSE),"")</f>
        <v>2.3907103264490952E-2</v>
      </c>
      <c r="M385" s="172">
        <f t="shared" si="41"/>
        <v>0.35449974118617678</v>
      </c>
      <c r="N385" s="172" t="str">
        <f t="shared" si="42"/>
        <v>-</v>
      </c>
      <c r="O385" s="172" t="str">
        <f t="shared" si="43"/>
        <v>Value</v>
      </c>
      <c r="P385" s="205">
        <f>IFERROR(YEARFRAC(VLOOKUP(C385,Code!H:W,11,FALSE),VLOOKUP(C385,Code!H:W,14,FALSE),3),"")</f>
        <v>4.7780821917808218</v>
      </c>
      <c r="Q385" s="174">
        <v>44547</v>
      </c>
      <c r="R385" s="175" t="str">
        <f t="shared" ca="1" si="44"/>
        <v/>
      </c>
      <c r="S385" s="176">
        <f>IFERROR(VLOOKUP($C385,Code!$H:$Q,5,FALSE),"")</f>
        <v>0.24349999999999999</v>
      </c>
      <c r="T385" s="177" t="str">
        <f t="shared" ca="1" si="45"/>
        <v/>
      </c>
      <c r="U385" s="178" t="str">
        <f t="shared" ca="1" si="46"/>
        <v/>
      </c>
      <c r="V385" s="179">
        <f>IFERROR(VLOOKUP($C385,Code!$H:$Q,6,FALSE),"")</f>
        <v>112.23</v>
      </c>
      <c r="W385" s="180" t="str">
        <f t="shared" ca="1" si="47"/>
        <v/>
      </c>
      <c r="X385" s="12"/>
      <c r="Y385" s="12"/>
      <c r="Z385" s="12"/>
      <c r="AA385" s="12"/>
      <c r="AB385" s="12"/>
    </row>
    <row r="386" spans="1:28" s="10" customFormat="1" ht="15" hidden="1">
      <c r="A386" s="9"/>
      <c r="B386" s="169" cm="1">
        <f t="array" ref="B386">_xlfn.IFS(OR(Code!R170&lt;&gt;Code!U170,Code!R170=""),0,Code!R170=Code!U170,1)</f>
        <v>1</v>
      </c>
      <c r="C386" s="193" t="str">
        <f>IF(Code!F170="","",Code!F170)</f>
        <v>ETSY</v>
      </c>
      <c r="D386" s="155" t="str">
        <f>IFERROR(VLOOKUP($C386,Code!$H:$K,2,FALSE),"")</f>
        <v>XLY</v>
      </c>
      <c r="E386" s="156" t="str">
        <f>IFERROR(VLOOKUP($C386,Code!$H:$K,3,FALSE),"")</f>
        <v>互聯網零售</v>
      </c>
      <c r="F386" s="157" t="str">
        <f>IFERROR(VLOOKUP($C386,Code!$H:$K,4,FALSE),"")</f>
        <v>.SPX</v>
      </c>
      <c r="G386" s="170">
        <f>IFERROR(((VLOOKUP($C386,Code!$H:$Q,9,FALSE))+(VLOOKUP($C386,Code!$H:$Q,10,FALSE)))/2*0.5/(((VLOOKUP($C386,Code!$H:$Q,7,FALSE))+(VLOOKUP($C386,Code!$H:$Q,8,FALSE)))/2),0)</f>
        <v>0.47636205258156483</v>
      </c>
      <c r="H386" s="171" t="str">
        <f t="shared" si="40"/>
        <v>S</v>
      </c>
      <c r="I386" s="170">
        <f>IFERROR((VLOOKUP($C386,Code!$H:$Q,5,FALSE))/(((VLOOKUP($C386,Code!$H:$Q,7,FALSE))+(VLOOKUP($C386,Code!$H:$Q,8,FALSE)))/2)-1,0)</f>
        <v>-0.26179917643332273</v>
      </c>
      <c r="J386" s="204" t="str">
        <f>IFERROR(POWER((VLOOKUP(C386,Code!H:W,12,FALSE))/(VLOOKUP(C386,Code!H:W,15,FALSE)),1/(P386-1))-1,"")</f>
        <v/>
      </c>
      <c r="K386" s="172" t="str" cm="1">
        <f t="array" ref="K386">IFERROR(IF(C386="","",_xlfn.IFS(AND(VLOOKUP(C386,Code!H:W,13,FALSE)=0,VLOOKUP(C386,Code!H:W,16,FALSE)=0),"無股息",AND(VLOOKUP(C386,Code!H:W,13,FALSE)=0,VLOOKUP(C386,Code!H:W,16,FALSE)&gt;0),"股息沒了",AND(VLOOKUP(C386,Code!H:W,13,FALSE)&gt;0,VLOOKUP(C386,Code!H:W,16,FALSE)=0),"發股息了",AND(VLOOKUP(C386,Code!H:W,13,FALSE)&gt;0,VLOOKUP(C386,Code!H:W,16,FALSE)&gt;0),POWER((VLOOKUP(C386,Code!H:W,13,FALSE))/(VLOOKUP(C386,Code!H:W,16,FALSE)),1/(P386-1))-1)),"")</f>
        <v>無股息</v>
      </c>
      <c r="L386" s="173" t="str">
        <f>IFERROR(VLOOKUP(C386,Code!H:W,13,FALSE)*4/VLOOKUP(C386,Code!H:W,12,FALSE),"")</f>
        <v/>
      </c>
      <c r="M386" s="172" t="str">
        <f t="shared" si="41"/>
        <v/>
      </c>
      <c r="N386" s="172" t="str">
        <f t="shared" si="42"/>
        <v/>
      </c>
      <c r="O386" s="172" t="str">
        <f t="shared" si="43"/>
        <v/>
      </c>
      <c r="P386" s="205">
        <f>IFERROR(YEARFRAC(VLOOKUP(C386,Code!H:W,11,FALSE),VLOOKUP(C386,Code!H:W,14,FALSE),3),"")</f>
        <v>0</v>
      </c>
      <c r="Q386" s="174">
        <v>44547</v>
      </c>
      <c r="R386" s="175" t="str">
        <f t="shared" ca="1" si="44"/>
        <v/>
      </c>
      <c r="S386" s="176">
        <f>IFERROR(VLOOKUP($C386,Code!$H:$Q,5,FALSE),"")</f>
        <v>0.46610000000000001</v>
      </c>
      <c r="T386" s="177" t="str">
        <f t="shared" ca="1" si="45"/>
        <v/>
      </c>
      <c r="U386" s="178" t="str">
        <f t="shared" ca="1" si="46"/>
        <v/>
      </c>
      <c r="V386" s="179">
        <f>IFERROR(VLOOKUP($C386,Code!$H:$Q,6,FALSE),"")</f>
        <v>182.41</v>
      </c>
      <c r="W386" s="180" t="str">
        <f t="shared" ca="1" si="47"/>
        <v/>
      </c>
      <c r="X386" s="12"/>
      <c r="Y386" s="12"/>
      <c r="Z386" s="12"/>
      <c r="AA386" s="12"/>
      <c r="AB386" s="12"/>
    </row>
    <row r="387" spans="1:28" s="10" customFormat="1" ht="15" hidden="1">
      <c r="A387" s="9"/>
      <c r="B387" s="169" cm="1">
        <f t="array" ref="B387">_xlfn.IFS(OR(Code!R303&lt;&gt;Code!U303,Code!R303=""),0,Code!R303=Code!U303,1)</f>
        <v>0</v>
      </c>
      <c r="C387" s="193" t="str">
        <f>IF(Code!F303="","",Code!F303)</f>
        <v>MET</v>
      </c>
      <c r="D387" s="155" t="str">
        <f>IFERROR(VLOOKUP($C387,Code!$H:$K,2,FALSE),"")</f>
        <v>XLF</v>
      </c>
      <c r="E387" s="156" t="str">
        <f>IFERROR(VLOOKUP($C387,Code!$H:$K,3,FALSE),"")</f>
        <v>保險-人壽保險</v>
      </c>
      <c r="F387" s="157" t="str">
        <f>IFERROR(VLOOKUP($C387,Code!$H:$K,4,FALSE),"")</f>
        <v>.SPX</v>
      </c>
      <c r="G387" s="170">
        <f>IFERROR(((VLOOKUP($C387,Code!$H:$Q,9,FALSE))+(VLOOKUP($C387,Code!$H:$Q,10,FALSE)))/2*0.5/(((VLOOKUP($C387,Code!$H:$Q,7,FALSE))+(VLOOKUP($C387,Code!$H:$Q,8,FALSE)))/2),0)</f>
        <v>0.49691091954022992</v>
      </c>
      <c r="H387" s="171" t="str">
        <f t="shared" si="40"/>
        <v>S</v>
      </c>
      <c r="I387" s="170">
        <f>IFERROR((VLOOKUP($C387,Code!$H:$Q,5,FALSE))/(((VLOOKUP($C387,Code!$H:$Q,7,FALSE))+(VLOOKUP($C387,Code!$H:$Q,8,FALSE)))/2)-1,0)</f>
        <v>-0.26206896551724146</v>
      </c>
      <c r="J387" s="204">
        <f>IFERROR(POWER((VLOOKUP(C387,Code!H:W,12,FALSE))/(VLOOKUP(C387,Code!H:W,15,FALSE)),1/(P387-1))-1,"")</f>
        <v>0.1953272795694776</v>
      </c>
      <c r="K387" s="172" cm="1">
        <f t="array" ref="K387">IFERROR(IF(C387="","",_xlfn.IFS(AND(VLOOKUP(C387,Code!H:W,13,FALSE)=0,VLOOKUP(C387,Code!H:W,16,FALSE)=0),"無股息",AND(VLOOKUP(C387,Code!H:W,13,FALSE)=0,VLOOKUP(C387,Code!H:W,16,FALSE)&gt;0),"股息沒了",AND(VLOOKUP(C387,Code!H:W,13,FALSE)&gt;0,VLOOKUP(C387,Code!H:W,16,FALSE)=0),"發股息了",AND(VLOOKUP(C387,Code!H:W,13,FALSE)&gt;0,VLOOKUP(C387,Code!H:W,16,FALSE)&gt;0),POWER((VLOOKUP(C387,Code!H:W,13,FALSE))/(VLOOKUP(C387,Code!H:W,16,FALSE)),1/(P387-1))-1)),"")</f>
        <v>8.8228599578739075E-2</v>
      </c>
      <c r="L387" s="173">
        <f>IFERROR(VLOOKUP(C387,Code!H:W,13,FALSE)*4/VLOOKUP(C387,Code!H:W,12,FALSE),"")</f>
        <v>2.8885210843083098E-2</v>
      </c>
      <c r="M387" s="172">
        <f t="shared" si="41"/>
        <v>0.28355587914821667</v>
      </c>
      <c r="N387" s="172" t="str">
        <f t="shared" si="42"/>
        <v>-</v>
      </c>
      <c r="O387" s="172" t="str">
        <f t="shared" si="43"/>
        <v>-</v>
      </c>
      <c r="P387" s="205">
        <f>IFERROR(YEARFRAC(VLOOKUP(C387,Code!H:W,11,FALSE),VLOOKUP(C387,Code!H:W,14,FALSE),3),"")</f>
        <v>4.5178082191780824</v>
      </c>
      <c r="Q387" s="174">
        <v>44547</v>
      </c>
      <c r="R387" s="175" t="str">
        <f t="shared" ca="1" si="44"/>
        <v/>
      </c>
      <c r="S387" s="176">
        <f>IFERROR(VLOOKUP($C387,Code!$H:$Q,5,FALSE),"")</f>
        <v>0.25679999999999997</v>
      </c>
      <c r="T387" s="177" t="str">
        <f t="shared" ca="1" si="45"/>
        <v/>
      </c>
      <c r="U387" s="178" t="str">
        <f t="shared" ca="1" si="46"/>
        <v/>
      </c>
      <c r="V387" s="179">
        <f>IFERROR(VLOOKUP($C387,Code!$H:$Q,6,FALSE),"")</f>
        <v>58.84</v>
      </c>
      <c r="W387" s="180" t="str">
        <f t="shared" ca="1" si="47"/>
        <v/>
      </c>
      <c r="X387" s="12"/>
      <c r="Y387" s="12"/>
      <c r="Z387" s="12"/>
      <c r="AA387" s="12"/>
      <c r="AB387" s="12"/>
    </row>
    <row r="388" spans="1:28" s="10" customFormat="1" ht="15" hidden="1">
      <c r="A388" s="9"/>
      <c r="B388" s="169" cm="1">
        <f t="array" ref="B388">_xlfn.IFS(OR(Code!R390&lt;&gt;Code!U390,Code!R390=""),0,Code!R390=Code!U390,1)</f>
        <v>0</v>
      </c>
      <c r="C388" s="193" t="str">
        <f>IF(Code!F390="","",Code!F390)</f>
        <v>PXD</v>
      </c>
      <c r="D388" s="155" t="str">
        <f>IFERROR(VLOOKUP($C388,Code!$H:$K,2,FALSE),"")</f>
        <v>XLE</v>
      </c>
      <c r="E388" s="156" t="str">
        <f>IFERROR(VLOOKUP($C388,Code!$H:$K,3,FALSE),"")</f>
        <v>油氣E&amp;P</v>
      </c>
      <c r="F388" s="157" t="str">
        <f>IFERROR(VLOOKUP($C388,Code!$H:$K,4,FALSE),"")</f>
        <v>.SPX</v>
      </c>
      <c r="G388" s="170">
        <f>IFERROR(((VLOOKUP($C388,Code!$H:$Q,9,FALSE))+(VLOOKUP($C388,Code!$H:$Q,10,FALSE)))/2*0.5/(((VLOOKUP($C388,Code!$H:$Q,7,FALSE))+(VLOOKUP($C388,Code!$H:$Q,8,FALSE)))/2),0)</f>
        <v>0.47573229690018015</v>
      </c>
      <c r="H388" s="171" t="str">
        <f t="shared" ref="H388:H451" si="48">IFERROR(IF(G388&gt;9E+306,"",IF(G388&gt;70%,"XL",IF(G388&gt;60%,"L",IF(G388&gt;50%,"M",IF(G388&gt;0%,"S",""))))),"")</f>
        <v>S</v>
      </c>
      <c r="I388" s="170">
        <f>IFERROR((VLOOKUP($C388,Code!$H:$Q,5,FALSE))/(((VLOOKUP($C388,Code!$H:$Q,7,FALSE))+(VLOOKUP($C388,Code!$H:$Q,8,FALSE)))/2)-1,0)</f>
        <v>-0.26248933548203612</v>
      </c>
      <c r="J388" s="204">
        <f>IFERROR(POWER((VLOOKUP(C388,Code!H:W,12,FALSE))/(VLOOKUP(C388,Code!H:W,15,FALSE)),1/(P388-1))-1,"")</f>
        <v>-2.6840644210677556E-2</v>
      </c>
      <c r="K388" s="172" cm="1">
        <f t="array" ref="K388">IFERROR(IF(C388="","",_xlfn.IFS(AND(VLOOKUP(C388,Code!H:W,13,FALSE)=0,VLOOKUP(C388,Code!H:W,16,FALSE)=0),"無股息",AND(VLOOKUP(C388,Code!H:W,13,FALSE)=0,VLOOKUP(C388,Code!H:W,16,FALSE)&gt;0),"股息沒了",AND(VLOOKUP(C388,Code!H:W,13,FALSE)&gt;0,VLOOKUP(C388,Code!H:W,16,FALSE)=0),"發股息了",AND(VLOOKUP(C388,Code!H:W,13,FALSE)&gt;0,VLOOKUP(C388,Code!H:W,16,FALSE)&gt;0),POWER((VLOOKUP(C388,Code!H:W,13,FALSE))/(VLOOKUP(C388,Code!H:W,16,FALSE)),1/(P388-1))-1)),"")</f>
        <v>1.0200181869728797</v>
      </c>
      <c r="L388" s="173">
        <f>IFERROR(VLOOKUP(C388,Code!H:W,13,FALSE)*4/VLOOKUP(C388,Code!H:W,12,FALSE),"")</f>
        <v>1.4118239936325896E-2</v>
      </c>
      <c r="M388" s="172">
        <f t="shared" ref="M388:M451" si="49">IF(SUM(J388:K388)=0,"",SUM(J388:K388))</f>
        <v>0.99317754276220216</v>
      </c>
      <c r="N388" s="172" t="str">
        <f t="shared" ref="N388:N451" si="50">IFERROR(IF(L388&gt;3%,IF((K388+L388)&gt;12%,"Venture","-"),"-"),"")</f>
        <v>-</v>
      </c>
      <c r="O388" s="172" t="str">
        <f t="shared" ref="O388:O451" si="51">IFERROR(IF(OR(L388&lt;3%,L388=""),IF((K388+L388)&gt;15%,"Value","-"),"-"),"")</f>
        <v>Value</v>
      </c>
      <c r="P388" s="205">
        <f>IFERROR(YEARFRAC(VLOOKUP(C388,Code!H:W,11,FALSE),VLOOKUP(C388,Code!H:W,14,FALSE),3),"")</f>
        <v>4.7534246575342465</v>
      </c>
      <c r="Q388" s="174">
        <v>44547</v>
      </c>
      <c r="R388" s="175" t="str">
        <f t="shared" ref="R388:R451" ca="1" si="52">IFERROR(IF(OR(_xlfn.DAYS(Q388,TODAY())+1&lt;0,C388=0),"",_xlfn.DAYS(Q388,TODAY())+1),"")</f>
        <v/>
      </c>
      <c r="S388" s="176">
        <f>IFERROR(VLOOKUP($C388,Code!$H:$Q,5,FALSE),"")</f>
        <v>0.38900000000000001</v>
      </c>
      <c r="T388" s="177" t="str">
        <f t="shared" ref="T388:T451" ca="1" si="53">IFERROR(IF(V388*S388*SQRT(R388/365)=0,"",V388*S388*SQRT(R388/365)),"")</f>
        <v/>
      </c>
      <c r="U388" s="178" t="str">
        <f t="shared" ref="U388:U451" ca="1" si="54">IFERROR(V388-T388,"")</f>
        <v/>
      </c>
      <c r="V388" s="179">
        <f>IFERROR(VLOOKUP($C388,Code!$H:$Q,6,FALSE),"")</f>
        <v>151.79</v>
      </c>
      <c r="W388" s="180" t="str">
        <f t="shared" ref="W388:W451" ca="1" si="55">IFERROR(V388+T388,"")</f>
        <v/>
      </c>
      <c r="X388" s="12"/>
      <c r="Y388" s="12"/>
      <c r="Z388" s="12"/>
      <c r="AA388" s="12"/>
      <c r="AB388" s="12"/>
    </row>
    <row r="389" spans="1:28" s="10" customFormat="1" ht="15" hidden="1">
      <c r="A389" s="9"/>
      <c r="B389" s="169" cm="1">
        <f t="array" ref="B389">_xlfn.IFS(OR(Code!R65&lt;&gt;Code!U65,Code!R65=""),0,Code!R65=Code!U65,1)</f>
        <v>1</v>
      </c>
      <c r="C389" s="193" t="str">
        <f>IF(Code!F65="","",Code!F65)</f>
        <v>BIO</v>
      </c>
      <c r="D389" s="155" t="str">
        <f>IFERROR(VLOOKUP($C389,Code!$H:$K,2,FALSE),"")</f>
        <v>XLV</v>
      </c>
      <c r="E389" s="156" t="str">
        <f>IFERROR(VLOOKUP($C389,Code!$H:$K,3,FALSE),"")</f>
        <v>醫療設備</v>
      </c>
      <c r="F389" s="157" t="str">
        <f>IFERROR(VLOOKUP($C389,Code!$H:$K,4,FALSE),"")</f>
        <v>.SPX</v>
      </c>
      <c r="G389" s="170">
        <f>IFERROR(((VLOOKUP($C389,Code!$H:$Q,9,FALSE))+(VLOOKUP($C389,Code!$H:$Q,10,FALSE)))/2*0.5/(((VLOOKUP($C389,Code!$H:$Q,7,FALSE))+(VLOOKUP($C389,Code!$H:$Q,8,FALSE)))/2),0)</f>
        <v>0.53185867431677492</v>
      </c>
      <c r="H389" s="171" t="str">
        <f t="shared" si="48"/>
        <v>M</v>
      </c>
      <c r="I389" s="170">
        <f>IFERROR((VLOOKUP($C389,Code!$H:$Q,5,FALSE))/(((VLOOKUP($C389,Code!$H:$Q,7,FALSE))+(VLOOKUP($C389,Code!$H:$Q,8,FALSE)))/2)-1,0)</f>
        <v>-0.26347576626906233</v>
      </c>
      <c r="J389" s="204" t="str">
        <f>IFERROR(POWER((VLOOKUP(C389,Code!H:W,12,FALSE))/(VLOOKUP(C389,Code!H:W,15,FALSE)),1/(P389-1))-1,"")</f>
        <v/>
      </c>
      <c r="K389" s="172" t="str" cm="1">
        <f t="array" ref="K389">IFERROR(IF(C389="","",_xlfn.IFS(AND(VLOOKUP(C389,Code!H:W,13,FALSE)=0,VLOOKUP(C389,Code!H:W,16,FALSE)=0),"無股息",AND(VLOOKUP(C389,Code!H:W,13,FALSE)=0,VLOOKUP(C389,Code!H:W,16,FALSE)&gt;0),"股息沒了",AND(VLOOKUP(C389,Code!H:W,13,FALSE)&gt;0,VLOOKUP(C389,Code!H:W,16,FALSE)=0),"發股息了",AND(VLOOKUP(C389,Code!H:W,13,FALSE)&gt;0,VLOOKUP(C389,Code!H:W,16,FALSE)&gt;0),POWER((VLOOKUP(C389,Code!H:W,13,FALSE))/(VLOOKUP(C389,Code!H:W,16,FALSE)),1/(P389-1))-1)),"")</f>
        <v>無股息</v>
      </c>
      <c r="L389" s="173" t="str">
        <f>IFERROR(VLOOKUP(C389,Code!H:W,13,FALSE)*4/VLOOKUP(C389,Code!H:W,12,FALSE),"")</f>
        <v/>
      </c>
      <c r="M389" s="172" t="str">
        <f t="shared" si="49"/>
        <v/>
      </c>
      <c r="N389" s="172" t="str">
        <f t="shared" si="50"/>
        <v/>
      </c>
      <c r="O389" s="172" t="str">
        <f t="shared" si="51"/>
        <v/>
      </c>
      <c r="P389" s="205">
        <f>IFERROR(YEARFRAC(VLOOKUP(C389,Code!H:W,11,FALSE),VLOOKUP(C389,Code!H:W,14,FALSE),3),"")</f>
        <v>0</v>
      </c>
      <c r="Q389" s="174">
        <v>44547</v>
      </c>
      <c r="R389" s="175" t="str">
        <f t="shared" ca="1" si="52"/>
        <v/>
      </c>
      <c r="S389" s="176">
        <f>IFERROR(VLOOKUP($C389,Code!$H:$Q,5,FALSE),"")</f>
        <v>0.24390000000000001</v>
      </c>
      <c r="T389" s="177" t="str">
        <f t="shared" ca="1" si="53"/>
        <v/>
      </c>
      <c r="U389" s="178" t="str">
        <f t="shared" ca="1" si="54"/>
        <v/>
      </c>
      <c r="V389" s="179">
        <f>IFERROR(VLOOKUP($C389,Code!$H:$Q,6,FALSE),"")</f>
        <v>763.66</v>
      </c>
      <c r="W389" s="180" t="str">
        <f t="shared" ca="1" si="55"/>
        <v/>
      </c>
      <c r="X389" s="12"/>
      <c r="Y389" s="12"/>
      <c r="Z389" s="12"/>
      <c r="AA389" s="12"/>
      <c r="AB389" s="12"/>
    </row>
    <row r="390" spans="1:28" s="10" customFormat="1" ht="15" hidden="1">
      <c r="A390" s="9"/>
      <c r="B390" s="169" cm="1">
        <f t="array" ref="B390">_xlfn.IFS(OR(Code!R454&lt;&gt;Code!U454,Code!R454=""),0,Code!R454=Code!U454,1)</f>
        <v>0</v>
      </c>
      <c r="C390" s="193" t="str">
        <f>IF(Code!F454="","",Code!F454)</f>
        <v>TXN</v>
      </c>
      <c r="D390" s="155" t="str">
        <f>IFERROR(VLOOKUP($C390,Code!$H:$K,2,FALSE),"")</f>
        <v>XLK</v>
      </c>
      <c r="E390" s="156" t="str">
        <f>IFERROR(VLOOKUP($C390,Code!$H:$K,3,FALSE),"")</f>
        <v>半導體</v>
      </c>
      <c r="F390" s="157" t="str">
        <f>IFERROR(VLOOKUP($C390,Code!$H:$K,4,FALSE),"")</f>
        <v>.SPX</v>
      </c>
      <c r="G390" s="170">
        <f>IFERROR(((VLOOKUP($C390,Code!$H:$Q,9,FALSE))+(VLOOKUP($C390,Code!$H:$Q,10,FALSE)))/2*0.5/(((VLOOKUP($C390,Code!$H:$Q,7,FALSE))+(VLOOKUP($C390,Code!$H:$Q,8,FALSE)))/2),0)</f>
        <v>0.50041233712683486</v>
      </c>
      <c r="H390" s="171" t="str">
        <f t="shared" si="48"/>
        <v>M</v>
      </c>
      <c r="I390" s="170">
        <f>IFERROR((VLOOKUP($C390,Code!$H:$Q,5,FALSE))/(((VLOOKUP($C390,Code!$H:$Q,7,FALSE))+(VLOOKUP($C390,Code!$H:$Q,8,FALSE)))/2)-1,0)</f>
        <v>-0.26669965363681358</v>
      </c>
      <c r="J390" s="204">
        <f>IFERROR(POWER((VLOOKUP(C390,Code!H:W,12,FALSE))/(VLOOKUP(C390,Code!H:W,15,FALSE)),1/(P390-1))-1,"")</f>
        <v>0.35730227391132674</v>
      </c>
      <c r="K390" s="172" cm="1">
        <f t="array" ref="K390">IFERROR(IF(C390="","",_xlfn.IFS(AND(VLOOKUP(C390,Code!H:W,13,FALSE)=0,VLOOKUP(C390,Code!H:W,16,FALSE)=0),"無股息",AND(VLOOKUP(C390,Code!H:W,13,FALSE)=0,VLOOKUP(C390,Code!H:W,16,FALSE)&gt;0),"股息沒了",AND(VLOOKUP(C390,Code!H:W,13,FALSE)&gt;0,VLOOKUP(C390,Code!H:W,16,FALSE)=0),"發股息了",AND(VLOOKUP(C390,Code!H:W,13,FALSE)&gt;0,VLOOKUP(C390,Code!H:W,16,FALSE)&gt;0),POWER((VLOOKUP(C390,Code!H:W,13,FALSE))/(VLOOKUP(C390,Code!H:W,16,FALSE)),1/(P390-1))-1)),"")</f>
        <v>0.21121616315395797</v>
      </c>
      <c r="L390" s="173">
        <f>IFERROR(VLOOKUP(C390,Code!H:W,13,FALSE)*4/VLOOKUP(C390,Code!H:W,12,FALSE),"")</f>
        <v>2.1835696369951831E-2</v>
      </c>
      <c r="M390" s="172">
        <f t="shared" si="49"/>
        <v>0.56851843706528471</v>
      </c>
      <c r="N390" s="172" t="str">
        <f t="shared" si="50"/>
        <v>-</v>
      </c>
      <c r="O390" s="172" t="str">
        <f t="shared" si="51"/>
        <v>Value</v>
      </c>
      <c r="P390" s="205">
        <f>IFERROR(YEARFRAC(VLOOKUP(C390,Code!H:W,11,FALSE),VLOOKUP(C390,Code!H:W,14,FALSE),3),"")</f>
        <v>4.720547945205479</v>
      </c>
      <c r="Q390" s="174">
        <v>44547</v>
      </c>
      <c r="R390" s="175" t="str">
        <f t="shared" ca="1" si="52"/>
        <v/>
      </c>
      <c r="S390" s="176">
        <f>IFERROR(VLOOKUP($C390,Code!$H:$Q,5,FALSE),"")</f>
        <v>0.2223</v>
      </c>
      <c r="T390" s="177" t="str">
        <f t="shared" ca="1" si="53"/>
        <v/>
      </c>
      <c r="U390" s="178" t="str">
        <f t="shared" ca="1" si="54"/>
        <v/>
      </c>
      <c r="V390" s="179">
        <f>IFERROR(VLOOKUP($C390,Code!$H:$Q,6,FALSE),"")</f>
        <v>193.16</v>
      </c>
      <c r="W390" s="180" t="str">
        <f t="shared" ca="1" si="55"/>
        <v/>
      </c>
      <c r="X390" s="12"/>
      <c r="Y390" s="12"/>
      <c r="Z390" s="12"/>
      <c r="AA390" s="12"/>
      <c r="AB390" s="12"/>
    </row>
    <row r="391" spans="1:28" s="10" customFormat="1" ht="15" hidden="1">
      <c r="A391" s="9"/>
      <c r="B391" s="169" cm="1">
        <f t="array" ref="B391">_xlfn.IFS(OR(Code!R293&lt;&gt;Code!U293,Code!R293=""),0,Code!R293=Code!U293,1)</f>
        <v>0</v>
      </c>
      <c r="C391" s="193" t="str">
        <f>IF(Code!F293="","",Code!F293)</f>
        <v>MA</v>
      </c>
      <c r="D391" s="155" t="str">
        <f>IFERROR(VLOOKUP($C391,Code!$H:$K,2,FALSE),"")</f>
        <v>XLK</v>
      </c>
      <c r="E391" s="156" t="str">
        <f>IFERROR(VLOOKUP($C391,Code!$H:$K,3,FALSE),"")</f>
        <v>信貸服務</v>
      </c>
      <c r="F391" s="157" t="str">
        <f>IFERROR(VLOOKUP($C391,Code!$H:$K,4,FALSE),"")</f>
        <v>.SPX</v>
      </c>
      <c r="G391" s="170">
        <f>IFERROR(((VLOOKUP($C391,Code!$H:$Q,9,FALSE))+(VLOOKUP($C391,Code!$H:$Q,10,FALSE)))/2*0.5/(((VLOOKUP($C391,Code!$H:$Q,7,FALSE))+(VLOOKUP($C391,Code!$H:$Q,8,FALSE)))/2),0)</f>
        <v>0.49271066965716115</v>
      </c>
      <c r="H391" s="171" t="str">
        <f t="shared" si="48"/>
        <v>S</v>
      </c>
      <c r="I391" s="170">
        <f>IFERROR((VLOOKUP($C391,Code!$H:$Q,5,FALSE))/(((VLOOKUP($C391,Code!$H:$Q,7,FALSE))+(VLOOKUP($C391,Code!$H:$Q,8,FALSE)))/2)-1,0)</f>
        <v>-0.26786286446651708</v>
      </c>
      <c r="J391" s="204">
        <f>IFERROR(POWER((VLOOKUP(C391,Code!H:W,12,FALSE))/(VLOOKUP(C391,Code!H:W,15,FALSE)),1/(P391-1))-1,"")</f>
        <v>0.41789343131129097</v>
      </c>
      <c r="K391" s="172" cm="1">
        <f t="array" ref="K391">IFERROR(IF(C391="","",_xlfn.IFS(AND(VLOOKUP(C391,Code!H:W,13,FALSE)=0,VLOOKUP(C391,Code!H:W,16,FALSE)=0),"無股息",AND(VLOOKUP(C391,Code!H:W,13,FALSE)=0,VLOOKUP(C391,Code!H:W,16,FALSE)&gt;0),"股息沒了",AND(VLOOKUP(C391,Code!H:W,13,FALSE)&gt;0,VLOOKUP(C391,Code!H:W,16,FALSE)=0),"發股息了",AND(VLOOKUP(C391,Code!H:W,13,FALSE)&gt;0,VLOOKUP(C391,Code!H:W,16,FALSE)&gt;0),POWER((VLOOKUP(C391,Code!H:W,13,FALSE))/(VLOOKUP(C391,Code!H:W,16,FALSE)),1/(P391-1))-1)),"")</f>
        <v>0.25032441944369199</v>
      </c>
      <c r="L391" s="173">
        <f>IFERROR(VLOOKUP(C391,Code!H:W,13,FALSE)*4/VLOOKUP(C391,Code!H:W,12,FALSE),"")</f>
        <v>4.7543153202214703E-3</v>
      </c>
      <c r="M391" s="172">
        <f t="shared" si="49"/>
        <v>0.66821785075498297</v>
      </c>
      <c r="N391" s="172" t="str">
        <f t="shared" si="50"/>
        <v>-</v>
      </c>
      <c r="O391" s="172" t="str">
        <f t="shared" si="51"/>
        <v>Value</v>
      </c>
      <c r="P391" s="205">
        <f>IFERROR(YEARFRAC(VLOOKUP(C391,Code!H:W,11,FALSE),VLOOKUP(C391,Code!H:W,14,FALSE),3),"")</f>
        <v>4.7589041095890412</v>
      </c>
      <c r="Q391" s="174">
        <v>44547</v>
      </c>
      <c r="R391" s="175" t="str">
        <f t="shared" ca="1" si="52"/>
        <v/>
      </c>
      <c r="S391" s="176">
        <f>IFERROR(VLOOKUP($C391,Code!$H:$Q,5,FALSE),"")</f>
        <v>0.22850000000000001</v>
      </c>
      <c r="T391" s="177" t="str">
        <f t="shared" ca="1" si="53"/>
        <v/>
      </c>
      <c r="U391" s="178" t="str">
        <f t="shared" ca="1" si="54"/>
        <v/>
      </c>
      <c r="V391" s="179">
        <f>IFERROR(VLOOKUP($C391,Code!$H:$Q,6,FALSE),"")</f>
        <v>371.94</v>
      </c>
      <c r="W391" s="180" t="str">
        <f t="shared" ca="1" si="55"/>
        <v/>
      </c>
      <c r="X391" s="12"/>
      <c r="Y391" s="12"/>
      <c r="Z391" s="12"/>
      <c r="AA391" s="12"/>
      <c r="AB391" s="12"/>
    </row>
    <row r="392" spans="1:28" s="10" customFormat="1" ht="15" hidden="1">
      <c r="A392" s="9"/>
      <c r="B392" s="169" cm="1">
        <f t="array" ref="B392">_xlfn.IFS(OR(Code!R102&lt;&gt;Code!U102,Code!R102=""),0,Code!R102=Code!U102,1)</f>
        <v>0</v>
      </c>
      <c r="C392" s="193" t="str">
        <f>IF(Code!F102="","",Code!F102)</f>
        <v>CME</v>
      </c>
      <c r="D392" s="155" t="str">
        <f>IFERROR(VLOOKUP($C392,Code!$H:$K,2,FALSE),"")</f>
        <v>XLF</v>
      </c>
      <c r="E392" s="156" t="str">
        <f>IFERROR(VLOOKUP($C392,Code!$H:$K,3,FALSE),"")</f>
        <v>金融數據與證券交易所</v>
      </c>
      <c r="F392" s="157" t="str">
        <f>IFERROR(VLOOKUP($C392,Code!$H:$K,4,FALSE),"")</f>
        <v>.SPX</v>
      </c>
      <c r="G392" s="170">
        <f>IFERROR(((VLOOKUP($C392,Code!$H:$Q,9,FALSE))+(VLOOKUP($C392,Code!$H:$Q,10,FALSE)))/2*0.5/(((VLOOKUP($C392,Code!$H:$Q,7,FALSE))+(VLOOKUP($C392,Code!$H:$Q,8,FALSE)))/2),0)</f>
        <v>0.52333208395802089</v>
      </c>
      <c r="H392" s="171" t="str">
        <f t="shared" si="48"/>
        <v>M</v>
      </c>
      <c r="I392" s="170">
        <f>IFERROR((VLOOKUP($C392,Code!$H:$Q,5,FALSE))/(((VLOOKUP($C392,Code!$H:$Q,7,FALSE))+(VLOOKUP($C392,Code!$H:$Q,8,FALSE)))/2)-1,0)</f>
        <v>-0.26836581709145435</v>
      </c>
      <c r="J392" s="204">
        <f>IFERROR(POWER((VLOOKUP(C392,Code!H:W,12,FALSE))/(VLOOKUP(C392,Code!H:W,15,FALSE)),1/(P392-1))-1,"")</f>
        <v>0.26132981363588947</v>
      </c>
      <c r="K392" s="172" cm="1">
        <f t="array" ref="K392">IFERROR(IF(C392="","",_xlfn.IFS(AND(VLOOKUP(C392,Code!H:W,13,FALSE)=0,VLOOKUP(C392,Code!H:W,16,FALSE)=0),"無股息",AND(VLOOKUP(C392,Code!H:W,13,FALSE)=0,VLOOKUP(C392,Code!H:W,16,FALSE)&gt;0),"股息沒了",AND(VLOOKUP(C392,Code!H:W,13,FALSE)&gt;0,VLOOKUP(C392,Code!H:W,16,FALSE)=0),"發股息了",AND(VLOOKUP(C392,Code!H:W,13,FALSE)&gt;0,VLOOKUP(C392,Code!H:W,16,FALSE)&gt;0),POWER((VLOOKUP(C392,Code!H:W,13,FALSE))/(VLOOKUP(C392,Code!H:W,16,FALSE)),1/(P392-1))-1)),"")</f>
        <v>0.11398823721015661</v>
      </c>
      <c r="L392" s="173">
        <f>IFERROR(VLOOKUP(C392,Code!H:W,13,FALSE)*4/VLOOKUP(C392,Code!H:W,12,FALSE),"")</f>
        <v>1.6704561699043729E-2</v>
      </c>
      <c r="M392" s="172">
        <f t="shared" si="49"/>
        <v>0.37531805084604608</v>
      </c>
      <c r="N392" s="172" t="str">
        <f t="shared" si="50"/>
        <v>-</v>
      </c>
      <c r="O392" s="172" t="str">
        <f t="shared" si="51"/>
        <v>-</v>
      </c>
      <c r="P392" s="205">
        <f>IFERROR(YEARFRAC(VLOOKUP(C392,Code!H:W,11,FALSE),VLOOKUP(C392,Code!H:W,14,FALSE),3),"")</f>
        <v>4.7561643835616438</v>
      </c>
      <c r="Q392" s="174">
        <v>44547</v>
      </c>
      <c r="R392" s="175" t="str">
        <f t="shared" ca="1" si="52"/>
        <v/>
      </c>
      <c r="S392" s="176">
        <f>IFERROR(VLOOKUP($C392,Code!$H:$Q,5,FALSE),"")</f>
        <v>0.19520000000000001</v>
      </c>
      <c r="T392" s="177" t="str">
        <f t="shared" ca="1" si="53"/>
        <v/>
      </c>
      <c r="U392" s="178" t="str">
        <f t="shared" ca="1" si="54"/>
        <v/>
      </c>
      <c r="V392" s="179">
        <f>IFERROR(VLOOKUP($C392,Code!$H:$Q,6,FALSE),"")</f>
        <v>208.25</v>
      </c>
      <c r="W392" s="180" t="str">
        <f t="shared" ca="1" si="55"/>
        <v/>
      </c>
      <c r="X392" s="12"/>
      <c r="Y392" s="12"/>
      <c r="Z392" s="12"/>
      <c r="AA392" s="12"/>
      <c r="AB392" s="12"/>
    </row>
    <row r="393" spans="1:28" s="10" customFormat="1" ht="15" hidden="1">
      <c r="A393" s="9"/>
      <c r="B393" s="169" cm="1">
        <f t="array" ref="B393">_xlfn.IFS(OR(Code!R468&lt;&gt;Code!U468,Code!R468=""),0,Code!R468=Code!U468,1)</f>
        <v>0</v>
      </c>
      <c r="C393" s="193" t="str">
        <f>IF(Code!F468="","",Code!F468)</f>
        <v>USB</v>
      </c>
      <c r="D393" s="155" t="str">
        <f>IFERROR(VLOOKUP($C393,Code!$H:$K,2,FALSE),"")</f>
        <v>XLF</v>
      </c>
      <c r="E393" s="156" t="str">
        <f>IFERROR(VLOOKUP($C393,Code!$H:$K,3,FALSE),"")</f>
        <v>銀行-區域</v>
      </c>
      <c r="F393" s="157" t="str">
        <f>IFERROR(VLOOKUP($C393,Code!$H:$K,4,FALSE),"")</f>
        <v>.SPX</v>
      </c>
      <c r="G393" s="170">
        <f>IFERROR(((VLOOKUP($C393,Code!$H:$Q,9,FALSE))+(VLOOKUP($C393,Code!$H:$Q,10,FALSE)))/2*0.5/(((VLOOKUP($C393,Code!$H:$Q,7,FALSE))+(VLOOKUP($C393,Code!$H:$Q,8,FALSE)))/2),0)</f>
        <v>0.48941041785918721</v>
      </c>
      <c r="H393" s="171" t="str">
        <f t="shared" si="48"/>
        <v>S</v>
      </c>
      <c r="I393" s="170">
        <f>IFERROR((VLOOKUP($C393,Code!$H:$Q,5,FALSE))/(((VLOOKUP($C393,Code!$H:$Q,7,FALSE))+(VLOOKUP($C393,Code!$H:$Q,8,FALSE)))/2)-1,0)</f>
        <v>-0.26960503720663997</v>
      </c>
      <c r="J393" s="204">
        <f>IFERROR(POWER((VLOOKUP(C393,Code!H:W,12,FALSE))/(VLOOKUP(C393,Code!H:W,15,FALSE)),1/(P393-1))-1,"")</f>
        <v>0.11944061791878391</v>
      </c>
      <c r="K393" s="172" cm="1">
        <f t="array" ref="K393">IFERROR(IF(C393="","",_xlfn.IFS(AND(VLOOKUP(C393,Code!H:W,13,FALSE)=0,VLOOKUP(C393,Code!H:W,16,FALSE)=0),"無股息",AND(VLOOKUP(C393,Code!H:W,13,FALSE)=0,VLOOKUP(C393,Code!H:W,16,FALSE)&gt;0),"股息沒了",AND(VLOOKUP(C393,Code!H:W,13,FALSE)&gt;0,VLOOKUP(C393,Code!H:W,16,FALSE)=0),"發股息了",AND(VLOOKUP(C393,Code!H:W,13,FALSE)&gt;0,VLOOKUP(C393,Code!H:W,16,FALSE)&gt;0),POWER((VLOOKUP(C393,Code!H:W,13,FALSE))/(VLOOKUP(C393,Code!H:W,16,FALSE)),1/(P393-1))-1)),"")</f>
        <v>0.11407601528361733</v>
      </c>
      <c r="L393" s="173">
        <f>IFERROR(VLOOKUP(C393,Code!H:W,13,FALSE)*4/VLOOKUP(C393,Code!H:W,12,FALSE),"")</f>
        <v>2.9650547203041205E-2</v>
      </c>
      <c r="M393" s="172">
        <f t="shared" si="49"/>
        <v>0.23351663320240124</v>
      </c>
      <c r="N393" s="172" t="str">
        <f t="shared" si="50"/>
        <v>-</v>
      </c>
      <c r="O393" s="172" t="str">
        <f t="shared" si="51"/>
        <v>-</v>
      </c>
      <c r="P393" s="205">
        <f>IFERROR(YEARFRAC(VLOOKUP(C393,Code!H:W,11,FALSE),VLOOKUP(C393,Code!H:W,14,FALSE),3),"")</f>
        <v>4.7534246575342465</v>
      </c>
      <c r="Q393" s="174">
        <v>44547</v>
      </c>
      <c r="R393" s="175" t="str">
        <f t="shared" ca="1" si="52"/>
        <v/>
      </c>
      <c r="S393" s="176">
        <f>IFERROR(VLOOKUP($C393,Code!$H:$Q,5,FALSE),"")</f>
        <v>0.25519999999999998</v>
      </c>
      <c r="T393" s="177" t="str">
        <f t="shared" ca="1" si="53"/>
        <v/>
      </c>
      <c r="U393" s="178" t="str">
        <f t="shared" ca="1" si="54"/>
        <v/>
      </c>
      <c r="V393" s="179">
        <f>IFERROR(VLOOKUP($C393,Code!$H:$Q,6,FALSE),"")</f>
        <v>56.6</v>
      </c>
      <c r="W393" s="180" t="str">
        <f t="shared" ca="1" si="55"/>
        <v/>
      </c>
      <c r="X393" s="12"/>
      <c r="Y393" s="12"/>
      <c r="Z393" s="12"/>
      <c r="AA393" s="12"/>
      <c r="AB393" s="12"/>
    </row>
    <row r="394" spans="1:28" s="10" customFormat="1" ht="15" hidden="1">
      <c r="A394" s="9"/>
      <c r="B394" s="169" cm="1">
        <f t="array" ref="B394">_xlfn.IFS(OR(Code!R426&lt;&gt;Code!U426,Code!R426=""),0,Code!R426=Code!U426,1)</f>
        <v>0</v>
      </c>
      <c r="C394" s="193" t="str">
        <f>IF(Code!F426="","",Code!F426)</f>
        <v>STZ</v>
      </c>
      <c r="D394" s="155" t="str">
        <f>IFERROR(VLOOKUP($C394,Code!$H:$K,2,FALSE),"")</f>
        <v>XLP</v>
      </c>
      <c r="E394" s="156" t="str">
        <f>IFERROR(VLOOKUP($C394,Code!$H:$K,3,FALSE),"")</f>
        <v>飲料-酒廠和釀酒廠</v>
      </c>
      <c r="F394" s="157" t="str">
        <f>IFERROR(VLOOKUP($C394,Code!$H:$K,4,FALSE),"")</f>
        <v>.SPX</v>
      </c>
      <c r="G394" s="170">
        <f>IFERROR(((VLOOKUP($C394,Code!$H:$Q,9,FALSE))+(VLOOKUP($C394,Code!$H:$Q,10,FALSE)))/2*0.5/(((VLOOKUP($C394,Code!$H:$Q,7,FALSE))+(VLOOKUP($C394,Code!$H:$Q,8,FALSE)))/2),0)</f>
        <v>0.57784487639177207</v>
      </c>
      <c r="H394" s="171" t="str">
        <f t="shared" si="48"/>
        <v>M</v>
      </c>
      <c r="I394" s="170">
        <f>IFERROR((VLOOKUP($C394,Code!$H:$Q,5,FALSE))/(((VLOOKUP($C394,Code!$H:$Q,7,FALSE))+(VLOOKUP($C394,Code!$H:$Q,8,FALSE)))/2)-1,0)</f>
        <v>-0.27042838271371961</v>
      </c>
      <c r="J394" s="204">
        <f>IFERROR(POWER((VLOOKUP(C394,Code!H:W,12,FALSE))/(VLOOKUP(C394,Code!H:W,15,FALSE)),1/(P394-1))-1,"")</f>
        <v>0.13300706745829483</v>
      </c>
      <c r="K394" s="172" cm="1">
        <f t="array" ref="K394">IFERROR(IF(C394="","",_xlfn.IFS(AND(VLOOKUP(C394,Code!H:W,13,FALSE)=0,VLOOKUP(C394,Code!H:W,16,FALSE)=0),"無股息",AND(VLOOKUP(C394,Code!H:W,13,FALSE)=0,VLOOKUP(C394,Code!H:W,16,FALSE)&gt;0),"股息沒了",AND(VLOOKUP(C394,Code!H:W,13,FALSE)&gt;0,VLOOKUP(C394,Code!H:W,16,FALSE)=0),"發股息了",AND(VLOOKUP(C394,Code!H:W,13,FALSE)&gt;0,VLOOKUP(C394,Code!H:W,16,FALSE)&gt;0),POWER((VLOOKUP(C394,Code!H:W,13,FALSE))/(VLOOKUP(C394,Code!H:W,16,FALSE)),1/(P394-1))-1)),"")</f>
        <v>0.18738936741987144</v>
      </c>
      <c r="L394" s="173">
        <f>IFERROR(VLOOKUP(C394,Code!H:W,13,FALSE)*4/VLOOKUP(C394,Code!H:W,12,FALSE),"")</f>
        <v>1.2509258277321597E-2</v>
      </c>
      <c r="M394" s="172">
        <f t="shared" si="49"/>
        <v>0.32039643487816627</v>
      </c>
      <c r="N394" s="172" t="str">
        <f t="shared" si="50"/>
        <v>-</v>
      </c>
      <c r="O394" s="172" t="str">
        <f t="shared" si="51"/>
        <v>Value</v>
      </c>
      <c r="P394" s="205">
        <f>IFERROR(YEARFRAC(VLOOKUP(C394,Code!H:W,11,FALSE),VLOOKUP(C394,Code!H:W,14,FALSE),3),"")</f>
        <v>4.7369863013698632</v>
      </c>
      <c r="Q394" s="174">
        <v>44547</v>
      </c>
      <c r="R394" s="175" t="str">
        <f t="shared" ca="1" si="52"/>
        <v/>
      </c>
      <c r="S394" s="176">
        <f>IFERROR(VLOOKUP($C394,Code!$H:$Q,5,FALSE),"")</f>
        <v>0.1933</v>
      </c>
      <c r="T394" s="177" t="str">
        <f t="shared" ca="1" si="53"/>
        <v/>
      </c>
      <c r="U394" s="178" t="str">
        <f t="shared" ca="1" si="54"/>
        <v/>
      </c>
      <c r="V394" s="179">
        <f>IFERROR(VLOOKUP($C394,Code!$H:$Q,6,FALSE),"")</f>
        <v>220.28</v>
      </c>
      <c r="W394" s="180" t="str">
        <f t="shared" ca="1" si="55"/>
        <v/>
      </c>
      <c r="X394" s="12"/>
      <c r="Y394" s="12"/>
      <c r="Z394" s="12"/>
      <c r="AA394" s="12"/>
      <c r="AB394" s="12"/>
    </row>
    <row r="395" spans="1:28" s="10" customFormat="1" ht="15" hidden="1">
      <c r="A395" s="9"/>
      <c r="B395" s="169" cm="1">
        <f t="array" ref="B395">_xlfn.IFS(OR(Code!R394&lt;&gt;Code!U394,Code!R394=""),0,Code!R394=Code!U394,1)</f>
        <v>0</v>
      </c>
      <c r="C395" s="193" t="str">
        <f>IF(Code!F394="","",Code!F394)</f>
        <v>RCL</v>
      </c>
      <c r="D395" s="155" t="str">
        <f>IFERROR(VLOOKUP($C395,Code!$H:$K,2,FALSE),"")</f>
        <v>XLY</v>
      </c>
      <c r="E395" s="156" t="str">
        <f>IFERROR(VLOOKUP($C395,Code!$H:$K,3,FALSE),"")</f>
        <v>旅行服務</v>
      </c>
      <c r="F395" s="157" t="str">
        <f>IFERROR(VLOOKUP($C395,Code!$H:$K,4,FALSE),"")</f>
        <v>.SPX</v>
      </c>
      <c r="G395" s="170">
        <f>IFERROR(((VLOOKUP($C395,Code!$H:$Q,9,FALSE))+(VLOOKUP($C395,Code!$H:$Q,10,FALSE)))/2*0.5/(((VLOOKUP($C395,Code!$H:$Q,7,FALSE))+(VLOOKUP($C395,Code!$H:$Q,8,FALSE)))/2),0)</f>
        <v>0.48068980508658787</v>
      </c>
      <c r="H395" s="171" t="str">
        <f t="shared" si="48"/>
        <v>S</v>
      </c>
      <c r="I395" s="170">
        <f>IFERROR((VLOOKUP($C395,Code!$H:$Q,5,FALSE))/(((VLOOKUP($C395,Code!$H:$Q,7,FALSE))+(VLOOKUP($C395,Code!$H:$Q,8,FALSE)))/2)-1,0)</f>
        <v>-0.27193681617274124</v>
      </c>
      <c r="J395" s="204">
        <f>IFERROR(POWER((VLOOKUP(C395,Code!H:W,12,FALSE))/(VLOOKUP(C395,Code!H:W,15,FALSE)),1/(P395-1))-1,"")</f>
        <v>-1.6349964586538257E-2</v>
      </c>
      <c r="K395" s="172" cm="1">
        <f t="array" ref="K395">IFERROR(IF(C395="","",_xlfn.IFS(AND(VLOOKUP(C395,Code!H:W,13,FALSE)=0,VLOOKUP(C395,Code!H:W,16,FALSE)=0),"無股息",AND(VLOOKUP(C395,Code!H:W,13,FALSE)=0,VLOOKUP(C395,Code!H:W,16,FALSE)&gt;0),"股息沒了",AND(VLOOKUP(C395,Code!H:W,13,FALSE)&gt;0,VLOOKUP(C395,Code!H:W,16,FALSE)=0),"發股息了",AND(VLOOKUP(C395,Code!H:W,13,FALSE)&gt;0,VLOOKUP(C395,Code!H:W,16,FALSE)&gt;0),POWER((VLOOKUP(C395,Code!H:W,13,FALSE))/(VLOOKUP(C395,Code!H:W,16,FALSE)),1/(P395-1))-1)),"")</f>
        <v>0.22031955638530465</v>
      </c>
      <c r="L395" s="173">
        <f>IFERROR(VLOOKUP(C395,Code!H:W,13,FALSE)*4/VLOOKUP(C395,Code!H:W,12,FALSE),"")</f>
        <v>4.743083091971674E-2</v>
      </c>
      <c r="M395" s="172">
        <f t="shared" si="49"/>
        <v>0.20396959179876639</v>
      </c>
      <c r="N395" s="172" t="str">
        <f t="shared" si="50"/>
        <v>Venture</v>
      </c>
      <c r="O395" s="172" t="str">
        <f t="shared" si="51"/>
        <v>-</v>
      </c>
      <c r="P395" s="205">
        <f>IFERROR(YEARFRAC(VLOOKUP(C395,Code!H:W,11,FALSE),VLOOKUP(C395,Code!H:W,14,FALSE),3),"")</f>
        <v>3.4383561643835616</v>
      </c>
      <c r="Q395" s="174">
        <v>44547</v>
      </c>
      <c r="R395" s="175" t="str">
        <f t="shared" ca="1" si="52"/>
        <v/>
      </c>
      <c r="S395" s="176">
        <f>IFERROR(VLOOKUP($C395,Code!$H:$Q,5,FALSE),"")</f>
        <v>0.50239999999999996</v>
      </c>
      <c r="T395" s="177" t="str">
        <f t="shared" ca="1" si="53"/>
        <v/>
      </c>
      <c r="U395" s="178" t="str">
        <f t="shared" ca="1" si="54"/>
        <v/>
      </c>
      <c r="V395" s="179">
        <f>IFERROR(VLOOKUP($C395,Code!$H:$Q,6,FALSE),"")</f>
        <v>77.55</v>
      </c>
      <c r="W395" s="180" t="str">
        <f t="shared" ca="1" si="55"/>
        <v/>
      </c>
      <c r="X395" s="12"/>
      <c r="Y395" s="12"/>
      <c r="Z395" s="12"/>
      <c r="AA395" s="12"/>
      <c r="AB395" s="12"/>
    </row>
    <row r="396" spans="1:28" s="10" customFormat="1" ht="15" hidden="1">
      <c r="A396" s="9"/>
      <c r="B396" s="169" cm="1">
        <f t="array" ref="B396">_xlfn.IFS(OR(Code!R395&lt;&gt;Code!U395,Code!R395=""),0,Code!R395=Code!U395,1)</f>
        <v>0</v>
      </c>
      <c r="C396" s="193" t="str">
        <f>IF(Code!F395="","",Code!F395)</f>
        <v>RE</v>
      </c>
      <c r="D396" s="155" t="str">
        <f>IFERROR(VLOOKUP($C396,Code!$H:$K,2,FALSE),"")</f>
        <v>XLF</v>
      </c>
      <c r="E396" s="156" t="str">
        <f>IFERROR(VLOOKUP($C396,Code!$H:$K,3,FALSE),"")</f>
        <v>保險-再保險</v>
      </c>
      <c r="F396" s="157" t="str">
        <f>IFERROR(VLOOKUP($C396,Code!$H:$K,4,FALSE),"")</f>
        <v>.SPX</v>
      </c>
      <c r="G396" s="170">
        <f>IFERROR(((VLOOKUP($C396,Code!$H:$Q,9,FALSE))+(VLOOKUP($C396,Code!$H:$Q,10,FALSE)))/2*0.5/(((VLOOKUP($C396,Code!$H:$Q,7,FALSE))+(VLOOKUP($C396,Code!$H:$Q,8,FALSE)))/2),0)</f>
        <v>0.49181222707423583</v>
      </c>
      <c r="H396" s="171" t="str">
        <f t="shared" si="48"/>
        <v>S</v>
      </c>
      <c r="I396" s="170">
        <f>IFERROR((VLOOKUP($C396,Code!$H:$Q,5,FALSE))/(((VLOOKUP($C396,Code!$H:$Q,7,FALSE))+(VLOOKUP($C396,Code!$H:$Q,8,FALSE)))/2)-1,0)</f>
        <v>-0.27199001871490958</v>
      </c>
      <c r="J396" s="204">
        <f>IFERROR(POWER((VLOOKUP(C396,Code!H:W,12,FALSE))/(VLOOKUP(C396,Code!H:W,15,FALSE)),1/(P396-1))-1,"")</f>
        <v>0.10734399083069879</v>
      </c>
      <c r="K396" s="172" cm="1">
        <f t="array" ref="K396">IFERROR(IF(C396="","",_xlfn.IFS(AND(VLOOKUP(C396,Code!H:W,13,FALSE)=0,VLOOKUP(C396,Code!H:W,16,FALSE)=0),"無股息",AND(VLOOKUP(C396,Code!H:W,13,FALSE)=0,VLOOKUP(C396,Code!H:W,16,FALSE)&gt;0),"股息沒了",AND(VLOOKUP(C396,Code!H:W,13,FALSE)&gt;0,VLOOKUP(C396,Code!H:W,16,FALSE)=0),"發股息了",AND(VLOOKUP(C396,Code!H:W,13,FALSE)&gt;0,VLOOKUP(C396,Code!H:W,16,FALSE)&gt;0),POWER((VLOOKUP(C396,Code!H:W,13,FALSE))/(VLOOKUP(C396,Code!H:W,16,FALSE)),1/(P396-1))-1)),"")</f>
        <v>8.3342738458063392E-2</v>
      </c>
      <c r="L396" s="173">
        <f>IFERROR(VLOOKUP(C396,Code!H:W,13,FALSE)*4/VLOOKUP(C396,Code!H:W,12,FALSE),"")</f>
        <v>2.4367237621874236E-2</v>
      </c>
      <c r="M396" s="172">
        <f t="shared" si="49"/>
        <v>0.19068672928876218</v>
      </c>
      <c r="N396" s="172" t="str">
        <f t="shared" si="50"/>
        <v>-</v>
      </c>
      <c r="O396" s="172" t="str">
        <f t="shared" si="51"/>
        <v>-</v>
      </c>
      <c r="P396" s="205">
        <f>IFERROR(YEARFRAC(VLOOKUP(C396,Code!H:W,11,FALSE),VLOOKUP(C396,Code!H:W,14,FALSE),3),"")</f>
        <v>4.7287671232876711</v>
      </c>
      <c r="Q396" s="174">
        <v>44547</v>
      </c>
      <c r="R396" s="175" t="str">
        <f t="shared" ca="1" si="52"/>
        <v/>
      </c>
      <c r="S396" s="176">
        <f>IFERROR(VLOOKUP($C396,Code!$H:$Q,5,FALSE),"")</f>
        <v>0.2334</v>
      </c>
      <c r="T396" s="177" t="str">
        <f t="shared" ca="1" si="53"/>
        <v/>
      </c>
      <c r="U396" s="178" t="str">
        <f t="shared" ca="1" si="54"/>
        <v/>
      </c>
      <c r="V396" s="179">
        <f>IFERROR(VLOOKUP($C396,Code!$H:$Q,6,FALSE),"")</f>
        <v>261.13</v>
      </c>
      <c r="W396" s="180" t="str">
        <f t="shared" ca="1" si="55"/>
        <v/>
      </c>
      <c r="X396" s="12"/>
      <c r="Y396" s="12"/>
      <c r="Z396" s="12"/>
      <c r="AA396" s="12"/>
      <c r="AB396" s="12"/>
    </row>
    <row r="397" spans="1:28" s="10" customFormat="1" ht="15" hidden="1">
      <c r="A397" s="9"/>
      <c r="B397" s="169" cm="1">
        <f t="array" ref="B397">_xlfn.IFS(OR(Code!R387&lt;&gt;Code!U387,Code!R387=""),0,Code!R387=Code!U387,1)</f>
        <v>1</v>
      </c>
      <c r="C397" s="193" t="str">
        <f>IF(Code!F387="","",Code!F387)</f>
        <v>PTC</v>
      </c>
      <c r="D397" s="155" t="str">
        <f>IFERROR(VLOOKUP($C397,Code!$H:$K,2,FALSE),"")</f>
        <v>XLK</v>
      </c>
      <c r="E397" s="156" t="str">
        <f>IFERROR(VLOOKUP($C397,Code!$H:$K,3,FALSE),"")</f>
        <v>軟件-應用</v>
      </c>
      <c r="F397" s="157" t="str">
        <f>IFERROR(VLOOKUP($C397,Code!$H:$K,4,FALSE),"")</f>
        <v>.SPX</v>
      </c>
      <c r="G397" s="170">
        <f>IFERROR(((VLOOKUP($C397,Code!$H:$Q,9,FALSE))+(VLOOKUP($C397,Code!$H:$Q,10,FALSE)))/2*0.5/(((VLOOKUP($C397,Code!$H:$Q,7,FALSE))+(VLOOKUP($C397,Code!$H:$Q,8,FALSE)))/2),0)</f>
        <v>0.50309981401115933</v>
      </c>
      <c r="H397" s="171" t="str">
        <f t="shared" si="48"/>
        <v>M</v>
      </c>
      <c r="I397" s="170">
        <f>IFERROR((VLOOKUP($C397,Code!$H:$Q,5,FALSE))/(((VLOOKUP($C397,Code!$H:$Q,7,FALSE))+(VLOOKUP($C397,Code!$H:$Q,8,FALSE)))/2)-1,0)</f>
        <v>-0.27265964042157464</v>
      </c>
      <c r="J397" s="204" t="str">
        <f>IFERROR(POWER((VLOOKUP(C397,Code!H:W,12,FALSE))/(VLOOKUP(C397,Code!H:W,15,FALSE)),1/(P397-1))-1,"")</f>
        <v/>
      </c>
      <c r="K397" s="172" t="str" cm="1">
        <f t="array" ref="K397">IFERROR(IF(C397="","",_xlfn.IFS(AND(VLOOKUP(C397,Code!H:W,13,FALSE)=0,VLOOKUP(C397,Code!H:W,16,FALSE)=0),"無股息",AND(VLOOKUP(C397,Code!H:W,13,FALSE)=0,VLOOKUP(C397,Code!H:W,16,FALSE)&gt;0),"股息沒了",AND(VLOOKUP(C397,Code!H:W,13,FALSE)&gt;0,VLOOKUP(C397,Code!H:W,16,FALSE)=0),"發股息了",AND(VLOOKUP(C397,Code!H:W,13,FALSE)&gt;0,VLOOKUP(C397,Code!H:W,16,FALSE)&gt;0),POWER((VLOOKUP(C397,Code!H:W,13,FALSE))/(VLOOKUP(C397,Code!H:W,16,FALSE)),1/(P397-1))-1)),"")</f>
        <v>無股息</v>
      </c>
      <c r="L397" s="173" t="str">
        <f>IFERROR(VLOOKUP(C397,Code!H:W,13,FALSE)*4/VLOOKUP(C397,Code!H:W,12,FALSE),"")</f>
        <v/>
      </c>
      <c r="M397" s="172" t="str">
        <f t="shared" si="49"/>
        <v/>
      </c>
      <c r="N397" s="172" t="str">
        <f t="shared" si="50"/>
        <v/>
      </c>
      <c r="O397" s="172" t="str">
        <f t="shared" si="51"/>
        <v/>
      </c>
      <c r="P397" s="205">
        <f>IFERROR(YEARFRAC(VLOOKUP(C397,Code!H:W,11,FALSE),VLOOKUP(C397,Code!H:W,14,FALSE),3),"")</f>
        <v>0</v>
      </c>
      <c r="Q397" s="174">
        <v>44547</v>
      </c>
      <c r="R397" s="175" t="str">
        <f t="shared" ca="1" si="52"/>
        <v/>
      </c>
      <c r="S397" s="176">
        <f>IFERROR(VLOOKUP($C397,Code!$H:$Q,5,FALSE),"")</f>
        <v>0.29330000000000001</v>
      </c>
      <c r="T397" s="177" t="str">
        <f t="shared" ca="1" si="53"/>
        <v/>
      </c>
      <c r="U397" s="178" t="str">
        <f t="shared" ca="1" si="54"/>
        <v/>
      </c>
      <c r="V397" s="179">
        <f>IFERROR(VLOOKUP($C397,Code!$H:$Q,6,FALSE),"")</f>
        <v>135.55000000000001</v>
      </c>
      <c r="W397" s="180" t="str">
        <f t="shared" ca="1" si="55"/>
        <v/>
      </c>
      <c r="X397" s="12"/>
      <c r="Y397" s="12"/>
      <c r="Z397" s="12"/>
      <c r="AA397" s="12"/>
      <c r="AB397" s="12"/>
    </row>
    <row r="398" spans="1:28" s="10" customFormat="1" ht="15" hidden="1">
      <c r="A398" s="9"/>
      <c r="B398" s="169" cm="1">
        <f t="array" ref="B398">_xlfn.IFS(OR(Code!R157&lt;&gt;Code!U157,Code!R157=""),0,Code!R157=Code!U157,1)</f>
        <v>0</v>
      </c>
      <c r="C398" s="193" t="str">
        <f>IF(Code!F157="","",Code!F157)</f>
        <v>EFX</v>
      </c>
      <c r="D398" s="155" t="str">
        <f>IFERROR(VLOOKUP($C398,Code!$H:$K,2,FALSE),"")</f>
        <v>XLI</v>
      </c>
      <c r="E398" s="156" t="str">
        <f>IFERROR(VLOOKUP($C398,Code!$H:$K,3,FALSE),"")</f>
        <v>咨詢服務</v>
      </c>
      <c r="F398" s="157" t="str">
        <f>IFERROR(VLOOKUP($C398,Code!$H:$K,4,FALSE),"")</f>
        <v>.SPX</v>
      </c>
      <c r="G398" s="170">
        <f>IFERROR(((VLOOKUP($C398,Code!$H:$Q,9,FALSE))+(VLOOKUP($C398,Code!$H:$Q,10,FALSE)))/2*0.5/(((VLOOKUP($C398,Code!$H:$Q,7,FALSE))+(VLOOKUP($C398,Code!$H:$Q,8,FALSE)))/2),0)</f>
        <v>0.49198443579766532</v>
      </c>
      <c r="H398" s="171" t="str">
        <f t="shared" si="48"/>
        <v>S</v>
      </c>
      <c r="I398" s="170">
        <f>IFERROR((VLOOKUP($C398,Code!$H:$Q,5,FALSE))/(((VLOOKUP($C398,Code!$H:$Q,7,FALSE))+(VLOOKUP($C398,Code!$H:$Q,8,FALSE)))/2)-1,0)</f>
        <v>-0.27346303501945535</v>
      </c>
      <c r="J398" s="204">
        <f>IFERROR(POWER((VLOOKUP(C398,Code!H:W,12,FALSE))/(VLOOKUP(C398,Code!H:W,15,FALSE)),1/(P398-1))-1,"")</f>
        <v>0.18797198090142087</v>
      </c>
      <c r="K398" s="172" cm="1">
        <f t="array" ref="K398">IFERROR(IF(C398="","",_xlfn.IFS(AND(VLOOKUP(C398,Code!H:W,13,FALSE)=0,VLOOKUP(C398,Code!H:W,16,FALSE)=0),"無股息",AND(VLOOKUP(C398,Code!H:W,13,FALSE)=0,VLOOKUP(C398,Code!H:W,16,FALSE)&gt;0),"股息沒了",AND(VLOOKUP(C398,Code!H:W,13,FALSE)&gt;0,VLOOKUP(C398,Code!H:W,16,FALSE)=0),"發股息了",AND(VLOOKUP(C398,Code!H:W,13,FALSE)&gt;0,VLOOKUP(C398,Code!H:W,16,FALSE)&gt;0),POWER((VLOOKUP(C398,Code!H:W,13,FALSE))/(VLOOKUP(C398,Code!H:W,16,FALSE)),1/(P398-1))-1)),"")</f>
        <v>4.5309525747045498E-2</v>
      </c>
      <c r="L398" s="173">
        <f>IFERROR(VLOOKUP(C398,Code!H:W,13,FALSE)*4/VLOOKUP(C398,Code!H:W,12,FALSE),"")</f>
        <v>6.5684210526315793E-3</v>
      </c>
      <c r="M398" s="172">
        <f t="shared" si="49"/>
        <v>0.23328150664846636</v>
      </c>
      <c r="N398" s="172" t="str">
        <f t="shared" si="50"/>
        <v>-</v>
      </c>
      <c r="O398" s="172" t="str">
        <f t="shared" si="51"/>
        <v>-</v>
      </c>
      <c r="P398" s="205">
        <f>IFERROR(YEARFRAC(VLOOKUP(C398,Code!H:W,11,FALSE),VLOOKUP(C398,Code!H:W,14,FALSE),3),"")</f>
        <v>4.7698630136986298</v>
      </c>
      <c r="Q398" s="174">
        <v>44547</v>
      </c>
      <c r="R398" s="175" t="str">
        <f t="shared" ca="1" si="52"/>
        <v/>
      </c>
      <c r="S398" s="176">
        <f>IFERROR(VLOOKUP($C398,Code!$H:$Q,5,FALSE),"")</f>
        <v>0.2334</v>
      </c>
      <c r="T398" s="177" t="str">
        <f t="shared" ca="1" si="53"/>
        <v/>
      </c>
      <c r="U398" s="178" t="str">
        <f t="shared" ca="1" si="54"/>
        <v/>
      </c>
      <c r="V398" s="179">
        <f>IFERROR(VLOOKUP($C398,Code!$H:$Q,6,FALSE),"")</f>
        <v>254.19</v>
      </c>
      <c r="W398" s="180" t="str">
        <f t="shared" ca="1" si="55"/>
        <v/>
      </c>
      <c r="X398" s="12"/>
      <c r="Y398" s="12"/>
      <c r="Z398" s="12"/>
      <c r="AA398" s="12"/>
      <c r="AB398" s="12"/>
    </row>
    <row r="399" spans="1:28" s="10" customFormat="1" ht="15" hidden="1">
      <c r="A399" s="9"/>
      <c r="B399" s="169" cm="1">
        <f t="array" ref="B399">_xlfn.IFS(OR(Code!R273&lt;&gt;Code!U273,Code!R273=""),0,Code!R273=Code!U273,1)</f>
        <v>0</v>
      </c>
      <c r="C399" s="193" t="str">
        <f>IF(Code!F273="","",Code!F273)</f>
        <v>LB</v>
      </c>
      <c r="D399" s="155" t="str">
        <f>IFERROR(VLOOKUP($C399,Code!$H:$K,2,FALSE),"")</f>
        <v>XLY</v>
      </c>
      <c r="E399" s="156" t="str">
        <f>IFERROR(VLOOKUP($C399,Code!$H:$K,3,FALSE),"")</f>
        <v>服裝零售</v>
      </c>
      <c r="F399" s="157" t="str">
        <f>IFERROR(VLOOKUP($C399,Code!$H:$K,4,FALSE),"")</f>
        <v>.SPX</v>
      </c>
      <c r="G399" s="170">
        <f>IFERROR(((VLOOKUP($C399,Code!$H:$Q,9,FALSE))+(VLOOKUP($C399,Code!$H:$Q,10,FALSE)))/2*0.5/(((VLOOKUP($C399,Code!$H:$Q,7,FALSE))+(VLOOKUP($C399,Code!$H:$Q,8,FALSE)))/2),0)</f>
        <v>0.56493506493506485</v>
      </c>
      <c r="H399" s="171" t="str">
        <f t="shared" si="48"/>
        <v>M</v>
      </c>
      <c r="I399" s="170">
        <f>IFERROR((VLOOKUP($C399,Code!$H:$Q,5,FALSE))/(((VLOOKUP($C399,Code!$H:$Q,7,FALSE))+(VLOOKUP($C399,Code!$H:$Q,8,FALSE)))/2)-1,0)</f>
        <v>-0.27498588368153587</v>
      </c>
      <c r="J399" s="204">
        <f>IFERROR(POWER((VLOOKUP(C399,Code!H:W,12,FALSE))/(VLOOKUP(C399,Code!H:W,15,FALSE)),1/(P399-1))-1,"")</f>
        <v>2.2961957882177586E-2</v>
      </c>
      <c r="K399" s="172" cm="1">
        <f t="array" ref="K399">IFERROR(IF(C399="","",_xlfn.IFS(AND(VLOOKUP(C399,Code!H:W,13,FALSE)=0,VLOOKUP(C399,Code!H:W,16,FALSE)=0),"無股息",AND(VLOOKUP(C399,Code!H:W,13,FALSE)=0,VLOOKUP(C399,Code!H:W,16,FALSE)&gt;0),"股息沒了",AND(VLOOKUP(C399,Code!H:W,13,FALSE)&gt;0,VLOOKUP(C399,Code!H:W,16,FALSE)=0),"發股息了",AND(VLOOKUP(C399,Code!H:W,13,FALSE)&gt;0,VLOOKUP(C399,Code!H:W,16,FALSE)&gt;0),POWER((VLOOKUP(C399,Code!H:W,13,FALSE))/(VLOOKUP(C399,Code!H:W,16,FALSE)),1/(P399-1))-1)),"")</f>
        <v>-0.3058571607042444</v>
      </c>
      <c r="L399" s="173">
        <f>IFERROR(VLOOKUP(C399,Code!H:W,13,FALSE)*4/VLOOKUP(C399,Code!H:W,12,FALSE),"")</f>
        <v>9.081277474971788E-3</v>
      </c>
      <c r="M399" s="172">
        <f t="shared" si="49"/>
        <v>-0.28289520282206682</v>
      </c>
      <c r="N399" s="172" t="str">
        <f t="shared" si="50"/>
        <v>-</v>
      </c>
      <c r="O399" s="172" t="str">
        <f t="shared" si="51"/>
        <v>-</v>
      </c>
      <c r="P399" s="205">
        <f>IFERROR(YEARFRAC(VLOOKUP(C399,Code!H:W,11,FALSE),VLOOKUP(C399,Code!H:W,14,FALSE),3),"")</f>
        <v>4.7972602739726025</v>
      </c>
      <c r="Q399" s="174">
        <v>44547</v>
      </c>
      <c r="R399" s="175" t="str">
        <f t="shared" ca="1" si="52"/>
        <v/>
      </c>
      <c r="S399" s="176">
        <f>IFERROR(VLOOKUP($C399,Code!$H:$Q,5,FALSE),"")</f>
        <v>0.19259999999999999</v>
      </c>
      <c r="T399" s="177" t="str">
        <f t="shared" ca="1" si="53"/>
        <v/>
      </c>
      <c r="U399" s="178" t="str">
        <f t="shared" ca="1" si="54"/>
        <v/>
      </c>
      <c r="V399" s="179">
        <f>IFERROR(VLOOKUP($C399,Code!$H:$Q,6,FALSE),"")</f>
        <v>79.92</v>
      </c>
      <c r="W399" s="180" t="str">
        <f t="shared" ca="1" si="55"/>
        <v/>
      </c>
      <c r="X399" s="12"/>
      <c r="Y399" s="12"/>
      <c r="Z399" s="12"/>
      <c r="AA399" s="12"/>
      <c r="AB399" s="12"/>
    </row>
    <row r="400" spans="1:28" s="10" customFormat="1" ht="15" hidden="1">
      <c r="A400" s="9"/>
      <c r="B400" s="169" cm="1">
        <f t="array" ref="B400">_xlfn.IFS(OR(Code!R183&lt;&gt;Code!U183,Code!R183=""),0,Code!R183=Code!U183,1)</f>
        <v>0</v>
      </c>
      <c r="C400" s="193" t="str">
        <f>IF(Code!F183="","",Code!F183)</f>
        <v>FDX</v>
      </c>
      <c r="D400" s="155" t="str">
        <f>IFERROR(VLOOKUP($C400,Code!$H:$K,2,FALSE),"")</f>
        <v>XLI</v>
      </c>
      <c r="E400" s="156" t="str">
        <f>IFERROR(VLOOKUP($C400,Code!$H:$K,3,FALSE),"")</f>
        <v>綜合貨運物流</v>
      </c>
      <c r="F400" s="157" t="str">
        <f>IFERROR(VLOOKUP($C400,Code!$H:$K,4,FALSE),"")</f>
        <v>.SPX</v>
      </c>
      <c r="G400" s="170">
        <f>IFERROR(((VLOOKUP($C400,Code!$H:$Q,9,FALSE))+(VLOOKUP($C400,Code!$H:$Q,10,FALSE)))/2*0.5/(((VLOOKUP($C400,Code!$H:$Q,7,FALSE))+(VLOOKUP($C400,Code!$H:$Q,8,FALSE)))/2),0)</f>
        <v>0.60322903271895989</v>
      </c>
      <c r="H400" s="171" t="str">
        <f t="shared" si="48"/>
        <v>L</v>
      </c>
      <c r="I400" s="170">
        <f>IFERROR((VLOOKUP($C400,Code!$H:$Q,5,FALSE))/(((VLOOKUP($C400,Code!$H:$Q,7,FALSE))+(VLOOKUP($C400,Code!$H:$Q,8,FALSE)))/2)-1,0)</f>
        <v>-0.27561080154307749</v>
      </c>
      <c r="J400" s="204">
        <f>IFERROR(POWER((VLOOKUP(C400,Code!H:W,12,FALSE))/(VLOOKUP(C400,Code!H:W,15,FALSE)),1/(P400-1))-1,"")</f>
        <v>0.17901196043794121</v>
      </c>
      <c r="K400" s="172" cm="1">
        <f t="array" ref="K400">IFERROR(IF(C400="","",_xlfn.IFS(AND(VLOOKUP(C400,Code!H:W,13,FALSE)=0,VLOOKUP(C400,Code!H:W,16,FALSE)=0),"無股息",AND(VLOOKUP(C400,Code!H:W,13,FALSE)=0,VLOOKUP(C400,Code!H:W,16,FALSE)&gt;0),"股息沒了",AND(VLOOKUP(C400,Code!H:W,13,FALSE)&gt;0,VLOOKUP(C400,Code!H:W,16,FALSE)=0),"發股息了",AND(VLOOKUP(C400,Code!H:W,13,FALSE)&gt;0,VLOOKUP(C400,Code!H:W,16,FALSE)&gt;0),POWER((VLOOKUP(C400,Code!H:W,13,FALSE))/(VLOOKUP(C400,Code!H:W,16,FALSE)),1/(P400-1))-1)),"")</f>
        <v>0.18003333075349492</v>
      </c>
      <c r="L400" s="173">
        <f>IFERROR(VLOOKUP(C400,Code!H:W,13,FALSE)*4/VLOOKUP(C400,Code!H:W,12,FALSE),"")</f>
        <v>1.0275731716265881E-2</v>
      </c>
      <c r="M400" s="172">
        <f t="shared" si="49"/>
        <v>0.35904529119143613</v>
      </c>
      <c r="N400" s="172" t="str">
        <f t="shared" si="50"/>
        <v>-</v>
      </c>
      <c r="O400" s="172" t="str">
        <f t="shared" si="51"/>
        <v>Value</v>
      </c>
      <c r="P400" s="205">
        <f>IFERROR(YEARFRAC(VLOOKUP(C400,Code!H:W,11,FALSE),VLOOKUP(C400,Code!H:W,14,FALSE),3),"")</f>
        <v>4.7972602739726025</v>
      </c>
      <c r="Q400" s="174">
        <v>44547</v>
      </c>
      <c r="R400" s="175" t="str">
        <f t="shared" ca="1" si="52"/>
        <v/>
      </c>
      <c r="S400" s="176">
        <f>IFERROR(VLOOKUP($C400,Code!$H:$Q,5,FALSE),"")</f>
        <v>0.2535</v>
      </c>
      <c r="T400" s="177" t="str">
        <f t="shared" ca="1" si="53"/>
        <v/>
      </c>
      <c r="U400" s="178" t="str">
        <f t="shared" ca="1" si="54"/>
        <v/>
      </c>
      <c r="V400" s="179">
        <f>IFERROR(VLOOKUP($C400,Code!$H:$Q,6,FALSE),"")</f>
        <v>275.8</v>
      </c>
      <c r="W400" s="180" t="str">
        <f t="shared" ca="1" si="55"/>
        <v/>
      </c>
      <c r="X400" s="12"/>
      <c r="Y400" s="12"/>
      <c r="Z400" s="12"/>
      <c r="AA400" s="12"/>
      <c r="AB400" s="12"/>
    </row>
    <row r="401" spans="1:28" s="10" customFormat="1" ht="15" hidden="1">
      <c r="A401" s="9"/>
      <c r="B401" s="169" cm="1">
        <f t="array" ref="B401">_xlfn.IFS(OR(Code!R377&lt;&gt;Code!U377,Code!R377=""),0,Code!R377=Code!U377,1)</f>
        <v>0</v>
      </c>
      <c r="C401" s="193" t="str">
        <f>IF(Code!F377="","",Code!F377)</f>
        <v>PNC</v>
      </c>
      <c r="D401" s="155" t="str">
        <f>IFERROR(VLOOKUP($C401,Code!$H:$K,2,FALSE),"")</f>
        <v>XLF</v>
      </c>
      <c r="E401" s="156" t="str">
        <f>IFERROR(VLOOKUP($C401,Code!$H:$K,3,FALSE),"")</f>
        <v>銀行-區域</v>
      </c>
      <c r="F401" s="157" t="str">
        <f>IFERROR(VLOOKUP($C401,Code!$H:$K,4,FALSE),"")</f>
        <v>.SPX</v>
      </c>
      <c r="G401" s="170">
        <f>IFERROR(((VLOOKUP($C401,Code!$H:$Q,9,FALSE))+(VLOOKUP($C401,Code!$H:$Q,10,FALSE)))/2*0.5/(((VLOOKUP($C401,Code!$H:$Q,7,FALSE))+(VLOOKUP($C401,Code!$H:$Q,8,FALSE)))/2),0)</f>
        <v>0.47357954545454545</v>
      </c>
      <c r="H401" s="171" t="str">
        <f t="shared" si="48"/>
        <v>S</v>
      </c>
      <c r="I401" s="170">
        <f>IFERROR((VLOOKUP($C401,Code!$H:$Q,5,FALSE))/(((VLOOKUP($C401,Code!$H:$Q,7,FALSE))+(VLOOKUP($C401,Code!$H:$Q,8,FALSE)))/2)-1,0)</f>
        <v>-0.27613636363636362</v>
      </c>
      <c r="J401" s="204">
        <f>IFERROR(POWER((VLOOKUP(C401,Code!H:W,12,FALSE))/(VLOOKUP(C401,Code!H:W,15,FALSE)),1/(P401-1))-1,"")</f>
        <v>0.2725470170839257</v>
      </c>
      <c r="K401" s="172" cm="1">
        <f t="array" ref="K401">IFERROR(IF(C401="","",_xlfn.IFS(AND(VLOOKUP(C401,Code!H:W,13,FALSE)=0,VLOOKUP(C401,Code!H:W,16,FALSE)=0),"無股息",AND(VLOOKUP(C401,Code!H:W,13,FALSE)=0,VLOOKUP(C401,Code!H:W,16,FALSE)&gt;0),"股息沒了",AND(VLOOKUP(C401,Code!H:W,13,FALSE)&gt;0,VLOOKUP(C401,Code!H:W,16,FALSE)=0),"發股息了",AND(VLOOKUP(C401,Code!H:W,13,FALSE)&gt;0,VLOOKUP(C401,Code!H:W,16,FALSE)&gt;0),POWER((VLOOKUP(C401,Code!H:W,13,FALSE))/(VLOOKUP(C401,Code!H:W,16,FALSE)),1/(P401-1))-1)),"")</f>
        <v>0.24429469076877752</v>
      </c>
      <c r="L401" s="173">
        <f>IFERROR(VLOOKUP(C401,Code!H:W,13,FALSE)*4/VLOOKUP(C401,Code!H:W,12,FALSE),"")</f>
        <v>2.6385224274406333E-2</v>
      </c>
      <c r="M401" s="172">
        <f t="shared" si="49"/>
        <v>0.51684170785270322</v>
      </c>
      <c r="N401" s="172" t="str">
        <f t="shared" si="50"/>
        <v>-</v>
      </c>
      <c r="O401" s="172" t="str">
        <f t="shared" si="51"/>
        <v>Value</v>
      </c>
      <c r="P401" s="205">
        <f>IFERROR(YEARFRAC(VLOOKUP(C401,Code!H:W,11,FALSE),VLOOKUP(C401,Code!H:W,14,FALSE),3),"")</f>
        <v>4.7561643835616438</v>
      </c>
      <c r="Q401" s="174">
        <v>44547</v>
      </c>
      <c r="R401" s="175" t="str">
        <f t="shared" ca="1" si="52"/>
        <v/>
      </c>
      <c r="S401" s="176">
        <f>IFERROR(VLOOKUP($C401,Code!$H:$Q,5,FALSE),"")</f>
        <v>0.25480000000000003</v>
      </c>
      <c r="T401" s="177" t="str">
        <f t="shared" ca="1" si="53"/>
        <v/>
      </c>
      <c r="U401" s="178" t="str">
        <f t="shared" ca="1" si="54"/>
        <v/>
      </c>
      <c r="V401" s="179">
        <f>IFERROR(VLOOKUP($C401,Code!$H:$Q,6,FALSE),"")</f>
        <v>186.68</v>
      </c>
      <c r="W401" s="180" t="str">
        <f t="shared" ca="1" si="55"/>
        <v/>
      </c>
      <c r="X401" s="12"/>
      <c r="Y401" s="12"/>
      <c r="Z401" s="12"/>
      <c r="AA401" s="12"/>
      <c r="AB401" s="12"/>
    </row>
    <row r="402" spans="1:28" s="10" customFormat="1" ht="15" hidden="1">
      <c r="A402" s="9"/>
      <c r="B402" s="169" cm="1">
        <f t="array" ref="B402">_xlfn.IFS(OR(Code!R393&lt;&gt;Code!U393,Code!R393=""),0,Code!R393=Code!U393,1)</f>
        <v>1</v>
      </c>
      <c r="C402" s="193" t="str">
        <f>IF(Code!F393="","",Code!F393)</f>
        <v>QRVO</v>
      </c>
      <c r="D402" s="155" t="str">
        <f>IFERROR(VLOOKUP($C402,Code!$H:$K,2,FALSE),"")</f>
        <v>XLK</v>
      </c>
      <c r="E402" s="156" t="str">
        <f>IFERROR(VLOOKUP($C402,Code!$H:$K,3,FALSE),"")</f>
        <v>半導體</v>
      </c>
      <c r="F402" s="157" t="str">
        <f>IFERROR(VLOOKUP($C402,Code!$H:$K,4,FALSE),"")</f>
        <v>.SPX</v>
      </c>
      <c r="G402" s="170">
        <f>IFERROR(((VLOOKUP($C402,Code!$H:$Q,9,FALSE))+(VLOOKUP($C402,Code!$H:$Q,10,FALSE)))/2*0.5/(((VLOOKUP($C402,Code!$H:$Q,7,FALSE))+(VLOOKUP($C402,Code!$H:$Q,8,FALSE)))/2),0)</f>
        <v>0.52301606329417405</v>
      </c>
      <c r="H402" s="171" t="str">
        <f t="shared" si="48"/>
        <v>M</v>
      </c>
      <c r="I402" s="170">
        <f>IFERROR((VLOOKUP($C402,Code!$H:$Q,5,FALSE))/(((VLOOKUP($C402,Code!$H:$Q,7,FALSE))+(VLOOKUP($C402,Code!$H:$Q,8,FALSE)))/2)-1,0)</f>
        <v>-0.27715176216734605</v>
      </c>
      <c r="J402" s="204" t="str">
        <f>IFERROR(POWER((VLOOKUP(C402,Code!H:W,12,FALSE))/(VLOOKUP(C402,Code!H:W,15,FALSE)),1/(P402-1))-1,"")</f>
        <v/>
      </c>
      <c r="K402" s="172" t="str" cm="1">
        <f t="array" ref="K402">IFERROR(IF(C402="","",_xlfn.IFS(AND(VLOOKUP(C402,Code!H:W,13,FALSE)=0,VLOOKUP(C402,Code!H:W,16,FALSE)=0),"無股息",AND(VLOOKUP(C402,Code!H:W,13,FALSE)=0,VLOOKUP(C402,Code!H:W,16,FALSE)&gt;0),"股息沒了",AND(VLOOKUP(C402,Code!H:W,13,FALSE)&gt;0,VLOOKUP(C402,Code!H:W,16,FALSE)=0),"發股息了",AND(VLOOKUP(C402,Code!H:W,13,FALSE)&gt;0,VLOOKUP(C402,Code!H:W,16,FALSE)&gt;0),POWER((VLOOKUP(C402,Code!H:W,13,FALSE))/(VLOOKUP(C402,Code!H:W,16,FALSE)),1/(P402-1))-1)),"")</f>
        <v>無股息</v>
      </c>
      <c r="L402" s="173" t="str">
        <f>IFERROR(VLOOKUP(C402,Code!H:W,13,FALSE)*4/VLOOKUP(C402,Code!H:W,12,FALSE),"")</f>
        <v/>
      </c>
      <c r="M402" s="172" t="str">
        <f t="shared" si="49"/>
        <v/>
      </c>
      <c r="N402" s="172" t="str">
        <f t="shared" si="50"/>
        <v/>
      </c>
      <c r="O402" s="172" t="str">
        <f t="shared" si="51"/>
        <v/>
      </c>
      <c r="P402" s="205">
        <f>IFERROR(YEARFRAC(VLOOKUP(C402,Code!H:W,11,FALSE),VLOOKUP(C402,Code!H:W,14,FALSE),3),"")</f>
        <v>0</v>
      </c>
      <c r="Q402" s="174">
        <v>44547</v>
      </c>
      <c r="R402" s="175" t="str">
        <f t="shared" ca="1" si="52"/>
        <v/>
      </c>
      <c r="S402" s="176">
        <f>IFERROR(VLOOKUP($C402,Code!$H:$Q,5,FALSE),"")</f>
        <v>0.30149999999999999</v>
      </c>
      <c r="T402" s="177" t="str">
        <f t="shared" ca="1" si="53"/>
        <v/>
      </c>
      <c r="U402" s="178" t="str">
        <f t="shared" ca="1" si="54"/>
        <v/>
      </c>
      <c r="V402" s="179">
        <f>IFERROR(VLOOKUP($C402,Code!$H:$Q,6,FALSE),"")</f>
        <v>194.76</v>
      </c>
      <c r="W402" s="180" t="str">
        <f t="shared" ca="1" si="55"/>
        <v/>
      </c>
      <c r="X402" s="12"/>
      <c r="Y402" s="12"/>
      <c r="Z402" s="12"/>
      <c r="AA402" s="12"/>
      <c r="AB402" s="12"/>
    </row>
    <row r="403" spans="1:28" s="10" customFormat="1" ht="15" hidden="1">
      <c r="A403" s="9"/>
      <c r="B403" s="169" cm="1">
        <f t="array" ref="B403">_xlfn.IFS(OR(Code!R66&lt;&gt;Code!U66,Code!R66=""),0,Code!R66=Code!U66,1)</f>
        <v>0</v>
      </c>
      <c r="C403" s="193" t="str">
        <f>IF(Code!F66="","",Code!F66)</f>
        <v>BK</v>
      </c>
      <c r="D403" s="155" t="str">
        <f>IFERROR(VLOOKUP($C403,Code!$H:$K,2,FALSE),"")</f>
        <v>XLF</v>
      </c>
      <c r="E403" s="156" t="str">
        <f>IFERROR(VLOOKUP($C403,Code!$H:$K,3,FALSE),"")</f>
        <v>資產管理</v>
      </c>
      <c r="F403" s="157" t="str">
        <f>IFERROR(VLOOKUP($C403,Code!$H:$K,4,FALSE),"")</f>
        <v>.SPX</v>
      </c>
      <c r="G403" s="170">
        <f>IFERROR(((VLOOKUP($C403,Code!$H:$Q,9,FALSE))+(VLOOKUP($C403,Code!$H:$Q,10,FALSE)))/2*0.5/(((VLOOKUP($C403,Code!$H:$Q,7,FALSE))+(VLOOKUP($C403,Code!$H:$Q,8,FALSE)))/2),0)</f>
        <v>0.47888198757763978</v>
      </c>
      <c r="H403" s="171" t="str">
        <f t="shared" si="48"/>
        <v>S</v>
      </c>
      <c r="I403" s="170">
        <f>IFERROR((VLOOKUP($C403,Code!$H:$Q,5,FALSE))/(((VLOOKUP($C403,Code!$H:$Q,7,FALSE))+(VLOOKUP($C403,Code!$H:$Q,8,FALSE)))/2)-1,0)</f>
        <v>-0.27795031055900621</v>
      </c>
      <c r="J403" s="204">
        <f>IFERROR(POWER((VLOOKUP(C403,Code!H:W,12,FALSE))/(VLOOKUP(C403,Code!H:W,15,FALSE)),1/(P403-1))-1,"")</f>
        <v>7.1656310236093423E-2</v>
      </c>
      <c r="K403" s="172" cm="1">
        <f t="array" ref="K403">IFERROR(IF(C403="","",_xlfn.IFS(AND(VLOOKUP(C403,Code!H:W,13,FALSE)=0,VLOOKUP(C403,Code!H:W,16,FALSE)=0),"無股息",AND(VLOOKUP(C403,Code!H:W,13,FALSE)=0,VLOOKUP(C403,Code!H:W,16,FALSE)&gt;0),"股息沒了",AND(VLOOKUP(C403,Code!H:W,13,FALSE)&gt;0,VLOOKUP(C403,Code!H:W,16,FALSE)=0),"發股息了",AND(VLOOKUP(C403,Code!H:W,13,FALSE)&gt;0,VLOOKUP(C403,Code!H:W,16,FALSE)&gt;0),POWER((VLOOKUP(C403,Code!H:W,13,FALSE))/(VLOOKUP(C403,Code!H:W,16,FALSE)),1/(P403-1))-1)),"")</f>
        <v>0.16809910999252375</v>
      </c>
      <c r="L403" s="173">
        <f>IFERROR(VLOOKUP(C403,Code!H:W,13,FALSE)*4/VLOOKUP(C403,Code!H:W,12,FALSE),"")</f>
        <v>2.7064676616915424E-2</v>
      </c>
      <c r="M403" s="172">
        <f t="shared" si="49"/>
        <v>0.23975542022861718</v>
      </c>
      <c r="N403" s="172" t="str">
        <f t="shared" si="50"/>
        <v>-</v>
      </c>
      <c r="O403" s="172" t="str">
        <f t="shared" si="51"/>
        <v>Value</v>
      </c>
      <c r="P403" s="205">
        <f>IFERROR(YEARFRAC(VLOOKUP(C403,Code!H:W,11,FALSE),VLOOKUP(C403,Code!H:W,14,FALSE),3),"")</f>
        <v>4.7452054794520544</v>
      </c>
      <c r="Q403" s="174">
        <v>44547</v>
      </c>
      <c r="R403" s="175" t="str">
        <f t="shared" ca="1" si="52"/>
        <v/>
      </c>
      <c r="S403" s="176">
        <f>IFERROR(VLOOKUP($C403,Code!$H:$Q,5,FALSE),"")</f>
        <v>0.23250000000000001</v>
      </c>
      <c r="T403" s="177" t="str">
        <f t="shared" ca="1" si="53"/>
        <v/>
      </c>
      <c r="U403" s="178" t="str">
        <f t="shared" ca="1" si="54"/>
        <v/>
      </c>
      <c r="V403" s="179">
        <f>IFERROR(VLOOKUP($C403,Code!$H:$Q,6,FALSE),"")</f>
        <v>52.65</v>
      </c>
      <c r="W403" s="180" t="str">
        <f t="shared" ca="1" si="55"/>
        <v/>
      </c>
      <c r="X403" s="12"/>
      <c r="Y403" s="12"/>
      <c r="Z403" s="12"/>
      <c r="AA403" s="12"/>
      <c r="AB403" s="12"/>
    </row>
    <row r="404" spans="1:28" s="10" customFormat="1" ht="15" hidden="1">
      <c r="A404" s="9"/>
      <c r="B404" s="169" cm="1">
        <f t="array" ref="B404">_xlfn.IFS(OR(Code!R438&lt;&gt;Code!U438,Code!R438=""),0,Code!R438=Code!U438,1)</f>
        <v>0</v>
      </c>
      <c r="C404" s="193" t="str">
        <f>IF(Code!F438="","",Code!F438)</f>
        <v>TFC</v>
      </c>
      <c r="D404" s="155" t="str">
        <f>IFERROR(VLOOKUP($C404,Code!$H:$K,2,FALSE),"")</f>
        <v>XLF</v>
      </c>
      <c r="E404" s="156" t="str">
        <f>IFERROR(VLOOKUP($C404,Code!$H:$K,3,FALSE),"")</f>
        <v>銀行-區域</v>
      </c>
      <c r="F404" s="157" t="str">
        <f>IFERROR(VLOOKUP($C404,Code!$H:$K,4,FALSE),"")</f>
        <v>.SPX</v>
      </c>
      <c r="G404" s="170">
        <f>IFERROR(((VLOOKUP($C404,Code!$H:$Q,9,FALSE))+(VLOOKUP($C404,Code!$H:$Q,10,FALSE)))/2*0.5/(((VLOOKUP($C404,Code!$H:$Q,7,FALSE))+(VLOOKUP($C404,Code!$H:$Q,8,FALSE)))/2),0)</f>
        <v>0.48691880168090013</v>
      </c>
      <c r="H404" s="171" t="str">
        <f t="shared" si="48"/>
        <v>S</v>
      </c>
      <c r="I404" s="170">
        <f>IFERROR((VLOOKUP($C404,Code!$H:$Q,5,FALSE))/(((VLOOKUP($C404,Code!$H:$Q,7,FALSE))+(VLOOKUP($C404,Code!$H:$Q,8,FALSE)))/2)-1,0)</f>
        <v>-0.27883963670868905</v>
      </c>
      <c r="J404" s="204">
        <f>IFERROR(POWER((VLOOKUP(C404,Code!H:W,12,FALSE))/(VLOOKUP(C404,Code!H:W,15,FALSE)),1/(P404-1))-1,"")</f>
        <v>0.18792367619719941</v>
      </c>
      <c r="K404" s="172" cm="1">
        <f t="array" ref="K404">IFERROR(IF(C404="","",_xlfn.IFS(AND(VLOOKUP(C404,Code!H:W,13,FALSE)=0,VLOOKUP(C404,Code!H:W,16,FALSE)=0),"無股息",AND(VLOOKUP(C404,Code!H:W,13,FALSE)=0,VLOOKUP(C404,Code!H:W,16,FALSE)&gt;0),"股息沒了",AND(VLOOKUP(C404,Code!H:W,13,FALSE)&gt;0,VLOOKUP(C404,Code!H:W,16,FALSE)=0),"發股息了",AND(VLOOKUP(C404,Code!H:W,13,FALSE)&gt;0,VLOOKUP(C404,Code!H:W,16,FALSE)&gt;0),POWER((VLOOKUP(C404,Code!H:W,13,FALSE))/(VLOOKUP(C404,Code!H:W,16,FALSE)),1/(P404-1))-1)),"")</f>
        <v>0.11390059399399277</v>
      </c>
      <c r="L404" s="173">
        <f>IFERROR(VLOOKUP(C404,Code!H:W,13,FALSE)*4/VLOOKUP(C404,Code!H:W,12,FALSE),"")</f>
        <v>2.9717682170531907E-2</v>
      </c>
      <c r="M404" s="172">
        <f t="shared" si="49"/>
        <v>0.30182427019119218</v>
      </c>
      <c r="N404" s="172" t="str">
        <f t="shared" si="50"/>
        <v>-</v>
      </c>
      <c r="O404" s="172" t="str">
        <f t="shared" si="51"/>
        <v>-</v>
      </c>
      <c r="P404" s="205">
        <f>IFERROR(YEARFRAC(VLOOKUP(C404,Code!H:W,11,FALSE),VLOOKUP(C404,Code!H:W,14,FALSE),3),"")</f>
        <v>4.7589041095890412</v>
      </c>
      <c r="Q404" s="174">
        <v>44547</v>
      </c>
      <c r="R404" s="175" t="str">
        <f t="shared" ca="1" si="52"/>
        <v/>
      </c>
      <c r="S404" s="176">
        <f>IFERROR(VLOOKUP($C404,Code!$H:$Q,5,FALSE),"")</f>
        <v>0.26600000000000001</v>
      </c>
      <c r="T404" s="177" t="str">
        <f t="shared" ca="1" si="53"/>
        <v/>
      </c>
      <c r="U404" s="178" t="str">
        <f t="shared" ca="1" si="54"/>
        <v/>
      </c>
      <c r="V404" s="179">
        <f>IFERROR(VLOOKUP($C404,Code!$H:$Q,6,FALSE),"")</f>
        <v>56.55</v>
      </c>
      <c r="W404" s="180" t="str">
        <f t="shared" ca="1" si="55"/>
        <v/>
      </c>
      <c r="X404" s="12"/>
      <c r="Y404" s="12"/>
      <c r="Z404" s="12"/>
      <c r="AA404" s="12"/>
      <c r="AB404" s="12"/>
    </row>
    <row r="405" spans="1:28" s="10" customFormat="1" ht="15" hidden="1">
      <c r="A405" s="9"/>
      <c r="B405" s="169" cm="1">
        <f t="array" ref="B405">_xlfn.IFS(OR(Code!R298&lt;&gt;Code!U298,Code!R298=""),0,Code!R298=Code!U298,1)</f>
        <v>0</v>
      </c>
      <c r="C405" s="193" t="str">
        <f>IF(Code!F298="","",Code!F298)</f>
        <v>MCHP</v>
      </c>
      <c r="D405" s="155" t="str">
        <f>IFERROR(VLOOKUP($C405,Code!$H:$K,2,FALSE),"")</f>
        <v>XLK</v>
      </c>
      <c r="E405" s="156" t="str">
        <f>IFERROR(VLOOKUP($C405,Code!$H:$K,3,FALSE),"")</f>
        <v>半導體</v>
      </c>
      <c r="F405" s="157" t="str">
        <f>IFERROR(VLOOKUP($C405,Code!$H:$K,4,FALSE),"")</f>
        <v>.SPX</v>
      </c>
      <c r="G405" s="170">
        <f>IFERROR(((VLOOKUP($C405,Code!$H:$Q,9,FALSE))+(VLOOKUP($C405,Code!$H:$Q,10,FALSE)))/2*0.5/(((VLOOKUP($C405,Code!$H:$Q,7,FALSE))+(VLOOKUP($C405,Code!$H:$Q,8,FALSE)))/2),0)</f>
        <v>0.46926840911803319</v>
      </c>
      <c r="H405" s="171" t="str">
        <f t="shared" si="48"/>
        <v>S</v>
      </c>
      <c r="I405" s="170">
        <f>IFERROR((VLOOKUP($C405,Code!$H:$Q,5,FALSE))/(((VLOOKUP($C405,Code!$H:$Q,7,FALSE))+(VLOOKUP($C405,Code!$H:$Q,8,FALSE)))/2)-1,0)</f>
        <v>-0.2793889485618809</v>
      </c>
      <c r="J405" s="204">
        <f>IFERROR(POWER((VLOOKUP(C405,Code!H:W,12,FALSE))/(VLOOKUP(C405,Code!H:W,15,FALSE)),1/(P405-1))-1,"")</f>
        <v>0.29822620982756298</v>
      </c>
      <c r="K405" s="172" cm="1">
        <f t="array" ref="K405">IFERROR(IF(C405="","",_xlfn.IFS(AND(VLOOKUP(C405,Code!H:W,13,FALSE)=0,VLOOKUP(C405,Code!H:W,16,FALSE)=0),"無股息",AND(VLOOKUP(C405,Code!H:W,13,FALSE)=0,VLOOKUP(C405,Code!H:W,16,FALSE)&gt;0),"股息沒了",AND(VLOOKUP(C405,Code!H:W,13,FALSE)&gt;0,VLOOKUP(C405,Code!H:W,16,FALSE)=0),"發股息了",AND(VLOOKUP(C405,Code!H:W,13,FALSE)&gt;0,VLOOKUP(C405,Code!H:W,16,FALSE)&gt;0),POWER((VLOOKUP(C405,Code!H:W,13,FALSE))/(VLOOKUP(C405,Code!H:W,16,FALSE)),1/(P405-1))-1)),"")</f>
        <v>3.724155984180566E-2</v>
      </c>
      <c r="L405" s="173">
        <f>IFERROR(VLOOKUP(C405,Code!H:W,13,FALSE)*4/VLOOKUP(C405,Code!H:W,12,FALSE),"")</f>
        <v>1.092954063320295E-2</v>
      </c>
      <c r="M405" s="172">
        <f t="shared" si="49"/>
        <v>0.33546776966936864</v>
      </c>
      <c r="N405" s="172" t="str">
        <f t="shared" si="50"/>
        <v>-</v>
      </c>
      <c r="O405" s="172" t="str">
        <f t="shared" si="51"/>
        <v>-</v>
      </c>
      <c r="P405" s="205">
        <f>IFERROR(YEARFRAC(VLOOKUP(C405,Code!H:W,11,FALSE),VLOOKUP(C405,Code!H:W,14,FALSE),3),"")</f>
        <v>4.7561643835616438</v>
      </c>
      <c r="Q405" s="174">
        <v>44547</v>
      </c>
      <c r="R405" s="175" t="str">
        <f t="shared" ca="1" si="52"/>
        <v/>
      </c>
      <c r="S405" s="176">
        <f>IFERROR(VLOOKUP($C405,Code!$H:$Q,5,FALSE),"")</f>
        <v>0.3019</v>
      </c>
      <c r="T405" s="177" t="str">
        <f t="shared" ca="1" si="53"/>
        <v/>
      </c>
      <c r="U405" s="178" t="str">
        <f t="shared" ca="1" si="54"/>
        <v/>
      </c>
      <c r="V405" s="179">
        <f>IFERROR(VLOOKUP($C405,Code!$H:$Q,6,FALSE),"")</f>
        <v>149.78</v>
      </c>
      <c r="W405" s="180" t="str">
        <f t="shared" ca="1" si="55"/>
        <v/>
      </c>
      <c r="X405" s="12"/>
      <c r="Y405" s="12"/>
      <c r="Z405" s="12"/>
      <c r="AA405" s="12"/>
      <c r="AB405" s="12"/>
    </row>
    <row r="406" spans="1:28" s="10" customFormat="1" ht="15" hidden="1">
      <c r="A406" s="9"/>
      <c r="B406" s="169" cm="1">
        <f t="array" ref="B406">_xlfn.IFS(OR(Code!R291&lt;&gt;Code!U291,Code!R291=""),0,Code!R291=Code!U291,1)</f>
        <v>0</v>
      </c>
      <c r="C406" s="193" t="str">
        <f>IF(Code!F291="","",Code!F291)</f>
        <v>LYB</v>
      </c>
      <c r="D406" s="155" t="str">
        <f>IFERROR(VLOOKUP($C406,Code!$H:$K,2,FALSE),"")</f>
        <v>XLB</v>
      </c>
      <c r="E406" s="156" t="str">
        <f>IFERROR(VLOOKUP($C406,Code!$H:$K,3,FALSE),"")</f>
        <v>特種化學品</v>
      </c>
      <c r="F406" s="157" t="str">
        <f>IFERROR(VLOOKUP($C406,Code!$H:$K,4,FALSE),"")</f>
        <v>.SPX</v>
      </c>
      <c r="G406" s="170">
        <f>IFERROR(((VLOOKUP($C406,Code!$H:$Q,9,FALSE))+(VLOOKUP($C406,Code!$H:$Q,10,FALSE)))/2*0.5/(((VLOOKUP($C406,Code!$H:$Q,7,FALSE))+(VLOOKUP($C406,Code!$H:$Q,8,FALSE)))/2),0)</f>
        <v>0.48289473684210527</v>
      </c>
      <c r="H406" s="171" t="str">
        <f t="shared" si="48"/>
        <v>S</v>
      </c>
      <c r="I406" s="170">
        <f>IFERROR((VLOOKUP($C406,Code!$H:$Q,5,FALSE))/(((VLOOKUP($C406,Code!$H:$Q,7,FALSE))+(VLOOKUP($C406,Code!$H:$Q,8,FALSE)))/2)-1,0)</f>
        <v>-0.28466819221967965</v>
      </c>
      <c r="J406" s="204">
        <f>IFERROR(POWER((VLOOKUP(C406,Code!H:W,12,FALSE))/(VLOOKUP(C406,Code!H:W,15,FALSE)),1/(P406-1))-1,"")</f>
        <v>0.18460543396555473</v>
      </c>
      <c r="K406" s="172" cm="1">
        <f t="array" ref="K406">IFERROR(IF(C406="","",_xlfn.IFS(AND(VLOOKUP(C406,Code!H:W,13,FALSE)=0,VLOOKUP(C406,Code!H:W,16,FALSE)=0),"無股息",AND(VLOOKUP(C406,Code!H:W,13,FALSE)=0,VLOOKUP(C406,Code!H:W,16,FALSE)&gt;0),"股息沒了",AND(VLOOKUP(C406,Code!H:W,13,FALSE)&gt;0,VLOOKUP(C406,Code!H:W,16,FALSE)=0),"發股息了",AND(VLOOKUP(C406,Code!H:W,13,FALSE)&gt;0,VLOOKUP(C406,Code!H:W,16,FALSE)&gt;0),POWER((VLOOKUP(C406,Code!H:W,13,FALSE))/(VLOOKUP(C406,Code!H:W,16,FALSE)),1/(P406-1))-1)),"")</f>
        <v>7.7519377650106414E-2</v>
      </c>
      <c r="L406" s="173">
        <f>IFERROR(VLOOKUP(C406,Code!H:W,13,FALSE)*4/VLOOKUP(C406,Code!H:W,12,FALSE),"")</f>
        <v>3.889845196823289E-2</v>
      </c>
      <c r="M406" s="172">
        <f t="shared" si="49"/>
        <v>0.26212481161566115</v>
      </c>
      <c r="N406" s="172" t="str">
        <f t="shared" si="50"/>
        <v>-</v>
      </c>
      <c r="O406" s="172" t="str">
        <f t="shared" si="51"/>
        <v>-</v>
      </c>
      <c r="P406" s="205">
        <f>IFERROR(YEARFRAC(VLOOKUP(C406,Code!H:W,11,FALSE),VLOOKUP(C406,Code!H:W,14,FALSE),3),"")</f>
        <v>4.8136986301369866</v>
      </c>
      <c r="Q406" s="174">
        <v>44547</v>
      </c>
      <c r="R406" s="175" t="str">
        <f t="shared" ca="1" si="52"/>
        <v/>
      </c>
      <c r="S406" s="176">
        <f>IFERROR(VLOOKUP($C406,Code!$H:$Q,5,FALSE),"")</f>
        <v>0.31259999999999999</v>
      </c>
      <c r="T406" s="177" t="str">
        <f t="shared" ca="1" si="53"/>
        <v/>
      </c>
      <c r="U406" s="178" t="str">
        <f t="shared" ca="1" si="54"/>
        <v/>
      </c>
      <c r="V406" s="179">
        <f>IFERROR(VLOOKUP($C406,Code!$H:$Q,6,FALSE),"")</f>
        <v>99.29</v>
      </c>
      <c r="W406" s="180" t="str">
        <f t="shared" ca="1" si="55"/>
        <v/>
      </c>
      <c r="X406" s="12"/>
      <c r="Y406" s="12"/>
      <c r="Z406" s="12"/>
      <c r="AA406" s="12"/>
      <c r="AB406" s="12"/>
    </row>
    <row r="407" spans="1:28" s="10" customFormat="1" ht="15" hidden="1">
      <c r="A407" s="9"/>
      <c r="B407" s="169" cm="1">
        <f t="array" ref="B407">_xlfn.IFS(OR(Code!R478&lt;&gt;Code!U478,Code!R478=""),0,Code!R478=Code!U478,1)</f>
        <v>0</v>
      </c>
      <c r="C407" s="193" t="str">
        <f>IF(Code!F478="","",Code!F478)</f>
        <v>VTR</v>
      </c>
      <c r="D407" s="155" t="str">
        <f>IFERROR(VLOOKUP($C407,Code!$H:$K,2,FALSE),"")</f>
        <v>XLRE</v>
      </c>
      <c r="E407" s="156" t="str">
        <f>IFERROR(VLOOKUP($C407,Code!$H:$K,3,FALSE),"")</f>
        <v>REIT-保健設施</v>
      </c>
      <c r="F407" s="157" t="str">
        <f>IFERROR(VLOOKUP($C407,Code!$H:$K,4,FALSE),"")</f>
        <v>.SPX</v>
      </c>
      <c r="G407" s="170">
        <f>IFERROR(((VLOOKUP($C407,Code!$H:$Q,9,FALSE))+(VLOOKUP($C407,Code!$H:$Q,10,FALSE)))/2*0.5/(((VLOOKUP($C407,Code!$H:$Q,7,FALSE))+(VLOOKUP($C407,Code!$H:$Q,8,FALSE)))/2),0)</f>
        <v>0.51949945328635649</v>
      </c>
      <c r="H407" s="171" t="str">
        <f t="shared" si="48"/>
        <v>M</v>
      </c>
      <c r="I407" s="170">
        <f>IFERROR((VLOOKUP($C407,Code!$H:$Q,5,FALSE))/(((VLOOKUP($C407,Code!$H:$Q,7,FALSE))+(VLOOKUP($C407,Code!$H:$Q,8,FALSE)))/2)-1,0)</f>
        <v>-0.28562750577086637</v>
      </c>
      <c r="J407" s="204">
        <f>IFERROR(POWER((VLOOKUP(C407,Code!H:W,12,FALSE))/(VLOOKUP(C407,Code!H:W,15,FALSE)),1/(P407-1))-1,"")</f>
        <v>2.0901872092473628E-2</v>
      </c>
      <c r="K407" s="172" cm="1">
        <f t="array" ref="K407">IFERROR(IF(C407="","",_xlfn.IFS(AND(VLOOKUP(C407,Code!H:W,13,FALSE)=0,VLOOKUP(C407,Code!H:W,16,FALSE)=0),"無股息",AND(VLOOKUP(C407,Code!H:W,13,FALSE)=0,VLOOKUP(C407,Code!H:W,16,FALSE)&gt;0),"股息沒了",AND(VLOOKUP(C407,Code!H:W,13,FALSE)&gt;0,VLOOKUP(C407,Code!H:W,16,FALSE)=0),"發股息了",AND(VLOOKUP(C407,Code!H:W,13,FALSE)&gt;0,VLOOKUP(C407,Code!H:W,16,FALSE)&gt;0),POWER((VLOOKUP(C407,Code!H:W,13,FALSE))/(VLOOKUP(C407,Code!H:W,16,FALSE)),1/(P407-1))-1)),"")</f>
        <v>-0.11962457666569781</v>
      </c>
      <c r="L407" s="173">
        <f>IFERROR(VLOOKUP(C407,Code!H:W,13,FALSE)*4/VLOOKUP(C407,Code!H:W,12,FALSE),"")</f>
        <v>3.1523643574452989E-2</v>
      </c>
      <c r="M407" s="172">
        <f t="shared" si="49"/>
        <v>-9.8722704573224185E-2</v>
      </c>
      <c r="N407" s="172" t="str">
        <f t="shared" si="50"/>
        <v>-</v>
      </c>
      <c r="O407" s="172" t="str">
        <f t="shared" si="51"/>
        <v>-</v>
      </c>
      <c r="P407" s="205">
        <f>IFERROR(YEARFRAC(VLOOKUP(C407,Code!H:W,11,FALSE),VLOOKUP(C407,Code!H:W,14,FALSE),3),"")</f>
        <v>4.7972602739726025</v>
      </c>
      <c r="Q407" s="174">
        <v>44547</v>
      </c>
      <c r="R407" s="175" t="str">
        <f t="shared" ca="1" si="52"/>
        <v/>
      </c>
      <c r="S407" s="176">
        <f>IFERROR(VLOOKUP($C407,Code!$H:$Q,5,FALSE),"")</f>
        <v>0.29399999999999998</v>
      </c>
      <c r="T407" s="177" t="str">
        <f t="shared" ca="1" si="53"/>
        <v/>
      </c>
      <c r="U407" s="178" t="str">
        <f t="shared" ca="1" si="54"/>
        <v/>
      </c>
      <c r="V407" s="179">
        <f>IFERROR(VLOOKUP($C407,Code!$H:$Q,6,FALSE),"")</f>
        <v>59.08</v>
      </c>
      <c r="W407" s="180" t="str">
        <f t="shared" ca="1" si="55"/>
        <v/>
      </c>
      <c r="X407" s="12"/>
      <c r="Y407" s="12"/>
      <c r="Z407" s="12"/>
      <c r="AA407" s="12"/>
      <c r="AB407" s="12"/>
    </row>
    <row r="408" spans="1:28" s="10" customFormat="1" ht="15" hidden="1">
      <c r="A408" s="9"/>
      <c r="B408" s="169" cm="1">
        <f t="array" ref="B408">_xlfn.IFS(OR(Code!R146&lt;&gt;Code!U146,Code!R146=""),0,Code!R146=Code!U146,1)</f>
        <v>0</v>
      </c>
      <c r="C408" s="193" t="str">
        <f>IF(Code!F146="","",Code!F146)</f>
        <v>DRI</v>
      </c>
      <c r="D408" s="155" t="str">
        <f>IFERROR(VLOOKUP($C408,Code!$H:$K,2,FALSE),"")</f>
        <v>XLY</v>
      </c>
      <c r="E408" s="156" t="str">
        <f>IFERROR(VLOOKUP($C408,Code!$H:$K,3,FALSE),"")</f>
        <v>飯館</v>
      </c>
      <c r="F408" s="157" t="str">
        <f>IFERROR(VLOOKUP($C408,Code!$H:$K,4,FALSE),"")</f>
        <v>.SPX</v>
      </c>
      <c r="G408" s="170">
        <f>IFERROR(((VLOOKUP($C408,Code!$H:$Q,9,FALSE))+(VLOOKUP($C408,Code!$H:$Q,10,FALSE)))/2*0.5/(((VLOOKUP($C408,Code!$H:$Q,7,FALSE))+(VLOOKUP($C408,Code!$H:$Q,8,FALSE)))/2),0)</f>
        <v>0.51094117647058823</v>
      </c>
      <c r="H408" s="171" t="str">
        <f t="shared" si="48"/>
        <v>M</v>
      </c>
      <c r="I408" s="170">
        <f>IFERROR((VLOOKUP($C408,Code!$H:$Q,5,FALSE))/(((VLOOKUP($C408,Code!$H:$Q,7,FALSE))+(VLOOKUP($C408,Code!$H:$Q,8,FALSE)))/2)-1,0)</f>
        <v>-0.28705882352941181</v>
      </c>
      <c r="J408" s="204">
        <f>IFERROR(POWER((VLOOKUP(C408,Code!H:W,12,FALSE))/(VLOOKUP(C408,Code!H:W,15,FALSE)),1/(P408-1))-1,"")</f>
        <v>0.29161068495042675</v>
      </c>
      <c r="K408" s="172" cm="1">
        <f t="array" ref="K408">IFERROR(IF(C408="","",_xlfn.IFS(AND(VLOOKUP(C408,Code!H:W,13,FALSE)=0,VLOOKUP(C408,Code!H:W,16,FALSE)=0),"無股息",AND(VLOOKUP(C408,Code!H:W,13,FALSE)=0,VLOOKUP(C408,Code!H:W,16,FALSE)&gt;0),"股息沒了",AND(VLOOKUP(C408,Code!H:W,13,FALSE)&gt;0,VLOOKUP(C408,Code!H:W,16,FALSE)=0),"發股息了",AND(VLOOKUP(C408,Code!H:W,13,FALSE)&gt;0,VLOOKUP(C408,Code!H:W,16,FALSE)&gt;0),POWER((VLOOKUP(C408,Code!H:W,13,FALSE))/(VLOOKUP(C408,Code!H:W,16,FALSE)),1/(P408-1))-1)),"")</f>
        <v>0.19674796305766207</v>
      </c>
      <c r="L408" s="173">
        <f>IFERROR(VLOOKUP(C408,Code!H:W,13,FALSE)*4/VLOOKUP(C408,Code!H:W,12,FALSE),"")</f>
        <v>3.0566169456620721E-2</v>
      </c>
      <c r="M408" s="172">
        <f t="shared" si="49"/>
        <v>0.48835864800808881</v>
      </c>
      <c r="N408" s="172" t="str">
        <f t="shared" si="50"/>
        <v>Venture</v>
      </c>
      <c r="O408" s="172" t="str">
        <f t="shared" si="51"/>
        <v>-</v>
      </c>
      <c r="P408" s="205">
        <f>IFERROR(YEARFRAC(VLOOKUP(C408,Code!H:W,11,FALSE),VLOOKUP(C408,Code!H:W,14,FALSE),3),"")</f>
        <v>4.7589041095890412</v>
      </c>
      <c r="Q408" s="174">
        <v>44547</v>
      </c>
      <c r="R408" s="175" t="str">
        <f t="shared" ca="1" si="52"/>
        <v/>
      </c>
      <c r="S408" s="176">
        <f>IFERROR(VLOOKUP($C408,Code!$H:$Q,5,FALSE),"")</f>
        <v>0.30299999999999999</v>
      </c>
      <c r="T408" s="177" t="str">
        <f t="shared" ca="1" si="53"/>
        <v/>
      </c>
      <c r="U408" s="178" t="str">
        <f t="shared" ca="1" si="54"/>
        <v/>
      </c>
      <c r="V408" s="179">
        <f>IFERROR(VLOOKUP($C408,Code!$H:$Q,6,FALSE),"")</f>
        <v>144.47</v>
      </c>
      <c r="W408" s="180" t="str">
        <f t="shared" ca="1" si="55"/>
        <v/>
      </c>
      <c r="X408" s="12"/>
      <c r="Y408" s="12"/>
      <c r="Z408" s="12"/>
      <c r="AA408" s="12"/>
      <c r="AB408" s="12"/>
    </row>
    <row r="409" spans="1:28" s="10" customFormat="1" ht="15" hidden="1">
      <c r="A409" s="9"/>
      <c r="B409" s="169" cm="1">
        <f t="array" ref="B409">_xlfn.IFS(OR(Code!R87&lt;&gt;Code!U87,Code!R87=""),0,Code!R87=Code!U87,1)</f>
        <v>1</v>
      </c>
      <c r="C409" s="193" t="str">
        <f>IF(Code!F87="","",Code!F87)</f>
        <v>CDNS</v>
      </c>
      <c r="D409" s="155" t="str">
        <f>IFERROR(VLOOKUP($C409,Code!$H:$K,2,FALSE),"")</f>
        <v>XLK</v>
      </c>
      <c r="E409" s="156" t="str">
        <f>IFERROR(VLOOKUP($C409,Code!$H:$K,3,FALSE),"")</f>
        <v>軟件-應用</v>
      </c>
      <c r="F409" s="157" t="str">
        <f>IFERROR(VLOOKUP($C409,Code!$H:$K,4,FALSE),"")</f>
        <v>.SPX</v>
      </c>
      <c r="G409" s="170">
        <f>IFERROR(((VLOOKUP($C409,Code!$H:$Q,9,FALSE))+(VLOOKUP($C409,Code!$H:$Q,10,FALSE)))/2*0.5/(((VLOOKUP($C409,Code!$H:$Q,7,FALSE))+(VLOOKUP($C409,Code!$H:$Q,8,FALSE)))/2),0)</f>
        <v>0.48570797112126124</v>
      </c>
      <c r="H409" s="171" t="str">
        <f t="shared" si="48"/>
        <v>S</v>
      </c>
      <c r="I409" s="170">
        <f>IFERROR((VLOOKUP($C409,Code!$H:$Q,5,FALSE))/(((VLOOKUP($C409,Code!$H:$Q,7,FALSE))+(VLOOKUP($C409,Code!$H:$Q,8,FALSE)))/2)-1,0)</f>
        <v>-0.28805068513334309</v>
      </c>
      <c r="J409" s="204" t="str">
        <f>IFERROR(POWER((VLOOKUP(C409,Code!H:W,12,FALSE))/(VLOOKUP(C409,Code!H:W,15,FALSE)),1/(P409-1))-1,"")</f>
        <v/>
      </c>
      <c r="K409" s="172" t="str" cm="1">
        <f t="array" ref="K409">IFERROR(IF(C409="","",_xlfn.IFS(AND(VLOOKUP(C409,Code!H:W,13,FALSE)=0,VLOOKUP(C409,Code!H:W,16,FALSE)=0),"無股息",AND(VLOOKUP(C409,Code!H:W,13,FALSE)=0,VLOOKUP(C409,Code!H:W,16,FALSE)&gt;0),"股息沒了",AND(VLOOKUP(C409,Code!H:W,13,FALSE)&gt;0,VLOOKUP(C409,Code!H:W,16,FALSE)=0),"發股息了",AND(VLOOKUP(C409,Code!H:W,13,FALSE)&gt;0,VLOOKUP(C409,Code!H:W,16,FALSE)&gt;0),POWER((VLOOKUP(C409,Code!H:W,13,FALSE))/(VLOOKUP(C409,Code!H:W,16,FALSE)),1/(P409-1))-1)),"")</f>
        <v>無股息</v>
      </c>
      <c r="L409" s="173" t="str">
        <f>IFERROR(VLOOKUP(C409,Code!H:W,13,FALSE)*4/VLOOKUP(C409,Code!H:W,12,FALSE),"")</f>
        <v/>
      </c>
      <c r="M409" s="172" t="str">
        <f t="shared" si="49"/>
        <v/>
      </c>
      <c r="N409" s="172" t="str">
        <f t="shared" si="50"/>
        <v/>
      </c>
      <c r="O409" s="172" t="str">
        <f t="shared" si="51"/>
        <v/>
      </c>
      <c r="P409" s="205">
        <f>IFERROR(YEARFRAC(VLOOKUP(C409,Code!H:W,11,FALSE),VLOOKUP(C409,Code!H:W,14,FALSE),3),"")</f>
        <v>0</v>
      </c>
      <c r="Q409" s="174">
        <v>44547</v>
      </c>
      <c r="R409" s="175" t="str">
        <f t="shared" ca="1" si="52"/>
        <v/>
      </c>
      <c r="S409" s="176">
        <f>IFERROR(VLOOKUP($C409,Code!$H:$Q,5,FALSE),"")</f>
        <v>0.24160000000000001</v>
      </c>
      <c r="T409" s="177" t="str">
        <f t="shared" ca="1" si="53"/>
        <v/>
      </c>
      <c r="U409" s="178" t="str">
        <f t="shared" ca="1" si="54"/>
        <v/>
      </c>
      <c r="V409" s="179">
        <f>IFERROR(VLOOKUP($C409,Code!$H:$Q,6,FALSE),"")</f>
        <v>151.76</v>
      </c>
      <c r="W409" s="180" t="str">
        <f t="shared" ca="1" si="55"/>
        <v/>
      </c>
      <c r="X409" s="12"/>
      <c r="Y409" s="12"/>
      <c r="Z409" s="12"/>
      <c r="AA409" s="12"/>
      <c r="AB409" s="12"/>
    </row>
    <row r="410" spans="1:28" s="10" customFormat="1" ht="15" hidden="1">
      <c r="A410" s="9"/>
      <c r="B410" s="169" cm="1">
        <f t="array" ref="B410">_xlfn.IFS(OR(Code!R82&lt;&gt;Code!U82,Code!R82=""),0,Code!R82=Code!U82,1)</f>
        <v>0</v>
      </c>
      <c r="C410" s="193" t="str">
        <f>IF(Code!F82="","",Code!F82)</f>
        <v>CB</v>
      </c>
      <c r="D410" s="155" t="str">
        <f>IFERROR(VLOOKUP($C410,Code!$H:$K,2,FALSE),"")</f>
        <v>XLF</v>
      </c>
      <c r="E410" s="156" t="str">
        <f>IFERROR(VLOOKUP($C410,Code!$H:$K,3,FALSE),"")</f>
        <v>保險-財產及意外事故</v>
      </c>
      <c r="F410" s="157" t="str">
        <f>IFERROR(VLOOKUP($C410,Code!$H:$K,4,FALSE),"")</f>
        <v>.SPX</v>
      </c>
      <c r="G410" s="170">
        <f>IFERROR(((VLOOKUP($C410,Code!$H:$Q,9,FALSE))+(VLOOKUP($C410,Code!$H:$Q,10,FALSE)))/2*0.5/(((VLOOKUP($C410,Code!$H:$Q,7,FALSE))+(VLOOKUP($C410,Code!$H:$Q,8,FALSE)))/2),0)</f>
        <v>0.5073915900131406</v>
      </c>
      <c r="H410" s="171" t="str">
        <f t="shared" si="48"/>
        <v>M</v>
      </c>
      <c r="I410" s="170">
        <f>IFERROR((VLOOKUP($C410,Code!$H:$Q,5,FALSE))/(((VLOOKUP($C410,Code!$H:$Q,7,FALSE))+(VLOOKUP($C410,Code!$H:$Q,8,FALSE)))/2)-1,0)</f>
        <v>-0.2887647831800263</v>
      </c>
      <c r="J410" s="204">
        <f>IFERROR(POWER((VLOOKUP(C410,Code!H:W,12,FALSE))/(VLOOKUP(C410,Code!H:W,15,FALSE)),1/(P410-1))-1,"")</f>
        <v>9.7080834983634512E-2</v>
      </c>
      <c r="K410" s="172" cm="1">
        <f t="array" ref="K410">IFERROR(IF(C410="","",_xlfn.IFS(AND(VLOOKUP(C410,Code!H:W,13,FALSE)=0,VLOOKUP(C410,Code!H:W,16,FALSE)=0),"無股息",AND(VLOOKUP(C410,Code!H:W,13,FALSE)=0,VLOOKUP(C410,Code!H:W,16,FALSE)&gt;0),"股息沒了",AND(VLOOKUP(C410,Code!H:W,13,FALSE)&gt;0,VLOOKUP(C410,Code!H:W,16,FALSE)=0),"發股息了",AND(VLOOKUP(C410,Code!H:W,13,FALSE)&gt;0,VLOOKUP(C410,Code!H:W,16,FALSE)&gt;0),POWER((VLOOKUP(C410,Code!H:W,13,FALSE))/(VLOOKUP(C410,Code!H:W,16,FALSE)),1/(P410-1))-1)),"")</f>
        <v>4.0558532677924308E-2</v>
      </c>
      <c r="L410" s="173">
        <f>IFERROR(VLOOKUP(C410,Code!H:W,13,FALSE)*4/VLOOKUP(C410,Code!H:W,12,FALSE),"")</f>
        <v>1.9966306324918918E-2</v>
      </c>
      <c r="M410" s="172">
        <f t="shared" si="49"/>
        <v>0.13763936766155882</v>
      </c>
      <c r="N410" s="172" t="str">
        <f t="shared" si="50"/>
        <v>-</v>
      </c>
      <c r="O410" s="172" t="str">
        <f t="shared" si="51"/>
        <v>-</v>
      </c>
      <c r="P410" s="205">
        <f>IFERROR(YEARFRAC(VLOOKUP(C410,Code!H:W,11,FALSE),VLOOKUP(C410,Code!H:W,14,FALSE),3),"")</f>
        <v>4.720547945205479</v>
      </c>
      <c r="Q410" s="174">
        <v>44547</v>
      </c>
      <c r="R410" s="175" t="str">
        <f t="shared" ca="1" si="52"/>
        <v/>
      </c>
      <c r="S410" s="176">
        <f>IFERROR(VLOOKUP($C410,Code!$H:$Q,5,FALSE),"")</f>
        <v>0.2165</v>
      </c>
      <c r="T410" s="177" t="str">
        <f t="shared" ca="1" si="53"/>
        <v/>
      </c>
      <c r="U410" s="178" t="str">
        <f t="shared" ca="1" si="54"/>
        <v/>
      </c>
      <c r="V410" s="179">
        <f>IFERROR(VLOOKUP($C410,Code!$H:$Q,6,FALSE),"")</f>
        <v>174.97</v>
      </c>
      <c r="W410" s="180" t="str">
        <f t="shared" ca="1" si="55"/>
        <v/>
      </c>
      <c r="X410" s="12"/>
      <c r="Y410" s="12"/>
      <c r="Z410" s="12"/>
      <c r="AA410" s="12"/>
      <c r="AB410" s="12"/>
    </row>
    <row r="411" spans="1:28" s="10" customFormat="1" ht="15" hidden="1">
      <c r="A411" s="9"/>
      <c r="B411" s="169" cm="1">
        <f t="array" ref="B411">_xlfn.IFS(OR(Code!R58&lt;&gt;Code!U58,Code!R58=""),0,Code!R58=Code!U58,1)</f>
        <v>0</v>
      </c>
      <c r="C411" s="193" t="str">
        <f>IF(Code!F58="","",Code!F58)</f>
        <v>BAC</v>
      </c>
      <c r="D411" s="155" t="str">
        <f>IFERROR(VLOOKUP($C411,Code!$H:$K,2,FALSE),"")</f>
        <v>XLF</v>
      </c>
      <c r="E411" s="156" t="str">
        <f>IFERROR(VLOOKUP($C411,Code!$H:$K,3,FALSE),"")</f>
        <v>銀行-多樣化</v>
      </c>
      <c r="F411" s="157" t="str">
        <f>IFERROR(VLOOKUP($C411,Code!$H:$K,4,FALSE),"")</f>
        <v>.SPX</v>
      </c>
      <c r="G411" s="170">
        <f>IFERROR(((VLOOKUP($C411,Code!$H:$Q,9,FALSE))+(VLOOKUP($C411,Code!$H:$Q,10,FALSE)))/2*0.5/(((VLOOKUP($C411,Code!$H:$Q,7,FALSE))+(VLOOKUP($C411,Code!$H:$Q,8,FALSE)))/2),0)</f>
        <v>0.48477819657871846</v>
      </c>
      <c r="H411" s="171" t="str">
        <f t="shared" si="48"/>
        <v>S</v>
      </c>
      <c r="I411" s="170">
        <f>IFERROR((VLOOKUP($C411,Code!$H:$Q,5,FALSE))/(((VLOOKUP($C411,Code!$H:$Q,7,FALSE))+(VLOOKUP($C411,Code!$H:$Q,8,FALSE)))/2)-1,0)</f>
        <v>-0.28964917367352849</v>
      </c>
      <c r="J411" s="204">
        <f>IFERROR(POWER((VLOOKUP(C411,Code!H:W,12,FALSE))/(VLOOKUP(C411,Code!H:W,15,FALSE)),1/(P411-1))-1,"")</f>
        <v>0.3333481245833918</v>
      </c>
      <c r="K411" s="172" cm="1">
        <f t="array" ref="K411">IFERROR(IF(C411="","",_xlfn.IFS(AND(VLOOKUP(C411,Code!H:W,13,FALSE)=0,VLOOKUP(C411,Code!H:W,16,FALSE)=0),"無股息",AND(VLOOKUP(C411,Code!H:W,13,FALSE)=0,VLOOKUP(C411,Code!H:W,16,FALSE)&gt;0),"股息沒了",AND(VLOOKUP(C411,Code!H:W,13,FALSE)&gt;0,VLOOKUP(C411,Code!H:W,16,FALSE)=0),"發股息了",AND(VLOOKUP(C411,Code!H:W,13,FALSE)&gt;0,VLOOKUP(C411,Code!H:W,16,FALSE)&gt;0),POWER((VLOOKUP(C411,Code!H:W,13,FALSE))/(VLOOKUP(C411,Code!H:W,16,FALSE)),1/(P411-1))-1)),"")</f>
        <v>0.26226195359328575</v>
      </c>
      <c r="L411" s="173">
        <f>IFERROR(VLOOKUP(C411,Code!H:W,13,FALSE)*4/VLOOKUP(C411,Code!H:W,12,FALSE),"")</f>
        <v>1.6647398843930634E-2</v>
      </c>
      <c r="M411" s="172">
        <f t="shared" si="49"/>
        <v>0.59561007817667755</v>
      </c>
      <c r="N411" s="172" t="str">
        <f t="shared" si="50"/>
        <v>-</v>
      </c>
      <c r="O411" s="172" t="str">
        <f t="shared" si="51"/>
        <v>Value</v>
      </c>
      <c r="P411" s="205">
        <f>IFERROR(YEARFRAC(VLOOKUP(C411,Code!H:W,11,FALSE),VLOOKUP(C411,Code!H:W,14,FALSE),3),"")</f>
        <v>4.7589041095890412</v>
      </c>
      <c r="Q411" s="174">
        <v>44547</v>
      </c>
      <c r="R411" s="175" t="str">
        <f t="shared" ca="1" si="52"/>
        <v/>
      </c>
      <c r="S411" s="176">
        <f>IFERROR(VLOOKUP($C411,Code!$H:$Q,5,FALSE),"")</f>
        <v>0.245</v>
      </c>
      <c r="T411" s="177" t="str">
        <f t="shared" ca="1" si="53"/>
        <v/>
      </c>
      <c r="U411" s="178" t="str">
        <f t="shared" ca="1" si="54"/>
        <v/>
      </c>
      <c r="V411" s="179">
        <f>IFERROR(VLOOKUP($C411,Code!$H:$Q,6,FALSE),"")</f>
        <v>39.020000000000003</v>
      </c>
      <c r="W411" s="180" t="str">
        <f t="shared" ca="1" si="55"/>
        <v/>
      </c>
      <c r="X411" s="12"/>
      <c r="Y411" s="12"/>
      <c r="Z411" s="12"/>
      <c r="AA411" s="12"/>
      <c r="AB411" s="12"/>
    </row>
    <row r="412" spans="1:28" s="10" customFormat="1" ht="15" hidden="1">
      <c r="A412" s="9"/>
      <c r="B412" s="169" cm="1">
        <f t="array" ref="B412">_xlfn.IFS(OR(Code!R349&lt;&gt;Code!U349,Code!R349=""),0,Code!R349=Code!U349,1)</f>
        <v>0</v>
      </c>
      <c r="C412" s="193" t="str">
        <f>IF(Code!F349="","",Code!F349)</f>
        <v>NXPI</v>
      </c>
      <c r="D412" s="155" t="str">
        <f>IFERROR(VLOOKUP($C412,Code!$H:$K,2,FALSE),"")</f>
        <v>XLK</v>
      </c>
      <c r="E412" s="156" t="str">
        <f>IFERROR(VLOOKUP($C412,Code!$H:$K,3,FALSE),"")</f>
        <v>半導體</v>
      </c>
      <c r="F412" s="157" t="str">
        <f>IFERROR(VLOOKUP($C412,Code!$H:$K,4,FALSE),"")</f>
        <v>.SPX</v>
      </c>
      <c r="G412" s="170">
        <f>IFERROR(((VLOOKUP($C412,Code!$H:$Q,9,FALSE))+(VLOOKUP($C412,Code!$H:$Q,10,FALSE)))/2*0.5/(((VLOOKUP($C412,Code!$H:$Q,7,FALSE))+(VLOOKUP($C412,Code!$H:$Q,8,FALSE)))/2),0)</f>
        <v>0.45375420680051065</v>
      </c>
      <c r="H412" s="171" t="str">
        <f t="shared" si="48"/>
        <v>S</v>
      </c>
      <c r="I412" s="170">
        <f>IFERROR((VLOOKUP($C412,Code!$H:$Q,5,FALSE))/(((VLOOKUP($C412,Code!$H:$Q,7,FALSE))+(VLOOKUP($C412,Code!$H:$Q,8,FALSE)))/2)-1,0)</f>
        <v>-0.28977602413833126</v>
      </c>
      <c r="J412" s="204">
        <f>IFERROR(POWER((VLOOKUP(C412,Code!H:W,12,FALSE))/(VLOOKUP(C412,Code!H:W,15,FALSE)),1/(P412-1))-1,"")</f>
        <v>0.62630983161082487</v>
      </c>
      <c r="K412" s="172" cm="1">
        <f t="array" ref="K412">IFERROR(IF(C412="","",_xlfn.IFS(AND(VLOOKUP(C412,Code!H:W,13,FALSE)=0,VLOOKUP(C412,Code!H:W,16,FALSE)=0),"無股息",AND(VLOOKUP(C412,Code!H:W,13,FALSE)=0,VLOOKUP(C412,Code!H:W,16,FALSE)&gt;0),"股息沒了",AND(VLOOKUP(C412,Code!H:W,13,FALSE)&gt;0,VLOOKUP(C412,Code!H:W,16,FALSE)=0),"發股息了",AND(VLOOKUP(C412,Code!H:W,13,FALSE)&gt;0,VLOOKUP(C412,Code!H:W,16,FALSE)&gt;0),POWER((VLOOKUP(C412,Code!H:W,13,FALSE))/(VLOOKUP(C412,Code!H:W,16,FALSE)),1/(P412-1))-1)),"")</f>
        <v>0.60173460306622739</v>
      </c>
      <c r="L412" s="173">
        <f>IFERROR(VLOOKUP(C412,Code!H:W,13,FALSE)*4/VLOOKUP(C412,Code!H:W,12,FALSE),"")</f>
        <v>1.1062533374149402E-2</v>
      </c>
      <c r="M412" s="172">
        <f t="shared" si="49"/>
        <v>1.2280444346770523</v>
      </c>
      <c r="N412" s="172" t="str">
        <f t="shared" si="50"/>
        <v>-</v>
      </c>
      <c r="O412" s="172" t="str">
        <f t="shared" si="51"/>
        <v>Value</v>
      </c>
      <c r="P412" s="205">
        <f>IFERROR(YEARFRAC(VLOOKUP(C412,Code!H:W,11,FALSE),VLOOKUP(C412,Code!H:W,14,FALSE),3),"")</f>
        <v>2.7232876712328768</v>
      </c>
      <c r="Q412" s="174">
        <v>44547</v>
      </c>
      <c r="R412" s="175" t="str">
        <f t="shared" ca="1" si="52"/>
        <v/>
      </c>
      <c r="S412" s="176">
        <f>IFERROR(VLOOKUP($C412,Code!$H:$Q,5,FALSE),"")</f>
        <v>0.30599999999999999</v>
      </c>
      <c r="T412" s="177" t="str">
        <f t="shared" ca="1" si="53"/>
        <v/>
      </c>
      <c r="U412" s="178" t="str">
        <f t="shared" ca="1" si="54"/>
        <v/>
      </c>
      <c r="V412" s="179">
        <f>IFERROR(VLOOKUP($C412,Code!$H:$Q,6,FALSE),"")</f>
        <v>212.9</v>
      </c>
      <c r="W412" s="180" t="str">
        <f t="shared" ca="1" si="55"/>
        <v/>
      </c>
      <c r="X412" s="12"/>
      <c r="Y412" s="12"/>
      <c r="Z412" s="12"/>
      <c r="AA412" s="12"/>
      <c r="AB412" s="12"/>
    </row>
    <row r="413" spans="1:28" s="10" customFormat="1" ht="15" hidden="1">
      <c r="A413" s="9"/>
      <c r="B413" s="169" cm="1">
        <f t="array" ref="B413">_xlfn.IFS(OR(Code!R401&lt;&gt;Code!U401,Code!R401=""),0,Code!R401=Code!U401,1)</f>
        <v>0</v>
      </c>
      <c r="C413" s="193" t="str">
        <f>IF(Code!F401="","",Code!F401)</f>
        <v>RL</v>
      </c>
      <c r="D413" s="155" t="str">
        <f>IFERROR(VLOOKUP($C413,Code!$H:$K,2,FALSE),"")</f>
        <v>XLY</v>
      </c>
      <c r="E413" s="156" t="str">
        <f>IFERROR(VLOOKUP($C413,Code!$H:$K,3,FALSE),"")</f>
        <v>服裝製造</v>
      </c>
      <c r="F413" s="157" t="str">
        <f>IFERROR(VLOOKUP($C413,Code!$H:$K,4,FALSE),"")</f>
        <v>.SPX</v>
      </c>
      <c r="G413" s="170">
        <f>IFERROR(((VLOOKUP($C413,Code!$H:$Q,9,FALSE))+(VLOOKUP($C413,Code!$H:$Q,10,FALSE)))/2*0.5/(((VLOOKUP($C413,Code!$H:$Q,7,FALSE))+(VLOOKUP($C413,Code!$H:$Q,8,FALSE)))/2),0)</f>
        <v>0.47082396637669832</v>
      </c>
      <c r="H413" s="171" t="str">
        <f t="shared" si="48"/>
        <v>S</v>
      </c>
      <c r="I413" s="170">
        <f>IFERROR((VLOOKUP($C413,Code!$H:$Q,5,FALSE))/(((VLOOKUP($C413,Code!$H:$Q,7,FALSE))+(VLOOKUP($C413,Code!$H:$Q,8,FALSE)))/2)-1,0)</f>
        <v>-0.29195582054540115</v>
      </c>
      <c r="J413" s="204">
        <f>IFERROR(POWER((VLOOKUP(C413,Code!H:W,12,FALSE))/(VLOOKUP(C413,Code!H:W,15,FALSE)),1/(P413-1))-1,"")</f>
        <v>8.2188536008248381E-2</v>
      </c>
      <c r="K413" s="172" cm="1">
        <f t="array" ref="K413">IFERROR(IF(C413="","",_xlfn.IFS(AND(VLOOKUP(C413,Code!H:W,13,FALSE)=0,VLOOKUP(C413,Code!H:W,16,FALSE)=0),"無股息",AND(VLOOKUP(C413,Code!H:W,13,FALSE)=0,VLOOKUP(C413,Code!H:W,16,FALSE)&gt;0),"股息沒了",AND(VLOOKUP(C413,Code!H:W,13,FALSE)&gt;0,VLOOKUP(C413,Code!H:W,16,FALSE)=0),"發股息了",AND(VLOOKUP(C413,Code!H:W,13,FALSE)&gt;0,VLOOKUP(C413,Code!H:W,16,FALSE)&gt;0),POWER((VLOOKUP(C413,Code!H:W,13,FALSE))/(VLOOKUP(C413,Code!H:W,16,FALSE)),1/(P413-1))-1)),"")</f>
        <v>8.909676408584577E-2</v>
      </c>
      <c r="L413" s="173">
        <f>IFERROR(VLOOKUP(C413,Code!H:W,13,FALSE)*4/VLOOKUP(C413,Code!H:W,12,FALSE),"")</f>
        <v>2.2859041564515837E-2</v>
      </c>
      <c r="M413" s="172">
        <f t="shared" si="49"/>
        <v>0.17128530009409415</v>
      </c>
      <c r="N413" s="172" t="str">
        <f t="shared" si="50"/>
        <v>-</v>
      </c>
      <c r="O413" s="172" t="str">
        <f t="shared" si="51"/>
        <v>-</v>
      </c>
      <c r="P413" s="205">
        <f>IFERROR(YEARFRAC(VLOOKUP(C413,Code!H:W,11,FALSE),VLOOKUP(C413,Code!H:W,14,FALSE),3),"")</f>
        <v>4.7397260273972606</v>
      </c>
      <c r="Q413" s="174">
        <v>44547</v>
      </c>
      <c r="R413" s="175" t="str">
        <f t="shared" ca="1" si="52"/>
        <v/>
      </c>
      <c r="S413" s="176">
        <f>IFERROR(VLOOKUP($C413,Code!$H:$Q,5,FALSE),"")</f>
        <v>0.36220000000000002</v>
      </c>
      <c r="T413" s="177" t="str">
        <f t="shared" ca="1" si="53"/>
        <v/>
      </c>
      <c r="U413" s="178" t="str">
        <f t="shared" ca="1" si="54"/>
        <v/>
      </c>
      <c r="V413" s="179">
        <f>IFERROR(VLOOKUP($C413,Code!$H:$Q,6,FALSE),"")</f>
        <v>125.19</v>
      </c>
      <c r="W413" s="180" t="str">
        <f t="shared" ca="1" si="55"/>
        <v/>
      </c>
      <c r="X413" s="12"/>
      <c r="Y413" s="12"/>
      <c r="Z413" s="12"/>
      <c r="AA413" s="12"/>
      <c r="AB413" s="12"/>
    </row>
    <row r="414" spans="1:28" s="10" customFormat="1" ht="15" hidden="1">
      <c r="A414" s="9"/>
      <c r="B414" s="169" cm="1">
        <f t="array" ref="B414">_xlfn.IFS(OR(Code!R41&lt;&gt;Code!U41,Code!R41=""),0,Code!R41=Code!U41,1)</f>
        <v>0</v>
      </c>
      <c r="C414" s="193" t="str">
        <f>IF(Code!F41="","",Code!F41)</f>
        <v>ANTM</v>
      </c>
      <c r="D414" s="155" t="str">
        <f>IFERROR(VLOOKUP($C414,Code!$H:$K,2,FALSE),"")</f>
        <v>XLV</v>
      </c>
      <c r="E414" s="156" t="str">
        <f>IFERROR(VLOOKUP($C414,Code!$H:$K,3,FALSE),"")</f>
        <v>醫療保健計劃</v>
      </c>
      <c r="F414" s="157" t="str">
        <f>IFERROR(VLOOKUP($C414,Code!$H:$K,4,FALSE),"")</f>
        <v>.SPX</v>
      </c>
      <c r="G414" s="170">
        <f>IFERROR(((VLOOKUP($C414,Code!$H:$Q,9,FALSE))+(VLOOKUP($C414,Code!$H:$Q,10,FALSE)))/2*0.5/(((VLOOKUP($C414,Code!$H:$Q,7,FALSE))+(VLOOKUP($C414,Code!$H:$Q,8,FALSE)))/2),0)</f>
        <v>0.50847189231987333</v>
      </c>
      <c r="H414" s="171" t="str">
        <f t="shared" si="48"/>
        <v>M</v>
      </c>
      <c r="I414" s="170">
        <f>IFERROR((VLOOKUP($C414,Code!$H:$Q,5,FALSE))/(((VLOOKUP($C414,Code!$H:$Q,7,FALSE))+(VLOOKUP($C414,Code!$H:$Q,8,FALSE)))/2)-1,0)</f>
        <v>-0.29279493269992074</v>
      </c>
      <c r="J414" s="204">
        <f>IFERROR(POWER((VLOOKUP(C414,Code!H:W,12,FALSE))/(VLOOKUP(C414,Code!H:W,15,FALSE)),1/(P414-1))-1,"")</f>
        <v>0.36990463848526334</v>
      </c>
      <c r="K414" s="172" cm="1">
        <f t="array" ref="K414">IFERROR(IF(C414="","",_xlfn.IFS(AND(VLOOKUP(C414,Code!H:W,13,FALSE)=0,VLOOKUP(C414,Code!H:W,16,FALSE)=0),"無股息",AND(VLOOKUP(C414,Code!H:W,13,FALSE)=0,VLOOKUP(C414,Code!H:W,16,FALSE)&gt;0),"股息沒了",AND(VLOOKUP(C414,Code!H:W,13,FALSE)&gt;0,VLOOKUP(C414,Code!H:W,16,FALSE)=0),"發股息了",AND(VLOOKUP(C414,Code!H:W,13,FALSE)&gt;0,VLOOKUP(C414,Code!H:W,16,FALSE)&gt;0),POWER((VLOOKUP(C414,Code!H:W,13,FALSE))/(VLOOKUP(C414,Code!H:W,16,FALSE)),1/(P414-1))-1)),"")</f>
        <v>0.15861438986441945</v>
      </c>
      <c r="L414" s="173">
        <f>IFERROR(VLOOKUP(C414,Code!H:W,13,FALSE)*4/VLOOKUP(C414,Code!H:W,12,FALSE),"")</f>
        <v>1.1711058400015753E-2</v>
      </c>
      <c r="M414" s="172">
        <f t="shared" si="49"/>
        <v>0.52851902834968278</v>
      </c>
      <c r="N414" s="172" t="str">
        <f t="shared" si="50"/>
        <v>-</v>
      </c>
      <c r="O414" s="172" t="str">
        <f t="shared" si="51"/>
        <v>Value</v>
      </c>
      <c r="P414" s="205">
        <f>IFERROR(YEARFRAC(VLOOKUP(C414,Code!H:W,11,FALSE),VLOOKUP(C414,Code!H:W,14,FALSE),3),"")</f>
        <v>4.7561643835616438</v>
      </c>
      <c r="Q414" s="174">
        <v>44547</v>
      </c>
      <c r="R414" s="175" t="str">
        <f t="shared" ca="1" si="52"/>
        <v/>
      </c>
      <c r="S414" s="176">
        <f>IFERROR(VLOOKUP($C414,Code!$H:$Q,5,FALSE),"")</f>
        <v>0.2233</v>
      </c>
      <c r="T414" s="177" t="str">
        <f t="shared" ca="1" si="53"/>
        <v/>
      </c>
      <c r="U414" s="178" t="str">
        <f t="shared" ca="1" si="54"/>
        <v/>
      </c>
      <c r="V414" s="179">
        <f>IFERROR(VLOOKUP($C414,Code!$H:$Q,6,FALSE),"")</f>
        <v>376.68</v>
      </c>
      <c r="W414" s="180" t="str">
        <f t="shared" ca="1" si="55"/>
        <v/>
      </c>
      <c r="X414" s="12"/>
      <c r="Y414" s="12"/>
      <c r="Z414" s="12"/>
      <c r="AA414" s="12"/>
      <c r="AB414" s="12"/>
    </row>
    <row r="415" spans="1:28" s="10" customFormat="1" ht="15" hidden="1">
      <c r="A415" s="9"/>
      <c r="B415" s="169" cm="1">
        <f t="array" ref="B415">_xlfn.IFS(OR(Code!R12&lt;&gt;Code!U12,Code!R12=""),0,Code!R12=Code!U12,1)</f>
        <v>0</v>
      </c>
      <c r="C415" s="193" t="str">
        <f>IF(Code!F12="","",Code!F12)</f>
        <v>ACN</v>
      </c>
      <c r="D415" s="155" t="str">
        <f>IFERROR(VLOOKUP($C415,Code!$H:$K,2,FALSE),"")</f>
        <v>XLK</v>
      </c>
      <c r="E415" s="156" t="str">
        <f>IFERROR(VLOOKUP($C415,Code!$H:$K,3,FALSE),"")</f>
        <v>信息技術處</v>
      </c>
      <c r="F415" s="157" t="str">
        <f>IFERROR(VLOOKUP($C415,Code!$H:$K,4,FALSE),"")</f>
        <v>.SPX</v>
      </c>
      <c r="G415" s="170">
        <f>IFERROR(((VLOOKUP($C415,Code!$H:$Q,9,FALSE))+(VLOOKUP($C415,Code!$H:$Q,10,FALSE)))/2*0.5/(((VLOOKUP($C415,Code!$H:$Q,7,FALSE))+(VLOOKUP($C415,Code!$H:$Q,8,FALSE)))/2),0)</f>
        <v>0.60036248300860884</v>
      </c>
      <c r="H415" s="171" t="str">
        <f t="shared" si="48"/>
        <v>L</v>
      </c>
      <c r="I415" s="170">
        <f>IFERROR((VLOOKUP($C415,Code!$H:$Q,5,FALSE))/(((VLOOKUP($C415,Code!$H:$Q,7,FALSE))+(VLOOKUP($C415,Code!$H:$Q,8,FALSE)))/2)-1,0)</f>
        <v>-0.29315813321250572</v>
      </c>
      <c r="J415" s="204">
        <f>IFERROR(POWER((VLOOKUP(C415,Code!H:W,12,FALSE))/(VLOOKUP(C415,Code!H:W,15,FALSE)),1/(P415-1))-1,"")</f>
        <v>0.32997009643082209</v>
      </c>
      <c r="K415" s="172" cm="1">
        <f t="array" ref="K415">IFERROR(IF(C415="","",_xlfn.IFS(AND(VLOOKUP(C415,Code!H:W,13,FALSE)=0,VLOOKUP(C415,Code!H:W,16,FALSE)=0),"無股息",AND(VLOOKUP(C415,Code!H:W,13,FALSE)=0,VLOOKUP(C415,Code!H:W,16,FALSE)&gt;0),"股息沒了",AND(VLOOKUP(C415,Code!H:W,13,FALSE)&gt;0,VLOOKUP(C415,Code!H:W,16,FALSE)=0),"發股息了",AND(VLOOKUP(C415,Code!H:W,13,FALSE)&gt;0,VLOOKUP(C415,Code!H:W,16,FALSE)&gt;0),POWER((VLOOKUP(C415,Code!H:W,13,FALSE))/(VLOOKUP(C415,Code!H:W,16,FALSE)),1/(P415-1))-1)),"")</f>
        <v>-8.168675790245461E-2</v>
      </c>
      <c r="L415" s="173">
        <f>IFERROR(VLOOKUP(C415,Code!H:W,13,FALSE)*4/VLOOKUP(C415,Code!H:W,12,FALSE),"")</f>
        <v>1.1196284347440867E-2</v>
      </c>
      <c r="M415" s="172">
        <f t="shared" si="49"/>
        <v>0.24828333852836748</v>
      </c>
      <c r="N415" s="172" t="str">
        <f t="shared" si="50"/>
        <v>-</v>
      </c>
      <c r="O415" s="172" t="str">
        <f t="shared" si="51"/>
        <v>-</v>
      </c>
      <c r="P415" s="205">
        <f>IFERROR(YEARFRAC(VLOOKUP(C415,Code!H:W,11,FALSE),VLOOKUP(C415,Code!H:W,14,FALSE),3),"")</f>
        <v>4.7369863013698632</v>
      </c>
      <c r="Q415" s="174">
        <v>44547</v>
      </c>
      <c r="R415" s="175" t="str">
        <f t="shared" ca="1" si="52"/>
        <v/>
      </c>
      <c r="S415" s="176">
        <f>IFERROR(VLOOKUP($C415,Code!$H:$Q,5,FALSE),"")</f>
        <v>0.156</v>
      </c>
      <c r="T415" s="177" t="str">
        <f t="shared" ca="1" si="53"/>
        <v/>
      </c>
      <c r="U415" s="178" t="str">
        <f t="shared" ca="1" si="54"/>
        <v/>
      </c>
      <c r="V415" s="179">
        <f>IFERROR(VLOOKUP($C415,Code!$H:$Q,6,FALSE),"")</f>
        <v>319.64</v>
      </c>
      <c r="W415" s="180" t="str">
        <f t="shared" ca="1" si="55"/>
        <v/>
      </c>
      <c r="X415" s="12"/>
      <c r="Y415" s="12"/>
      <c r="Z415" s="12"/>
      <c r="AA415" s="12"/>
      <c r="AB415" s="12"/>
    </row>
    <row r="416" spans="1:28" s="10" customFormat="1" ht="15" hidden="1">
      <c r="A416" s="9"/>
      <c r="B416" s="169" cm="1">
        <f t="array" ref="B416">_xlfn.IFS(OR(Code!R269&lt;&gt;Code!U269,Code!R269=""),0,Code!R269=Code!U269,1)</f>
        <v>0</v>
      </c>
      <c r="C416" s="193" t="str">
        <f>IF(Code!F269="","",Code!F269)</f>
        <v>KO</v>
      </c>
      <c r="D416" s="155" t="str">
        <f>IFERROR(VLOOKUP($C416,Code!$H:$K,2,FALSE),"")</f>
        <v>XLP</v>
      </c>
      <c r="E416" s="156" t="str">
        <f>IFERROR(VLOOKUP($C416,Code!$H:$K,3,FALSE),"")</f>
        <v>飲料-不含酒精</v>
      </c>
      <c r="F416" s="157" t="str">
        <f>IFERROR(VLOOKUP($C416,Code!$H:$K,4,FALSE),"")</f>
        <v>.SPX</v>
      </c>
      <c r="G416" s="170">
        <f>IFERROR(((VLOOKUP($C416,Code!$H:$Q,9,FALSE))+(VLOOKUP($C416,Code!$H:$Q,10,FALSE)))/2*0.5/(((VLOOKUP($C416,Code!$H:$Q,7,FALSE))+(VLOOKUP($C416,Code!$H:$Q,8,FALSE)))/2),0)</f>
        <v>0.57761394101876684</v>
      </c>
      <c r="H416" s="171" t="str">
        <f t="shared" si="48"/>
        <v>M</v>
      </c>
      <c r="I416" s="170">
        <f>IFERROR((VLOOKUP($C416,Code!$H:$Q,5,FALSE))/(((VLOOKUP($C416,Code!$H:$Q,7,FALSE))+(VLOOKUP($C416,Code!$H:$Q,8,FALSE)))/2)-1,0)</f>
        <v>-0.29329758713136733</v>
      </c>
      <c r="J416" s="204">
        <f>IFERROR(POWER((VLOOKUP(C416,Code!H:W,12,FALSE))/(VLOOKUP(C416,Code!H:W,15,FALSE)),1/(P416-1))-1,"")</f>
        <v>0.12111415288208938</v>
      </c>
      <c r="K416" s="172" cm="1">
        <f t="array" ref="K416">IFERROR(IF(C416="","",_xlfn.IFS(AND(VLOOKUP(C416,Code!H:W,13,FALSE)=0,VLOOKUP(C416,Code!H:W,16,FALSE)=0),"無股息",AND(VLOOKUP(C416,Code!H:W,13,FALSE)=0,VLOOKUP(C416,Code!H:W,16,FALSE)&gt;0),"股息沒了",AND(VLOOKUP(C416,Code!H:W,13,FALSE)&gt;0,VLOOKUP(C416,Code!H:W,16,FALSE)=0),"發股息了",AND(VLOOKUP(C416,Code!H:W,13,FALSE)&gt;0,VLOOKUP(C416,Code!H:W,16,FALSE)&gt;0),POWER((VLOOKUP(C416,Code!H:W,13,FALSE))/(VLOOKUP(C416,Code!H:W,16,FALSE)),1/(P416-1))-1)),"")</f>
        <v>4.977380939094056E-2</v>
      </c>
      <c r="L416" s="173">
        <f>IFERROR(VLOOKUP(C416,Code!H:W,13,FALSE)*4/VLOOKUP(C416,Code!H:W,12,FALSE),"")</f>
        <v>3.0243024717796548E-2</v>
      </c>
      <c r="M416" s="172">
        <f t="shared" si="49"/>
        <v>0.17088796227302994</v>
      </c>
      <c r="N416" s="172" t="str">
        <f t="shared" si="50"/>
        <v>-</v>
      </c>
      <c r="O416" s="172" t="str">
        <f t="shared" si="51"/>
        <v>-</v>
      </c>
      <c r="P416" s="205">
        <f>IFERROR(YEARFRAC(VLOOKUP(C416,Code!H:W,11,FALSE),VLOOKUP(C416,Code!H:W,14,FALSE),3),"")</f>
        <v>4.7534246575342465</v>
      </c>
      <c r="Q416" s="174">
        <v>44547</v>
      </c>
      <c r="R416" s="175" t="str">
        <f t="shared" ca="1" si="52"/>
        <v/>
      </c>
      <c r="S416" s="176">
        <f>IFERROR(VLOOKUP($C416,Code!$H:$Q,5,FALSE),"")</f>
        <v>0.1318</v>
      </c>
      <c r="T416" s="177" t="str">
        <f t="shared" ca="1" si="53"/>
        <v/>
      </c>
      <c r="U416" s="178" t="str">
        <f t="shared" ca="1" si="54"/>
        <v/>
      </c>
      <c r="V416" s="179">
        <f>IFERROR(VLOOKUP($C416,Code!$H:$Q,6,FALSE),"")</f>
        <v>56.56</v>
      </c>
      <c r="W416" s="180" t="str">
        <f t="shared" ca="1" si="55"/>
        <v/>
      </c>
      <c r="X416" s="12"/>
      <c r="Y416" s="12"/>
      <c r="Z416" s="12"/>
      <c r="AA416" s="12"/>
      <c r="AB416" s="12"/>
    </row>
    <row r="417" spans="1:28" s="10" customFormat="1" ht="15" hidden="1">
      <c r="A417" s="9"/>
      <c r="B417" s="169" cm="1">
        <f t="array" ref="B417">_xlfn.IFS(OR(Code!R23&lt;&gt;Code!U23,Code!R23=""),0,Code!R23=Code!U23,1)</f>
        <v>0</v>
      </c>
      <c r="C417" s="193" t="str">
        <f>IF(Code!F23="","",Code!F23)</f>
        <v>AIZ</v>
      </c>
      <c r="D417" s="155" t="str">
        <f>IFERROR(VLOOKUP($C417,Code!$H:$K,2,FALSE),"")</f>
        <v>XLF</v>
      </c>
      <c r="E417" s="156" t="str">
        <f>IFERROR(VLOOKUP($C417,Code!$H:$K,3,FALSE),"")</f>
        <v>保險-專業</v>
      </c>
      <c r="F417" s="157" t="str">
        <f>IFERROR(VLOOKUP($C417,Code!$H:$K,4,FALSE),"")</f>
        <v>.SPX</v>
      </c>
      <c r="G417" s="170">
        <f>IFERROR(((VLOOKUP($C417,Code!$H:$Q,9,FALSE))+(VLOOKUP($C417,Code!$H:$Q,10,FALSE)))/2*0.5/(((VLOOKUP($C417,Code!$H:$Q,7,FALSE))+(VLOOKUP($C417,Code!$H:$Q,8,FALSE)))/2),0)</f>
        <v>0.62432520857189611</v>
      </c>
      <c r="H417" s="171" t="str">
        <f t="shared" si="48"/>
        <v>L</v>
      </c>
      <c r="I417" s="170">
        <f>IFERROR((VLOOKUP($C417,Code!$H:$Q,5,FALSE))/(((VLOOKUP($C417,Code!$H:$Q,7,FALSE))+(VLOOKUP($C417,Code!$H:$Q,8,FALSE)))/2)-1,0)</f>
        <v>-0.29330934074922288</v>
      </c>
      <c r="J417" s="204">
        <f>IFERROR(POWER((VLOOKUP(C417,Code!H:W,12,FALSE))/(VLOOKUP(C417,Code!H:W,15,FALSE)),1/(P417-1))-1,"")</f>
        <v>0.20877599129339153</v>
      </c>
      <c r="K417" s="172" cm="1">
        <f t="array" ref="K417">IFERROR(IF(C417="","",_xlfn.IFS(AND(VLOOKUP(C417,Code!H:W,13,FALSE)=0,VLOOKUP(C417,Code!H:W,16,FALSE)=0),"無股息",AND(VLOOKUP(C417,Code!H:W,13,FALSE)=0,VLOOKUP(C417,Code!H:W,16,FALSE)&gt;0),"股息沒了",AND(VLOOKUP(C417,Code!H:W,13,FALSE)&gt;0,VLOOKUP(C417,Code!H:W,16,FALSE)=0),"發股息了",AND(VLOOKUP(C417,Code!H:W,13,FALSE)&gt;0,VLOOKUP(C417,Code!H:W,16,FALSE)&gt;0),POWER((VLOOKUP(C417,Code!H:W,13,FALSE))/(VLOOKUP(C417,Code!H:W,16,FALSE)),1/(P417-1))-1)),"")</f>
        <v>7.6655799313684048E-2</v>
      </c>
      <c r="L417" s="173">
        <f>IFERROR(VLOOKUP(C417,Code!H:W,13,FALSE)*4/VLOOKUP(C417,Code!H:W,12,FALSE),"")</f>
        <v>1.6382253180200711E-2</v>
      </c>
      <c r="M417" s="172">
        <f t="shared" si="49"/>
        <v>0.28543179060707558</v>
      </c>
      <c r="N417" s="172" t="str">
        <f t="shared" si="50"/>
        <v>-</v>
      </c>
      <c r="O417" s="172" t="str">
        <f t="shared" si="51"/>
        <v>-</v>
      </c>
      <c r="P417" s="205">
        <f>IFERROR(YEARFRAC(VLOOKUP(C417,Code!H:W,11,FALSE),VLOOKUP(C417,Code!H:W,14,FALSE),3),"")</f>
        <v>4.7589041095890412</v>
      </c>
      <c r="Q417" s="174">
        <v>44547</v>
      </c>
      <c r="R417" s="175" t="str">
        <f t="shared" ca="1" si="52"/>
        <v/>
      </c>
      <c r="S417" s="176">
        <f>IFERROR(VLOOKUP($C417,Code!$H:$Q,5,FALSE),"")</f>
        <v>0.216</v>
      </c>
      <c r="T417" s="177" t="str">
        <f t="shared" ca="1" si="53"/>
        <v/>
      </c>
      <c r="U417" s="178" t="str">
        <f t="shared" ca="1" si="54"/>
        <v/>
      </c>
      <c r="V417" s="179">
        <f>IFERROR(VLOOKUP($C417,Code!$H:$Q,6,FALSE),"")</f>
        <v>160.35</v>
      </c>
      <c r="W417" s="180" t="str">
        <f t="shared" ca="1" si="55"/>
        <v/>
      </c>
      <c r="X417" s="12"/>
      <c r="Y417" s="12"/>
      <c r="Z417" s="12"/>
      <c r="AA417" s="12"/>
      <c r="AB417" s="12"/>
    </row>
    <row r="418" spans="1:28" s="10" customFormat="1" ht="15" hidden="1">
      <c r="A418" s="9"/>
      <c r="B418" s="169" cm="1">
        <f t="array" ref="B418">_xlfn.IFS(OR(Code!R217&lt;&gt;Code!U217,Code!R217=""),0,Code!R217=Code!U217,1)</f>
        <v>0</v>
      </c>
      <c r="C418" s="193" t="str">
        <f>IF(Code!F217="","",Code!F217)</f>
        <v>HCA</v>
      </c>
      <c r="D418" s="155" t="str">
        <f>IFERROR(VLOOKUP($C418,Code!$H:$K,2,FALSE),"")</f>
        <v>XLV</v>
      </c>
      <c r="E418" s="156" t="str">
        <f>IFERROR(VLOOKUP($C418,Code!$H:$K,3,FALSE),"")</f>
        <v>醫療設施</v>
      </c>
      <c r="F418" s="157" t="str">
        <f>IFERROR(VLOOKUP($C418,Code!$H:$K,4,FALSE),"")</f>
        <v>.SPX</v>
      </c>
      <c r="G418" s="170">
        <f>IFERROR(((VLOOKUP($C418,Code!$H:$Q,9,FALSE))+(VLOOKUP($C418,Code!$H:$Q,10,FALSE)))/2*0.5/(((VLOOKUP($C418,Code!$H:$Q,7,FALSE))+(VLOOKUP($C418,Code!$H:$Q,8,FALSE)))/2),0)</f>
        <v>0.53031415149735761</v>
      </c>
      <c r="H418" s="171" t="str">
        <f t="shared" si="48"/>
        <v>M</v>
      </c>
      <c r="I418" s="170">
        <f>IFERROR((VLOOKUP($C418,Code!$H:$Q,5,FALSE))/(((VLOOKUP($C418,Code!$H:$Q,7,FALSE))+(VLOOKUP($C418,Code!$H:$Q,8,FALSE)))/2)-1,0)</f>
        <v>-0.29418672930123313</v>
      </c>
      <c r="J418" s="204">
        <f>IFERROR(POWER((VLOOKUP(C418,Code!H:W,12,FALSE))/(VLOOKUP(C418,Code!H:W,15,FALSE)),1/(P418-1))-1,"")</f>
        <v>0.4036709468175308</v>
      </c>
      <c r="K418" s="172" cm="1">
        <f t="array" ref="K418">IFERROR(IF(C418="","",_xlfn.IFS(AND(VLOOKUP(C418,Code!H:W,13,FALSE)=0,VLOOKUP(C418,Code!H:W,16,FALSE)=0),"無股息",AND(VLOOKUP(C418,Code!H:W,13,FALSE)=0,VLOOKUP(C418,Code!H:W,16,FALSE)&gt;0),"股息沒了",AND(VLOOKUP(C418,Code!H:W,13,FALSE)&gt;0,VLOOKUP(C418,Code!H:W,16,FALSE)=0),"發股息了",AND(VLOOKUP(C418,Code!H:W,13,FALSE)&gt;0,VLOOKUP(C418,Code!H:W,16,FALSE)&gt;0),POWER((VLOOKUP(C418,Code!H:W,13,FALSE))/(VLOOKUP(C418,Code!H:W,16,FALSE)),1/(P418-1))-1)),"")</f>
        <v>0.14748567822608338</v>
      </c>
      <c r="L418" s="173">
        <f>IFERROR(VLOOKUP(C418,Code!H:W,13,FALSE)*4/VLOOKUP(C418,Code!H:W,12,FALSE),"")</f>
        <v>9.1620539338056039E-3</v>
      </c>
      <c r="M418" s="172">
        <f t="shared" si="49"/>
        <v>0.55115662504361418</v>
      </c>
      <c r="N418" s="172" t="str">
        <f t="shared" si="50"/>
        <v>-</v>
      </c>
      <c r="O418" s="172" t="str">
        <f t="shared" si="51"/>
        <v>Value</v>
      </c>
      <c r="P418" s="205">
        <f>IFERROR(YEARFRAC(VLOOKUP(C418,Code!H:W,11,FALSE),VLOOKUP(C418,Code!H:W,14,FALSE),3),"")</f>
        <v>3.2958904109589042</v>
      </c>
      <c r="Q418" s="174">
        <v>44547</v>
      </c>
      <c r="R418" s="175" t="str">
        <f t="shared" ca="1" si="52"/>
        <v/>
      </c>
      <c r="S418" s="176">
        <f>IFERROR(VLOOKUP($C418,Code!$H:$Q,5,FALSE),"")</f>
        <v>0.2404</v>
      </c>
      <c r="T418" s="177" t="str">
        <f t="shared" ca="1" si="53"/>
        <v/>
      </c>
      <c r="U418" s="178" t="str">
        <f t="shared" ca="1" si="54"/>
        <v/>
      </c>
      <c r="V418" s="179">
        <f>IFERROR(VLOOKUP($C418,Code!$H:$Q,6,FALSE),"")</f>
        <v>249.06</v>
      </c>
      <c r="W418" s="180" t="str">
        <f t="shared" ca="1" si="55"/>
        <v/>
      </c>
      <c r="X418" s="12"/>
      <c r="Y418" s="12"/>
      <c r="Z418" s="12"/>
      <c r="AA418" s="12"/>
      <c r="AB418" s="12"/>
    </row>
    <row r="419" spans="1:28" s="10" customFormat="1" ht="15">
      <c r="A419" s="9"/>
      <c r="B419" s="169" cm="1">
        <f t="array" ref="B419">_xlfn.IFS(OR(Code!R272&lt;&gt;Code!U272,Code!R272=""),0,Code!R272=Code!U272,1)</f>
        <v>0</v>
      </c>
      <c r="C419" s="193" t="str">
        <f>IF(Code!F272="","",Code!F272)</f>
        <v>L</v>
      </c>
      <c r="D419" s="155" t="str">
        <f>IFERROR(VLOOKUP($C419,Code!$H:$K,2,FALSE),"")</f>
        <v>XLF</v>
      </c>
      <c r="E419" s="156" t="str">
        <f>IFERROR(VLOOKUP($C419,Code!$H:$K,3,FALSE),"")</f>
        <v>保險-財產及意外事故</v>
      </c>
      <c r="F419" s="157" t="str">
        <f>IFERROR(VLOOKUP($C419,Code!$H:$K,4,FALSE),"")</f>
        <v>.SPX</v>
      </c>
      <c r="G419" s="170">
        <f>IFERROR(((VLOOKUP($C419,Code!$H:$Q,9,FALSE))+(VLOOKUP($C419,Code!$H:$Q,10,FALSE)))/2*0.5/(((VLOOKUP($C419,Code!$H:$Q,7,FALSE))+(VLOOKUP($C419,Code!$H:$Q,8,FALSE)))/2),0)</f>
        <v>0.48011844331641285</v>
      </c>
      <c r="H419" s="171" t="str">
        <f t="shared" si="48"/>
        <v>S</v>
      </c>
      <c r="I419" s="170">
        <f>IFERROR((VLOOKUP($C419,Code!$H:$Q,5,FALSE))/(((VLOOKUP($C419,Code!$H:$Q,7,FALSE))+(VLOOKUP($C419,Code!$H:$Q,8,FALSE)))/2)-1,0)</f>
        <v>-0.29441624365482244</v>
      </c>
      <c r="J419" s="204">
        <f>IFERROR(POWER((VLOOKUP(C419,Code!H:W,12,FALSE))/(VLOOKUP(C419,Code!H:W,15,FALSE)),1/(P419-1))-1,"")</f>
        <v>9.5971786735574938E-2</v>
      </c>
      <c r="K419" s="172" cm="1">
        <f t="array" ref="K419">IFERROR(IF(C419="","",_xlfn.IFS(AND(VLOOKUP(C419,Code!H:W,13,FALSE)=0,VLOOKUP(C419,Code!H:W,16,FALSE)=0),"無股息",AND(VLOOKUP(C419,Code!H:W,13,FALSE)=0,VLOOKUP(C419,Code!H:W,16,FALSE)&gt;0),"股息沒了",AND(VLOOKUP(C419,Code!H:W,13,FALSE)&gt;0,VLOOKUP(C419,Code!H:W,16,FALSE)=0),"發股息了",AND(VLOOKUP(C419,Code!H:W,13,FALSE)&gt;0,VLOOKUP(C419,Code!H:W,16,FALSE)&gt;0),POWER((VLOOKUP(C419,Code!H:W,13,FALSE))/(VLOOKUP(C419,Code!H:W,16,FALSE)),1/(P419-1))-1)),"")</f>
        <v>0</v>
      </c>
      <c r="L419" s="173">
        <f>IFERROR(VLOOKUP(C419,Code!H:W,13,FALSE)*4/VLOOKUP(C419,Code!H:W,12,FALSE),"")</f>
        <v>4.3933053925826271E-3</v>
      </c>
      <c r="M419" s="172">
        <f t="shared" si="49"/>
        <v>9.5971786735574938E-2</v>
      </c>
      <c r="N419" s="172" t="str">
        <f t="shared" si="50"/>
        <v>-</v>
      </c>
      <c r="O419" s="172" t="str">
        <f t="shared" si="51"/>
        <v>-</v>
      </c>
      <c r="P419" s="205">
        <f>IFERROR(YEARFRAC(VLOOKUP(C419,Code!H:W,11,FALSE),VLOOKUP(C419,Code!H:W,14,FALSE),3),"")</f>
        <v>4.7397260273972606</v>
      </c>
      <c r="Q419" s="174">
        <v>44547</v>
      </c>
      <c r="R419" s="175" t="str">
        <f t="shared" ca="1" si="52"/>
        <v/>
      </c>
      <c r="S419" s="176">
        <f>IFERROR(VLOOKUP($C419,Code!$H:$Q,5,FALSE),"")</f>
        <v>0.25019999999999998</v>
      </c>
      <c r="T419" s="177" t="str">
        <f t="shared" ca="1" si="53"/>
        <v/>
      </c>
      <c r="U419" s="178" t="str">
        <f t="shared" ca="1" si="54"/>
        <v/>
      </c>
      <c r="V419" s="179">
        <f>IFERROR(VLOOKUP($C419,Code!$H:$Q,6,FALSE),"")</f>
        <v>54.78</v>
      </c>
      <c r="W419" s="180" t="str">
        <f t="shared" ca="1" si="55"/>
        <v/>
      </c>
      <c r="X419" s="12"/>
      <c r="Y419" s="12"/>
      <c r="Z419" s="12"/>
      <c r="AA419" s="12"/>
      <c r="AB419" s="12"/>
    </row>
    <row r="420" spans="1:28" s="10" customFormat="1" ht="15" hidden="1">
      <c r="A420" s="9"/>
      <c r="B420" s="169" cm="1">
        <f t="array" ref="B420">_xlfn.IFS(OR(Code!R358&lt;&gt;Code!U358,Code!R358=""),0,Code!R358=Code!U358,1)</f>
        <v>0</v>
      </c>
      <c r="C420" s="193" t="str">
        <f>IF(Code!F358="","",Code!F358)</f>
        <v>OXY</v>
      </c>
      <c r="D420" s="155" t="str">
        <f>IFERROR(VLOOKUP($C420,Code!$H:$K,2,FALSE),"")</f>
        <v>XLE</v>
      </c>
      <c r="E420" s="156" t="str">
        <f>IFERROR(VLOOKUP($C420,Code!$H:$K,3,FALSE),"")</f>
        <v>油氣E&amp;P</v>
      </c>
      <c r="F420" s="157" t="str">
        <f>IFERROR(VLOOKUP($C420,Code!$H:$K,4,FALSE),"")</f>
        <v>.SPX</v>
      </c>
      <c r="G420" s="170">
        <f>IFERROR(((VLOOKUP($C420,Code!$H:$Q,9,FALSE))+(VLOOKUP($C420,Code!$H:$Q,10,FALSE)))/2*0.5/(((VLOOKUP($C420,Code!$H:$Q,7,FALSE))+(VLOOKUP($C420,Code!$H:$Q,8,FALSE)))/2),0)</f>
        <v>0.46732613908872905</v>
      </c>
      <c r="H420" s="171" t="str">
        <f t="shared" si="48"/>
        <v>S</v>
      </c>
      <c r="I420" s="170">
        <f>IFERROR((VLOOKUP($C420,Code!$H:$Q,5,FALSE))/(((VLOOKUP($C420,Code!$H:$Q,7,FALSE))+(VLOOKUP($C420,Code!$H:$Q,8,FALSE)))/2)-1,0)</f>
        <v>-0.29443112176925124</v>
      </c>
      <c r="J420" s="204">
        <f>IFERROR(POWER((VLOOKUP(C420,Code!H:W,12,FALSE))/(VLOOKUP(C420,Code!H:W,15,FALSE)),1/(P420-1))-1,"")</f>
        <v>-0.1920438867665436</v>
      </c>
      <c r="K420" s="172" cm="1">
        <f t="array" ref="K420">IFERROR(IF(C420="","",_xlfn.IFS(AND(VLOOKUP(C420,Code!H:W,13,FALSE)=0,VLOOKUP(C420,Code!H:W,16,FALSE)=0),"無股息",AND(VLOOKUP(C420,Code!H:W,13,FALSE)=0,VLOOKUP(C420,Code!H:W,16,FALSE)&gt;0),"股息沒了",AND(VLOOKUP(C420,Code!H:W,13,FALSE)&gt;0,VLOOKUP(C420,Code!H:W,16,FALSE)=0),"發股息了",AND(VLOOKUP(C420,Code!H:W,13,FALSE)&gt;0,VLOOKUP(C420,Code!H:W,16,FALSE)&gt;0),POWER((VLOOKUP(C420,Code!H:W,13,FALSE))/(VLOOKUP(C420,Code!H:W,16,FALSE)),1/(P420-1))-1)),"")</f>
        <v>-0.68430127938562824</v>
      </c>
      <c r="L420" s="173">
        <f>IFERROR(VLOOKUP(C420,Code!H:W,13,FALSE)*4/VLOOKUP(C420,Code!H:W,12,FALSE),"")</f>
        <v>1.4109347252829331E-3</v>
      </c>
      <c r="M420" s="172">
        <f t="shared" si="49"/>
        <v>-0.87634516615217184</v>
      </c>
      <c r="N420" s="172" t="str">
        <f t="shared" si="50"/>
        <v>-</v>
      </c>
      <c r="O420" s="172" t="str">
        <f t="shared" si="51"/>
        <v>-</v>
      </c>
      <c r="P420" s="205">
        <f>IFERROR(YEARFRAC(VLOOKUP(C420,Code!H:W,11,FALSE),VLOOKUP(C420,Code!H:W,14,FALSE),3),"")</f>
        <v>4.7561643835616438</v>
      </c>
      <c r="Q420" s="174">
        <v>44547</v>
      </c>
      <c r="R420" s="175" t="str">
        <f t="shared" ca="1" si="52"/>
        <v/>
      </c>
      <c r="S420" s="176">
        <f>IFERROR(VLOOKUP($C420,Code!$H:$Q,5,FALSE),"")</f>
        <v>0.52959999999999996</v>
      </c>
      <c r="T420" s="177" t="str">
        <f t="shared" ca="1" si="53"/>
        <v/>
      </c>
      <c r="U420" s="178" t="str">
        <f t="shared" ca="1" si="54"/>
        <v/>
      </c>
      <c r="V420" s="179">
        <f>IFERROR(VLOOKUP($C420,Code!$H:$Q,6,FALSE),"")</f>
        <v>26.62</v>
      </c>
      <c r="W420" s="180" t="str">
        <f t="shared" ca="1" si="55"/>
        <v/>
      </c>
      <c r="X420" s="12"/>
      <c r="Y420" s="12"/>
      <c r="Z420" s="12"/>
      <c r="AA420" s="12"/>
      <c r="AB420" s="12"/>
    </row>
    <row r="421" spans="1:28" s="10" customFormat="1" ht="15" hidden="1">
      <c r="A421" s="9"/>
      <c r="B421" s="169" cm="1">
        <f t="array" ref="B421">_xlfn.IFS(OR(Code!R481&lt;&gt;Code!U481,Code!R481=""),0,Code!R481=Code!U481,1)</f>
        <v>0</v>
      </c>
      <c r="C421" s="193" t="str">
        <f>IF(Code!F481="","",Code!F481)</f>
        <v>WAB</v>
      </c>
      <c r="D421" s="155" t="str">
        <f>IFERROR(VLOOKUP($C421,Code!$H:$K,2,FALSE),"")</f>
        <v>XLI</v>
      </c>
      <c r="E421" s="156" t="str">
        <f>IFERROR(VLOOKUP($C421,Code!$H:$K,3,FALSE),"")</f>
        <v>鐵路</v>
      </c>
      <c r="F421" s="157" t="str">
        <f>IFERROR(VLOOKUP($C421,Code!$H:$K,4,FALSE),"")</f>
        <v>.SPX</v>
      </c>
      <c r="G421" s="170">
        <f>IFERROR(((VLOOKUP($C421,Code!$H:$Q,9,FALSE))+(VLOOKUP($C421,Code!$H:$Q,10,FALSE)))/2*0.5/(((VLOOKUP($C421,Code!$H:$Q,7,FALSE))+(VLOOKUP($C421,Code!$H:$Q,8,FALSE)))/2),0)</f>
        <v>0.50991792065663477</v>
      </c>
      <c r="H421" s="171" t="str">
        <f t="shared" si="48"/>
        <v>M</v>
      </c>
      <c r="I421" s="170">
        <f>IFERROR((VLOOKUP($C421,Code!$H:$Q,5,FALSE))/(((VLOOKUP($C421,Code!$H:$Q,7,FALSE))+(VLOOKUP($C421,Code!$H:$Q,8,FALSE)))/2)-1,0)</f>
        <v>-0.29466484268125859</v>
      </c>
      <c r="J421" s="204">
        <f>IFERROR(POWER((VLOOKUP(C421,Code!H:W,12,FALSE))/(VLOOKUP(C421,Code!H:W,15,FALSE)),1/(P421-1))-1,"")</f>
        <v>4.3948165336012979E-2</v>
      </c>
      <c r="K421" s="172" cm="1">
        <f t="array" ref="K421">IFERROR(IF(C421="","",_xlfn.IFS(AND(VLOOKUP(C421,Code!H:W,13,FALSE)=0,VLOOKUP(C421,Code!H:W,16,FALSE)=0),"無股息",AND(VLOOKUP(C421,Code!H:W,13,FALSE)=0,VLOOKUP(C421,Code!H:W,16,FALSE)&gt;0),"股息沒了",AND(VLOOKUP(C421,Code!H:W,13,FALSE)&gt;0,VLOOKUP(C421,Code!H:W,16,FALSE)=0),"發股息了",AND(VLOOKUP(C421,Code!H:W,13,FALSE)&gt;0,VLOOKUP(C421,Code!H:W,16,FALSE)&gt;0),POWER((VLOOKUP(C421,Code!H:W,13,FALSE))/(VLOOKUP(C421,Code!H:W,16,FALSE)),1/(P421-1))-1)),"")</f>
        <v>4.9998140410607572E-2</v>
      </c>
      <c r="L421" s="173">
        <f>IFERROR(VLOOKUP(C421,Code!H:W,13,FALSE)*4/VLOOKUP(C421,Code!H:W,12,FALSE),"")</f>
        <v>5.8794708915794278E-3</v>
      </c>
      <c r="M421" s="172">
        <f t="shared" si="49"/>
        <v>9.3946305746620551E-2</v>
      </c>
      <c r="N421" s="172" t="str">
        <f t="shared" si="50"/>
        <v>-</v>
      </c>
      <c r="O421" s="172" t="str">
        <f t="shared" si="51"/>
        <v>-</v>
      </c>
      <c r="P421" s="205">
        <f>IFERROR(YEARFRAC(VLOOKUP(C421,Code!H:W,11,FALSE),VLOOKUP(C421,Code!H:W,14,FALSE),3),"")</f>
        <v>4.7369863013698632</v>
      </c>
      <c r="Q421" s="174">
        <v>44547</v>
      </c>
      <c r="R421" s="175" t="str">
        <f t="shared" ca="1" si="52"/>
        <v/>
      </c>
      <c r="S421" s="176">
        <f>IFERROR(VLOOKUP($C421,Code!$H:$Q,5,FALSE),"")</f>
        <v>0.25779999999999997</v>
      </c>
      <c r="T421" s="177" t="str">
        <f t="shared" ca="1" si="53"/>
        <v/>
      </c>
      <c r="U421" s="178" t="str">
        <f t="shared" ca="1" si="54"/>
        <v/>
      </c>
      <c r="V421" s="179">
        <f>IFERROR(VLOOKUP($C421,Code!$H:$Q,6,FALSE),"")</f>
        <v>86.07</v>
      </c>
      <c r="W421" s="180" t="str">
        <f t="shared" ca="1" si="55"/>
        <v/>
      </c>
      <c r="X421" s="12"/>
      <c r="Y421" s="12"/>
      <c r="Z421" s="12"/>
      <c r="AA421" s="12"/>
      <c r="AB421" s="12"/>
    </row>
    <row r="422" spans="1:28" s="10" customFormat="1" ht="15" hidden="1">
      <c r="A422" s="9"/>
      <c r="B422" s="169" cm="1">
        <f t="array" ref="B422">_xlfn.IFS(OR(Code!R161&lt;&gt;Code!U161,Code!R161=""),0,Code!R161=Code!U161,1)</f>
        <v>0</v>
      </c>
      <c r="C422" s="193" t="str">
        <f>IF(Code!F161="","",Code!F161)</f>
        <v>EMR</v>
      </c>
      <c r="D422" s="155" t="str">
        <f>IFERROR(VLOOKUP($C422,Code!$H:$K,2,FALSE),"")</f>
        <v>XLI</v>
      </c>
      <c r="E422" s="156" t="str">
        <f>IFERROR(VLOOKUP($C422,Code!$H:$K,3,FALSE),"")</f>
        <v>特種工業機械</v>
      </c>
      <c r="F422" s="157" t="str">
        <f>IFERROR(VLOOKUP($C422,Code!$H:$K,4,FALSE),"")</f>
        <v>.SPX</v>
      </c>
      <c r="G422" s="170">
        <f>IFERROR(((VLOOKUP($C422,Code!$H:$Q,9,FALSE))+(VLOOKUP($C422,Code!$H:$Q,10,FALSE)))/2*0.5/(((VLOOKUP($C422,Code!$H:$Q,7,FALSE))+(VLOOKUP($C422,Code!$H:$Q,8,FALSE)))/2),0)</f>
        <v>0.48225044780980303</v>
      </c>
      <c r="H422" s="171" t="str">
        <f t="shared" si="48"/>
        <v>S</v>
      </c>
      <c r="I422" s="170">
        <f>IFERROR((VLOOKUP($C422,Code!$H:$Q,5,FALSE))/(((VLOOKUP($C422,Code!$H:$Q,7,FALSE))+(VLOOKUP($C422,Code!$H:$Q,8,FALSE)))/2)-1,0)</f>
        <v>-0.29522879009933234</v>
      </c>
      <c r="J422" s="204">
        <f>IFERROR(POWER((VLOOKUP(C422,Code!H:W,12,FALSE))/(VLOOKUP(C422,Code!H:W,15,FALSE)),1/(P422-1))-1,"")</f>
        <v>0.20879293069260352</v>
      </c>
      <c r="K422" s="172" cm="1">
        <f t="array" ref="K422">IFERROR(IF(C422="","",_xlfn.IFS(AND(VLOOKUP(C422,Code!H:W,13,FALSE)=0,VLOOKUP(C422,Code!H:W,16,FALSE)=0),"無股息",AND(VLOOKUP(C422,Code!H:W,13,FALSE)=0,VLOOKUP(C422,Code!H:W,16,FALSE)&gt;0),"股息沒了",AND(VLOOKUP(C422,Code!H:W,13,FALSE)&gt;0,VLOOKUP(C422,Code!H:W,16,FALSE)=0),"發股息了",AND(VLOOKUP(C422,Code!H:W,13,FALSE)&gt;0,VLOOKUP(C422,Code!H:W,16,FALSE)&gt;0),POWER((VLOOKUP(C422,Code!H:W,13,FALSE))/(VLOOKUP(C422,Code!H:W,16,FALSE)),1/(P422-1))-1)),"")</f>
        <v>1.6426400808692732E-2</v>
      </c>
      <c r="L422" s="173">
        <f>IFERROR(VLOOKUP(C422,Code!H:W,13,FALSE)*4/VLOOKUP(C422,Code!H:W,12,FALSE),"")</f>
        <v>2.1328265436876902E-2</v>
      </c>
      <c r="M422" s="172">
        <f t="shared" si="49"/>
        <v>0.22521933150129625</v>
      </c>
      <c r="N422" s="172" t="str">
        <f t="shared" si="50"/>
        <v>-</v>
      </c>
      <c r="O422" s="172" t="str">
        <f t="shared" si="51"/>
        <v>-</v>
      </c>
      <c r="P422" s="205">
        <f>IFERROR(YEARFRAC(VLOOKUP(C422,Code!H:W,11,FALSE),VLOOKUP(C422,Code!H:W,14,FALSE),3),"")</f>
        <v>4.7589041095890412</v>
      </c>
      <c r="Q422" s="174">
        <v>44547</v>
      </c>
      <c r="R422" s="175" t="str">
        <f t="shared" ca="1" si="52"/>
        <v/>
      </c>
      <c r="S422" s="176">
        <f>IFERROR(VLOOKUP($C422,Code!$H:$Q,5,FALSE),"")</f>
        <v>0.21640000000000001</v>
      </c>
      <c r="T422" s="177" t="str">
        <f t="shared" ca="1" si="53"/>
        <v/>
      </c>
      <c r="U422" s="178" t="str">
        <f t="shared" ca="1" si="54"/>
        <v/>
      </c>
      <c r="V422" s="179">
        <f>IFERROR(VLOOKUP($C422,Code!$H:$Q,6,FALSE),"")</f>
        <v>101.18</v>
      </c>
      <c r="W422" s="180" t="str">
        <f t="shared" ca="1" si="55"/>
        <v/>
      </c>
      <c r="X422" s="12"/>
      <c r="Y422" s="12"/>
      <c r="Z422" s="12"/>
      <c r="AA422" s="12"/>
      <c r="AB422" s="12"/>
    </row>
    <row r="423" spans="1:28" s="10" customFormat="1" ht="15" hidden="1">
      <c r="A423" s="9"/>
      <c r="B423" s="169" cm="1">
        <f t="array" ref="B423">_xlfn.IFS(OR(Code!R307&lt;&gt;Code!U307,Code!R307=""),0,Code!R307=Code!U307,1)</f>
        <v>0</v>
      </c>
      <c r="C423" s="193" t="str">
        <f>IF(Code!F307="","",Code!F307)</f>
        <v>MKTX</v>
      </c>
      <c r="D423" s="155" t="str">
        <f>IFERROR(VLOOKUP($C423,Code!$H:$K,2,FALSE),"")</f>
        <v>XLF</v>
      </c>
      <c r="E423" s="156" t="str">
        <f>IFERROR(VLOOKUP($C423,Code!$H:$K,3,FALSE),"")</f>
        <v>資本市場</v>
      </c>
      <c r="F423" s="157" t="str">
        <f>IFERROR(VLOOKUP($C423,Code!$H:$K,4,FALSE),"")</f>
        <v>.SPX</v>
      </c>
      <c r="G423" s="170">
        <f>IFERROR(((VLOOKUP($C423,Code!$H:$Q,9,FALSE))+(VLOOKUP($C423,Code!$H:$Q,10,FALSE)))/2*0.5/(((VLOOKUP($C423,Code!$H:$Q,7,FALSE))+(VLOOKUP($C423,Code!$H:$Q,8,FALSE)))/2),0)</f>
        <v>0.46392090099528549</v>
      </c>
      <c r="H423" s="171" t="str">
        <f t="shared" si="48"/>
        <v>S</v>
      </c>
      <c r="I423" s="170">
        <f>IFERROR((VLOOKUP($C423,Code!$H:$Q,5,FALSE))/(((VLOOKUP($C423,Code!$H:$Q,7,FALSE))+(VLOOKUP($C423,Code!$H:$Q,8,FALSE)))/2)-1,0)</f>
        <v>-0.2954426401257203</v>
      </c>
      <c r="J423" s="204">
        <f>IFERROR(POWER((VLOOKUP(C423,Code!H:W,12,FALSE))/(VLOOKUP(C423,Code!H:W,15,FALSE)),1/(P423-1))-1,"")</f>
        <v>0.32536772423423477</v>
      </c>
      <c r="K423" s="172" cm="1">
        <f t="array" ref="K423">IFERROR(IF(C423="","",_xlfn.IFS(AND(VLOOKUP(C423,Code!H:W,13,FALSE)=0,VLOOKUP(C423,Code!H:W,16,FALSE)=0),"無股息",AND(VLOOKUP(C423,Code!H:W,13,FALSE)=0,VLOOKUP(C423,Code!H:W,16,FALSE)&gt;0),"股息沒了",AND(VLOOKUP(C423,Code!H:W,13,FALSE)&gt;0,VLOOKUP(C423,Code!H:W,16,FALSE)=0),"發股息了",AND(VLOOKUP(C423,Code!H:W,13,FALSE)&gt;0,VLOOKUP(C423,Code!H:W,16,FALSE)&gt;0),POWER((VLOOKUP(C423,Code!H:W,13,FALSE))/(VLOOKUP(C423,Code!H:W,16,FALSE)),1/(P423-1))-1)),"")</f>
        <v>0.26325264467570597</v>
      </c>
      <c r="L423" s="173">
        <f>IFERROR(VLOOKUP(C423,Code!H:W,13,FALSE)*4/VLOOKUP(C423,Code!H:W,12,FALSE),"")</f>
        <v>5.5006875579668053E-3</v>
      </c>
      <c r="M423" s="172">
        <f t="shared" si="49"/>
        <v>0.58862036890994074</v>
      </c>
      <c r="N423" s="172" t="str">
        <f t="shared" si="50"/>
        <v>-</v>
      </c>
      <c r="O423" s="172" t="str">
        <f t="shared" si="51"/>
        <v>Value</v>
      </c>
      <c r="P423" s="205">
        <f>IFERROR(YEARFRAC(VLOOKUP(C423,Code!H:W,11,FALSE),VLOOKUP(C423,Code!H:W,14,FALSE),3),"")</f>
        <v>4.9863013698630141</v>
      </c>
      <c r="Q423" s="174">
        <v>44547</v>
      </c>
      <c r="R423" s="175" t="str">
        <f t="shared" ca="1" si="52"/>
        <v/>
      </c>
      <c r="S423" s="176">
        <f>IFERROR(VLOOKUP($C423,Code!$H:$Q,5,FALSE),"")</f>
        <v>0.26900000000000002</v>
      </c>
      <c r="T423" s="177" t="str">
        <f t="shared" ca="1" si="53"/>
        <v/>
      </c>
      <c r="U423" s="178" t="str">
        <f t="shared" ca="1" si="54"/>
        <v/>
      </c>
      <c r="V423" s="179">
        <f>IFERROR(VLOOKUP($C423,Code!$H:$Q,6,FALSE),"")</f>
        <v>490.73</v>
      </c>
      <c r="W423" s="180" t="str">
        <f t="shared" ca="1" si="55"/>
        <v/>
      </c>
      <c r="X423" s="12"/>
      <c r="Y423" s="12"/>
      <c r="Z423" s="12"/>
      <c r="AA423" s="12"/>
      <c r="AB423" s="12"/>
    </row>
    <row r="424" spans="1:28" s="10" customFormat="1" ht="15" hidden="1">
      <c r="A424" s="9"/>
      <c r="B424" s="169" cm="1">
        <f t="array" ref="B424">_xlfn.IFS(OR(Code!R496&lt;&gt;Code!U496,Code!R496=""),0,Code!R496=Code!U496,1)</f>
        <v>0</v>
      </c>
      <c r="C424" s="193" t="str">
        <f>IF(Code!F496="","",Code!F496)</f>
        <v>WU</v>
      </c>
      <c r="D424" s="155" t="str">
        <f>IFERROR(VLOOKUP($C424,Code!$H:$K,2,FALSE),"")</f>
        <v>XLK</v>
      </c>
      <c r="E424" s="156" t="str">
        <f>IFERROR(VLOOKUP($C424,Code!$H:$K,3,FALSE),"")</f>
        <v>信貸服務</v>
      </c>
      <c r="F424" s="157" t="str">
        <f>IFERROR(VLOOKUP($C424,Code!$H:$K,4,FALSE),"")</f>
        <v>.SPX</v>
      </c>
      <c r="G424" s="170">
        <f>IFERROR(((VLOOKUP($C424,Code!$H:$Q,9,FALSE))+(VLOOKUP($C424,Code!$H:$Q,10,FALSE)))/2*0.5/(((VLOOKUP($C424,Code!$H:$Q,7,FALSE))+(VLOOKUP($C424,Code!$H:$Q,8,FALSE)))/2),0)</f>
        <v>0.52645850451930964</v>
      </c>
      <c r="H424" s="171" t="str">
        <f t="shared" si="48"/>
        <v>M</v>
      </c>
      <c r="I424" s="170">
        <f>IFERROR((VLOOKUP($C424,Code!$H:$Q,5,FALSE))/(((VLOOKUP($C424,Code!$H:$Q,7,FALSE))+(VLOOKUP($C424,Code!$H:$Q,8,FALSE)))/2)-1,0)</f>
        <v>-0.29926047658175847</v>
      </c>
      <c r="J424" s="204">
        <f>IFERROR(POWER((VLOOKUP(C424,Code!H:W,12,FALSE))/(VLOOKUP(C424,Code!H:W,15,FALSE)),1/(P424-1))-1,"")</f>
        <v>0.10201660995903716</v>
      </c>
      <c r="K424" s="172" cm="1">
        <f t="array" ref="K424">IFERROR(IF(C424="","",_xlfn.IFS(AND(VLOOKUP(C424,Code!H:W,13,FALSE)=0,VLOOKUP(C424,Code!H:W,16,FALSE)=0),"無股息",AND(VLOOKUP(C424,Code!H:W,13,FALSE)=0,VLOOKUP(C424,Code!H:W,16,FALSE)&gt;0),"股息沒了",AND(VLOOKUP(C424,Code!H:W,13,FALSE)&gt;0,VLOOKUP(C424,Code!H:W,16,FALSE)=0),"發股息了",AND(VLOOKUP(C424,Code!H:W,13,FALSE)&gt;0,VLOOKUP(C424,Code!H:W,16,FALSE)&gt;0),POWER((VLOOKUP(C424,Code!H:W,13,FALSE))/(VLOOKUP(C424,Code!H:W,16,FALSE)),1/(P424-1))-1)),"")</f>
        <v>0.10784452219377538</v>
      </c>
      <c r="L424" s="173">
        <f>IFERROR(VLOOKUP(C424,Code!H:W,13,FALSE)*4/VLOOKUP(C424,Code!H:W,12,FALSE),"")</f>
        <v>3.8414386039111938E-2</v>
      </c>
      <c r="M424" s="172">
        <f t="shared" si="49"/>
        <v>0.20986113215281255</v>
      </c>
      <c r="N424" s="172" t="str">
        <f t="shared" si="50"/>
        <v>Venture</v>
      </c>
      <c r="O424" s="172" t="str">
        <f t="shared" si="51"/>
        <v>-</v>
      </c>
      <c r="P424" s="205">
        <f>IFERROR(YEARFRAC(VLOOKUP(C424,Code!H:W,11,FALSE),VLOOKUP(C424,Code!H:W,14,FALSE),3),"")</f>
        <v>4.7534246575342465</v>
      </c>
      <c r="Q424" s="174">
        <v>44547</v>
      </c>
      <c r="R424" s="175" t="str">
        <f t="shared" ca="1" si="52"/>
        <v/>
      </c>
      <c r="S424" s="176">
        <f>IFERROR(VLOOKUP($C424,Code!$H:$Q,5,FALSE),"")</f>
        <v>0.2132</v>
      </c>
      <c r="T424" s="177" t="str">
        <f t="shared" ca="1" si="53"/>
        <v/>
      </c>
      <c r="U424" s="178" t="str">
        <f t="shared" ca="1" si="54"/>
        <v/>
      </c>
      <c r="V424" s="179">
        <f>IFERROR(VLOOKUP($C424,Code!$H:$Q,6,FALSE),"")</f>
        <v>22.52</v>
      </c>
      <c r="W424" s="180" t="str">
        <f t="shared" ca="1" si="55"/>
        <v/>
      </c>
      <c r="X424" s="12"/>
      <c r="Y424" s="12"/>
      <c r="Z424" s="12"/>
      <c r="AA424" s="12"/>
      <c r="AB424" s="12"/>
    </row>
    <row r="425" spans="1:28" s="10" customFormat="1" ht="15" hidden="1">
      <c r="A425" s="9"/>
      <c r="B425" s="169" cm="1">
        <f t="array" ref="B425">_xlfn.IFS(OR(Code!R350&lt;&gt;Code!U350,Code!R350=""),0,Code!R350=Code!U350,1)</f>
        <v>0</v>
      </c>
      <c r="C425" s="193" t="str">
        <f>IF(Code!F350="","",Code!F350)</f>
        <v>O</v>
      </c>
      <c r="D425" s="155" t="str">
        <f>IFERROR(VLOOKUP($C425,Code!$H:$K,2,FALSE),"")</f>
        <v>XLRE</v>
      </c>
      <c r="E425" s="156" t="str">
        <f>IFERROR(VLOOKUP($C425,Code!$H:$K,3,FALSE),"")</f>
        <v>-</v>
      </c>
      <c r="F425" s="157" t="str">
        <f>IFERROR(VLOOKUP($C425,Code!$H:$K,4,FALSE),"")</f>
        <v>.SPX</v>
      </c>
      <c r="G425" s="170">
        <f>IFERROR(((VLOOKUP($C425,Code!$H:$Q,9,FALSE))+(VLOOKUP($C425,Code!$H:$Q,10,FALSE)))/2*0.5/(((VLOOKUP($C425,Code!$H:$Q,7,FALSE))+(VLOOKUP($C425,Code!$H:$Q,8,FALSE)))/2),0)</f>
        <v>0.55771947527749743</v>
      </c>
      <c r="H425" s="171" t="str">
        <f t="shared" si="48"/>
        <v>M</v>
      </c>
      <c r="I425" s="170">
        <f>IFERROR((VLOOKUP($C425,Code!$H:$Q,5,FALSE))/(((VLOOKUP($C425,Code!$H:$Q,7,FALSE))+(VLOOKUP($C425,Code!$H:$Q,8,FALSE)))/2)-1,0)</f>
        <v>-0.29929364278506565</v>
      </c>
      <c r="J425" s="204">
        <f>IFERROR(POWER((VLOOKUP(C425,Code!H:W,12,FALSE))/(VLOOKUP(C425,Code!H:W,15,FALSE)),1/(P425-1))-1,"")</f>
        <v>7.5574501808375105E-2</v>
      </c>
      <c r="K425" s="172" cm="1">
        <f t="array" ref="K425">IFERROR(IF(C425="","",_xlfn.IFS(AND(VLOOKUP(C425,Code!H:W,13,FALSE)=0,VLOOKUP(C425,Code!H:W,16,FALSE)=0),"無股息",AND(VLOOKUP(C425,Code!H:W,13,FALSE)=0,VLOOKUP(C425,Code!H:W,16,FALSE)&gt;0),"股息沒了",AND(VLOOKUP(C425,Code!H:W,13,FALSE)&gt;0,VLOOKUP(C425,Code!H:W,16,FALSE)=0),"發股息了",AND(VLOOKUP(C425,Code!H:W,13,FALSE)&gt;0,VLOOKUP(C425,Code!H:W,16,FALSE)&gt;0),POWER((VLOOKUP(C425,Code!H:W,13,FALSE))/(VLOOKUP(C425,Code!H:W,16,FALSE)),1/(P425-1))-1)),"")</f>
        <v>4.0505780746784348E-2</v>
      </c>
      <c r="L425" s="173">
        <f>IFERROR(VLOOKUP(C425,Code!H:W,13,FALSE)*4/VLOOKUP(C425,Code!H:W,12,FALSE),"")</f>
        <v>1.3430075226979648E-2</v>
      </c>
      <c r="M425" s="172">
        <f t="shared" si="49"/>
        <v>0.11608028255515945</v>
      </c>
      <c r="N425" s="172" t="str">
        <f t="shared" si="50"/>
        <v>-</v>
      </c>
      <c r="O425" s="172" t="str">
        <f t="shared" si="51"/>
        <v>-</v>
      </c>
      <c r="P425" s="205">
        <f>IFERROR(YEARFRAC(VLOOKUP(C425,Code!H:W,11,FALSE),VLOOKUP(C425,Code!H:W,14,FALSE),3),"")</f>
        <v>4.9178082191780819</v>
      </c>
      <c r="Q425" s="174">
        <v>44547</v>
      </c>
      <c r="R425" s="175" t="str">
        <f t="shared" ca="1" si="52"/>
        <v/>
      </c>
      <c r="S425" s="176">
        <f>IFERROR(VLOOKUP($C425,Code!$H:$Q,5,FALSE),"")</f>
        <v>0.1736</v>
      </c>
      <c r="T425" s="177" t="str">
        <f t="shared" ca="1" si="53"/>
        <v/>
      </c>
      <c r="U425" s="178" t="str">
        <f t="shared" ca="1" si="54"/>
        <v/>
      </c>
      <c r="V425" s="179">
        <f>IFERROR(VLOOKUP($C425,Code!$H:$Q,6,FALSE),"")</f>
        <v>70.86</v>
      </c>
      <c r="W425" s="180" t="str">
        <f t="shared" ca="1" si="55"/>
        <v/>
      </c>
      <c r="X425" s="12"/>
      <c r="Y425" s="12"/>
      <c r="Z425" s="12"/>
      <c r="AA425" s="12"/>
      <c r="AB425" s="12"/>
    </row>
    <row r="426" spans="1:28" s="10" customFormat="1" ht="15" hidden="1">
      <c r="A426" s="9"/>
      <c r="B426" s="169" cm="1">
        <f t="array" ref="B426">_xlfn.IFS(OR(Code!R94&lt;&gt;Code!U94,Code!R94=""),0,Code!R94=Code!U94,1)</f>
        <v>0</v>
      </c>
      <c r="C426" s="193" t="str">
        <f>IF(Code!F94="","",Code!F94)</f>
        <v>CHRW</v>
      </c>
      <c r="D426" s="155" t="str">
        <f>IFERROR(VLOOKUP($C426,Code!$H:$K,2,FALSE),"")</f>
        <v>XLI</v>
      </c>
      <c r="E426" s="156" t="str">
        <f>IFERROR(VLOOKUP($C426,Code!$H:$K,3,FALSE),"")</f>
        <v>綜合貨運物流</v>
      </c>
      <c r="F426" s="157" t="str">
        <f>IFERROR(VLOOKUP($C426,Code!$H:$K,4,FALSE),"")</f>
        <v>.SPX</v>
      </c>
      <c r="G426" s="170">
        <f>IFERROR(((VLOOKUP($C426,Code!$H:$Q,9,FALSE))+(VLOOKUP($C426,Code!$H:$Q,10,FALSE)))/2*0.5/(((VLOOKUP($C426,Code!$H:$Q,7,FALSE))+(VLOOKUP($C426,Code!$H:$Q,8,FALSE)))/2),0)</f>
        <v>0.4709067399385809</v>
      </c>
      <c r="H426" s="171" t="str">
        <f t="shared" si="48"/>
        <v>S</v>
      </c>
      <c r="I426" s="170">
        <f>IFERROR((VLOOKUP($C426,Code!$H:$Q,5,FALSE))/(((VLOOKUP($C426,Code!$H:$Q,7,FALSE))+(VLOOKUP($C426,Code!$H:$Q,8,FALSE)))/2)-1,0)</f>
        <v>-0.30046872474543396</v>
      </c>
      <c r="J426" s="204">
        <f>IFERROR(POWER((VLOOKUP(C426,Code!H:W,12,FALSE))/(VLOOKUP(C426,Code!H:W,15,FALSE)),1/(P426-1))-1,"")</f>
        <v>0.12290647339553695</v>
      </c>
      <c r="K426" s="172" cm="1">
        <f t="array" ref="K426">IFERROR(IF(C426="","",_xlfn.IFS(AND(VLOOKUP(C426,Code!H:W,13,FALSE)=0,VLOOKUP(C426,Code!H:W,16,FALSE)=0),"無股息",AND(VLOOKUP(C426,Code!H:W,13,FALSE)=0,VLOOKUP(C426,Code!H:W,16,FALSE)&gt;0),"股息沒了",AND(VLOOKUP(C426,Code!H:W,13,FALSE)&gt;0,VLOOKUP(C426,Code!H:W,16,FALSE)=0),"發股息了",AND(VLOOKUP(C426,Code!H:W,13,FALSE)&gt;0,VLOOKUP(C426,Code!H:W,16,FALSE)&gt;0),POWER((VLOOKUP(C426,Code!H:W,13,FALSE))/(VLOOKUP(C426,Code!H:W,16,FALSE)),1/(P426-1))-1)),"")</f>
        <v>4.6438356720198692E-2</v>
      </c>
      <c r="L426" s="173">
        <f>IFERROR(VLOOKUP(C426,Code!H:W,13,FALSE)*4/VLOOKUP(C426,Code!H:W,12,FALSE),"")</f>
        <v>2.121464145496739E-2</v>
      </c>
      <c r="M426" s="172">
        <f t="shared" si="49"/>
        <v>0.16934483011573565</v>
      </c>
      <c r="N426" s="172" t="str">
        <f t="shared" si="50"/>
        <v>-</v>
      </c>
      <c r="O426" s="172" t="str">
        <f t="shared" si="51"/>
        <v>-</v>
      </c>
      <c r="P426" s="205">
        <f>IFERROR(YEARFRAC(VLOOKUP(C426,Code!H:W,11,FALSE),VLOOKUP(C426,Code!H:W,14,FALSE),3),"")</f>
        <v>4.7589041095890412</v>
      </c>
      <c r="Q426" s="174">
        <v>44547</v>
      </c>
      <c r="R426" s="175" t="str">
        <f t="shared" ca="1" si="52"/>
        <v/>
      </c>
      <c r="S426" s="176">
        <f>IFERROR(VLOOKUP($C426,Code!$H:$Q,5,FALSE),"")</f>
        <v>0.21640000000000001</v>
      </c>
      <c r="T426" s="177" t="str">
        <f t="shared" ca="1" si="53"/>
        <v/>
      </c>
      <c r="U426" s="178" t="str">
        <f t="shared" ca="1" si="54"/>
        <v/>
      </c>
      <c r="V426" s="179">
        <f>IFERROR(VLOOKUP($C426,Code!$H:$Q,6,FALSE),"")</f>
        <v>90.87</v>
      </c>
      <c r="W426" s="180" t="str">
        <f t="shared" ca="1" si="55"/>
        <v/>
      </c>
      <c r="X426" s="12"/>
      <c r="Y426" s="12"/>
      <c r="Z426" s="12"/>
      <c r="AA426" s="12"/>
      <c r="AB426" s="12"/>
    </row>
    <row r="427" spans="1:28" s="10" customFormat="1" ht="15" hidden="1">
      <c r="A427" s="9"/>
      <c r="B427" s="169" cm="1">
        <f t="array" ref="B427">_xlfn.IFS(OR(Code!R116&lt;&gt;Code!U116,Code!R116=""),0,Code!R116=Code!U116,1)</f>
        <v>1</v>
      </c>
      <c r="C427" s="193" t="str">
        <f>IF(Code!F116="","",Code!F116)</f>
        <v>CRM</v>
      </c>
      <c r="D427" s="155" t="str">
        <f>IFERROR(VLOOKUP($C427,Code!$H:$K,2,FALSE),"")</f>
        <v>XLK</v>
      </c>
      <c r="E427" s="156" t="str">
        <f>IFERROR(VLOOKUP($C427,Code!$H:$K,3,FALSE),"")</f>
        <v>軟件-應用</v>
      </c>
      <c r="F427" s="157" t="str">
        <f>IFERROR(VLOOKUP($C427,Code!$H:$K,4,FALSE),"")</f>
        <v>.SPX</v>
      </c>
      <c r="G427" s="170">
        <f>IFERROR(((VLOOKUP($C427,Code!$H:$Q,9,FALSE))+(VLOOKUP($C427,Code!$H:$Q,10,FALSE)))/2*0.5/(((VLOOKUP($C427,Code!$H:$Q,7,FALSE))+(VLOOKUP($C427,Code!$H:$Q,8,FALSE)))/2),0)</f>
        <v>0.39696254159064082</v>
      </c>
      <c r="H427" s="171" t="str">
        <f t="shared" si="48"/>
        <v>S</v>
      </c>
      <c r="I427" s="170">
        <f>IFERROR((VLOOKUP($C427,Code!$H:$Q,5,FALSE))/(((VLOOKUP($C427,Code!$H:$Q,7,FALSE))+(VLOOKUP($C427,Code!$H:$Q,8,FALSE)))/2)-1,0)</f>
        <v>-0.30277986476333585</v>
      </c>
      <c r="J427" s="204" t="str">
        <f>IFERROR(POWER((VLOOKUP(C427,Code!H:W,12,FALSE))/(VLOOKUP(C427,Code!H:W,15,FALSE)),1/(P427-1))-1,"")</f>
        <v/>
      </c>
      <c r="K427" s="172" t="str" cm="1">
        <f t="array" ref="K427">IFERROR(IF(C427="","",_xlfn.IFS(AND(VLOOKUP(C427,Code!H:W,13,FALSE)=0,VLOOKUP(C427,Code!H:W,16,FALSE)=0),"無股息",AND(VLOOKUP(C427,Code!H:W,13,FALSE)=0,VLOOKUP(C427,Code!H:W,16,FALSE)&gt;0),"股息沒了",AND(VLOOKUP(C427,Code!H:W,13,FALSE)&gt;0,VLOOKUP(C427,Code!H:W,16,FALSE)=0),"發股息了",AND(VLOOKUP(C427,Code!H:W,13,FALSE)&gt;0,VLOOKUP(C427,Code!H:W,16,FALSE)&gt;0),POWER((VLOOKUP(C427,Code!H:W,13,FALSE))/(VLOOKUP(C427,Code!H:W,16,FALSE)),1/(P427-1))-1)),"")</f>
        <v>無股息</v>
      </c>
      <c r="L427" s="173" t="str">
        <f>IFERROR(VLOOKUP(C427,Code!H:W,13,FALSE)*4/VLOOKUP(C427,Code!H:W,12,FALSE),"")</f>
        <v/>
      </c>
      <c r="M427" s="172" t="str">
        <f t="shared" si="49"/>
        <v/>
      </c>
      <c r="N427" s="172" t="str">
        <f t="shared" si="50"/>
        <v/>
      </c>
      <c r="O427" s="172" t="str">
        <f t="shared" si="51"/>
        <v/>
      </c>
      <c r="P427" s="205">
        <f>IFERROR(YEARFRAC(VLOOKUP(C427,Code!H:W,11,FALSE),VLOOKUP(C427,Code!H:W,14,FALSE),3),"")</f>
        <v>0</v>
      </c>
      <c r="Q427" s="174">
        <v>44547</v>
      </c>
      <c r="R427" s="175" t="str">
        <f t="shared" ca="1" si="52"/>
        <v/>
      </c>
      <c r="S427" s="176">
        <f>IFERROR(VLOOKUP($C427,Code!$H:$Q,5,FALSE),"")</f>
        <v>0.32479999999999998</v>
      </c>
      <c r="T427" s="177" t="str">
        <f t="shared" ca="1" si="53"/>
        <v/>
      </c>
      <c r="U427" s="178" t="str">
        <f t="shared" ca="1" si="54"/>
        <v/>
      </c>
      <c r="V427" s="179">
        <f>IFERROR(VLOOKUP($C427,Code!$H:$Q,6,FALSE),"")</f>
        <v>250.56</v>
      </c>
      <c r="W427" s="180" t="str">
        <f t="shared" ca="1" si="55"/>
        <v/>
      </c>
      <c r="X427" s="12"/>
      <c r="Y427" s="12"/>
      <c r="Z427" s="12"/>
      <c r="AA427" s="12"/>
      <c r="AB427" s="12"/>
    </row>
    <row r="428" spans="1:28" s="10" customFormat="1" ht="15" hidden="1">
      <c r="A428" s="9"/>
      <c r="B428" s="169" cm="1">
        <f t="array" ref="B428">_xlfn.IFS(OR(Code!R39&lt;&gt;Code!U39,Code!R39=""),0,Code!R39=Code!U39,1)</f>
        <v>1</v>
      </c>
      <c r="C428" s="193" t="str">
        <f>IF(Code!F39="","",Code!F39)</f>
        <v>ANET</v>
      </c>
      <c r="D428" s="155" t="str">
        <f>IFERROR(VLOOKUP($C428,Code!$H:$K,2,FALSE),"")</f>
        <v>XLK</v>
      </c>
      <c r="E428" s="156" t="str">
        <f>IFERROR(VLOOKUP($C428,Code!$H:$K,3,FALSE),"")</f>
        <v>計算機硬件</v>
      </c>
      <c r="F428" s="157" t="str">
        <f>IFERROR(VLOOKUP($C428,Code!$H:$K,4,FALSE),"")</f>
        <v>.SPX</v>
      </c>
      <c r="G428" s="170">
        <f>IFERROR(((VLOOKUP($C428,Code!$H:$Q,9,FALSE))+(VLOOKUP($C428,Code!$H:$Q,10,FALSE)))/2*0.5/(((VLOOKUP($C428,Code!$H:$Q,7,FALSE))+(VLOOKUP($C428,Code!$H:$Q,8,FALSE)))/2),0)</f>
        <v>0.64204377403135182</v>
      </c>
      <c r="H428" s="171" t="str">
        <f t="shared" si="48"/>
        <v>L</v>
      </c>
      <c r="I428" s="170">
        <f>IFERROR((VLOOKUP($C428,Code!$H:$Q,5,FALSE))/(((VLOOKUP($C428,Code!$H:$Q,7,FALSE))+(VLOOKUP($C428,Code!$H:$Q,8,FALSE)))/2)-1,0)</f>
        <v>-0.30523513753327414</v>
      </c>
      <c r="J428" s="204" t="str">
        <f>IFERROR(POWER((VLOOKUP(C428,Code!H:W,12,FALSE))/(VLOOKUP(C428,Code!H:W,15,FALSE)),1/(P428-1))-1,"")</f>
        <v/>
      </c>
      <c r="K428" s="172" t="str" cm="1">
        <f t="array" ref="K428">IFERROR(IF(C428="","",_xlfn.IFS(AND(VLOOKUP(C428,Code!H:W,13,FALSE)=0,VLOOKUP(C428,Code!H:W,16,FALSE)=0),"無股息",AND(VLOOKUP(C428,Code!H:W,13,FALSE)=0,VLOOKUP(C428,Code!H:W,16,FALSE)&gt;0),"股息沒了",AND(VLOOKUP(C428,Code!H:W,13,FALSE)&gt;0,VLOOKUP(C428,Code!H:W,16,FALSE)=0),"發股息了",AND(VLOOKUP(C428,Code!H:W,13,FALSE)&gt;0,VLOOKUP(C428,Code!H:W,16,FALSE)&gt;0),POWER((VLOOKUP(C428,Code!H:W,13,FALSE))/(VLOOKUP(C428,Code!H:W,16,FALSE)),1/(P428-1))-1)),"")</f>
        <v>無股息</v>
      </c>
      <c r="L428" s="173" t="str">
        <f>IFERROR(VLOOKUP(C428,Code!H:W,13,FALSE)*4/VLOOKUP(C428,Code!H:W,12,FALSE),"")</f>
        <v/>
      </c>
      <c r="M428" s="172" t="str">
        <f t="shared" si="49"/>
        <v/>
      </c>
      <c r="N428" s="172" t="str">
        <f t="shared" si="50"/>
        <v/>
      </c>
      <c r="O428" s="172" t="str">
        <f t="shared" si="51"/>
        <v/>
      </c>
      <c r="P428" s="205">
        <f>IFERROR(YEARFRAC(VLOOKUP(C428,Code!H:W,11,FALSE),VLOOKUP(C428,Code!H:W,14,FALSE),3),"")</f>
        <v>0</v>
      </c>
      <c r="Q428" s="174">
        <v>44547</v>
      </c>
      <c r="R428" s="175" t="str">
        <f t="shared" ca="1" si="52"/>
        <v/>
      </c>
      <c r="S428" s="176">
        <f>IFERROR(VLOOKUP($C428,Code!$H:$Q,5,FALSE),"")</f>
        <v>0.2349</v>
      </c>
      <c r="T428" s="177" t="str">
        <f t="shared" ca="1" si="53"/>
        <v/>
      </c>
      <c r="U428" s="178" t="str">
        <f t="shared" ca="1" si="54"/>
        <v/>
      </c>
      <c r="V428" s="179">
        <f>IFERROR(VLOOKUP($C428,Code!$H:$Q,6,FALSE),"")</f>
        <v>380.6</v>
      </c>
      <c r="W428" s="180" t="str">
        <f t="shared" ca="1" si="55"/>
        <v/>
      </c>
      <c r="X428" s="12"/>
      <c r="Y428" s="12"/>
      <c r="Z428" s="12"/>
      <c r="AA428" s="12"/>
      <c r="AB428" s="12"/>
    </row>
    <row r="429" spans="1:28" s="10" customFormat="1" ht="15" hidden="1">
      <c r="A429" s="9"/>
      <c r="B429" s="169" cm="1">
        <f t="array" ref="B429">_xlfn.IFS(OR(Code!R38&lt;&gt;Code!U38,Code!R38=""),0,Code!R38=Code!U38,1)</f>
        <v>1</v>
      </c>
      <c r="C429" s="193" t="str">
        <f>IF(Code!F38="","",Code!F38)</f>
        <v>AMZN</v>
      </c>
      <c r="D429" s="155" t="str">
        <f>IFERROR(VLOOKUP($C429,Code!$H:$K,2,FALSE),"")</f>
        <v>XLY</v>
      </c>
      <c r="E429" s="156" t="str">
        <f>IFERROR(VLOOKUP($C429,Code!$H:$K,3,FALSE),"")</f>
        <v>互聯網零售</v>
      </c>
      <c r="F429" s="157" t="str">
        <f>IFERROR(VLOOKUP($C429,Code!$H:$K,4,FALSE),"")</f>
        <v>.SPX</v>
      </c>
      <c r="G429" s="170">
        <f>IFERROR(((VLOOKUP($C429,Code!$H:$Q,9,FALSE))+(VLOOKUP($C429,Code!$H:$Q,10,FALSE)))/2*0.5/(((VLOOKUP($C429,Code!$H:$Q,7,FALSE))+(VLOOKUP($C429,Code!$H:$Q,8,FALSE)))/2),0)</f>
        <v>0.61025176896494981</v>
      </c>
      <c r="H429" s="171" t="str">
        <f t="shared" si="48"/>
        <v>L</v>
      </c>
      <c r="I429" s="170">
        <f>IFERROR((VLOOKUP($C429,Code!$H:$Q,5,FALSE))/(((VLOOKUP($C429,Code!$H:$Q,7,FALSE))+(VLOOKUP($C429,Code!$H:$Q,8,FALSE)))/2)-1,0)</f>
        <v>-0.30557841039986844</v>
      </c>
      <c r="J429" s="204" t="str">
        <f>IFERROR(POWER((VLOOKUP(C429,Code!H:W,12,FALSE))/(VLOOKUP(C429,Code!H:W,15,FALSE)),1/(P429-1))-1,"")</f>
        <v/>
      </c>
      <c r="K429" s="172" t="str" cm="1">
        <f t="array" ref="K429">IFERROR(IF(C429="","",_xlfn.IFS(AND(VLOOKUP(C429,Code!H:W,13,FALSE)=0,VLOOKUP(C429,Code!H:W,16,FALSE)=0),"無股息",AND(VLOOKUP(C429,Code!H:W,13,FALSE)=0,VLOOKUP(C429,Code!H:W,16,FALSE)&gt;0),"股息沒了",AND(VLOOKUP(C429,Code!H:W,13,FALSE)&gt;0,VLOOKUP(C429,Code!H:W,16,FALSE)=0),"發股息了",AND(VLOOKUP(C429,Code!H:W,13,FALSE)&gt;0,VLOOKUP(C429,Code!H:W,16,FALSE)&gt;0),POWER((VLOOKUP(C429,Code!H:W,13,FALSE))/(VLOOKUP(C429,Code!H:W,16,FALSE)),1/(P429-1))-1)),"")</f>
        <v>無股息</v>
      </c>
      <c r="L429" s="173" t="str">
        <f>IFERROR(VLOOKUP(C429,Code!H:W,13,FALSE)*4/VLOOKUP(C429,Code!H:W,12,FALSE),"")</f>
        <v/>
      </c>
      <c r="M429" s="172" t="str">
        <f t="shared" si="49"/>
        <v/>
      </c>
      <c r="N429" s="172" t="str">
        <f t="shared" si="50"/>
        <v/>
      </c>
      <c r="O429" s="172" t="str">
        <f t="shared" si="51"/>
        <v/>
      </c>
      <c r="P429" s="205">
        <f>IFERROR(YEARFRAC(VLOOKUP(C429,Code!H:W,11,FALSE),VLOOKUP(C429,Code!H:W,14,FALSE),3),"")</f>
        <v>0</v>
      </c>
      <c r="Q429" s="174">
        <v>44547</v>
      </c>
      <c r="R429" s="175" t="str">
        <f t="shared" ca="1" si="52"/>
        <v/>
      </c>
      <c r="S429" s="176">
        <f>IFERROR(VLOOKUP($C429,Code!$H:$Q,5,FALSE),"")</f>
        <v>0.21099999999999999</v>
      </c>
      <c r="T429" s="177" t="str">
        <f t="shared" ca="1" si="53"/>
        <v/>
      </c>
      <c r="U429" s="178" t="str">
        <f t="shared" ca="1" si="54"/>
        <v/>
      </c>
      <c r="V429" s="179">
        <f>IFERROR(VLOOKUP($C429,Code!$H:$Q,6,FALSE),"")</f>
        <v>3375.99</v>
      </c>
      <c r="W429" s="180" t="str">
        <f t="shared" ca="1" si="55"/>
        <v/>
      </c>
      <c r="X429" s="12"/>
      <c r="Y429" s="12"/>
      <c r="Z429" s="12"/>
      <c r="AA429" s="12"/>
      <c r="AB429" s="12"/>
    </row>
    <row r="430" spans="1:28" s="10" customFormat="1" ht="15" hidden="1">
      <c r="A430" s="9"/>
      <c r="B430" s="169" cm="1">
        <f t="array" ref="B430">_xlfn.IFS(OR(Code!R353&lt;&gt;Code!U353,Code!R353=""),0,Code!R353=Code!U353,1)</f>
        <v>0</v>
      </c>
      <c r="C430" s="193" t="str">
        <f>IF(Code!F353="","",Code!F353)</f>
        <v>OKE</v>
      </c>
      <c r="D430" s="155" t="str">
        <f>IFERROR(VLOOKUP($C430,Code!$H:$K,2,FALSE),"")</f>
        <v>XLE</v>
      </c>
      <c r="E430" s="156" t="str">
        <f>IFERROR(VLOOKUP($C430,Code!$H:$K,3,FALSE),"")</f>
        <v>油氣中流</v>
      </c>
      <c r="F430" s="157" t="str">
        <f>IFERROR(VLOOKUP($C430,Code!$H:$K,4,FALSE),"")</f>
        <v>.SPX</v>
      </c>
      <c r="G430" s="170">
        <f>IFERROR(((VLOOKUP($C430,Code!$H:$Q,9,FALSE))+(VLOOKUP($C430,Code!$H:$Q,10,FALSE)))/2*0.5/(((VLOOKUP($C430,Code!$H:$Q,7,FALSE))+(VLOOKUP($C430,Code!$H:$Q,8,FALSE)))/2),0)</f>
        <v>0.54609173488841534</v>
      </c>
      <c r="H430" s="171" t="str">
        <f t="shared" si="48"/>
        <v>M</v>
      </c>
      <c r="I430" s="170">
        <f>IFERROR((VLOOKUP($C430,Code!$H:$Q,5,FALSE))/(((VLOOKUP($C430,Code!$H:$Q,7,FALSE))+(VLOOKUP($C430,Code!$H:$Q,8,FALSE)))/2)-1,0)</f>
        <v>-0.3058203431647416</v>
      </c>
      <c r="J430" s="204">
        <f>IFERROR(POWER((VLOOKUP(C430,Code!H:W,12,FALSE))/(VLOOKUP(C430,Code!H:W,15,FALSE)),1/(P430-1))-1,"")</f>
        <v>0.10930074702657944</v>
      </c>
      <c r="K430" s="172" cm="1">
        <f t="array" ref="K430">IFERROR(IF(C430="","",_xlfn.IFS(AND(VLOOKUP(C430,Code!H:W,13,FALSE)=0,VLOOKUP(C430,Code!H:W,16,FALSE)=0),"無股息",AND(VLOOKUP(C430,Code!H:W,13,FALSE)=0,VLOOKUP(C430,Code!H:W,16,FALSE)&gt;0),"股息沒了",AND(VLOOKUP(C430,Code!H:W,13,FALSE)&gt;0,VLOOKUP(C430,Code!H:W,16,FALSE)=0),"發股息了",AND(VLOOKUP(C430,Code!H:W,13,FALSE)&gt;0,VLOOKUP(C430,Code!H:W,16,FALSE)&gt;0),POWER((VLOOKUP(C430,Code!H:W,13,FALSE))/(VLOOKUP(C430,Code!H:W,16,FALSE)),1/(P430-1))-1)),"")</f>
        <v>0.11789618182186334</v>
      </c>
      <c r="L430" s="173">
        <f>IFERROR(VLOOKUP(C430,Code!H:W,13,FALSE)*4/VLOOKUP(C430,Code!H:W,12,FALSE),"")</f>
        <v>7.1964593268281668E-2</v>
      </c>
      <c r="M430" s="172">
        <f t="shared" si="49"/>
        <v>0.22719692884844278</v>
      </c>
      <c r="N430" s="172" t="str">
        <f t="shared" si="50"/>
        <v>Venture</v>
      </c>
      <c r="O430" s="172" t="str">
        <f t="shared" si="51"/>
        <v>-</v>
      </c>
      <c r="P430" s="205">
        <f>IFERROR(YEARFRAC(VLOOKUP(C430,Code!H:W,11,FALSE),VLOOKUP(C430,Code!H:W,14,FALSE),3),"")</f>
        <v>4.7589041095890412</v>
      </c>
      <c r="Q430" s="174">
        <v>44547</v>
      </c>
      <c r="R430" s="175" t="str">
        <f t="shared" ca="1" si="52"/>
        <v/>
      </c>
      <c r="S430" s="176">
        <f>IFERROR(VLOOKUP($C430,Code!$H:$Q,5,FALSE),"")</f>
        <v>0.3095</v>
      </c>
      <c r="T430" s="177" t="str">
        <f t="shared" ca="1" si="53"/>
        <v/>
      </c>
      <c r="U430" s="178" t="str">
        <f t="shared" ca="1" si="54"/>
        <v/>
      </c>
      <c r="V430" s="179">
        <f>IFERROR(VLOOKUP($C430,Code!$H:$Q,6,FALSE),"")</f>
        <v>52.46</v>
      </c>
      <c r="W430" s="180" t="str">
        <f t="shared" ca="1" si="55"/>
        <v/>
      </c>
      <c r="X430" s="12"/>
      <c r="Y430" s="12"/>
      <c r="Z430" s="12"/>
      <c r="AA430" s="12"/>
      <c r="AB430" s="12"/>
    </row>
    <row r="431" spans="1:28" s="10" customFormat="1" ht="15" hidden="1">
      <c r="A431" s="9"/>
      <c r="B431" s="169" cm="1">
        <f t="array" ref="B431">_xlfn.IFS(OR(Code!R398&lt;&gt;Code!U398,Code!R398=""),0,Code!R398=Code!U398,1)</f>
        <v>0</v>
      </c>
      <c r="C431" s="193" t="str">
        <f>IF(Code!F398="","",Code!F398)</f>
        <v>RF</v>
      </c>
      <c r="D431" s="155" t="str">
        <f>IFERROR(VLOOKUP($C431,Code!$H:$K,2,FALSE),"")</f>
        <v>XLF</v>
      </c>
      <c r="E431" s="156" t="str">
        <f>IFERROR(VLOOKUP($C431,Code!$H:$K,3,FALSE),"")</f>
        <v>銀行-區域</v>
      </c>
      <c r="F431" s="157" t="str">
        <f>IFERROR(VLOOKUP($C431,Code!$H:$K,4,FALSE),"")</f>
        <v>.SPX</v>
      </c>
      <c r="G431" s="170">
        <f>IFERROR(((VLOOKUP($C431,Code!$H:$Q,9,FALSE))+(VLOOKUP($C431,Code!$H:$Q,10,FALSE)))/2*0.5/(((VLOOKUP($C431,Code!$H:$Q,7,FALSE))+(VLOOKUP($C431,Code!$H:$Q,8,FALSE)))/2),0)</f>
        <v>0.42539168017287954</v>
      </c>
      <c r="H431" s="171" t="str">
        <f t="shared" si="48"/>
        <v>S</v>
      </c>
      <c r="I431" s="170">
        <f>IFERROR((VLOOKUP($C431,Code!$H:$Q,5,FALSE))/(((VLOOKUP($C431,Code!$H:$Q,7,FALSE))+(VLOOKUP($C431,Code!$H:$Q,8,FALSE)))/2)-1,0)</f>
        <v>-0.30632090761750408</v>
      </c>
      <c r="J431" s="204">
        <f>IFERROR(POWER((VLOOKUP(C431,Code!H:W,12,FALSE))/(VLOOKUP(C431,Code!H:W,15,FALSE)),1/(P431-1))-1,"")</f>
        <v>0.30132376097605684</v>
      </c>
      <c r="K431" s="172" cm="1">
        <f t="array" ref="K431">IFERROR(IF(C431="","",_xlfn.IFS(AND(VLOOKUP(C431,Code!H:W,13,FALSE)=0,VLOOKUP(C431,Code!H:W,16,FALSE)=0),"無股息",AND(VLOOKUP(C431,Code!H:W,13,FALSE)=0,VLOOKUP(C431,Code!H:W,16,FALSE)&gt;0),"股息沒了",AND(VLOOKUP(C431,Code!H:W,13,FALSE)&gt;0,VLOOKUP(C431,Code!H:W,16,FALSE)=0),"發股息了",AND(VLOOKUP(C431,Code!H:W,13,FALSE)&gt;0,VLOOKUP(C431,Code!H:W,16,FALSE)&gt;0),POWER((VLOOKUP(C431,Code!H:W,13,FALSE))/(VLOOKUP(C431,Code!H:W,16,FALSE)),1/(P431-1))-1)),"")</f>
        <v>0.26159915090520647</v>
      </c>
      <c r="L431" s="173">
        <f>IFERROR(VLOOKUP(C431,Code!H:W,13,FALSE)*4/VLOOKUP(C431,Code!H:W,12,FALSE),"")</f>
        <v>2.7027026397820886E-2</v>
      </c>
      <c r="M431" s="172">
        <f t="shared" si="49"/>
        <v>0.56292291188126331</v>
      </c>
      <c r="N431" s="172" t="str">
        <f t="shared" si="50"/>
        <v>-</v>
      </c>
      <c r="O431" s="172" t="str">
        <f t="shared" si="51"/>
        <v>Value</v>
      </c>
      <c r="P431" s="205">
        <f>IFERROR(YEARFRAC(VLOOKUP(C431,Code!H:W,11,FALSE),VLOOKUP(C431,Code!H:W,14,FALSE),3),"")</f>
        <v>4.7397260273972606</v>
      </c>
      <c r="Q431" s="174">
        <v>44547</v>
      </c>
      <c r="R431" s="175" t="str">
        <f t="shared" ca="1" si="52"/>
        <v/>
      </c>
      <c r="S431" s="176">
        <f>IFERROR(VLOOKUP($C431,Code!$H:$Q,5,FALSE),"")</f>
        <v>0.32100000000000001</v>
      </c>
      <c r="T431" s="177" t="str">
        <f t="shared" ca="1" si="53"/>
        <v/>
      </c>
      <c r="U431" s="178" t="str">
        <f t="shared" ca="1" si="54"/>
        <v/>
      </c>
      <c r="V431" s="179">
        <f>IFERROR(VLOOKUP($C431,Code!$H:$Q,6,FALSE),"")</f>
        <v>19.54</v>
      </c>
      <c r="W431" s="180" t="str">
        <f t="shared" ca="1" si="55"/>
        <v/>
      </c>
      <c r="X431" s="12"/>
      <c r="Y431" s="12"/>
      <c r="Z431" s="12"/>
      <c r="AA431" s="12"/>
      <c r="AB431" s="12"/>
    </row>
    <row r="432" spans="1:28" s="10" customFormat="1" ht="15" hidden="1">
      <c r="A432" s="9"/>
      <c r="B432" s="169" cm="1">
        <f t="array" ref="B432">_xlfn.IFS(OR(Code!R220&lt;&gt;Code!U220,Code!R220=""),0,Code!R220=Code!U220,1)</f>
        <v>0</v>
      </c>
      <c r="C432" s="193" t="str">
        <f>IF(Code!F220="","",Code!F220)</f>
        <v>HIG</v>
      </c>
      <c r="D432" s="155" t="str">
        <f>IFERROR(VLOOKUP($C432,Code!$H:$K,2,FALSE),"")</f>
        <v>XLF</v>
      </c>
      <c r="E432" s="156" t="str">
        <f>IFERROR(VLOOKUP($C432,Code!$H:$K,3,FALSE),"")</f>
        <v>保險-多樣化</v>
      </c>
      <c r="F432" s="157" t="str">
        <f>IFERROR(VLOOKUP($C432,Code!$H:$K,4,FALSE),"")</f>
        <v>.SPX</v>
      </c>
      <c r="G432" s="170">
        <f>IFERROR(((VLOOKUP($C432,Code!$H:$Q,9,FALSE))+(VLOOKUP($C432,Code!$H:$Q,10,FALSE)))/2*0.5/(((VLOOKUP($C432,Code!$H:$Q,7,FALSE))+(VLOOKUP($C432,Code!$H:$Q,8,FALSE)))/2),0)</f>
        <v>0.64339237057220711</v>
      </c>
      <c r="H432" s="171" t="str">
        <f t="shared" si="48"/>
        <v>L</v>
      </c>
      <c r="I432" s="170">
        <f>IFERROR((VLOOKUP($C432,Code!$H:$Q,5,FALSE))/(((VLOOKUP($C432,Code!$H:$Q,7,FALSE))+(VLOOKUP($C432,Code!$H:$Q,8,FALSE)))/2)-1,0)</f>
        <v>-0.30926430517711168</v>
      </c>
      <c r="J432" s="204">
        <f>IFERROR(POWER((VLOOKUP(C432,Code!H:W,12,FALSE))/(VLOOKUP(C432,Code!H:W,15,FALSE)),1/(P432-1))-1,"")</f>
        <v>0.16635925669995055</v>
      </c>
      <c r="K432" s="172" cm="1">
        <f t="array" ref="K432">IFERROR(IF(C432="","",_xlfn.IFS(AND(VLOOKUP(C432,Code!H:W,13,FALSE)=0,VLOOKUP(C432,Code!H:W,16,FALSE)=0),"無股息",AND(VLOOKUP(C432,Code!H:W,13,FALSE)=0,VLOOKUP(C432,Code!H:W,16,FALSE)&gt;0),"股息沒了",AND(VLOOKUP(C432,Code!H:W,13,FALSE)&gt;0,VLOOKUP(C432,Code!H:W,16,FALSE)=0),"發股息了",AND(VLOOKUP(C432,Code!H:W,13,FALSE)&gt;0,VLOOKUP(C432,Code!H:W,16,FALSE)&gt;0),POWER((VLOOKUP(C432,Code!H:W,13,FALSE))/(VLOOKUP(C432,Code!H:W,16,FALSE)),1/(P432-1))-1)),"")</f>
        <v>0.14613401393990699</v>
      </c>
      <c r="L432" s="173">
        <f>IFERROR(VLOOKUP(C432,Code!H:W,13,FALSE)*4/VLOOKUP(C432,Code!H:W,12,FALSE),"")</f>
        <v>2.1423106850636062E-2</v>
      </c>
      <c r="M432" s="172">
        <f t="shared" si="49"/>
        <v>0.31249327063985755</v>
      </c>
      <c r="N432" s="172" t="str">
        <f t="shared" si="50"/>
        <v>-</v>
      </c>
      <c r="O432" s="172" t="str">
        <f t="shared" si="51"/>
        <v>Value</v>
      </c>
      <c r="P432" s="205">
        <f>IFERROR(YEARFRAC(VLOOKUP(C432,Code!H:W,11,FALSE),VLOOKUP(C432,Code!H:W,14,FALSE),3),"")</f>
        <v>4.7452054794520544</v>
      </c>
      <c r="Q432" s="174">
        <v>44547</v>
      </c>
      <c r="R432" s="175" t="str">
        <f t="shared" ca="1" si="52"/>
        <v/>
      </c>
      <c r="S432" s="176">
        <f>IFERROR(VLOOKUP($C432,Code!$H:$Q,5,FALSE),"")</f>
        <v>0.2535</v>
      </c>
      <c r="T432" s="177" t="str">
        <f t="shared" ca="1" si="53"/>
        <v/>
      </c>
      <c r="U432" s="178" t="str">
        <f t="shared" ca="1" si="54"/>
        <v/>
      </c>
      <c r="V432" s="179">
        <f>IFERROR(VLOOKUP($C432,Code!$H:$Q,6,FALSE),"")</f>
        <v>66.59</v>
      </c>
      <c r="W432" s="180" t="str">
        <f t="shared" ca="1" si="55"/>
        <v/>
      </c>
      <c r="X432" s="12"/>
      <c r="Y432" s="12"/>
      <c r="Z432" s="12"/>
      <c r="AA432" s="12"/>
      <c r="AB432" s="12"/>
    </row>
    <row r="433" spans="1:28" s="10" customFormat="1" ht="15" hidden="1">
      <c r="A433" s="9"/>
      <c r="B433" s="169" cm="1">
        <f t="array" ref="B433">_xlfn.IFS(OR(Code!R259&lt;&gt;Code!U259,Code!R259=""),0,Code!R259=Code!U259,1)</f>
        <v>0</v>
      </c>
      <c r="C433" s="193" t="str">
        <f>IF(Code!F259="","",Code!F259)</f>
        <v>JPM</v>
      </c>
      <c r="D433" s="155" t="str">
        <f>IFERROR(VLOOKUP($C433,Code!$H:$K,2,FALSE),"")</f>
        <v>XLF</v>
      </c>
      <c r="E433" s="156" t="str">
        <f>IFERROR(VLOOKUP($C433,Code!$H:$K,3,FALSE),"")</f>
        <v>銀行-多樣化</v>
      </c>
      <c r="F433" s="157" t="str">
        <f>IFERROR(VLOOKUP($C433,Code!$H:$K,4,FALSE),"")</f>
        <v>.SPX</v>
      </c>
      <c r="G433" s="170">
        <f>IFERROR(((VLOOKUP($C433,Code!$H:$Q,9,FALSE))+(VLOOKUP($C433,Code!$H:$Q,10,FALSE)))/2*0.5/(((VLOOKUP($C433,Code!$H:$Q,7,FALSE))+(VLOOKUP($C433,Code!$H:$Q,8,FALSE)))/2),0)</f>
        <v>0.46765905999697754</v>
      </c>
      <c r="H433" s="171" t="str">
        <f t="shared" si="48"/>
        <v>S</v>
      </c>
      <c r="I433" s="170">
        <f>IFERROR((VLOOKUP($C433,Code!$H:$Q,5,FALSE))/(((VLOOKUP($C433,Code!$H:$Q,7,FALSE))+(VLOOKUP($C433,Code!$H:$Q,8,FALSE)))/2)-1,0)</f>
        <v>-0.30935469245881808</v>
      </c>
      <c r="J433" s="204">
        <f>IFERROR(POWER((VLOOKUP(C433,Code!H:W,12,FALSE))/(VLOOKUP(C433,Code!H:W,15,FALSE)),1/(P433-1))-1,"")</f>
        <v>0.29970793146059838</v>
      </c>
      <c r="K433" s="172" cm="1">
        <f t="array" ref="K433">IFERROR(IF(C433="","",_xlfn.IFS(AND(VLOOKUP(C433,Code!H:W,13,FALSE)=0,VLOOKUP(C433,Code!H:W,16,FALSE)=0),"無股息",AND(VLOOKUP(C433,Code!H:W,13,FALSE)=0,VLOOKUP(C433,Code!H:W,16,FALSE)&gt;0),"股息沒了",AND(VLOOKUP(C433,Code!H:W,13,FALSE)&gt;0,VLOOKUP(C433,Code!H:W,16,FALSE)=0),"發股息了",AND(VLOOKUP(C433,Code!H:W,13,FALSE)&gt;0,VLOOKUP(C433,Code!H:W,16,FALSE)&gt;0),POWER((VLOOKUP(C433,Code!H:W,13,FALSE))/(VLOOKUP(C433,Code!H:W,16,FALSE)),1/(P433-1))-1)),"")</f>
        <v>0.18275157877837334</v>
      </c>
      <c r="L433" s="173">
        <f>IFERROR(VLOOKUP(C433,Code!H:W,13,FALSE)*4/VLOOKUP(C433,Code!H:W,12,FALSE),"")</f>
        <v>2.3072486240881089E-2</v>
      </c>
      <c r="M433" s="172">
        <f t="shared" si="49"/>
        <v>0.48245951023897171</v>
      </c>
      <c r="N433" s="172" t="str">
        <f t="shared" si="50"/>
        <v>-</v>
      </c>
      <c r="O433" s="172" t="str">
        <f t="shared" si="51"/>
        <v>Value</v>
      </c>
      <c r="P433" s="205">
        <f>IFERROR(YEARFRAC(VLOOKUP(C433,Code!H:W,11,FALSE),VLOOKUP(C433,Code!H:W,14,FALSE),3),"")</f>
        <v>4.7452054794520544</v>
      </c>
      <c r="Q433" s="174">
        <v>44547</v>
      </c>
      <c r="R433" s="175" t="str">
        <f t="shared" ca="1" si="52"/>
        <v/>
      </c>
      <c r="S433" s="176">
        <f>IFERROR(VLOOKUP($C433,Code!$H:$Q,5,FALSE),"")</f>
        <v>0.22850000000000001</v>
      </c>
      <c r="T433" s="177" t="str">
        <f t="shared" ca="1" si="53"/>
        <v/>
      </c>
      <c r="U433" s="178" t="str">
        <f t="shared" ca="1" si="54"/>
        <v/>
      </c>
      <c r="V433" s="179">
        <f>IFERROR(VLOOKUP($C433,Code!$H:$Q,6,FALSE),"")</f>
        <v>153.15</v>
      </c>
      <c r="W433" s="180" t="str">
        <f t="shared" ca="1" si="55"/>
        <v/>
      </c>
      <c r="X433" s="12"/>
      <c r="Y433" s="12"/>
      <c r="Z433" s="12"/>
      <c r="AA433" s="12"/>
      <c r="AB433" s="12"/>
    </row>
    <row r="434" spans="1:28" s="10" customFormat="1" ht="15" hidden="1">
      <c r="A434" s="9"/>
      <c r="B434" s="169" cm="1">
        <f t="array" ref="B434">_xlfn.IFS(OR(Code!R67&lt;&gt;Code!U67,Code!R67=""),0,Code!R67=Code!U67,1)</f>
        <v>1</v>
      </c>
      <c r="C434" s="193" t="str">
        <f>IF(Code!F67="","",Code!F67)</f>
        <v>BKNG</v>
      </c>
      <c r="D434" s="155" t="str">
        <f>IFERROR(VLOOKUP($C434,Code!$H:$K,2,FALSE),"")</f>
        <v>XLY</v>
      </c>
      <c r="E434" s="156" t="str">
        <f>IFERROR(VLOOKUP($C434,Code!$H:$K,3,FALSE),"")</f>
        <v>旅行服務</v>
      </c>
      <c r="F434" s="157" t="str">
        <f>IFERROR(VLOOKUP($C434,Code!$H:$K,4,FALSE),"")</f>
        <v>.SPX</v>
      </c>
      <c r="G434" s="170">
        <f>IFERROR(((VLOOKUP($C434,Code!$H:$Q,9,FALSE))+(VLOOKUP($C434,Code!$H:$Q,10,FALSE)))/2*0.5/(((VLOOKUP($C434,Code!$H:$Q,7,FALSE))+(VLOOKUP($C434,Code!$H:$Q,8,FALSE)))/2),0)</f>
        <v>0.43997191668616897</v>
      </c>
      <c r="H434" s="171" t="str">
        <f t="shared" si="48"/>
        <v>S</v>
      </c>
      <c r="I434" s="170">
        <f>IFERROR((VLOOKUP($C434,Code!$H:$Q,5,FALSE))/(((VLOOKUP($C434,Code!$H:$Q,7,FALSE))+(VLOOKUP($C434,Code!$H:$Q,8,FALSE)))/2)-1,0)</f>
        <v>-0.31125672829393869</v>
      </c>
      <c r="J434" s="204" t="str">
        <f>IFERROR(POWER((VLOOKUP(C434,Code!H:W,12,FALSE))/(VLOOKUP(C434,Code!H:W,15,FALSE)),1/(P434-1))-1,"")</f>
        <v/>
      </c>
      <c r="K434" s="172" t="str" cm="1">
        <f t="array" ref="K434">IFERROR(IF(C434="","",_xlfn.IFS(AND(VLOOKUP(C434,Code!H:W,13,FALSE)=0,VLOOKUP(C434,Code!H:W,16,FALSE)=0),"無股息",AND(VLOOKUP(C434,Code!H:W,13,FALSE)=0,VLOOKUP(C434,Code!H:W,16,FALSE)&gt;0),"股息沒了",AND(VLOOKUP(C434,Code!H:W,13,FALSE)&gt;0,VLOOKUP(C434,Code!H:W,16,FALSE)=0),"發股息了",AND(VLOOKUP(C434,Code!H:W,13,FALSE)&gt;0,VLOOKUP(C434,Code!H:W,16,FALSE)&gt;0),POWER((VLOOKUP(C434,Code!H:W,13,FALSE))/(VLOOKUP(C434,Code!H:W,16,FALSE)),1/(P434-1))-1)),"")</f>
        <v>無股息</v>
      </c>
      <c r="L434" s="173" t="str">
        <f>IFERROR(VLOOKUP(C434,Code!H:W,13,FALSE)*4/VLOOKUP(C434,Code!H:W,12,FALSE),"")</f>
        <v/>
      </c>
      <c r="M434" s="172" t="str">
        <f t="shared" si="49"/>
        <v/>
      </c>
      <c r="N434" s="172" t="str">
        <f t="shared" si="50"/>
        <v/>
      </c>
      <c r="O434" s="172" t="str">
        <f t="shared" si="51"/>
        <v/>
      </c>
      <c r="P434" s="205">
        <f>IFERROR(YEARFRAC(VLOOKUP(C434,Code!H:W,11,FALSE),VLOOKUP(C434,Code!H:W,14,FALSE),3),"")</f>
        <v>0</v>
      </c>
      <c r="Q434" s="174">
        <v>44547</v>
      </c>
      <c r="R434" s="175" t="str">
        <f t="shared" ca="1" si="52"/>
        <v/>
      </c>
      <c r="S434" s="176">
        <f>IFERROR(VLOOKUP($C434,Code!$H:$Q,5,FALSE),"")</f>
        <v>0.29430000000000001</v>
      </c>
      <c r="T434" s="177" t="str">
        <f t="shared" ca="1" si="53"/>
        <v/>
      </c>
      <c r="U434" s="178" t="str">
        <f t="shared" ca="1" si="54"/>
        <v/>
      </c>
      <c r="V434" s="179">
        <f>IFERROR(VLOOKUP($C434,Code!$H:$Q,6,FALSE),"")</f>
        <v>2207.71</v>
      </c>
      <c r="W434" s="180" t="str">
        <f t="shared" ca="1" si="55"/>
        <v/>
      </c>
      <c r="X434" s="12"/>
      <c r="Y434" s="12"/>
      <c r="Z434" s="12"/>
      <c r="AA434" s="12"/>
      <c r="AB434" s="12"/>
    </row>
    <row r="435" spans="1:28" s="10" customFormat="1" ht="15" hidden="1">
      <c r="A435" s="9"/>
      <c r="B435" s="169" cm="1">
        <f t="array" ref="B435">_xlfn.IFS(OR(Code!R382&lt;&gt;Code!U382,Code!R382=""),0,Code!R382=Code!U382,1)</f>
        <v>0</v>
      </c>
      <c r="C435" s="193" t="str">
        <f>IF(Code!F382="","",Code!F382)</f>
        <v>PPL</v>
      </c>
      <c r="D435" s="155" t="str">
        <f>IFERROR(VLOOKUP($C435,Code!$H:$K,2,FALSE),"")</f>
        <v>XLU</v>
      </c>
      <c r="E435" s="156" t="str">
        <f>IFERROR(VLOOKUP($C435,Code!$H:$K,3,FALSE),"")</f>
        <v>公用事業—受監督的電力</v>
      </c>
      <c r="F435" s="157" t="str">
        <f>IFERROR(VLOOKUP($C435,Code!$H:$K,4,FALSE),"")</f>
        <v>.SPX</v>
      </c>
      <c r="G435" s="170">
        <f>IFERROR(((VLOOKUP($C435,Code!$H:$Q,9,FALSE))+(VLOOKUP($C435,Code!$H:$Q,10,FALSE)))/2*0.5/(((VLOOKUP($C435,Code!$H:$Q,7,FALSE))+(VLOOKUP($C435,Code!$H:$Q,8,FALSE)))/2),0)</f>
        <v>0.50629514963880273</v>
      </c>
      <c r="H435" s="171" t="str">
        <f t="shared" si="48"/>
        <v>M</v>
      </c>
      <c r="I435" s="170">
        <f>IFERROR((VLOOKUP($C435,Code!$H:$Q,5,FALSE))/(((VLOOKUP($C435,Code!$H:$Q,7,FALSE))+(VLOOKUP($C435,Code!$H:$Q,8,FALSE)))/2)-1,0)</f>
        <v>-0.31186790505675965</v>
      </c>
      <c r="J435" s="204">
        <f>IFERROR(POWER((VLOOKUP(C435,Code!H:W,12,FALSE))/(VLOOKUP(C435,Code!H:W,15,FALSE)),1/(P435-1))-1,"")</f>
        <v>1.8502598885747013E-2</v>
      </c>
      <c r="K435" s="172" cm="1">
        <f t="array" ref="K435">IFERROR(IF(C435="","",_xlfn.IFS(AND(VLOOKUP(C435,Code!H:W,13,FALSE)=0,VLOOKUP(C435,Code!H:W,16,FALSE)=0),"無股息",AND(VLOOKUP(C435,Code!H:W,13,FALSE)=0,VLOOKUP(C435,Code!H:W,16,FALSE)&gt;0),"股息沒了",AND(VLOOKUP(C435,Code!H:W,13,FALSE)&gt;0,VLOOKUP(C435,Code!H:W,16,FALSE)=0),"發股息了",AND(VLOOKUP(C435,Code!H:W,13,FALSE)&gt;0,VLOOKUP(C435,Code!H:W,16,FALSE)&gt;0),POWER((VLOOKUP(C435,Code!H:W,13,FALSE))/(VLOOKUP(C435,Code!H:W,16,FALSE)),1/(P435-1))-1)),"")</f>
        <v>2.37339847560607E-2</v>
      </c>
      <c r="L435" s="173">
        <f>IFERROR(VLOOKUP(C435,Code!H:W,13,FALSE)*4/VLOOKUP(C435,Code!H:W,12,FALSE),"")</f>
        <v>5.7261124977786654E-2</v>
      </c>
      <c r="M435" s="172">
        <f t="shared" si="49"/>
        <v>4.2236583641807712E-2</v>
      </c>
      <c r="N435" s="172" t="str">
        <f t="shared" si="50"/>
        <v>-</v>
      </c>
      <c r="O435" s="172" t="str">
        <f t="shared" si="51"/>
        <v>-</v>
      </c>
      <c r="P435" s="205">
        <f>IFERROR(YEARFRAC(VLOOKUP(C435,Code!H:W,11,FALSE),VLOOKUP(C435,Code!H:W,14,FALSE),3),"")</f>
        <v>4.7561643835616438</v>
      </c>
      <c r="Q435" s="174">
        <v>44547</v>
      </c>
      <c r="R435" s="175" t="str">
        <f t="shared" ca="1" si="52"/>
        <v/>
      </c>
      <c r="S435" s="176">
        <f>IFERROR(VLOOKUP($C435,Code!$H:$Q,5,FALSE),"")</f>
        <v>0.16669999999999999</v>
      </c>
      <c r="T435" s="177" t="str">
        <f t="shared" ca="1" si="53"/>
        <v/>
      </c>
      <c r="U435" s="178" t="str">
        <f t="shared" ca="1" si="54"/>
        <v/>
      </c>
      <c r="V435" s="179">
        <f>IFERROR(VLOOKUP($C435,Code!$H:$Q,6,FALSE),"")</f>
        <v>29.17</v>
      </c>
      <c r="W435" s="180" t="str">
        <f t="shared" ca="1" si="55"/>
        <v/>
      </c>
      <c r="X435" s="12"/>
      <c r="Y435" s="12"/>
      <c r="Z435" s="12"/>
      <c r="AA435" s="12"/>
      <c r="AB435" s="12"/>
    </row>
    <row r="436" spans="1:28" s="10" customFormat="1" ht="15" hidden="1">
      <c r="A436" s="9"/>
      <c r="B436" s="169" cm="1">
        <f t="array" ref="B436">_xlfn.IFS(OR(Code!R408&lt;&gt;Code!U408,Code!R408=""),0,Code!R408=Code!U408,1)</f>
        <v>0</v>
      </c>
      <c r="C436" s="193" t="str">
        <f>IF(Code!F408="","",Code!F408)</f>
        <v>RTX</v>
      </c>
      <c r="D436" s="155" t="str">
        <f>IFERROR(VLOOKUP($C436,Code!$H:$K,2,FALSE),"")</f>
        <v>XLI</v>
      </c>
      <c r="E436" s="156" t="str">
        <f>IFERROR(VLOOKUP($C436,Code!$H:$K,3,FALSE),"")</f>
        <v>航天軍工</v>
      </c>
      <c r="F436" s="157" t="str">
        <f>IFERROR(VLOOKUP($C436,Code!$H:$K,4,FALSE),"")</f>
        <v>.SPX</v>
      </c>
      <c r="G436" s="170">
        <f>IFERROR(((VLOOKUP($C436,Code!$H:$Q,9,FALSE))+(VLOOKUP($C436,Code!$H:$Q,10,FALSE)))/2*0.5/(((VLOOKUP($C436,Code!$H:$Q,7,FALSE))+(VLOOKUP($C436,Code!$H:$Q,8,FALSE)))/2),0)</f>
        <v>0.50815408407141849</v>
      </c>
      <c r="H436" s="171" t="str">
        <f t="shared" si="48"/>
        <v>M</v>
      </c>
      <c r="I436" s="170">
        <f>IFERROR((VLOOKUP($C436,Code!$H:$Q,5,FALSE))/(((VLOOKUP($C436,Code!$H:$Q,7,FALSE))+(VLOOKUP($C436,Code!$H:$Q,8,FALSE)))/2)-1,0)</f>
        <v>-0.3122451848727682</v>
      </c>
      <c r="J436" s="204">
        <f>IFERROR(POWER((VLOOKUP(C436,Code!H:W,12,FALSE))/(VLOOKUP(C436,Code!H:W,15,FALSE)),1/(P436-1))-1,"")</f>
        <v>9.2375427064964599E-2</v>
      </c>
      <c r="K436" s="172" cm="1">
        <f t="array" ref="K436">IFERROR(IF(C436="","",_xlfn.IFS(AND(VLOOKUP(C436,Code!H:W,13,FALSE)=0,VLOOKUP(C436,Code!H:W,16,FALSE)=0),"無股息",AND(VLOOKUP(C436,Code!H:W,13,FALSE)=0,VLOOKUP(C436,Code!H:W,16,FALSE)&gt;0),"股息沒了",AND(VLOOKUP(C436,Code!H:W,13,FALSE)&gt;0,VLOOKUP(C436,Code!H:W,16,FALSE)=0),"發股息了",AND(VLOOKUP(C436,Code!H:W,13,FALSE)&gt;0,VLOOKUP(C436,Code!H:W,16,FALSE)&gt;0),POWER((VLOOKUP(C436,Code!H:W,13,FALSE))/(VLOOKUP(C436,Code!H:W,16,FALSE)),1/(P436-1))-1)),"")</f>
        <v>5.6128921901410722E-2</v>
      </c>
      <c r="L436" s="173">
        <f>IFERROR(VLOOKUP(C436,Code!H:W,13,FALSE)*4/VLOOKUP(C436,Code!H:W,12,FALSE),"")</f>
        <v>2.3935233129778386E-2</v>
      </c>
      <c r="M436" s="172">
        <f t="shared" si="49"/>
        <v>0.14850434896637532</v>
      </c>
      <c r="N436" s="172" t="str">
        <f t="shared" si="50"/>
        <v>-</v>
      </c>
      <c r="O436" s="172" t="str">
        <f t="shared" si="51"/>
        <v>-</v>
      </c>
      <c r="P436" s="205">
        <f>IFERROR(YEARFRAC(VLOOKUP(C436,Code!H:W,11,FALSE),VLOOKUP(C436,Code!H:W,14,FALSE),3),"")</f>
        <v>4.7589041095890412</v>
      </c>
      <c r="Q436" s="174">
        <v>44547</v>
      </c>
      <c r="R436" s="175" t="str">
        <f t="shared" ca="1" si="52"/>
        <v/>
      </c>
      <c r="S436" s="176">
        <f>IFERROR(VLOOKUP($C436,Code!$H:$Q,5,FALSE),"")</f>
        <v>0.24460000000000001</v>
      </c>
      <c r="T436" s="177" t="str">
        <f t="shared" ca="1" si="53"/>
        <v/>
      </c>
      <c r="U436" s="178" t="str">
        <f t="shared" ca="1" si="54"/>
        <v/>
      </c>
      <c r="V436" s="179">
        <f>IFERROR(VLOOKUP($C436,Code!$H:$Q,6,FALSE),"")</f>
        <v>87.3</v>
      </c>
      <c r="W436" s="180" t="str">
        <f t="shared" ca="1" si="55"/>
        <v/>
      </c>
      <c r="X436" s="12"/>
      <c r="Y436" s="12"/>
      <c r="Z436" s="12"/>
      <c r="AA436" s="12"/>
      <c r="AB436" s="12"/>
    </row>
    <row r="437" spans="1:28" s="10" customFormat="1" ht="15" hidden="1">
      <c r="A437" s="9"/>
      <c r="B437" s="169" cm="1">
        <f t="array" ref="B437">_xlfn.IFS(OR(Code!R57&lt;&gt;Code!U57,Code!R57=""),0,Code!R57=Code!U57,1)</f>
        <v>0</v>
      </c>
      <c r="C437" s="193" t="str">
        <f>IF(Code!F57="","",Code!F57)</f>
        <v>BA</v>
      </c>
      <c r="D437" s="155" t="str">
        <f>IFERROR(VLOOKUP($C437,Code!$H:$K,2,FALSE),"")</f>
        <v>XLI</v>
      </c>
      <c r="E437" s="156" t="str">
        <f>IFERROR(VLOOKUP($C437,Code!$H:$K,3,FALSE),"")</f>
        <v>航天軍工</v>
      </c>
      <c r="F437" s="157" t="str">
        <f>IFERROR(VLOOKUP($C437,Code!$H:$K,4,FALSE),"")</f>
        <v>.SPX</v>
      </c>
      <c r="G437" s="170">
        <f>IFERROR(((VLOOKUP($C437,Code!$H:$Q,9,FALSE))+(VLOOKUP($C437,Code!$H:$Q,10,FALSE)))/2*0.5/(((VLOOKUP($C437,Code!$H:$Q,7,FALSE))+(VLOOKUP($C437,Code!$H:$Q,8,FALSE)))/2),0)</f>
        <v>0.54294008106035707</v>
      </c>
      <c r="H437" s="171" t="str">
        <f t="shared" si="48"/>
        <v>M</v>
      </c>
      <c r="I437" s="170">
        <f>IFERROR((VLOOKUP($C437,Code!$H:$Q,5,FALSE))/(((VLOOKUP($C437,Code!$H:$Q,7,FALSE))+(VLOOKUP($C437,Code!$H:$Q,8,FALSE)))/2)-1,0)</f>
        <v>-0.31536860554277568</v>
      </c>
      <c r="J437" s="204">
        <f>IFERROR(POWER((VLOOKUP(C437,Code!H:W,12,FALSE))/(VLOOKUP(C437,Code!H:W,15,FALSE)),1/(P437-1))-1,"")</f>
        <v>0.51013637322170835</v>
      </c>
      <c r="K437" s="172" cm="1">
        <f t="array" ref="K437">IFERROR(IF(C437="","",_xlfn.IFS(AND(VLOOKUP(C437,Code!H:W,13,FALSE)=0,VLOOKUP(C437,Code!H:W,16,FALSE)=0),"無股息",AND(VLOOKUP(C437,Code!H:W,13,FALSE)=0,VLOOKUP(C437,Code!H:W,16,FALSE)&gt;0),"股息沒了",AND(VLOOKUP(C437,Code!H:W,13,FALSE)&gt;0,VLOOKUP(C437,Code!H:W,16,FALSE)=0),"發股息了",AND(VLOOKUP(C437,Code!H:W,13,FALSE)&gt;0,VLOOKUP(C437,Code!H:W,16,FALSE)&gt;0),POWER((VLOOKUP(C437,Code!H:W,13,FALSE))/(VLOOKUP(C437,Code!H:W,16,FALSE)),1/(P437-1))-1)),"")</f>
        <v>0.28710379622183346</v>
      </c>
      <c r="L437" s="173">
        <f>IFERROR(VLOOKUP(C437,Code!H:W,13,FALSE)*4/VLOOKUP(C437,Code!H:W,12,FALSE),"")</f>
        <v>2.3977597060798238E-2</v>
      </c>
      <c r="M437" s="172">
        <f t="shared" si="49"/>
        <v>0.79724016944354181</v>
      </c>
      <c r="N437" s="172" t="str">
        <f t="shared" si="50"/>
        <v>-</v>
      </c>
      <c r="O437" s="172" t="str">
        <f t="shared" si="51"/>
        <v>Value</v>
      </c>
      <c r="P437" s="205">
        <f>IFERROR(YEARFRAC(VLOOKUP(C437,Code!H:W,11,FALSE),VLOOKUP(C437,Code!H:W,14,FALSE),3),"")</f>
        <v>3.5123287671232877</v>
      </c>
      <c r="Q437" s="174">
        <v>44547</v>
      </c>
      <c r="R437" s="175" t="str">
        <f t="shared" ca="1" si="52"/>
        <v/>
      </c>
      <c r="S437" s="176">
        <f>IFERROR(VLOOKUP($C437,Code!$H:$Q,5,FALSE),"")</f>
        <v>0.3125</v>
      </c>
      <c r="T437" s="177" t="str">
        <f t="shared" ca="1" si="53"/>
        <v/>
      </c>
      <c r="U437" s="178" t="str">
        <f t="shared" ca="1" si="54"/>
        <v/>
      </c>
      <c r="V437" s="179">
        <f>IFERROR(VLOOKUP($C437,Code!$H:$Q,6,FALSE),"")</f>
        <v>229.94</v>
      </c>
      <c r="W437" s="180" t="str">
        <f t="shared" ca="1" si="55"/>
        <v/>
      </c>
      <c r="X437" s="12"/>
      <c r="Y437" s="12"/>
      <c r="Z437" s="12"/>
      <c r="AA437" s="12"/>
      <c r="AB437" s="12"/>
    </row>
    <row r="438" spans="1:28" s="10" customFormat="1" ht="15" hidden="1">
      <c r="A438" s="9"/>
      <c r="B438" s="169" cm="1">
        <f t="array" ref="B438">_xlfn.IFS(OR(Code!R265&lt;&gt;Code!U265,Code!R265=""),0,Code!R265=Code!U265,1)</f>
        <v>0</v>
      </c>
      <c r="C438" s="193" t="str">
        <f>IF(Code!F265="","",Code!F265)</f>
        <v>KLAC</v>
      </c>
      <c r="D438" s="155" t="str">
        <f>IFERROR(VLOOKUP($C438,Code!$H:$K,2,FALSE),"")</f>
        <v>XLK</v>
      </c>
      <c r="E438" s="156" t="str">
        <f>IFERROR(VLOOKUP($C438,Code!$H:$K,3,FALSE),"")</f>
        <v>半導體設備與材料</v>
      </c>
      <c r="F438" s="157" t="str">
        <f>IFERROR(VLOOKUP($C438,Code!$H:$K,4,FALSE),"")</f>
        <v>.SPX</v>
      </c>
      <c r="G438" s="170">
        <f>IFERROR(((VLOOKUP($C438,Code!$H:$Q,9,FALSE))+(VLOOKUP($C438,Code!$H:$Q,10,FALSE)))/2*0.5/(((VLOOKUP($C438,Code!$H:$Q,7,FALSE))+(VLOOKUP($C438,Code!$H:$Q,8,FALSE)))/2),0)</f>
        <v>0.45394231823664882</v>
      </c>
      <c r="H438" s="171" t="str">
        <f t="shared" si="48"/>
        <v>S</v>
      </c>
      <c r="I438" s="170">
        <f>IFERROR((VLOOKUP($C438,Code!$H:$Q,5,FALSE))/(((VLOOKUP($C438,Code!$H:$Q,7,FALSE))+(VLOOKUP($C438,Code!$H:$Q,8,FALSE)))/2)-1,0)</f>
        <v>-0.31571444237306723</v>
      </c>
      <c r="J438" s="204">
        <f>IFERROR(POWER((VLOOKUP(C438,Code!H:W,12,FALSE))/(VLOOKUP(C438,Code!H:W,15,FALSE)),1/(P438-1))-1,"")</f>
        <v>0.53747441348147373</v>
      </c>
      <c r="K438" s="172" cm="1">
        <f t="array" ref="K438">IFERROR(IF(C438="","",_xlfn.IFS(AND(VLOOKUP(C438,Code!H:W,13,FALSE)=0,VLOOKUP(C438,Code!H:W,16,FALSE)=0),"無股息",AND(VLOOKUP(C438,Code!H:W,13,FALSE)=0,VLOOKUP(C438,Code!H:W,16,FALSE)&gt;0),"股息沒了",AND(VLOOKUP(C438,Code!H:W,13,FALSE)&gt;0,VLOOKUP(C438,Code!H:W,16,FALSE)=0),"發股息了",AND(VLOOKUP(C438,Code!H:W,13,FALSE)&gt;0,VLOOKUP(C438,Code!H:W,16,FALSE)&gt;0),POWER((VLOOKUP(C438,Code!H:W,13,FALSE))/(VLOOKUP(C438,Code!H:W,16,FALSE)),1/(P438-1))-1)),"")</f>
        <v>0.1571241374465715</v>
      </c>
      <c r="L438" s="173">
        <f>IFERROR(VLOOKUP(C438,Code!H:W,13,FALSE)*4/VLOOKUP(C438,Code!H:W,12,FALSE),"")</f>
        <v>1.1774325429272281E-2</v>
      </c>
      <c r="M438" s="172">
        <f t="shared" si="49"/>
        <v>0.69459855092804523</v>
      </c>
      <c r="N438" s="172" t="str">
        <f t="shared" si="50"/>
        <v>-</v>
      </c>
      <c r="O438" s="172" t="str">
        <f t="shared" si="51"/>
        <v>Value</v>
      </c>
      <c r="P438" s="205">
        <f>IFERROR(YEARFRAC(VLOOKUP(C438,Code!H:W,11,FALSE),VLOOKUP(C438,Code!H:W,14,FALSE),3),"")</f>
        <v>4.7589041095890412</v>
      </c>
      <c r="Q438" s="174">
        <v>44547</v>
      </c>
      <c r="R438" s="175" t="str">
        <f t="shared" ca="1" si="52"/>
        <v/>
      </c>
      <c r="S438" s="176">
        <f>IFERROR(VLOOKUP($C438,Code!$H:$Q,5,FALSE),"")</f>
        <v>0.312</v>
      </c>
      <c r="T438" s="177" t="str">
        <f t="shared" ca="1" si="53"/>
        <v/>
      </c>
      <c r="U438" s="178" t="str">
        <f t="shared" ca="1" si="54"/>
        <v/>
      </c>
      <c r="V438" s="179">
        <f>IFERROR(VLOOKUP($C438,Code!$H:$Q,6,FALSE),"")</f>
        <v>353.71</v>
      </c>
      <c r="W438" s="180" t="str">
        <f t="shared" ca="1" si="55"/>
        <v/>
      </c>
      <c r="X438" s="12"/>
      <c r="Y438" s="12"/>
      <c r="Z438" s="12"/>
      <c r="AA438" s="12"/>
      <c r="AB438" s="12"/>
    </row>
    <row r="439" spans="1:28" s="10" customFormat="1" ht="15" hidden="1">
      <c r="A439" s="9"/>
      <c r="B439" s="169" cm="1">
        <f t="array" ref="B439">_xlfn.IFS(OR(Code!R431&lt;&gt;Code!U431,Code!R431=""),0,Code!R431=Code!U431,1)</f>
        <v>0</v>
      </c>
      <c r="C439" s="193" t="str">
        <f>IF(Code!F431="","",Code!F431)</f>
        <v>SYY</v>
      </c>
      <c r="D439" s="155" t="str">
        <f>IFERROR(VLOOKUP($C439,Code!$H:$K,2,FALSE),"")</f>
        <v>XLP</v>
      </c>
      <c r="E439" s="156" t="str">
        <f>IFERROR(VLOOKUP($C439,Code!$H:$K,3,FALSE),"")</f>
        <v>食品分銷商</v>
      </c>
      <c r="F439" s="157" t="str">
        <f>IFERROR(VLOOKUP($C439,Code!$H:$K,4,FALSE),"")</f>
        <v>.SPX</v>
      </c>
      <c r="G439" s="170">
        <f>IFERROR(((VLOOKUP($C439,Code!$H:$Q,9,FALSE))+(VLOOKUP($C439,Code!$H:$Q,10,FALSE)))/2*0.5/(((VLOOKUP($C439,Code!$H:$Q,7,FALSE))+(VLOOKUP($C439,Code!$H:$Q,8,FALSE)))/2),0)</f>
        <v>0.41418777597025336</v>
      </c>
      <c r="H439" s="171" t="str">
        <f t="shared" si="48"/>
        <v>S</v>
      </c>
      <c r="I439" s="170">
        <f>IFERROR((VLOOKUP($C439,Code!$H:$Q,5,FALSE))/(((VLOOKUP($C439,Code!$H:$Q,7,FALSE))+(VLOOKUP($C439,Code!$H:$Q,8,FALSE)))/2)-1,0)</f>
        <v>-0.31582616778991401</v>
      </c>
      <c r="J439" s="204">
        <f>IFERROR(POWER((VLOOKUP(C439,Code!H:W,12,FALSE))/(VLOOKUP(C439,Code!H:W,15,FALSE)),1/(P439-1))-1,"")</f>
        <v>0.17218801744781076</v>
      </c>
      <c r="K439" s="172" cm="1">
        <f t="array" ref="K439">IFERROR(IF(C439="","",_xlfn.IFS(AND(VLOOKUP(C439,Code!H:W,13,FALSE)=0,VLOOKUP(C439,Code!H:W,16,FALSE)=0),"無股息",AND(VLOOKUP(C439,Code!H:W,13,FALSE)=0,VLOOKUP(C439,Code!H:W,16,FALSE)&gt;0),"股息沒了",AND(VLOOKUP(C439,Code!H:W,13,FALSE)&gt;0,VLOOKUP(C439,Code!H:W,16,FALSE)=0),"發股息了",AND(VLOOKUP(C439,Code!H:W,13,FALSE)&gt;0,VLOOKUP(C439,Code!H:W,16,FALSE)&gt;0),POWER((VLOOKUP(C439,Code!H:W,13,FALSE))/(VLOOKUP(C439,Code!H:W,16,FALSE)),1/(P439-1))-1)),"")</f>
        <v>0.11770892255547016</v>
      </c>
      <c r="L439" s="173">
        <f>IFERROR(VLOOKUP(C439,Code!H:W,13,FALSE)*4/VLOOKUP(C439,Code!H:W,12,FALSE),"")</f>
        <v>2.4472793640568917E-2</v>
      </c>
      <c r="M439" s="172">
        <f t="shared" si="49"/>
        <v>0.28989694000328092</v>
      </c>
      <c r="N439" s="172" t="str">
        <f t="shared" si="50"/>
        <v>-</v>
      </c>
      <c r="O439" s="172" t="str">
        <f t="shared" si="51"/>
        <v>-</v>
      </c>
      <c r="P439" s="205">
        <f>IFERROR(YEARFRAC(VLOOKUP(C439,Code!H:W,11,FALSE),VLOOKUP(C439,Code!H:W,14,FALSE),3),"")</f>
        <v>4.7397260273972606</v>
      </c>
      <c r="Q439" s="174">
        <v>44547</v>
      </c>
      <c r="R439" s="175" t="str">
        <f t="shared" ca="1" si="52"/>
        <v/>
      </c>
      <c r="S439" s="176">
        <f>IFERROR(VLOOKUP($C439,Code!$H:$Q,5,FALSE),"")</f>
        <v>0.2944</v>
      </c>
      <c r="T439" s="177" t="str">
        <f t="shared" ca="1" si="53"/>
        <v/>
      </c>
      <c r="U439" s="178" t="str">
        <f t="shared" ca="1" si="54"/>
        <v/>
      </c>
      <c r="V439" s="179">
        <f>IFERROR(VLOOKUP($C439,Code!$H:$Q,6,FALSE),"")</f>
        <v>73.989999999999995</v>
      </c>
      <c r="W439" s="180" t="str">
        <f t="shared" ca="1" si="55"/>
        <v/>
      </c>
      <c r="X439" s="12"/>
      <c r="Y439" s="12"/>
      <c r="Z439" s="12"/>
      <c r="AA439" s="12"/>
      <c r="AB439" s="12"/>
    </row>
    <row r="440" spans="1:28" s="10" customFormat="1" ht="15" hidden="1">
      <c r="A440" s="9"/>
      <c r="B440" s="169" cm="1">
        <f t="array" ref="B440">_xlfn.IFS(OR(Code!R13&lt;&gt;Code!U13,Code!R13=""),0,Code!R13=Code!U13,1)</f>
        <v>1</v>
      </c>
      <c r="C440" s="193" t="str">
        <f>IF(Code!F13="","",Code!F13)</f>
        <v>ADBE</v>
      </c>
      <c r="D440" s="155" t="str">
        <f>IFERROR(VLOOKUP($C440,Code!$H:$K,2,FALSE),"")</f>
        <v>XLK</v>
      </c>
      <c r="E440" s="156" t="str">
        <f>IFERROR(VLOOKUP($C440,Code!$H:$K,3,FALSE),"")</f>
        <v>軟件基礎設施</v>
      </c>
      <c r="F440" s="157" t="str">
        <f>IFERROR(VLOOKUP($C440,Code!$H:$K,4,FALSE),"")</f>
        <v>.SPX</v>
      </c>
      <c r="G440" s="170">
        <f>IFERROR(((VLOOKUP($C440,Code!$H:$Q,9,FALSE))+(VLOOKUP($C440,Code!$H:$Q,10,FALSE)))/2*0.5/(((VLOOKUP($C440,Code!$H:$Q,7,FALSE))+(VLOOKUP($C440,Code!$H:$Q,8,FALSE)))/2),0)</f>
        <v>0.68966634272756722</v>
      </c>
      <c r="H440" s="171" t="str">
        <f t="shared" si="48"/>
        <v>L</v>
      </c>
      <c r="I440" s="170">
        <f>IFERROR((VLOOKUP($C440,Code!$H:$Q,5,FALSE))/(((VLOOKUP($C440,Code!$H:$Q,7,FALSE))+(VLOOKUP($C440,Code!$H:$Q,8,FALSE)))/2)-1,0)</f>
        <v>-0.31584062196307094</v>
      </c>
      <c r="J440" s="204" t="str">
        <f>IFERROR(POWER((VLOOKUP(C440,Code!H:W,12,FALSE))/(VLOOKUP(C440,Code!H:W,15,FALSE)),1/(P440-1))-1,"")</f>
        <v/>
      </c>
      <c r="K440" s="172" t="str" cm="1">
        <f t="array" ref="K440">IFERROR(IF(C440="","",_xlfn.IFS(AND(VLOOKUP(C440,Code!H:W,13,FALSE)=0,VLOOKUP(C440,Code!H:W,16,FALSE)=0),"無股息",AND(VLOOKUP(C440,Code!H:W,13,FALSE)=0,VLOOKUP(C440,Code!H:W,16,FALSE)&gt;0),"股息沒了",AND(VLOOKUP(C440,Code!H:W,13,FALSE)&gt;0,VLOOKUP(C440,Code!H:W,16,FALSE)=0),"發股息了",AND(VLOOKUP(C440,Code!H:W,13,FALSE)&gt;0,VLOOKUP(C440,Code!H:W,16,FALSE)&gt;0),POWER((VLOOKUP(C440,Code!H:W,13,FALSE))/(VLOOKUP(C440,Code!H:W,16,FALSE)),1/(P440-1))-1)),"")</f>
        <v>無股息</v>
      </c>
      <c r="L440" s="173" t="str">
        <f>IFERROR(VLOOKUP(C440,Code!H:W,13,FALSE)*4/VLOOKUP(C440,Code!H:W,12,FALSE),"")</f>
        <v/>
      </c>
      <c r="M440" s="172" t="str">
        <f t="shared" si="49"/>
        <v/>
      </c>
      <c r="N440" s="172" t="str">
        <f t="shared" si="50"/>
        <v/>
      </c>
      <c r="O440" s="172" t="str">
        <f t="shared" si="51"/>
        <v/>
      </c>
      <c r="P440" s="205">
        <f>IFERROR(YEARFRAC(VLOOKUP(C440,Code!H:W,11,FALSE),VLOOKUP(C440,Code!H:W,14,FALSE),3),"")</f>
        <v>0</v>
      </c>
      <c r="Q440" s="174">
        <v>44547</v>
      </c>
      <c r="R440" s="175" t="str">
        <f t="shared" ca="1" si="52"/>
        <v/>
      </c>
      <c r="S440" s="176">
        <f>IFERROR(VLOOKUP($C440,Code!$H:$Q,5,FALSE),"")</f>
        <v>0.2112</v>
      </c>
      <c r="T440" s="177" t="str">
        <f t="shared" ca="1" si="53"/>
        <v/>
      </c>
      <c r="U440" s="178" t="str">
        <f t="shared" ca="1" si="54"/>
        <v/>
      </c>
      <c r="V440" s="179">
        <f>IFERROR(VLOOKUP($C440,Code!$H:$Q,6,FALSE),"")</f>
        <v>632.08000000000004</v>
      </c>
      <c r="W440" s="180" t="str">
        <f t="shared" ca="1" si="55"/>
        <v/>
      </c>
      <c r="X440" s="12"/>
      <c r="Y440" s="12"/>
      <c r="Z440" s="12"/>
      <c r="AA440" s="12"/>
      <c r="AB440" s="12"/>
    </row>
    <row r="441" spans="1:28" s="10" customFormat="1" ht="15" hidden="1">
      <c r="A441" s="9"/>
      <c r="B441" s="169" cm="1">
        <f t="array" ref="B441">_xlfn.IFS(OR(Code!R286&lt;&gt;Code!U286,Code!R286=""),0,Code!R286=Code!U286,1)</f>
        <v>0</v>
      </c>
      <c r="C441" s="193" t="str">
        <f>IF(Code!F286="","",Code!F286)</f>
        <v>LRCX</v>
      </c>
      <c r="D441" s="155" t="str">
        <f>IFERROR(VLOOKUP($C441,Code!$H:$K,2,FALSE),"")</f>
        <v>XLK</v>
      </c>
      <c r="E441" s="156" t="str">
        <f>IFERROR(VLOOKUP($C441,Code!$H:$K,3,FALSE),"")</f>
        <v>半導體設備與材料</v>
      </c>
      <c r="F441" s="157" t="str">
        <f>IFERROR(VLOOKUP($C441,Code!$H:$K,4,FALSE),"")</f>
        <v>.SPX</v>
      </c>
      <c r="G441" s="170">
        <f>IFERROR(((VLOOKUP($C441,Code!$H:$Q,9,FALSE))+(VLOOKUP($C441,Code!$H:$Q,10,FALSE)))/2*0.5/(((VLOOKUP($C441,Code!$H:$Q,7,FALSE))+(VLOOKUP($C441,Code!$H:$Q,8,FALSE)))/2),0)</f>
        <v>0.46026661155316734</v>
      </c>
      <c r="H441" s="171" t="str">
        <f t="shared" si="48"/>
        <v>S</v>
      </c>
      <c r="I441" s="170">
        <f>IFERROR((VLOOKUP($C441,Code!$H:$Q,5,FALSE))/(((VLOOKUP($C441,Code!$H:$Q,7,FALSE))+(VLOOKUP($C441,Code!$H:$Q,8,FALSE)))/2)-1,0)</f>
        <v>-0.31673039165030481</v>
      </c>
      <c r="J441" s="204">
        <f>IFERROR(POWER((VLOOKUP(C441,Code!H:W,12,FALSE))/(VLOOKUP(C441,Code!H:W,15,FALSE)),1/(P441-1))-1,"")</f>
        <v>0.70765623210557105</v>
      </c>
      <c r="K441" s="172" cm="1">
        <f t="array" ref="K441">IFERROR(IF(C441="","",_xlfn.IFS(AND(VLOOKUP(C441,Code!H:W,13,FALSE)=0,VLOOKUP(C441,Code!H:W,16,FALSE)=0),"無股息",AND(VLOOKUP(C441,Code!H:W,13,FALSE)=0,VLOOKUP(C441,Code!H:W,16,FALSE)&gt;0),"股息沒了",AND(VLOOKUP(C441,Code!H:W,13,FALSE)&gt;0,VLOOKUP(C441,Code!H:W,16,FALSE)=0),"發股息了",AND(VLOOKUP(C441,Code!H:W,13,FALSE)&gt;0,VLOOKUP(C441,Code!H:W,16,FALSE)&gt;0),POWER((VLOOKUP(C441,Code!H:W,13,FALSE))/(VLOOKUP(C441,Code!H:W,16,FALSE)),1/(P441-1))-1)),"")</f>
        <v>0.47712400994879367</v>
      </c>
      <c r="L441" s="173">
        <f>IFERROR(VLOOKUP(C441,Code!H:W,13,FALSE)*4/VLOOKUP(C441,Code!H:W,12,FALSE),"")</f>
        <v>8.0810594856610823E-3</v>
      </c>
      <c r="M441" s="172">
        <f t="shared" si="49"/>
        <v>1.1847802420543647</v>
      </c>
      <c r="N441" s="172" t="str">
        <f t="shared" si="50"/>
        <v>-</v>
      </c>
      <c r="O441" s="172" t="str">
        <f t="shared" si="51"/>
        <v>Value</v>
      </c>
      <c r="P441" s="205">
        <f>IFERROR(YEARFRAC(VLOOKUP(C441,Code!H:W,11,FALSE),VLOOKUP(C441,Code!H:W,14,FALSE),3),"")</f>
        <v>4.7589041095890412</v>
      </c>
      <c r="Q441" s="174">
        <v>44547</v>
      </c>
      <c r="R441" s="175" t="str">
        <f t="shared" ca="1" si="52"/>
        <v/>
      </c>
      <c r="S441" s="176">
        <f>IFERROR(VLOOKUP($C441,Code!$H:$Q,5,FALSE),"")</f>
        <v>0.3306</v>
      </c>
      <c r="T441" s="177" t="str">
        <f t="shared" ca="1" si="53"/>
        <v/>
      </c>
      <c r="U441" s="178" t="str">
        <f t="shared" ca="1" si="54"/>
        <v/>
      </c>
      <c r="V441" s="179">
        <f>IFERROR(VLOOKUP($C441,Code!$H:$Q,6,FALSE),"")</f>
        <v>645.66</v>
      </c>
      <c r="W441" s="180" t="str">
        <f t="shared" ca="1" si="55"/>
        <v/>
      </c>
      <c r="X441" s="12"/>
      <c r="Y441" s="12"/>
      <c r="Z441" s="12"/>
      <c r="AA441" s="12"/>
      <c r="AB441" s="12"/>
    </row>
    <row r="442" spans="1:28" s="10" customFormat="1" ht="15" hidden="1">
      <c r="A442" s="9"/>
      <c r="B442" s="169" cm="1">
        <f t="array" ref="B442">_xlfn.IFS(OR(Code!R127&lt;&gt;Code!U127,Code!R127=""),0,Code!R127=Code!U127,1)</f>
        <v>0</v>
      </c>
      <c r="C442" s="193" t="str">
        <f>IF(Code!F127="","",Code!F127)</f>
        <v>D</v>
      </c>
      <c r="D442" s="155" t="str">
        <f>IFERROR(VLOOKUP($C442,Code!$H:$K,2,FALSE),"")</f>
        <v>XLU</v>
      </c>
      <c r="E442" s="156" t="str">
        <f>IFERROR(VLOOKUP($C442,Code!$H:$K,3,FALSE),"")</f>
        <v>公用事業—受監督的電力</v>
      </c>
      <c r="F442" s="157" t="str">
        <f>IFERROR(VLOOKUP($C442,Code!$H:$K,4,FALSE),"")</f>
        <v>.SPX</v>
      </c>
      <c r="G442" s="170">
        <f>IFERROR(((VLOOKUP($C442,Code!$H:$Q,9,FALSE))+(VLOOKUP($C442,Code!$H:$Q,10,FALSE)))/2*0.5/(((VLOOKUP($C442,Code!$H:$Q,7,FALSE))+(VLOOKUP($C442,Code!$H:$Q,8,FALSE)))/2),0)</f>
        <v>0.42858494135452141</v>
      </c>
      <c r="H442" s="171" t="str">
        <f t="shared" si="48"/>
        <v>S</v>
      </c>
      <c r="I442" s="170">
        <f>IFERROR((VLOOKUP($C442,Code!$H:$Q,5,FALSE))/(((VLOOKUP($C442,Code!$H:$Q,7,FALSE))+(VLOOKUP($C442,Code!$H:$Q,8,FALSE)))/2)-1,0)</f>
        <v>-0.31782065834279227</v>
      </c>
      <c r="J442" s="204">
        <f>IFERROR(POWER((VLOOKUP(C442,Code!H:W,12,FALSE))/(VLOOKUP(C442,Code!H:W,15,FALSE)),1/(P442-1))-1,"")</f>
        <v>6.4264447976560835E-2</v>
      </c>
      <c r="K442" s="172" cm="1">
        <f t="array" ref="K442">IFERROR(IF(C442="","",_xlfn.IFS(AND(VLOOKUP(C442,Code!H:W,13,FALSE)=0,VLOOKUP(C442,Code!H:W,16,FALSE)=0),"無股息",AND(VLOOKUP(C442,Code!H:W,13,FALSE)=0,VLOOKUP(C442,Code!H:W,16,FALSE)&gt;0),"股息沒了",AND(VLOOKUP(C442,Code!H:W,13,FALSE)&gt;0,VLOOKUP(C442,Code!H:W,16,FALSE)=0),"發股息了",AND(VLOOKUP(C442,Code!H:W,13,FALSE)&gt;0,VLOOKUP(C442,Code!H:W,16,FALSE)&gt;0),POWER((VLOOKUP(C442,Code!H:W,13,FALSE))/(VLOOKUP(C442,Code!H:W,16,FALSE)),1/(P442-1))-1)),"")</f>
        <v>-2.7640399178648245E-2</v>
      </c>
      <c r="L442" s="173">
        <f>IFERROR(VLOOKUP(C442,Code!H:W,13,FALSE)*4/VLOOKUP(C442,Code!H:W,12,FALSE),"")</f>
        <v>3.2850997654490788E-2</v>
      </c>
      <c r="M442" s="172">
        <f t="shared" si="49"/>
        <v>3.6624048797912589E-2</v>
      </c>
      <c r="N442" s="172" t="str">
        <f t="shared" si="50"/>
        <v>-</v>
      </c>
      <c r="O442" s="172" t="str">
        <f t="shared" si="51"/>
        <v>-</v>
      </c>
      <c r="P442" s="205">
        <f>IFERROR(YEARFRAC(VLOOKUP(C442,Code!H:W,11,FALSE),VLOOKUP(C442,Code!H:W,14,FALSE),3),"")</f>
        <v>4.7589041095890412</v>
      </c>
      <c r="Q442" s="174">
        <v>44547</v>
      </c>
      <c r="R442" s="175" t="str">
        <f t="shared" ca="1" si="52"/>
        <v/>
      </c>
      <c r="S442" s="176">
        <f>IFERROR(VLOOKUP($C442,Code!$H:$Q,5,FALSE),"")</f>
        <v>0.18029999999999999</v>
      </c>
      <c r="T442" s="177" t="str">
        <f t="shared" ca="1" si="53"/>
        <v/>
      </c>
      <c r="U442" s="178" t="str">
        <f t="shared" ca="1" si="54"/>
        <v/>
      </c>
      <c r="V442" s="179">
        <f>IFERROR(VLOOKUP($C442,Code!$H:$Q,6,FALSE),"")</f>
        <v>76.08</v>
      </c>
      <c r="W442" s="180" t="str">
        <f t="shared" ca="1" si="55"/>
        <v/>
      </c>
      <c r="X442" s="12"/>
      <c r="Y442" s="12"/>
      <c r="Z442" s="12"/>
      <c r="AA442" s="12"/>
      <c r="AB442" s="12"/>
    </row>
    <row r="443" spans="1:28" s="10" customFormat="1" ht="15" hidden="1">
      <c r="A443" s="9"/>
      <c r="B443" s="169" cm="1">
        <f t="array" ref="B443">_xlfn.IFS(OR(Code!R314&lt;&gt;Code!U314,Code!R314=""),0,Code!R314=Code!U314,1)</f>
        <v>0</v>
      </c>
      <c r="C443" s="193" t="str">
        <f>IF(Code!F314="","",Code!F314)</f>
        <v>MPC</v>
      </c>
      <c r="D443" s="155" t="str">
        <f>IFERROR(VLOOKUP($C443,Code!$H:$K,2,FALSE),"")</f>
        <v>XLE</v>
      </c>
      <c r="E443" s="156" t="str">
        <f>IFERROR(VLOOKUP($C443,Code!$H:$K,3,FALSE),"")</f>
        <v>油氣煉製與營銷</v>
      </c>
      <c r="F443" s="157" t="str">
        <f>IFERROR(VLOOKUP($C443,Code!$H:$K,4,FALSE),"")</f>
        <v>.SPX</v>
      </c>
      <c r="G443" s="170">
        <f>IFERROR(((VLOOKUP($C443,Code!$H:$Q,9,FALSE))+(VLOOKUP($C443,Code!$H:$Q,10,FALSE)))/2*0.5/(((VLOOKUP($C443,Code!$H:$Q,7,FALSE))+(VLOOKUP($C443,Code!$H:$Q,8,FALSE)))/2),0)</f>
        <v>0.52997246346113103</v>
      </c>
      <c r="H443" s="171" t="str">
        <f t="shared" si="48"/>
        <v>M</v>
      </c>
      <c r="I443" s="170">
        <f>IFERROR((VLOOKUP($C443,Code!$H:$Q,5,FALSE))/(((VLOOKUP($C443,Code!$H:$Q,7,FALSE))+(VLOOKUP($C443,Code!$H:$Q,8,FALSE)))/2)-1,0)</f>
        <v>-0.31794111417072657</v>
      </c>
      <c r="J443" s="204">
        <f>IFERROR(POWER((VLOOKUP(C443,Code!H:W,12,FALSE))/(VLOOKUP(C443,Code!H:W,15,FALSE)),1/(P443-1))-1,"")</f>
        <v>0.16015173601426547</v>
      </c>
      <c r="K443" s="172" cm="1">
        <f t="array" ref="K443">IFERROR(IF(C443="","",_xlfn.IFS(AND(VLOOKUP(C443,Code!H:W,13,FALSE)=0,VLOOKUP(C443,Code!H:W,16,FALSE)=0),"無股息",AND(VLOOKUP(C443,Code!H:W,13,FALSE)=0,VLOOKUP(C443,Code!H:W,16,FALSE)&gt;0),"股息沒了",AND(VLOOKUP(C443,Code!H:W,13,FALSE)&gt;0,VLOOKUP(C443,Code!H:W,16,FALSE)=0),"發股息了",AND(VLOOKUP(C443,Code!H:W,13,FALSE)&gt;0,VLOOKUP(C443,Code!H:W,16,FALSE)&gt;0),POWER((VLOOKUP(C443,Code!H:W,13,FALSE))/(VLOOKUP(C443,Code!H:W,16,FALSE)),1/(P443-1))-1)),"")</f>
        <v>0.1352790600137006</v>
      </c>
      <c r="L443" s="173">
        <f>IFERROR(VLOOKUP(C443,Code!H:W,13,FALSE)*4/VLOOKUP(C443,Code!H:W,12,FALSE),"")</f>
        <v>3.8455162101549784E-2</v>
      </c>
      <c r="M443" s="172">
        <f t="shared" si="49"/>
        <v>0.29543079602796607</v>
      </c>
      <c r="N443" s="172" t="str">
        <f t="shared" si="50"/>
        <v>Venture</v>
      </c>
      <c r="O443" s="172" t="str">
        <f t="shared" si="51"/>
        <v>-</v>
      </c>
      <c r="P443" s="205">
        <f>IFERROR(YEARFRAC(VLOOKUP(C443,Code!H:W,11,FALSE),VLOOKUP(C443,Code!H:W,14,FALSE),3),"")</f>
        <v>4.7589041095890412</v>
      </c>
      <c r="Q443" s="174">
        <v>44547</v>
      </c>
      <c r="R443" s="175" t="str">
        <f t="shared" ca="1" si="52"/>
        <v/>
      </c>
      <c r="S443" s="176">
        <f>IFERROR(VLOOKUP($C443,Code!$H:$Q,5,FALSE),"")</f>
        <v>0.32200000000000001</v>
      </c>
      <c r="T443" s="177" t="str">
        <f t="shared" ca="1" si="53"/>
        <v/>
      </c>
      <c r="U443" s="178" t="str">
        <f t="shared" ca="1" si="54"/>
        <v/>
      </c>
      <c r="V443" s="179">
        <f>IFERROR(VLOOKUP($C443,Code!$H:$Q,6,FALSE),"")</f>
        <v>57.14</v>
      </c>
      <c r="W443" s="180" t="str">
        <f t="shared" ca="1" si="55"/>
        <v/>
      </c>
      <c r="X443" s="12"/>
      <c r="Y443" s="12"/>
      <c r="Z443" s="12"/>
      <c r="AA443" s="12"/>
      <c r="AB443" s="12"/>
    </row>
    <row r="444" spans="1:28" s="10" customFormat="1" ht="15" hidden="1">
      <c r="A444" s="9"/>
      <c r="B444" s="169" cm="1">
        <f t="array" ref="B444">_xlfn.IFS(OR(Code!R25&lt;&gt;Code!U25,Code!R25=""),0,Code!R25=Code!U25,1)</f>
        <v>1</v>
      </c>
      <c r="C444" s="193" t="str">
        <f>IF(Code!F25="","",Code!F25)</f>
        <v>AKAM</v>
      </c>
      <c r="D444" s="155" t="str">
        <f>IFERROR(VLOOKUP($C444,Code!$H:$K,2,FALSE),"")</f>
        <v>XLK</v>
      </c>
      <c r="E444" s="156" t="str">
        <f>IFERROR(VLOOKUP($C444,Code!$H:$K,3,FALSE),"")</f>
        <v>軟件基礎設施</v>
      </c>
      <c r="F444" s="157" t="str">
        <f>IFERROR(VLOOKUP($C444,Code!$H:$K,4,FALSE),"")</f>
        <v>.SPX</v>
      </c>
      <c r="G444" s="170">
        <f>IFERROR(((VLOOKUP($C444,Code!$H:$Q,9,FALSE))+(VLOOKUP($C444,Code!$H:$Q,10,FALSE)))/2*0.5/(((VLOOKUP($C444,Code!$H:$Q,7,FALSE))+(VLOOKUP($C444,Code!$H:$Q,8,FALSE)))/2),0)</f>
        <v>0.52825219473264162</v>
      </c>
      <c r="H444" s="171" t="str">
        <f t="shared" si="48"/>
        <v>M</v>
      </c>
      <c r="I444" s="170">
        <f>IFERROR((VLOOKUP($C444,Code!$H:$Q,5,FALSE))/(((VLOOKUP($C444,Code!$H:$Q,7,FALSE))+(VLOOKUP($C444,Code!$H:$Q,8,FALSE)))/2)-1,0)</f>
        <v>-0.32098962490023952</v>
      </c>
      <c r="J444" s="204" t="str">
        <f>IFERROR(POWER((VLOOKUP(C444,Code!H:W,12,FALSE))/(VLOOKUP(C444,Code!H:W,15,FALSE)),1/(P444-1))-1,"")</f>
        <v/>
      </c>
      <c r="K444" s="172" t="str" cm="1">
        <f t="array" ref="K444">IFERROR(IF(C444="","",_xlfn.IFS(AND(VLOOKUP(C444,Code!H:W,13,FALSE)=0,VLOOKUP(C444,Code!H:W,16,FALSE)=0),"無股息",AND(VLOOKUP(C444,Code!H:W,13,FALSE)=0,VLOOKUP(C444,Code!H:W,16,FALSE)&gt;0),"股息沒了",AND(VLOOKUP(C444,Code!H:W,13,FALSE)&gt;0,VLOOKUP(C444,Code!H:W,16,FALSE)=0),"發股息了",AND(VLOOKUP(C444,Code!H:W,13,FALSE)&gt;0,VLOOKUP(C444,Code!H:W,16,FALSE)&gt;0),POWER((VLOOKUP(C444,Code!H:W,13,FALSE))/(VLOOKUP(C444,Code!H:W,16,FALSE)),1/(P444-1))-1)),"")</f>
        <v>無股息</v>
      </c>
      <c r="L444" s="173" t="str">
        <f>IFERROR(VLOOKUP(C444,Code!H:W,13,FALSE)*4/VLOOKUP(C444,Code!H:W,12,FALSE),"")</f>
        <v/>
      </c>
      <c r="M444" s="172" t="str">
        <f t="shared" si="49"/>
        <v/>
      </c>
      <c r="N444" s="172" t="str">
        <f t="shared" si="50"/>
        <v/>
      </c>
      <c r="O444" s="172" t="str">
        <f t="shared" si="51"/>
        <v/>
      </c>
      <c r="P444" s="205">
        <f>IFERROR(YEARFRAC(VLOOKUP(C444,Code!H:W,11,FALSE),VLOOKUP(C444,Code!H:W,14,FALSE),3),"")</f>
        <v>0</v>
      </c>
      <c r="Q444" s="174">
        <v>44547</v>
      </c>
      <c r="R444" s="175" t="str">
        <f t="shared" ca="1" si="52"/>
        <v/>
      </c>
      <c r="S444" s="176">
        <f>IFERROR(VLOOKUP($C444,Code!$H:$Q,5,FALSE),"")</f>
        <v>0.2127</v>
      </c>
      <c r="T444" s="177" t="str">
        <f t="shared" ca="1" si="53"/>
        <v/>
      </c>
      <c r="U444" s="178" t="str">
        <f t="shared" ca="1" si="54"/>
        <v/>
      </c>
      <c r="V444" s="179">
        <f>IFERROR(VLOOKUP($C444,Code!$H:$Q,6,FALSE),"")</f>
        <v>113.38</v>
      </c>
      <c r="W444" s="180" t="str">
        <f t="shared" ca="1" si="55"/>
        <v/>
      </c>
      <c r="X444" s="12"/>
      <c r="Y444" s="12"/>
      <c r="Z444" s="12"/>
      <c r="AA444" s="12"/>
      <c r="AB444" s="12"/>
    </row>
    <row r="445" spans="1:28" s="10" customFormat="1" ht="15" hidden="1">
      <c r="A445" s="9"/>
      <c r="B445" s="169" cm="1">
        <f t="array" ref="B445">_xlfn.IFS(OR(Code!R62&lt;&gt;Code!U62,Code!R62=""),0,Code!R62=Code!U62,1)</f>
        <v>0</v>
      </c>
      <c r="C445" s="193" t="str">
        <f>IF(Code!F62="","",Code!F62)</f>
        <v>BEN</v>
      </c>
      <c r="D445" s="155" t="str">
        <f>IFERROR(VLOOKUP($C445,Code!$H:$K,2,FALSE),"")</f>
        <v>XLF</v>
      </c>
      <c r="E445" s="156" t="str">
        <f>IFERROR(VLOOKUP($C445,Code!$H:$K,3,FALSE),"")</f>
        <v>資產管理</v>
      </c>
      <c r="F445" s="157" t="str">
        <f>IFERROR(VLOOKUP($C445,Code!$H:$K,4,FALSE),"")</f>
        <v>.SPX</v>
      </c>
      <c r="G445" s="170">
        <f>IFERROR(((VLOOKUP($C445,Code!$H:$Q,9,FALSE))+(VLOOKUP($C445,Code!$H:$Q,10,FALSE)))/2*0.5/(((VLOOKUP($C445,Code!$H:$Q,7,FALSE))+(VLOOKUP($C445,Code!$H:$Q,8,FALSE)))/2),0)</f>
        <v>0.40449183303085307</v>
      </c>
      <c r="H445" s="171" t="str">
        <f t="shared" si="48"/>
        <v>S</v>
      </c>
      <c r="I445" s="170">
        <f>IFERROR((VLOOKUP($C445,Code!$H:$Q,5,FALSE))/(((VLOOKUP($C445,Code!$H:$Q,7,FALSE))+(VLOOKUP($C445,Code!$H:$Q,8,FALSE)))/2)-1,0)</f>
        <v>-0.32123411978221406</v>
      </c>
      <c r="J445" s="204">
        <f>IFERROR(POWER((VLOOKUP(C445,Code!H:W,12,FALSE))/(VLOOKUP(C445,Code!H:W,15,FALSE)),1/(P445-1))-1,"")</f>
        <v>4.1675429428367439E-2</v>
      </c>
      <c r="K445" s="172" cm="1">
        <f t="array" ref="K445">IFERROR(IF(C445="","",_xlfn.IFS(AND(VLOOKUP(C445,Code!H:W,13,FALSE)=0,VLOOKUP(C445,Code!H:W,16,FALSE)=0),"無股息",AND(VLOOKUP(C445,Code!H:W,13,FALSE)=0,VLOOKUP(C445,Code!H:W,16,FALSE)&gt;0),"股息沒了",AND(VLOOKUP(C445,Code!H:W,13,FALSE)&gt;0,VLOOKUP(C445,Code!H:W,16,FALSE)=0),"發股息了",AND(VLOOKUP(C445,Code!H:W,13,FALSE)&gt;0,VLOOKUP(C445,Code!H:W,16,FALSE)&gt;0),POWER((VLOOKUP(C445,Code!H:W,13,FALSE))/(VLOOKUP(C445,Code!H:W,16,FALSE)),1/(P445-1))-1)),"")</f>
        <v>0.12492297358534588</v>
      </c>
      <c r="L445" s="173">
        <f>IFERROR(VLOOKUP(C445,Code!H:W,13,FALSE)*4/VLOOKUP(C445,Code!H:W,12,FALSE),"")</f>
        <v>3.5087719214380364E-2</v>
      </c>
      <c r="M445" s="172">
        <f t="shared" si="49"/>
        <v>0.16659840301371331</v>
      </c>
      <c r="N445" s="172" t="str">
        <f t="shared" si="50"/>
        <v>Venture</v>
      </c>
      <c r="O445" s="172" t="str">
        <f t="shared" si="51"/>
        <v>-</v>
      </c>
      <c r="P445" s="205">
        <f>IFERROR(YEARFRAC(VLOOKUP(C445,Code!H:W,11,FALSE),VLOOKUP(C445,Code!H:W,14,FALSE),3),"")</f>
        <v>4.7534246575342465</v>
      </c>
      <c r="Q445" s="174">
        <v>44547</v>
      </c>
      <c r="R445" s="175" t="str">
        <f t="shared" ca="1" si="52"/>
        <v/>
      </c>
      <c r="S445" s="176">
        <f>IFERROR(VLOOKUP($C445,Code!$H:$Q,5,FALSE),"")</f>
        <v>0.29920000000000002</v>
      </c>
      <c r="T445" s="177" t="str">
        <f t="shared" ca="1" si="53"/>
        <v/>
      </c>
      <c r="U445" s="178" t="str">
        <f t="shared" ca="1" si="54"/>
        <v/>
      </c>
      <c r="V445" s="179">
        <f>IFERROR(VLOOKUP($C445,Code!$H:$Q,6,FALSE),"")</f>
        <v>31.53</v>
      </c>
      <c r="W445" s="180" t="str">
        <f t="shared" ca="1" si="55"/>
        <v/>
      </c>
      <c r="X445" s="12"/>
      <c r="Y445" s="12"/>
      <c r="Z445" s="12"/>
      <c r="AA445" s="12"/>
      <c r="AB445" s="12"/>
    </row>
    <row r="446" spans="1:28" s="10" customFormat="1" ht="15" hidden="1">
      <c r="A446" s="9"/>
      <c r="B446" s="169" cm="1">
        <f t="array" ref="B446">_xlfn.IFS(OR(Code!R163&lt;&gt;Code!U163,Code!R163=""),0,Code!R163=Code!U163,1)</f>
        <v>0</v>
      </c>
      <c r="C446" s="193" t="str">
        <f>IF(Code!F163="","",Code!F163)</f>
        <v>EOG</v>
      </c>
      <c r="D446" s="155" t="str">
        <f>IFERROR(VLOOKUP($C446,Code!$H:$K,2,FALSE),"")</f>
        <v>XLE</v>
      </c>
      <c r="E446" s="156" t="str">
        <f>IFERROR(VLOOKUP($C446,Code!$H:$K,3,FALSE),"")</f>
        <v>油氣E&amp;P</v>
      </c>
      <c r="F446" s="157" t="str">
        <f>IFERROR(VLOOKUP($C446,Code!$H:$K,4,FALSE),"")</f>
        <v>.SPX</v>
      </c>
      <c r="G446" s="170">
        <f>IFERROR(((VLOOKUP($C446,Code!$H:$Q,9,FALSE))+(VLOOKUP($C446,Code!$H:$Q,10,FALSE)))/2*0.5/(((VLOOKUP($C446,Code!$H:$Q,7,FALSE))+(VLOOKUP($C446,Code!$H:$Q,8,FALSE)))/2),0)</f>
        <v>0.47336591831662661</v>
      </c>
      <c r="H446" s="171" t="str">
        <f t="shared" si="48"/>
        <v>S</v>
      </c>
      <c r="I446" s="170">
        <f>IFERROR((VLOOKUP($C446,Code!$H:$Q,5,FALSE))/(((VLOOKUP($C446,Code!$H:$Q,7,FALSE))+(VLOOKUP($C446,Code!$H:$Q,8,FALSE)))/2)-1,0)</f>
        <v>-0.32168005964708812</v>
      </c>
      <c r="J446" s="204">
        <f>IFERROR(POWER((VLOOKUP(C446,Code!H:W,12,FALSE))/(VLOOKUP(C446,Code!H:W,15,FALSE)),1/(P446-1))-1,"")</f>
        <v>-3.6827847717689322E-2</v>
      </c>
      <c r="K446" s="172" cm="1">
        <f t="array" ref="K446">IFERROR(IF(C446="","",_xlfn.IFS(AND(VLOOKUP(C446,Code!H:W,13,FALSE)=0,VLOOKUP(C446,Code!H:W,16,FALSE)=0),"無股息",AND(VLOOKUP(C446,Code!H:W,13,FALSE)=0,VLOOKUP(C446,Code!H:W,16,FALSE)&gt;0),"股息沒了",AND(VLOOKUP(C446,Code!H:W,13,FALSE)&gt;0,VLOOKUP(C446,Code!H:W,16,FALSE)=0),"發股息了",AND(VLOOKUP(C446,Code!H:W,13,FALSE)&gt;0,VLOOKUP(C446,Code!H:W,16,FALSE)&gt;0),POWER((VLOOKUP(C446,Code!H:W,13,FALSE))/(VLOOKUP(C446,Code!H:W,16,FALSE)),1/(P446-1))-1)),"")</f>
        <v>0.76285812036259859</v>
      </c>
      <c r="L446" s="173">
        <f>IFERROR(VLOOKUP(C446,Code!H:W,13,FALSE)*4/VLOOKUP(C446,Code!H:W,12,FALSE),"")</f>
        <v>7.418296126642944E-2</v>
      </c>
      <c r="M446" s="172">
        <f t="shared" si="49"/>
        <v>0.72603027264490927</v>
      </c>
      <c r="N446" s="172" t="str">
        <f t="shared" si="50"/>
        <v>Venture</v>
      </c>
      <c r="O446" s="172" t="str">
        <f t="shared" si="51"/>
        <v>-</v>
      </c>
      <c r="P446" s="205">
        <f>IFERROR(YEARFRAC(VLOOKUP(C446,Code!H:W,11,FALSE),VLOOKUP(C446,Code!H:W,14,FALSE),3),"")</f>
        <v>4.7561643835616438</v>
      </c>
      <c r="Q446" s="174">
        <v>44547</v>
      </c>
      <c r="R446" s="175" t="str">
        <f t="shared" ca="1" si="52"/>
        <v/>
      </c>
      <c r="S446" s="176">
        <f>IFERROR(VLOOKUP($C446,Code!$H:$Q,5,FALSE),"")</f>
        <v>0.40939999999999999</v>
      </c>
      <c r="T446" s="177" t="str">
        <f t="shared" ca="1" si="53"/>
        <v/>
      </c>
      <c r="U446" s="178" t="str">
        <f t="shared" ca="1" si="54"/>
        <v/>
      </c>
      <c r="V446" s="179">
        <f>IFERROR(VLOOKUP($C446,Code!$H:$Q,6,FALSE),"")</f>
        <v>70.739999999999995</v>
      </c>
      <c r="W446" s="180" t="str">
        <f t="shared" ca="1" si="55"/>
        <v/>
      </c>
      <c r="X446" s="12"/>
      <c r="Y446" s="12"/>
      <c r="Z446" s="12"/>
      <c r="AA446" s="12"/>
      <c r="AB446" s="12"/>
    </row>
    <row r="447" spans="1:28" s="10" customFormat="1" ht="15" hidden="1">
      <c r="A447" s="9"/>
      <c r="B447" s="169" cm="1">
        <f t="array" ref="B447">_xlfn.IFS(OR(Code!R111&lt;&gt;Code!U111,Code!R111=""),0,Code!R111=Code!U111,1)</f>
        <v>0</v>
      </c>
      <c r="C447" s="193" t="str">
        <f>IF(Code!F111="","",Code!F111)</f>
        <v>COP</v>
      </c>
      <c r="D447" s="155" t="str">
        <f>IFERROR(VLOOKUP($C447,Code!$H:$K,2,FALSE),"")</f>
        <v>XLE</v>
      </c>
      <c r="E447" s="156" t="str">
        <f>IFERROR(VLOOKUP($C447,Code!$H:$K,3,FALSE),"")</f>
        <v>油氣E&amp;P</v>
      </c>
      <c r="F447" s="157" t="str">
        <f>IFERROR(VLOOKUP($C447,Code!$H:$K,4,FALSE),"")</f>
        <v>.SPX</v>
      </c>
      <c r="G447" s="170">
        <f>IFERROR(((VLOOKUP($C447,Code!$H:$Q,9,FALSE))+(VLOOKUP($C447,Code!$H:$Q,10,FALSE)))/2*0.5/(((VLOOKUP($C447,Code!$H:$Q,7,FALSE))+(VLOOKUP($C447,Code!$H:$Q,8,FALSE)))/2),0)</f>
        <v>0.55032436557908804</v>
      </c>
      <c r="H447" s="171" t="str">
        <f t="shared" si="48"/>
        <v>M</v>
      </c>
      <c r="I447" s="170">
        <f>IFERROR((VLOOKUP($C447,Code!$H:$Q,5,FALSE))/(((VLOOKUP($C447,Code!$H:$Q,7,FALSE))+(VLOOKUP($C447,Code!$H:$Q,8,FALSE)))/2)-1,0)</f>
        <v>-0.32226674298797942</v>
      </c>
      <c r="J447" s="204">
        <f>IFERROR(POWER((VLOOKUP(C447,Code!H:W,12,FALSE))/(VLOOKUP(C447,Code!H:W,15,FALSE)),1/(P447-1))-1,"")</f>
        <v>0.11120209357408317</v>
      </c>
      <c r="K447" s="172" cm="1">
        <f t="array" ref="K447">IFERROR(IF(C447="","",_xlfn.IFS(AND(VLOOKUP(C447,Code!H:W,13,FALSE)=0,VLOOKUP(C447,Code!H:W,16,FALSE)=0),"無股息",AND(VLOOKUP(C447,Code!H:W,13,FALSE)=0,VLOOKUP(C447,Code!H:W,16,FALSE)&gt;0),"股息沒了",AND(VLOOKUP(C447,Code!H:W,13,FALSE)&gt;0,VLOOKUP(C447,Code!H:W,16,FALSE)=0),"發股息了",AND(VLOOKUP(C447,Code!H:W,13,FALSE)&gt;0,VLOOKUP(C447,Code!H:W,16,FALSE)&gt;0),POWER((VLOOKUP(C447,Code!H:W,13,FALSE))/(VLOOKUP(C447,Code!H:W,16,FALSE)),1/(P447-1))-1)),"")</f>
        <v>0.15435859769736893</v>
      </c>
      <c r="L447" s="173">
        <f>IFERROR(VLOOKUP(C447,Code!H:W,13,FALSE)*4/VLOOKUP(C447,Code!H:W,12,FALSE),"")</f>
        <v>3.1080592613976884E-2</v>
      </c>
      <c r="M447" s="172">
        <f t="shared" si="49"/>
        <v>0.2655606912714521</v>
      </c>
      <c r="N447" s="172" t="str">
        <f t="shared" si="50"/>
        <v>Venture</v>
      </c>
      <c r="O447" s="172" t="str">
        <f t="shared" si="51"/>
        <v>-</v>
      </c>
      <c r="P447" s="205">
        <f>IFERROR(YEARFRAC(VLOOKUP(C447,Code!H:W,11,FALSE),VLOOKUP(C447,Code!H:W,14,FALSE),3),"")</f>
        <v>4.7780821917808218</v>
      </c>
      <c r="Q447" s="174">
        <v>44547</v>
      </c>
      <c r="R447" s="175" t="str">
        <f t="shared" ca="1" si="52"/>
        <v/>
      </c>
      <c r="S447" s="176">
        <f>IFERROR(VLOOKUP($C447,Code!$H:$Q,5,FALSE),"")</f>
        <v>0.35520000000000002</v>
      </c>
      <c r="T447" s="177" t="str">
        <f t="shared" ca="1" si="53"/>
        <v/>
      </c>
      <c r="U447" s="178" t="str">
        <f t="shared" ca="1" si="54"/>
        <v/>
      </c>
      <c r="V447" s="179">
        <f>IFERROR(VLOOKUP($C447,Code!$H:$Q,6,FALSE),"")</f>
        <v>56.98</v>
      </c>
      <c r="W447" s="180" t="str">
        <f t="shared" ca="1" si="55"/>
        <v/>
      </c>
      <c r="X447" s="12"/>
      <c r="Y447" s="12"/>
      <c r="Z447" s="12"/>
      <c r="AA447" s="12"/>
      <c r="AB447" s="12"/>
    </row>
    <row r="448" spans="1:28" s="10" customFormat="1" ht="15" hidden="1">
      <c r="A448" s="9"/>
      <c r="B448" s="169" cm="1">
        <f t="array" ref="B448">_xlfn.IFS(OR(Code!R428&lt;&gt;Code!U428,Code!R428=""),0,Code!R428=Code!U428,1)</f>
        <v>0</v>
      </c>
      <c r="C448" s="193" t="str">
        <f>IF(Code!F428="","",Code!F428)</f>
        <v>SWKS</v>
      </c>
      <c r="D448" s="155" t="str">
        <f>IFERROR(VLOOKUP($C448,Code!$H:$K,2,FALSE),"")</f>
        <v>XLK</v>
      </c>
      <c r="E448" s="156" t="str">
        <f>IFERROR(VLOOKUP($C448,Code!$H:$K,3,FALSE),"")</f>
        <v>半導體</v>
      </c>
      <c r="F448" s="157" t="str">
        <f>IFERROR(VLOOKUP($C448,Code!$H:$K,4,FALSE),"")</f>
        <v>.SPX</v>
      </c>
      <c r="G448" s="170">
        <f>IFERROR(((VLOOKUP($C448,Code!$H:$Q,9,FALSE))+(VLOOKUP($C448,Code!$H:$Q,10,FALSE)))/2*0.5/(((VLOOKUP($C448,Code!$H:$Q,7,FALSE))+(VLOOKUP($C448,Code!$H:$Q,8,FALSE)))/2),0)</f>
        <v>0.46505536373377776</v>
      </c>
      <c r="H448" s="171" t="str">
        <f t="shared" si="48"/>
        <v>S</v>
      </c>
      <c r="I448" s="170">
        <f>IFERROR((VLOOKUP($C448,Code!$H:$Q,5,FALSE))/(((VLOOKUP($C448,Code!$H:$Q,7,FALSE))+(VLOOKUP($C448,Code!$H:$Q,8,FALSE)))/2)-1,0)</f>
        <v>-0.32349089177283008</v>
      </c>
      <c r="J448" s="204">
        <f>IFERROR(POWER((VLOOKUP(C448,Code!H:W,12,FALSE))/(VLOOKUP(C448,Code!H:W,15,FALSE)),1/(P448-1))-1,"")</f>
        <v>0.27070896079888063</v>
      </c>
      <c r="K448" s="172" cm="1">
        <f t="array" ref="K448">IFERROR(IF(C448="","",_xlfn.IFS(AND(VLOOKUP(C448,Code!H:W,13,FALSE)=0,VLOOKUP(C448,Code!H:W,16,FALSE)=0),"無股息",AND(VLOOKUP(C448,Code!H:W,13,FALSE)=0,VLOOKUP(C448,Code!H:W,16,FALSE)&gt;0),"股息沒了",AND(VLOOKUP(C448,Code!H:W,13,FALSE)&gt;0,VLOOKUP(C448,Code!H:W,16,FALSE)=0),"發股息了",AND(VLOOKUP(C448,Code!H:W,13,FALSE)&gt;0,VLOOKUP(C448,Code!H:W,16,FALSE)&gt;0),POWER((VLOOKUP(C448,Code!H:W,13,FALSE))/(VLOOKUP(C448,Code!H:W,16,FALSE)),1/(P448-1))-1)),"")</f>
        <v>0.17994536879112855</v>
      </c>
      <c r="L448" s="173">
        <f>IFERROR(VLOOKUP(C448,Code!H:W,13,FALSE)*4/VLOOKUP(C448,Code!H:W,12,FALSE),"")</f>
        <v>1.2183235595660716E-2</v>
      </c>
      <c r="M448" s="172">
        <f t="shared" si="49"/>
        <v>0.45065432959000917</v>
      </c>
      <c r="N448" s="172" t="str">
        <f t="shared" si="50"/>
        <v>-</v>
      </c>
      <c r="O448" s="172" t="str">
        <f t="shared" si="51"/>
        <v>Value</v>
      </c>
      <c r="P448" s="205">
        <f>IFERROR(YEARFRAC(VLOOKUP(C448,Code!H:W,11,FALSE),VLOOKUP(C448,Code!H:W,14,FALSE),3),"")</f>
        <v>4.5041095890410956</v>
      </c>
      <c r="Q448" s="174">
        <v>44547</v>
      </c>
      <c r="R448" s="175" t="str">
        <f t="shared" ca="1" si="52"/>
        <v/>
      </c>
      <c r="S448" s="176">
        <f>IFERROR(VLOOKUP($C448,Code!$H:$Q,5,FALSE),"")</f>
        <v>0.28410000000000002</v>
      </c>
      <c r="T448" s="177" t="str">
        <f t="shared" ca="1" si="53"/>
        <v/>
      </c>
      <c r="U448" s="178" t="str">
        <f t="shared" ca="1" si="54"/>
        <v/>
      </c>
      <c r="V448" s="179">
        <f>IFERROR(VLOOKUP($C448,Code!$H:$Q,6,FALSE),"")</f>
        <v>185.79</v>
      </c>
      <c r="W448" s="180" t="str">
        <f t="shared" ca="1" si="55"/>
        <v/>
      </c>
      <c r="X448" s="12"/>
      <c r="Y448" s="12"/>
      <c r="Z448" s="12"/>
      <c r="AA448" s="12"/>
      <c r="AB448" s="12"/>
    </row>
    <row r="449" spans="1:28" s="10" customFormat="1" ht="15" hidden="1">
      <c r="A449" s="9"/>
      <c r="B449" s="169" cm="1">
        <f t="array" ref="B449">_xlfn.IFS(OR(Code!R216&lt;&gt;Code!U216,Code!R216=""),0,Code!R216=Code!U216,1)</f>
        <v>0</v>
      </c>
      <c r="C449" s="193" t="str">
        <f>IF(Code!F216="","",Code!F216)</f>
        <v>HBI</v>
      </c>
      <c r="D449" s="155" t="str">
        <f>IFERROR(VLOOKUP($C449,Code!$H:$K,2,FALSE),"")</f>
        <v>XLY</v>
      </c>
      <c r="E449" s="156" t="str">
        <f>IFERROR(VLOOKUP($C449,Code!$H:$K,3,FALSE),"")</f>
        <v>服裝製造</v>
      </c>
      <c r="F449" s="157" t="str">
        <f>IFERROR(VLOOKUP($C449,Code!$H:$K,4,FALSE),"")</f>
        <v>.SPX</v>
      </c>
      <c r="G449" s="170">
        <f>IFERROR(((VLOOKUP($C449,Code!$H:$Q,9,FALSE))+(VLOOKUP($C449,Code!$H:$Q,10,FALSE)))/2*0.5/(((VLOOKUP($C449,Code!$H:$Q,7,FALSE))+(VLOOKUP($C449,Code!$H:$Q,8,FALSE)))/2),0)</f>
        <v>0.44297472075249861</v>
      </c>
      <c r="H449" s="171" t="str">
        <f t="shared" si="48"/>
        <v>S</v>
      </c>
      <c r="I449" s="170">
        <f>IFERROR((VLOOKUP($C449,Code!$H:$Q,5,FALSE))/(((VLOOKUP($C449,Code!$H:$Q,7,FALSE))+(VLOOKUP($C449,Code!$H:$Q,8,FALSE)))/2)-1,0)</f>
        <v>-0.3241230648638056</v>
      </c>
      <c r="J449" s="204">
        <f>IFERROR(POWER((VLOOKUP(C449,Code!H:W,12,FALSE))/(VLOOKUP(C449,Code!H:W,15,FALSE)),1/(P449-1))-1,"")</f>
        <v>-4.3547982430054533E-2</v>
      </c>
      <c r="K449" s="172" cm="1">
        <f t="array" ref="K449">IFERROR(IF(C449="","",_xlfn.IFS(AND(VLOOKUP(C449,Code!H:W,13,FALSE)=0,VLOOKUP(C449,Code!H:W,16,FALSE)=0),"無股息",AND(VLOOKUP(C449,Code!H:W,13,FALSE)=0,VLOOKUP(C449,Code!H:W,16,FALSE)&gt;0),"股息沒了",AND(VLOOKUP(C449,Code!H:W,13,FALSE)&gt;0,VLOOKUP(C449,Code!H:W,16,FALSE)=0),"發股息了",AND(VLOOKUP(C449,Code!H:W,13,FALSE)&gt;0,VLOOKUP(C449,Code!H:W,16,FALSE)&gt;0),POWER((VLOOKUP(C449,Code!H:W,13,FALSE))/(VLOOKUP(C449,Code!H:W,16,FALSE)),1/(P449-1))-1)),"")</f>
        <v>8.5686443498954601E-2</v>
      </c>
      <c r="L449" s="173">
        <f>IFERROR(VLOOKUP(C449,Code!H:W,13,FALSE)*4/VLOOKUP(C449,Code!H:W,12,FALSE),"")</f>
        <v>3.0991734560131629E-2</v>
      </c>
      <c r="M449" s="172">
        <f t="shared" si="49"/>
        <v>4.2138461068900068E-2</v>
      </c>
      <c r="N449" s="172" t="str">
        <f t="shared" si="50"/>
        <v>-</v>
      </c>
      <c r="O449" s="172" t="str">
        <f t="shared" si="51"/>
        <v>-</v>
      </c>
      <c r="P449" s="205">
        <f>IFERROR(YEARFRAC(VLOOKUP(C449,Code!H:W,11,FALSE),VLOOKUP(C449,Code!H:W,14,FALSE),3),"")</f>
        <v>4.7726027397260271</v>
      </c>
      <c r="Q449" s="174">
        <v>44547</v>
      </c>
      <c r="R449" s="175" t="str">
        <f t="shared" ca="1" si="52"/>
        <v/>
      </c>
      <c r="S449" s="176">
        <f>IFERROR(VLOOKUP($C449,Code!$H:$Q,5,FALSE),"")</f>
        <v>0.34489999999999998</v>
      </c>
      <c r="T449" s="177" t="str">
        <f t="shared" ca="1" si="53"/>
        <v/>
      </c>
      <c r="U449" s="178" t="str">
        <f t="shared" ca="1" si="54"/>
        <v/>
      </c>
      <c r="V449" s="179">
        <f>IFERROR(VLOOKUP($C449,Code!$H:$Q,6,FALSE),"")</f>
        <v>19.940000000000001</v>
      </c>
      <c r="W449" s="180" t="str">
        <f t="shared" ca="1" si="55"/>
        <v/>
      </c>
      <c r="X449" s="12"/>
      <c r="Y449" s="12"/>
      <c r="Z449" s="12"/>
      <c r="AA449" s="12"/>
      <c r="AB449" s="12"/>
    </row>
    <row r="450" spans="1:28" s="10" customFormat="1" ht="15">
      <c r="A450" s="9"/>
      <c r="B450" s="169" cm="1">
        <f t="array" ref="B450">_xlfn.IFS(OR(Code!R219&lt;&gt;Code!U219,Code!R219=""),0,Code!R219=Code!U219,1)</f>
        <v>0</v>
      </c>
      <c r="C450" s="193" t="str">
        <f>IF(Code!F219="","",Code!F219)</f>
        <v>HES</v>
      </c>
      <c r="D450" s="155" t="str">
        <f>IFERROR(VLOOKUP($C450,Code!$H:$K,2,FALSE),"")</f>
        <v>XLE</v>
      </c>
      <c r="E450" s="156" t="str">
        <f>IFERROR(VLOOKUP($C450,Code!$H:$K,3,FALSE),"")</f>
        <v>油氣E&amp;P</v>
      </c>
      <c r="F450" s="157" t="str">
        <f>IFERROR(VLOOKUP($C450,Code!$H:$K,4,FALSE),"")</f>
        <v>.SPX</v>
      </c>
      <c r="G450" s="170">
        <f>IFERROR(((VLOOKUP($C450,Code!$H:$Q,9,FALSE))+(VLOOKUP($C450,Code!$H:$Q,10,FALSE)))/2*0.5/(((VLOOKUP($C450,Code!$H:$Q,7,FALSE))+(VLOOKUP($C450,Code!$H:$Q,8,FALSE)))/2),0)</f>
        <v>0.45667313117066288</v>
      </c>
      <c r="H450" s="171" t="str">
        <f t="shared" si="48"/>
        <v>S</v>
      </c>
      <c r="I450" s="170">
        <f>IFERROR((VLOOKUP($C450,Code!$H:$Q,5,FALSE))/(((VLOOKUP($C450,Code!$H:$Q,7,FALSE))+(VLOOKUP($C450,Code!$H:$Q,8,FALSE)))/2)-1,0)</f>
        <v>-0.32739774330042315</v>
      </c>
      <c r="J450" s="204">
        <f>IFERROR(POWER((VLOOKUP(C450,Code!H:W,12,FALSE))/(VLOOKUP(C450,Code!H:W,15,FALSE)),1/(P450-1))-1,"")</f>
        <v>0.21581650859343671</v>
      </c>
      <c r="K450" s="172" cm="1">
        <f t="array" ref="K450">IFERROR(IF(C450="","",_xlfn.IFS(AND(VLOOKUP(C450,Code!H:W,13,FALSE)=0,VLOOKUP(C450,Code!H:W,16,FALSE)=0),"無股息",AND(VLOOKUP(C450,Code!H:W,13,FALSE)=0,VLOOKUP(C450,Code!H:W,16,FALSE)&gt;0),"股息沒了",AND(VLOOKUP(C450,Code!H:W,13,FALSE)&gt;0,VLOOKUP(C450,Code!H:W,16,FALSE)=0),"發股息了",AND(VLOOKUP(C450,Code!H:W,13,FALSE)&gt;0,VLOOKUP(C450,Code!H:W,16,FALSE)&gt;0),POWER((VLOOKUP(C450,Code!H:W,13,FALSE))/(VLOOKUP(C450,Code!H:W,16,FALSE)),1/(P450-1))-1)),"")</f>
        <v>0</v>
      </c>
      <c r="L450" s="173">
        <f>IFERROR(VLOOKUP(C450,Code!H:W,13,FALSE)*4/VLOOKUP(C450,Code!H:W,12,FALSE),"")</f>
        <v>1.1277771745237589E-2</v>
      </c>
      <c r="M450" s="172">
        <f t="shared" si="49"/>
        <v>0.21581650859343671</v>
      </c>
      <c r="N450" s="172" t="str">
        <f t="shared" si="50"/>
        <v>-</v>
      </c>
      <c r="O450" s="172" t="str">
        <f t="shared" si="51"/>
        <v>-</v>
      </c>
      <c r="P450" s="205">
        <f>IFERROR(YEARFRAC(VLOOKUP(C450,Code!H:W,11,FALSE),VLOOKUP(C450,Code!H:W,14,FALSE),3),"")</f>
        <v>4.7479452054794518</v>
      </c>
      <c r="Q450" s="174">
        <v>44547</v>
      </c>
      <c r="R450" s="175" t="str">
        <f t="shared" ca="1" si="52"/>
        <v/>
      </c>
      <c r="S450" s="176">
        <f>IFERROR(VLOOKUP($C450,Code!$H:$Q,5,FALSE),"")</f>
        <v>0.38150000000000001</v>
      </c>
      <c r="T450" s="177" t="str">
        <f t="shared" ca="1" si="53"/>
        <v/>
      </c>
      <c r="U450" s="178" t="str">
        <f t="shared" ca="1" si="54"/>
        <v/>
      </c>
      <c r="V450" s="179">
        <f>IFERROR(VLOOKUP($C450,Code!$H:$Q,6,FALSE),"")</f>
        <v>73.14</v>
      </c>
      <c r="W450" s="180" t="str">
        <f t="shared" ca="1" si="55"/>
        <v/>
      </c>
      <c r="X450" s="12"/>
      <c r="Y450" s="12"/>
      <c r="Z450" s="12"/>
      <c r="AA450" s="12"/>
      <c r="AB450" s="12"/>
    </row>
    <row r="451" spans="1:28" s="10" customFormat="1" ht="15" hidden="1">
      <c r="A451" s="9"/>
      <c r="B451" s="169" cm="1">
        <f t="array" ref="B451">_xlfn.IFS(OR(Code!R437&lt;&gt;Code!U437,Code!R437=""),0,Code!R437=Code!U437,1)</f>
        <v>0</v>
      </c>
      <c r="C451" s="193" t="str">
        <f>IF(Code!F437="","",Code!F437)</f>
        <v>TER</v>
      </c>
      <c r="D451" s="155" t="str">
        <f>IFERROR(VLOOKUP($C451,Code!$H:$K,2,FALSE),"")</f>
        <v>XLK</v>
      </c>
      <c r="E451" s="156" t="str">
        <f>IFERROR(VLOOKUP($C451,Code!$H:$K,3,FALSE),"")</f>
        <v>半導體設備與材料</v>
      </c>
      <c r="F451" s="157" t="str">
        <f>IFERROR(VLOOKUP($C451,Code!$H:$K,4,FALSE),"")</f>
        <v>.SPX</v>
      </c>
      <c r="G451" s="170">
        <f>IFERROR(((VLOOKUP($C451,Code!$H:$Q,9,FALSE))+(VLOOKUP($C451,Code!$H:$Q,10,FALSE)))/2*0.5/(((VLOOKUP($C451,Code!$H:$Q,7,FALSE))+(VLOOKUP($C451,Code!$H:$Q,8,FALSE)))/2),0)</f>
        <v>0.43453280919262177</v>
      </c>
      <c r="H451" s="171" t="str">
        <f t="shared" si="48"/>
        <v>S</v>
      </c>
      <c r="I451" s="170">
        <f>IFERROR((VLOOKUP($C451,Code!$H:$Q,5,FALSE))/(((VLOOKUP($C451,Code!$H:$Q,7,FALSE))+(VLOOKUP($C451,Code!$H:$Q,8,FALSE)))/2)-1,0)</f>
        <v>-0.3276887410543291</v>
      </c>
      <c r="J451" s="204">
        <f>IFERROR(POWER((VLOOKUP(C451,Code!H:W,12,FALSE))/(VLOOKUP(C451,Code!H:W,15,FALSE)),1/(P451-1))-1,"")</f>
        <v>0.63441245960143422</v>
      </c>
      <c r="K451" s="172" cm="1">
        <f t="array" ref="K451">IFERROR(IF(C451="","",_xlfn.IFS(AND(VLOOKUP(C451,Code!H:W,13,FALSE)=0,VLOOKUP(C451,Code!H:W,16,FALSE)=0),"無股息",AND(VLOOKUP(C451,Code!H:W,13,FALSE)=0,VLOOKUP(C451,Code!H:W,16,FALSE)&gt;0),"股息沒了",AND(VLOOKUP(C451,Code!H:W,13,FALSE)&gt;0,VLOOKUP(C451,Code!H:W,16,FALSE)=0),"發股息了",AND(VLOOKUP(C451,Code!H:W,13,FALSE)&gt;0,VLOOKUP(C451,Code!H:W,16,FALSE)&gt;0),POWER((VLOOKUP(C451,Code!H:W,13,FALSE))/(VLOOKUP(C451,Code!H:W,16,FALSE)),1/(P451-1))-1)),"")</f>
        <v>0.14682338988828136</v>
      </c>
      <c r="L451" s="173">
        <f>IFERROR(VLOOKUP(C451,Code!H:W,13,FALSE)*4/VLOOKUP(C451,Code!H:W,12,FALSE),"")</f>
        <v>3.1121139329259315E-3</v>
      </c>
      <c r="M451" s="172">
        <f t="shared" si="49"/>
        <v>0.78123584948971558</v>
      </c>
      <c r="N451" s="172" t="str">
        <f t="shared" si="50"/>
        <v>-</v>
      </c>
      <c r="O451" s="172" t="str">
        <f t="shared" si="51"/>
        <v>-</v>
      </c>
      <c r="P451" s="205">
        <f>IFERROR(YEARFRAC(VLOOKUP(C451,Code!H:W,11,FALSE),VLOOKUP(C451,Code!H:W,14,FALSE),3),"")</f>
        <v>4.7287671232876711</v>
      </c>
      <c r="Q451" s="174">
        <v>44547</v>
      </c>
      <c r="R451" s="175" t="str">
        <f t="shared" ca="1" si="52"/>
        <v/>
      </c>
      <c r="S451" s="176">
        <f>IFERROR(VLOOKUP($C451,Code!$H:$Q,5,FALSE),"")</f>
        <v>0.33350000000000002</v>
      </c>
      <c r="T451" s="177" t="str">
        <f t="shared" ca="1" si="53"/>
        <v/>
      </c>
      <c r="U451" s="178" t="str">
        <f t="shared" ca="1" si="54"/>
        <v/>
      </c>
      <c r="V451" s="179">
        <f>IFERROR(VLOOKUP($C451,Code!$H:$Q,6,FALSE),"")</f>
        <v>126.58</v>
      </c>
      <c r="W451" s="180" t="str">
        <f t="shared" ca="1" si="55"/>
        <v/>
      </c>
      <c r="X451" s="12"/>
      <c r="Y451" s="12"/>
      <c r="Z451" s="12"/>
      <c r="AA451" s="12"/>
      <c r="AB451" s="12"/>
    </row>
    <row r="452" spans="1:28" s="10" customFormat="1" ht="15" hidden="1">
      <c r="A452" s="9"/>
      <c r="B452" s="169" cm="1">
        <f t="array" ref="B452">_xlfn.IFS(OR(Code!R92&lt;&gt;Code!U92,Code!R92=""),0,Code!R92=Code!U92,1)</f>
        <v>0</v>
      </c>
      <c r="C452" s="193" t="str">
        <f>IF(Code!F92="","",Code!F92)</f>
        <v>CFG</v>
      </c>
      <c r="D452" s="155" t="str">
        <f>IFERROR(VLOOKUP($C452,Code!$H:$K,2,FALSE),"")</f>
        <v>XLF</v>
      </c>
      <c r="E452" s="156" t="str">
        <f>IFERROR(VLOOKUP($C452,Code!$H:$K,3,FALSE),"")</f>
        <v>銀行-區域</v>
      </c>
      <c r="F452" s="157" t="str">
        <f>IFERROR(VLOOKUP($C452,Code!$H:$K,4,FALSE),"")</f>
        <v>.SPX</v>
      </c>
      <c r="G452" s="170">
        <f>IFERROR(((VLOOKUP($C452,Code!$H:$Q,9,FALSE))+(VLOOKUP($C452,Code!$H:$Q,10,FALSE)))/2*0.5/(((VLOOKUP($C452,Code!$H:$Q,7,FALSE))+(VLOOKUP($C452,Code!$H:$Q,8,FALSE)))/2),0)</f>
        <v>0.42506811989100818</v>
      </c>
      <c r="H452" s="171" t="str">
        <f t="shared" ref="H452:H515" si="56">IFERROR(IF(G452&gt;9E+306,"",IF(G452&gt;70%,"XL",IF(G452&gt;60%,"L",IF(G452&gt;50%,"M",IF(G452&gt;0%,"S",""))))),"")</f>
        <v>S</v>
      </c>
      <c r="I452" s="170">
        <f>IFERROR((VLOOKUP($C452,Code!$H:$Q,5,FALSE))/(((VLOOKUP($C452,Code!$H:$Q,7,FALSE))+(VLOOKUP($C452,Code!$H:$Q,8,FALSE)))/2)-1,0)</f>
        <v>-0.33053867113812618</v>
      </c>
      <c r="J452" s="204">
        <f>IFERROR(POWER((VLOOKUP(C452,Code!H:W,12,FALSE))/(VLOOKUP(C452,Code!H:W,15,FALSE)),1/(P452-1))-1,"")</f>
        <v>0.19008039208843264</v>
      </c>
      <c r="K452" s="172" cm="1">
        <f t="array" ref="K452">IFERROR(IF(C452="","",_xlfn.IFS(AND(VLOOKUP(C452,Code!H:W,13,FALSE)=0,VLOOKUP(C452,Code!H:W,16,FALSE)=0),"無股息",AND(VLOOKUP(C452,Code!H:W,13,FALSE)=0,VLOOKUP(C452,Code!H:W,16,FALSE)&gt;0),"股息沒了",AND(VLOOKUP(C452,Code!H:W,13,FALSE)&gt;0,VLOOKUP(C452,Code!H:W,16,FALSE)=0),"發股息了",AND(VLOOKUP(C452,Code!H:W,13,FALSE)&gt;0,VLOOKUP(C452,Code!H:W,16,FALSE)&gt;0),POWER((VLOOKUP(C452,Code!H:W,13,FALSE))/(VLOOKUP(C452,Code!H:W,16,FALSE)),1/(P452-1))-1)),"")</f>
        <v>0.36986249808993543</v>
      </c>
      <c r="L452" s="173">
        <f>IFERROR(VLOOKUP(C452,Code!H:W,13,FALSE)*4/VLOOKUP(C452,Code!H:W,12,FALSE),"")</f>
        <v>3.6406068974358372E-2</v>
      </c>
      <c r="M452" s="172">
        <f t="shared" ref="M452:M520" si="57">IF(SUM(J452:K452)=0,"",SUM(J452:K452))</f>
        <v>0.55994289017836807</v>
      </c>
      <c r="N452" s="172" t="str">
        <f t="shared" ref="N452:N520" si="58">IFERROR(IF(L452&gt;3%,IF((K452+L452)&gt;12%,"Venture","-"),"-"),"")</f>
        <v>Venture</v>
      </c>
      <c r="O452" s="172" t="str">
        <f t="shared" ref="O452:O520" si="59">IFERROR(IF(OR(L452&lt;3%,L452=""),IF((K452+L452)&gt;15%,"Value","-"),"-"),"")</f>
        <v>-</v>
      </c>
      <c r="P452" s="205">
        <f>IFERROR(YEARFRAC(VLOOKUP(C452,Code!H:W,11,FALSE),VLOOKUP(C452,Code!H:W,14,FALSE),3),"")</f>
        <v>4.7452054794520544</v>
      </c>
      <c r="Q452" s="174">
        <v>44547</v>
      </c>
      <c r="R452" s="175" t="str">
        <f t="shared" ref="R452:R515" ca="1" si="60">IFERROR(IF(OR(_xlfn.DAYS(Q452,TODAY())+1&lt;0,C452=0),"",_xlfn.DAYS(Q452,TODAY())+1),"")</f>
        <v/>
      </c>
      <c r="S452" s="176">
        <f>IFERROR(VLOOKUP($C452,Code!$H:$Q,5,FALSE),"")</f>
        <v>0.31940000000000002</v>
      </c>
      <c r="T452" s="177" t="str">
        <f t="shared" ref="T452:T515" ca="1" si="61">IFERROR(IF(V452*S452*SQRT(R452/365)=0,"",V452*S452*SQRT(R452/365)),"")</f>
        <v/>
      </c>
      <c r="U452" s="178" t="str">
        <f t="shared" ref="U452:U515" ca="1" si="62">IFERROR(V452-T452,"")</f>
        <v/>
      </c>
      <c r="V452" s="179">
        <f>IFERROR(VLOOKUP($C452,Code!$H:$Q,6,FALSE),"")</f>
        <v>43.13</v>
      </c>
      <c r="W452" s="180" t="str">
        <f t="shared" ref="W452:W515" ca="1" si="63">IFERROR(V452+T452,"")</f>
        <v/>
      </c>
      <c r="X452" s="12"/>
      <c r="Y452" s="12"/>
      <c r="Z452" s="12"/>
      <c r="AA452" s="12"/>
      <c r="AB452" s="12"/>
    </row>
    <row r="453" spans="1:28" s="10" customFormat="1" ht="15" hidden="1">
      <c r="A453" s="9"/>
      <c r="B453" s="169" cm="1">
        <f t="array" ref="B453">_xlfn.IFS(OR(Code!R464&lt;&gt;Code!U464,Code!R464=""),0,Code!R464=Code!U464,1)</f>
        <v>0</v>
      </c>
      <c r="C453" s="193" t="str">
        <f>IF(Code!F464="","",Code!F464)</f>
        <v>UNM</v>
      </c>
      <c r="D453" s="155" t="str">
        <f>IFERROR(VLOOKUP($C453,Code!$H:$K,2,FALSE),"")</f>
        <v>XLF</v>
      </c>
      <c r="E453" s="156" t="str">
        <f>IFERROR(VLOOKUP($C453,Code!$H:$K,3,FALSE),"")</f>
        <v>保險-人壽保險</v>
      </c>
      <c r="F453" s="157" t="str">
        <f>IFERROR(VLOOKUP($C453,Code!$H:$K,4,FALSE),"")</f>
        <v>.SPX</v>
      </c>
      <c r="G453" s="170">
        <f>IFERROR(((VLOOKUP($C453,Code!$H:$Q,9,FALSE))+(VLOOKUP($C453,Code!$H:$Q,10,FALSE)))/2*0.5/(((VLOOKUP($C453,Code!$H:$Q,7,FALSE))+(VLOOKUP($C453,Code!$H:$Q,8,FALSE)))/2),0)</f>
        <v>0.42997323818019623</v>
      </c>
      <c r="H453" s="171" t="str">
        <f t="shared" si="56"/>
        <v>S</v>
      </c>
      <c r="I453" s="170">
        <f>IFERROR((VLOOKUP($C453,Code!$H:$Q,5,FALSE))/(((VLOOKUP($C453,Code!$H:$Q,7,FALSE))+(VLOOKUP($C453,Code!$H:$Q,8,FALSE)))/2)-1,0)</f>
        <v>-0.33075626920408374</v>
      </c>
      <c r="J453" s="204">
        <f>IFERROR(POWER((VLOOKUP(C453,Code!H:W,12,FALSE))/(VLOOKUP(C453,Code!H:W,15,FALSE)),1/(P453-1))-1,"")</f>
        <v>-2.6031230493908097E-2</v>
      </c>
      <c r="K453" s="172" cm="1">
        <f t="array" ref="K453">IFERROR(IF(C453="","",_xlfn.IFS(AND(VLOOKUP(C453,Code!H:W,13,FALSE)=0,VLOOKUP(C453,Code!H:W,16,FALSE)=0),"無股息",AND(VLOOKUP(C453,Code!H:W,13,FALSE)=0,VLOOKUP(C453,Code!H:W,16,FALSE)&gt;0),"股息沒了",AND(VLOOKUP(C453,Code!H:W,13,FALSE)&gt;0,VLOOKUP(C453,Code!H:W,16,FALSE)=0),"發股息了",AND(VLOOKUP(C453,Code!H:W,13,FALSE)&gt;0,VLOOKUP(C453,Code!H:W,16,FALSE)&gt;0),POWER((VLOOKUP(C453,Code!H:W,13,FALSE))/(VLOOKUP(C453,Code!H:W,16,FALSE)),1/(P453-1))-1)),"")</f>
        <v>0.11398823721015661</v>
      </c>
      <c r="L453" s="173">
        <f>IFERROR(VLOOKUP(C453,Code!H:W,13,FALSE)*4/VLOOKUP(C453,Code!H:W,12,FALSE),"")</f>
        <v>4.3383948178592389E-2</v>
      </c>
      <c r="M453" s="172">
        <f t="shared" si="57"/>
        <v>8.7957006716248509E-2</v>
      </c>
      <c r="N453" s="172" t="str">
        <f t="shared" si="58"/>
        <v>Venture</v>
      </c>
      <c r="O453" s="172" t="str">
        <f t="shared" si="59"/>
        <v>-</v>
      </c>
      <c r="P453" s="205">
        <f>IFERROR(YEARFRAC(VLOOKUP(C453,Code!H:W,11,FALSE),VLOOKUP(C453,Code!H:W,14,FALSE),3),"")</f>
        <v>4.7561643835616438</v>
      </c>
      <c r="Q453" s="174">
        <v>44547</v>
      </c>
      <c r="R453" s="175" t="str">
        <f t="shared" ca="1" si="60"/>
        <v/>
      </c>
      <c r="S453" s="176">
        <f>IFERROR(VLOOKUP($C453,Code!$H:$Q,5,FALSE),"")</f>
        <v>0.33760000000000001</v>
      </c>
      <c r="T453" s="177" t="str">
        <f t="shared" ca="1" si="61"/>
        <v/>
      </c>
      <c r="U453" s="178" t="str">
        <f t="shared" ca="1" si="62"/>
        <v/>
      </c>
      <c r="V453" s="179">
        <f>IFERROR(VLOOKUP($C453,Code!$H:$Q,6,FALSE),"")</f>
        <v>26.39</v>
      </c>
      <c r="W453" s="180" t="str">
        <f t="shared" ca="1" si="63"/>
        <v/>
      </c>
      <c r="X453" s="12"/>
      <c r="Y453" s="12"/>
      <c r="Z453" s="12"/>
      <c r="AA453" s="12"/>
      <c r="AB453" s="12"/>
    </row>
    <row r="454" spans="1:28" s="10" customFormat="1" ht="15" hidden="1">
      <c r="A454" s="9"/>
      <c r="B454" s="169" cm="1">
        <f t="array" ref="B454">_xlfn.IFS(OR(Code!R178&lt;&gt;Code!U178,Code!R178=""),0,Code!R178=Code!U178,1)</f>
        <v>0</v>
      </c>
      <c r="C454" s="193" t="str">
        <f>IF(Code!F178="","",Code!F178)</f>
        <v>FANG</v>
      </c>
      <c r="D454" s="155" t="str">
        <f>IFERROR(VLOOKUP($C454,Code!$H:$K,2,FALSE),"")</f>
        <v>XLE</v>
      </c>
      <c r="E454" s="156" t="str">
        <f>IFERROR(VLOOKUP($C454,Code!$H:$K,3,FALSE),"")</f>
        <v>油氣E&amp;P</v>
      </c>
      <c r="F454" s="157" t="str">
        <f>IFERROR(VLOOKUP($C454,Code!$H:$K,4,FALSE),"")</f>
        <v>.SPX</v>
      </c>
      <c r="G454" s="170">
        <f>IFERROR(((VLOOKUP($C454,Code!$H:$Q,9,FALSE))+(VLOOKUP($C454,Code!$H:$Q,10,FALSE)))/2*0.5/(((VLOOKUP($C454,Code!$H:$Q,7,FALSE))+(VLOOKUP($C454,Code!$H:$Q,8,FALSE)))/2),0)</f>
        <v>0.4450938372621599</v>
      </c>
      <c r="H454" s="171" t="str">
        <f t="shared" si="56"/>
        <v>S</v>
      </c>
      <c r="I454" s="170">
        <f>IFERROR((VLOOKUP($C454,Code!$H:$Q,5,FALSE))/(((VLOOKUP($C454,Code!$H:$Q,7,FALSE))+(VLOOKUP($C454,Code!$H:$Q,8,FALSE)))/2)-1,0)</f>
        <v>-0.3321644262614456</v>
      </c>
      <c r="J454" s="204">
        <f>IFERROR(POWER((VLOOKUP(C454,Code!H:W,12,FALSE))/(VLOOKUP(C454,Code!H:W,15,FALSE)),1/(P454-1))-1,"")</f>
        <v>-0.21111772433589204</v>
      </c>
      <c r="K454" s="172" cm="1">
        <f t="array" ref="K454">IFERROR(IF(C454="","",_xlfn.IFS(AND(VLOOKUP(C454,Code!H:W,13,FALSE)=0,VLOOKUP(C454,Code!H:W,16,FALSE)=0),"無股息",AND(VLOOKUP(C454,Code!H:W,13,FALSE)=0,VLOOKUP(C454,Code!H:W,16,FALSE)&gt;0),"股息沒了",AND(VLOOKUP(C454,Code!H:W,13,FALSE)&gt;0,VLOOKUP(C454,Code!H:W,16,FALSE)=0),"發股息了",AND(VLOOKUP(C454,Code!H:W,13,FALSE)&gt;0,VLOOKUP(C454,Code!H:W,16,FALSE)&gt;0),POWER((VLOOKUP(C454,Code!H:W,13,FALSE))/(VLOOKUP(C454,Code!H:W,16,FALSE)),1/(P454-1))-1)),"")</f>
        <v>0.796043643122339</v>
      </c>
      <c r="L454" s="173">
        <f>IFERROR(VLOOKUP(C454,Code!H:W,13,FALSE)*4/VLOOKUP(C454,Code!H:W,12,FALSE),"")</f>
        <v>2.013084967818413E-2</v>
      </c>
      <c r="M454" s="172">
        <f t="shared" si="57"/>
        <v>0.58492591878644695</v>
      </c>
      <c r="N454" s="172" t="str">
        <f t="shared" si="58"/>
        <v>-</v>
      </c>
      <c r="O454" s="172" t="str">
        <f t="shared" si="59"/>
        <v>Value</v>
      </c>
      <c r="P454" s="205">
        <f>IFERROR(YEARFRAC(VLOOKUP(C454,Code!H:W,11,FALSE),VLOOKUP(C454,Code!H:W,14,FALSE),3),"")</f>
        <v>2.9863013698630136</v>
      </c>
      <c r="Q454" s="174">
        <v>44547</v>
      </c>
      <c r="R454" s="175" t="str">
        <f t="shared" ca="1" si="60"/>
        <v/>
      </c>
      <c r="S454" s="176">
        <f>IFERROR(VLOOKUP($C454,Code!$H:$Q,5,FALSE),"")</f>
        <v>0.51419999999999999</v>
      </c>
      <c r="T454" s="177" t="str">
        <f t="shared" ca="1" si="61"/>
        <v/>
      </c>
      <c r="U454" s="178" t="str">
        <f t="shared" ca="1" si="62"/>
        <v/>
      </c>
      <c r="V454" s="179">
        <f>IFERROR(VLOOKUP($C454,Code!$H:$Q,6,FALSE),"")</f>
        <v>79.83</v>
      </c>
      <c r="W454" s="180" t="str">
        <f t="shared" ca="1" si="63"/>
        <v/>
      </c>
      <c r="X454" s="12"/>
      <c r="Y454" s="12"/>
      <c r="Z454" s="12"/>
      <c r="AA454" s="12"/>
      <c r="AB454" s="12"/>
    </row>
    <row r="455" spans="1:28" s="10" customFormat="1" ht="15" hidden="1">
      <c r="A455" s="9"/>
      <c r="B455" s="169" cm="1">
        <f t="array" ref="B455">_xlfn.IFS(OR(Code!R180&lt;&gt;Code!U180,Code!R180=""),0,Code!R180=Code!U180,1)</f>
        <v>1</v>
      </c>
      <c r="C455" s="193" t="str">
        <f>IF(Code!F180="","",Code!F180)</f>
        <v>FB</v>
      </c>
      <c r="D455" s="155" t="str">
        <f>IFERROR(VLOOKUP($C455,Code!$H:$K,2,FALSE),"")</f>
        <v>XLC</v>
      </c>
      <c r="E455" s="156" t="str">
        <f>IFERROR(VLOOKUP($C455,Code!$H:$K,3,FALSE),"")</f>
        <v>互聯網內容與信息</v>
      </c>
      <c r="F455" s="157" t="str">
        <f>IFERROR(VLOOKUP($C455,Code!$H:$K,4,FALSE),"")</f>
        <v>.SPX</v>
      </c>
      <c r="G455" s="170">
        <f>IFERROR(((VLOOKUP($C455,Code!$H:$Q,9,FALSE))+(VLOOKUP($C455,Code!$H:$Q,10,FALSE)))/2*0.5/(((VLOOKUP($C455,Code!$H:$Q,7,FALSE))+(VLOOKUP($C455,Code!$H:$Q,8,FALSE)))/2),0)</f>
        <v>0.52700811642877143</v>
      </c>
      <c r="H455" s="171" t="str">
        <f t="shared" si="56"/>
        <v>M</v>
      </c>
      <c r="I455" s="170">
        <f>IFERROR((VLOOKUP($C455,Code!$H:$Q,5,FALSE))/(((VLOOKUP($C455,Code!$H:$Q,7,FALSE))+(VLOOKUP($C455,Code!$H:$Q,8,FALSE)))/2)-1,0)</f>
        <v>-0.33725160929191156</v>
      </c>
      <c r="J455" s="204" t="str">
        <f>IFERROR(POWER((VLOOKUP(C455,Code!H:W,12,FALSE))/(VLOOKUP(C455,Code!H:W,15,FALSE)),1/(P455-1))-1,"")</f>
        <v/>
      </c>
      <c r="K455" s="172" t="str" cm="1">
        <f t="array" ref="K455">IFERROR(IF(C455="","",_xlfn.IFS(AND(VLOOKUP(C455,Code!H:W,13,FALSE)=0,VLOOKUP(C455,Code!H:W,16,FALSE)=0),"無股息",AND(VLOOKUP(C455,Code!H:W,13,FALSE)=0,VLOOKUP(C455,Code!H:W,16,FALSE)&gt;0),"股息沒了",AND(VLOOKUP(C455,Code!H:W,13,FALSE)&gt;0,VLOOKUP(C455,Code!H:W,16,FALSE)=0),"發股息了",AND(VLOOKUP(C455,Code!H:W,13,FALSE)&gt;0,VLOOKUP(C455,Code!H:W,16,FALSE)&gt;0),POWER((VLOOKUP(C455,Code!H:W,13,FALSE))/(VLOOKUP(C455,Code!H:W,16,FALSE)),1/(P455-1))-1)),"")</f>
        <v>無股息</v>
      </c>
      <c r="L455" s="173" t="str">
        <f>IFERROR(VLOOKUP(C455,Code!H:W,13,FALSE)*4/VLOOKUP(C455,Code!H:W,12,FALSE),"")</f>
        <v/>
      </c>
      <c r="M455" s="172" t="str">
        <f t="shared" si="57"/>
        <v/>
      </c>
      <c r="N455" s="172" t="str">
        <f t="shared" si="58"/>
        <v/>
      </c>
      <c r="O455" s="172" t="str">
        <f t="shared" si="59"/>
        <v/>
      </c>
      <c r="P455" s="205">
        <f>IFERROR(YEARFRAC(VLOOKUP(C455,Code!H:W,11,FALSE),VLOOKUP(C455,Code!H:W,14,FALSE),3),"")</f>
        <v>0</v>
      </c>
      <c r="Q455" s="174">
        <v>44547</v>
      </c>
      <c r="R455" s="175" t="str">
        <f t="shared" ca="1" si="60"/>
        <v/>
      </c>
      <c r="S455" s="176">
        <f>IFERROR(VLOOKUP($C455,Code!$H:$Q,5,FALSE),"")</f>
        <v>0.23680000000000001</v>
      </c>
      <c r="T455" s="177" t="str">
        <f t="shared" ca="1" si="61"/>
        <v/>
      </c>
      <c r="U455" s="178" t="str">
        <f t="shared" ca="1" si="62"/>
        <v/>
      </c>
      <c r="V455" s="179">
        <f>IFERROR(VLOOKUP($C455,Code!$H:$Q,6,FALSE),"")</f>
        <v>362.97</v>
      </c>
      <c r="W455" s="180" t="str">
        <f t="shared" ca="1" si="63"/>
        <v/>
      </c>
      <c r="X455" s="12"/>
      <c r="Y455" s="12"/>
      <c r="Z455" s="12"/>
      <c r="AA455" s="12"/>
      <c r="AB455" s="12"/>
    </row>
    <row r="456" spans="1:28" s="10" customFormat="1" ht="15" hidden="1">
      <c r="A456" s="9"/>
      <c r="B456" s="169" cm="1">
        <f t="array" ref="B456">_xlfn.IFS(OR(Code!R391&lt;&gt;Code!U391,Code!R391=""),0,Code!R391=Code!U391,1)</f>
        <v>1</v>
      </c>
      <c r="C456" s="193" t="str">
        <f>IF(Code!F391="","",Code!F391)</f>
        <v>PYPL</v>
      </c>
      <c r="D456" s="155" t="str">
        <f>IFERROR(VLOOKUP($C456,Code!$H:$K,2,FALSE),"")</f>
        <v>XLK</v>
      </c>
      <c r="E456" s="156" t="str">
        <f>IFERROR(VLOOKUP($C456,Code!$H:$K,3,FALSE),"")</f>
        <v>信貸服務</v>
      </c>
      <c r="F456" s="157" t="str">
        <f>IFERROR(VLOOKUP($C456,Code!$H:$K,4,FALSE),"")</f>
        <v>.SPX</v>
      </c>
      <c r="G456" s="170">
        <f>IFERROR(((VLOOKUP($C456,Code!$H:$Q,9,FALSE))+(VLOOKUP($C456,Code!$H:$Q,10,FALSE)))/2*0.5/(((VLOOKUP($C456,Code!$H:$Q,7,FALSE))+(VLOOKUP($C456,Code!$H:$Q,8,FALSE)))/2),0)</f>
        <v>0.53117398540519789</v>
      </c>
      <c r="H456" s="171" t="str">
        <f t="shared" si="56"/>
        <v>M</v>
      </c>
      <c r="I456" s="170">
        <f>IFERROR((VLOOKUP($C456,Code!$H:$Q,5,FALSE))/(((VLOOKUP($C456,Code!$H:$Q,7,FALSE))+(VLOOKUP($C456,Code!$H:$Q,8,FALSE)))/2)-1,0)</f>
        <v>-0.33811291768019447</v>
      </c>
      <c r="J456" s="204" t="str">
        <f>IFERROR(POWER((VLOOKUP(C456,Code!H:W,12,FALSE))/(VLOOKUP(C456,Code!H:W,15,FALSE)),1/(P456-1))-1,"")</f>
        <v/>
      </c>
      <c r="K456" s="172" t="str" cm="1">
        <f t="array" ref="K456">IFERROR(IF(C456="","",_xlfn.IFS(AND(VLOOKUP(C456,Code!H:W,13,FALSE)=0,VLOOKUP(C456,Code!H:W,16,FALSE)=0),"無股息",AND(VLOOKUP(C456,Code!H:W,13,FALSE)=0,VLOOKUP(C456,Code!H:W,16,FALSE)&gt;0),"股息沒了",AND(VLOOKUP(C456,Code!H:W,13,FALSE)&gt;0,VLOOKUP(C456,Code!H:W,16,FALSE)=0),"發股息了",AND(VLOOKUP(C456,Code!H:W,13,FALSE)&gt;0,VLOOKUP(C456,Code!H:W,16,FALSE)&gt;0),POWER((VLOOKUP(C456,Code!H:W,13,FALSE))/(VLOOKUP(C456,Code!H:W,16,FALSE)),1/(P456-1))-1)),"")</f>
        <v>無股息</v>
      </c>
      <c r="L456" s="173" t="str">
        <f>IFERROR(VLOOKUP(C456,Code!H:W,13,FALSE)*4/VLOOKUP(C456,Code!H:W,12,FALSE),"")</f>
        <v/>
      </c>
      <c r="M456" s="172" t="str">
        <f t="shared" si="57"/>
        <v/>
      </c>
      <c r="N456" s="172" t="str">
        <f t="shared" si="58"/>
        <v/>
      </c>
      <c r="O456" s="172" t="str">
        <f t="shared" si="59"/>
        <v/>
      </c>
      <c r="P456" s="205">
        <f>IFERROR(YEARFRAC(VLOOKUP(C456,Code!H:W,11,FALSE),VLOOKUP(C456,Code!H:W,14,FALSE),3),"")</f>
        <v>0</v>
      </c>
      <c r="Q456" s="174">
        <v>44547</v>
      </c>
      <c r="R456" s="175" t="str">
        <f t="shared" ca="1" si="60"/>
        <v/>
      </c>
      <c r="S456" s="176">
        <f>IFERROR(VLOOKUP($C456,Code!$H:$Q,5,FALSE),"")</f>
        <v>0.25850000000000001</v>
      </c>
      <c r="T456" s="177" t="str">
        <f t="shared" ca="1" si="61"/>
        <v/>
      </c>
      <c r="U456" s="178" t="str">
        <f t="shared" ca="1" si="62"/>
        <v/>
      </c>
      <c r="V456" s="179">
        <f>IFERROR(VLOOKUP($C456,Code!$H:$Q,6,FALSE),"")</f>
        <v>280.67</v>
      </c>
      <c r="W456" s="180" t="str">
        <f t="shared" ca="1" si="63"/>
        <v/>
      </c>
      <c r="X456" s="12"/>
      <c r="Y456" s="12"/>
      <c r="Z456" s="12"/>
      <c r="AA456" s="12"/>
      <c r="AB456" s="12"/>
    </row>
    <row r="457" spans="1:28" s="10" customFormat="1" ht="15" hidden="1">
      <c r="A457" s="9"/>
      <c r="B457" s="169" cm="1">
        <f t="array" ref="B457">_xlfn.IFS(OR(Code!R392&lt;&gt;Code!U392,Code!R392=""),0,Code!R392=Code!U392,1)</f>
        <v>0</v>
      </c>
      <c r="C457" s="193" t="str">
        <f>IF(Code!F392="","",Code!F392)</f>
        <v>QCOM</v>
      </c>
      <c r="D457" s="155" t="str">
        <f>IFERROR(VLOOKUP($C457,Code!$H:$K,2,FALSE),"")</f>
        <v>XLK</v>
      </c>
      <c r="E457" s="156" t="str">
        <f>IFERROR(VLOOKUP($C457,Code!$H:$K,3,FALSE),"")</f>
        <v>半導體</v>
      </c>
      <c r="F457" s="157" t="str">
        <f>IFERROR(VLOOKUP($C457,Code!$H:$K,4,FALSE),"")</f>
        <v>.SPX</v>
      </c>
      <c r="G457" s="170">
        <f>IFERROR(((VLOOKUP($C457,Code!$H:$Q,9,FALSE))+(VLOOKUP($C457,Code!$H:$Q,10,FALSE)))/2*0.5/(((VLOOKUP($C457,Code!$H:$Q,7,FALSE))+(VLOOKUP($C457,Code!$H:$Q,8,FALSE)))/2),0)</f>
        <v>0.51707350521119033</v>
      </c>
      <c r="H457" s="171" t="str">
        <f t="shared" si="56"/>
        <v>M</v>
      </c>
      <c r="I457" s="170">
        <f>IFERROR((VLOOKUP($C457,Code!$H:$Q,5,FALSE))/(((VLOOKUP($C457,Code!$H:$Q,7,FALSE))+(VLOOKUP($C457,Code!$H:$Q,8,FALSE)))/2)-1,0)</f>
        <v>-0.33845309928688971</v>
      </c>
      <c r="J457" s="204">
        <f>IFERROR(POWER((VLOOKUP(C457,Code!H:W,12,FALSE))/(VLOOKUP(C457,Code!H:W,15,FALSE)),1/(P457-1))-1,"")</f>
        <v>0.27375828256067414</v>
      </c>
      <c r="K457" s="172" cm="1">
        <f t="array" ref="K457">IFERROR(IF(C457="","",_xlfn.IFS(AND(VLOOKUP(C457,Code!H:W,13,FALSE)=0,VLOOKUP(C457,Code!H:W,16,FALSE)=0),"無股息",AND(VLOOKUP(C457,Code!H:W,13,FALSE)=0,VLOOKUP(C457,Code!H:W,16,FALSE)&gt;0),"股息沒了",AND(VLOOKUP(C457,Code!H:W,13,FALSE)&gt;0,VLOOKUP(C457,Code!H:W,16,FALSE)=0),"發股息了",AND(VLOOKUP(C457,Code!H:W,13,FALSE)&gt;0,VLOOKUP(C457,Code!H:W,16,FALSE)&gt;0),POWER((VLOOKUP(C457,Code!H:W,13,FALSE))/(VLOOKUP(C457,Code!H:W,16,FALSE)),1/(P457-1))-1)),"")</f>
        <v>6.8495763628348305E-2</v>
      </c>
      <c r="L457" s="173">
        <f>IFERROR(VLOOKUP(C457,Code!H:W,13,FALSE)*4/VLOOKUP(C457,Code!H:W,12,FALSE),"")</f>
        <v>2.0325809678144811E-2</v>
      </c>
      <c r="M457" s="172">
        <f t="shared" si="57"/>
        <v>0.34225404618902244</v>
      </c>
      <c r="N457" s="172" t="str">
        <f t="shared" si="58"/>
        <v>-</v>
      </c>
      <c r="O457" s="172" t="str">
        <f t="shared" si="59"/>
        <v>-</v>
      </c>
      <c r="P457" s="205">
        <f>IFERROR(YEARFRAC(VLOOKUP(C457,Code!H:W,11,FALSE),VLOOKUP(C457,Code!H:W,14,FALSE),3),"")</f>
        <v>4.7616438356164386</v>
      </c>
      <c r="Q457" s="174">
        <v>44547</v>
      </c>
      <c r="R457" s="175" t="str">
        <f t="shared" ca="1" si="60"/>
        <v/>
      </c>
      <c r="S457" s="176">
        <f>IFERROR(VLOOKUP($C457,Code!$H:$Q,5,FALSE),"")</f>
        <v>0.2412</v>
      </c>
      <c r="T457" s="177" t="str">
        <f t="shared" ca="1" si="61"/>
        <v/>
      </c>
      <c r="U457" s="178" t="str">
        <f t="shared" ca="1" si="62"/>
        <v/>
      </c>
      <c r="V457" s="179">
        <f>IFERROR(VLOOKUP($C457,Code!$H:$Q,6,FALSE),"")</f>
        <v>146.83000000000001</v>
      </c>
      <c r="W457" s="180" t="str">
        <f t="shared" ca="1" si="63"/>
        <v/>
      </c>
      <c r="X457" s="12"/>
      <c r="Y457" s="12"/>
      <c r="Z457" s="12"/>
      <c r="AA457" s="12"/>
      <c r="AB457" s="12"/>
    </row>
    <row r="458" spans="1:28" s="10" customFormat="1" ht="15" hidden="1">
      <c r="A458" s="9"/>
      <c r="B458" s="169" cm="1">
        <f t="array" ref="B458">_xlfn.IFS(OR(Code!R466&lt;&gt;Code!U466,Code!R466=""),0,Code!R466=Code!U466,1)</f>
        <v>0</v>
      </c>
      <c r="C458" s="193" t="str">
        <f>IF(Code!F466="","",Code!F466)</f>
        <v>UPS</v>
      </c>
      <c r="D458" s="155" t="str">
        <f>IFERROR(VLOOKUP($C458,Code!$H:$K,2,FALSE),"")</f>
        <v>XLI</v>
      </c>
      <c r="E458" s="156" t="str">
        <f>IFERROR(VLOOKUP($C458,Code!$H:$K,3,FALSE),"")</f>
        <v>綜合貨運物流</v>
      </c>
      <c r="F458" s="157" t="str">
        <f>IFERROR(VLOOKUP($C458,Code!$H:$K,4,FALSE),"")</f>
        <v>.SPX</v>
      </c>
      <c r="G458" s="170">
        <f>IFERROR(((VLOOKUP($C458,Code!$H:$Q,9,FALSE))+(VLOOKUP($C458,Code!$H:$Q,10,FALSE)))/2*0.5/(((VLOOKUP($C458,Code!$H:$Q,7,FALSE))+(VLOOKUP($C458,Code!$H:$Q,8,FALSE)))/2),0)</f>
        <v>0.55381863431326794</v>
      </c>
      <c r="H458" s="171" t="str">
        <f t="shared" si="56"/>
        <v>M</v>
      </c>
      <c r="I458" s="170">
        <f>IFERROR((VLOOKUP($C458,Code!$H:$Q,5,FALSE))/(((VLOOKUP($C458,Code!$H:$Q,7,FALSE))+(VLOOKUP($C458,Code!$H:$Q,8,FALSE)))/2)-1,0)</f>
        <v>-0.34142168299891118</v>
      </c>
      <c r="J458" s="204">
        <f>IFERROR(POWER((VLOOKUP(C458,Code!H:W,12,FALSE))/(VLOOKUP(C458,Code!H:W,15,FALSE)),1/(P458-1))-1,"")</f>
        <v>0.23736012975477627</v>
      </c>
      <c r="K458" s="172" cm="1">
        <f t="array" ref="K458">IFERROR(IF(C458="","",_xlfn.IFS(AND(VLOOKUP(C458,Code!H:W,13,FALSE)=0,VLOOKUP(C458,Code!H:W,16,FALSE)=0),"無股息",AND(VLOOKUP(C458,Code!H:W,13,FALSE)=0,VLOOKUP(C458,Code!H:W,16,FALSE)&gt;0),"股息沒了",AND(VLOOKUP(C458,Code!H:W,13,FALSE)&gt;0,VLOOKUP(C458,Code!H:W,16,FALSE)=0),"發股息了",AND(VLOOKUP(C458,Code!H:W,13,FALSE)&gt;0,VLOOKUP(C458,Code!H:W,16,FALSE)&gt;0),POWER((VLOOKUP(C458,Code!H:W,13,FALSE))/(VLOOKUP(C458,Code!H:W,16,FALSE)),1/(P458-1))-1)),"")</f>
        <v>7.3642273011712556E-2</v>
      </c>
      <c r="L458" s="173">
        <f>IFERROR(VLOOKUP(C458,Code!H:W,13,FALSE)*4/VLOOKUP(C458,Code!H:W,12,FALSE),"")</f>
        <v>1.9257092056585545E-2</v>
      </c>
      <c r="M458" s="172">
        <f t="shared" si="57"/>
        <v>0.31100240276648883</v>
      </c>
      <c r="N458" s="172" t="str">
        <f t="shared" si="58"/>
        <v>-</v>
      </c>
      <c r="O458" s="172" t="str">
        <f t="shared" si="59"/>
        <v>-</v>
      </c>
      <c r="P458" s="205">
        <f>IFERROR(YEARFRAC(VLOOKUP(C458,Code!H:W,11,FALSE),VLOOKUP(C458,Code!H:W,14,FALSE),3),"")</f>
        <v>4.7753424657534245</v>
      </c>
      <c r="Q458" s="174">
        <v>44547</v>
      </c>
      <c r="R458" s="175" t="str">
        <f t="shared" ca="1" si="60"/>
        <v/>
      </c>
      <c r="S458" s="176">
        <f>IFERROR(VLOOKUP($C458,Code!$H:$Q,5,FALSE),"")</f>
        <v>0.2117</v>
      </c>
      <c r="T458" s="177" t="str">
        <f t="shared" ca="1" si="61"/>
        <v/>
      </c>
      <c r="U458" s="178" t="str">
        <f t="shared" ca="1" si="62"/>
        <v/>
      </c>
      <c r="V458" s="179">
        <f>IFERROR(VLOOKUP($C458,Code!$H:$Q,6,FALSE),"")</f>
        <v>192.68</v>
      </c>
      <c r="W458" s="180" t="str">
        <f t="shared" ca="1" si="63"/>
        <v/>
      </c>
      <c r="X458" s="12"/>
      <c r="Y458" s="12"/>
      <c r="Z458" s="12"/>
      <c r="AA458" s="12"/>
      <c r="AB458" s="12"/>
    </row>
    <row r="459" spans="1:28" s="10" customFormat="1" ht="15" hidden="1">
      <c r="A459" s="9"/>
      <c r="B459" s="169" cm="1">
        <f t="array" ref="B459">_xlfn.IFS(OR(Code!R384&lt;&gt;Code!U384,Code!R384=""),0,Code!R384=Code!U384,1)</f>
        <v>0</v>
      </c>
      <c r="C459" s="193" t="str">
        <f>IF(Code!F384="","",Code!F384)</f>
        <v>PRU</v>
      </c>
      <c r="D459" s="155" t="str">
        <f>IFERROR(VLOOKUP($C459,Code!$H:$K,2,FALSE),"")</f>
        <v>XLF</v>
      </c>
      <c r="E459" s="156" t="str">
        <f>IFERROR(VLOOKUP($C459,Code!$H:$K,3,FALSE),"")</f>
        <v>保險-人壽保險</v>
      </c>
      <c r="F459" s="157" t="str">
        <f>IFERROR(VLOOKUP($C459,Code!$H:$K,4,FALSE),"")</f>
        <v>.SPX</v>
      </c>
      <c r="G459" s="170">
        <f>IFERROR(((VLOOKUP($C459,Code!$H:$Q,9,FALSE))+(VLOOKUP($C459,Code!$H:$Q,10,FALSE)))/2*0.5/(((VLOOKUP($C459,Code!$H:$Q,7,FALSE))+(VLOOKUP($C459,Code!$H:$Q,8,FALSE)))/2),0)</f>
        <v>0.4633102580239144</v>
      </c>
      <c r="H459" s="171" t="str">
        <f t="shared" si="56"/>
        <v>S</v>
      </c>
      <c r="I459" s="170">
        <f>IFERROR((VLOOKUP($C459,Code!$H:$Q,5,FALSE))/(((VLOOKUP($C459,Code!$H:$Q,7,FALSE))+(VLOOKUP($C459,Code!$H:$Q,8,FALSE)))/2)-1,0)</f>
        <v>-0.34499685336689745</v>
      </c>
      <c r="J459" s="204">
        <f>IFERROR(POWER((VLOOKUP(C459,Code!H:W,12,FALSE))/(VLOOKUP(C459,Code!H:W,15,FALSE)),1/(P459-1))-1,"")</f>
        <v>0.15294936348367383</v>
      </c>
      <c r="K459" s="172" cm="1">
        <f t="array" ref="K459">IFERROR(IF(C459="","",_xlfn.IFS(AND(VLOOKUP(C459,Code!H:W,13,FALSE)=0,VLOOKUP(C459,Code!H:W,16,FALSE)=0),"無股息",AND(VLOOKUP(C459,Code!H:W,13,FALSE)=0,VLOOKUP(C459,Code!H:W,16,FALSE)&gt;0),"股息沒了",AND(VLOOKUP(C459,Code!H:W,13,FALSE)&gt;0,VLOOKUP(C459,Code!H:W,16,FALSE)=0),"發股息了",AND(VLOOKUP(C459,Code!H:W,13,FALSE)&gt;0,VLOOKUP(C459,Code!H:W,16,FALSE)&gt;0),POWER((VLOOKUP(C459,Code!H:W,13,FALSE))/(VLOOKUP(C459,Code!H:W,16,FALSE)),1/(P459-1))-1)),"")</f>
        <v>0.14096835813003405</v>
      </c>
      <c r="L459" s="173">
        <f>IFERROR(VLOOKUP(C459,Code!H:W,13,FALSE)*4/VLOOKUP(C459,Code!H:W,12,FALSE),"")</f>
        <v>4.3261543504051321E-2</v>
      </c>
      <c r="M459" s="172">
        <f t="shared" si="57"/>
        <v>0.29391772161370788</v>
      </c>
      <c r="N459" s="172" t="str">
        <f t="shared" si="58"/>
        <v>Venture</v>
      </c>
      <c r="O459" s="172" t="str">
        <f t="shared" si="59"/>
        <v>-</v>
      </c>
      <c r="P459" s="205">
        <f>IFERROR(YEARFRAC(VLOOKUP(C459,Code!H:W,11,FALSE),VLOOKUP(C459,Code!H:W,14,FALSE),3),"")</f>
        <v>4.7643835616438359</v>
      </c>
      <c r="Q459" s="174">
        <v>44547</v>
      </c>
      <c r="R459" s="175" t="str">
        <f t="shared" ca="1" si="60"/>
        <v/>
      </c>
      <c r="S459" s="176">
        <f>IFERROR(VLOOKUP($C459,Code!$H:$Q,5,FALSE),"")</f>
        <v>0.26019999999999999</v>
      </c>
      <c r="T459" s="177" t="str">
        <f t="shared" ca="1" si="61"/>
        <v/>
      </c>
      <c r="U459" s="178" t="str">
        <f t="shared" ca="1" si="62"/>
        <v/>
      </c>
      <c r="V459" s="179">
        <f>IFERROR(VLOOKUP($C459,Code!$H:$Q,6,FALSE),"")</f>
        <v>104.01</v>
      </c>
      <c r="W459" s="180" t="str">
        <f t="shared" ca="1" si="63"/>
        <v/>
      </c>
      <c r="X459" s="12"/>
      <c r="Y459" s="12"/>
      <c r="Z459" s="12"/>
      <c r="AA459" s="12"/>
      <c r="AB459" s="12"/>
    </row>
    <row r="460" spans="1:28" s="10" customFormat="1" ht="15" hidden="1">
      <c r="A460" s="9"/>
      <c r="B460" s="169" cm="1">
        <f t="array" ref="B460">_xlfn.IFS(OR(Code!R493&lt;&gt;Code!U493,Code!R493=""),0,Code!R493=Code!U493,1)</f>
        <v>0</v>
      </c>
      <c r="C460" s="193" t="str">
        <f>IF(Code!F493="","",Code!F493)</f>
        <v>WRB</v>
      </c>
      <c r="D460" s="155" t="str">
        <f>IFERROR(VLOOKUP($C460,Code!$H:$K,2,FALSE),"")</f>
        <v>XLF</v>
      </c>
      <c r="E460" s="156" t="str">
        <f>IFERROR(VLOOKUP($C460,Code!$H:$K,3,FALSE),"")</f>
        <v>保險-財產及意外事故</v>
      </c>
      <c r="F460" s="157" t="str">
        <f>IFERROR(VLOOKUP($C460,Code!$H:$K,4,FALSE),"")</f>
        <v>.SPX</v>
      </c>
      <c r="G460" s="170">
        <f>IFERROR(((VLOOKUP($C460,Code!$H:$Q,9,FALSE))+(VLOOKUP($C460,Code!$H:$Q,10,FALSE)))/2*0.5/(((VLOOKUP($C460,Code!$H:$Q,7,FALSE))+(VLOOKUP($C460,Code!$H:$Q,8,FALSE)))/2),0)</f>
        <v>0.55463041631265919</v>
      </c>
      <c r="H460" s="171" t="str">
        <f t="shared" si="56"/>
        <v>M</v>
      </c>
      <c r="I460" s="170">
        <f>IFERROR((VLOOKUP($C460,Code!$H:$Q,5,FALSE))/(((VLOOKUP($C460,Code!$H:$Q,7,FALSE))+(VLOOKUP($C460,Code!$H:$Q,8,FALSE)))/2)-1,0)</f>
        <v>-0.34613423959218359</v>
      </c>
      <c r="J460" s="204">
        <f>IFERROR(POWER((VLOOKUP(C460,Code!H:W,12,FALSE))/(VLOOKUP(C460,Code!H:W,15,FALSE)),1/(P460-1))-1,"")</f>
        <v>0.23000686740396925</v>
      </c>
      <c r="K460" s="172" cm="1">
        <f t="array" ref="K460">IFERROR(IF(C460="","",_xlfn.IFS(AND(VLOOKUP(C460,Code!H:W,13,FALSE)=0,VLOOKUP(C460,Code!H:W,16,FALSE)=0),"無股息",AND(VLOOKUP(C460,Code!H:W,13,FALSE)=0,VLOOKUP(C460,Code!H:W,16,FALSE)&gt;0),"股息沒了",AND(VLOOKUP(C460,Code!H:W,13,FALSE)&gt;0,VLOOKUP(C460,Code!H:W,16,FALSE)=0),"發股息了",AND(VLOOKUP(C460,Code!H:W,13,FALSE)&gt;0,VLOOKUP(C460,Code!H:W,16,FALSE)&gt;0),POWER((VLOOKUP(C460,Code!H:W,13,FALSE))/(VLOOKUP(C460,Code!H:W,16,FALSE)),1/(P460-1))-1)),"")</f>
        <v>0.11346438994630303</v>
      </c>
      <c r="L460" s="173">
        <f>IFERROR(VLOOKUP(C460,Code!H:W,13,FALSE)*4/VLOOKUP(C460,Code!H:W,12,FALSE),"")</f>
        <v>3.4086297708612073E-2</v>
      </c>
      <c r="M460" s="172">
        <f t="shared" si="57"/>
        <v>0.34347125735027229</v>
      </c>
      <c r="N460" s="172" t="str">
        <f t="shared" si="58"/>
        <v>Venture</v>
      </c>
      <c r="O460" s="172" t="str">
        <f t="shared" si="59"/>
        <v>-</v>
      </c>
      <c r="P460" s="205">
        <f>IFERROR(YEARFRAC(VLOOKUP(C460,Code!H:W,11,FALSE),VLOOKUP(C460,Code!H:W,14,FALSE),3),"")</f>
        <v>4.7726027397260271</v>
      </c>
      <c r="Q460" s="174">
        <v>44547</v>
      </c>
      <c r="R460" s="175" t="str">
        <f t="shared" ca="1" si="60"/>
        <v/>
      </c>
      <c r="S460" s="176">
        <f>IFERROR(VLOOKUP($C460,Code!$H:$Q,5,FALSE),"")</f>
        <v>0.19239999999999999</v>
      </c>
      <c r="T460" s="177" t="str">
        <f t="shared" ca="1" si="61"/>
        <v/>
      </c>
      <c r="U460" s="178" t="str">
        <f t="shared" ca="1" si="62"/>
        <v/>
      </c>
      <c r="V460" s="179">
        <f>IFERROR(VLOOKUP($C460,Code!$H:$Q,6,FALSE),"")</f>
        <v>72.66</v>
      </c>
      <c r="W460" s="180" t="str">
        <f t="shared" ca="1" si="63"/>
        <v/>
      </c>
      <c r="X460" s="12"/>
      <c r="Y460" s="12"/>
      <c r="Z460" s="12"/>
      <c r="AA460" s="12"/>
      <c r="AB460" s="12"/>
    </row>
    <row r="461" spans="1:28" s="10" customFormat="1" ht="15" hidden="1">
      <c r="A461" s="9"/>
      <c r="B461" s="169" cm="1">
        <f t="array" ref="B461">_xlfn.IFS(OR(Code!R283&lt;&gt;Code!U283,Code!R283=""),0,Code!R283=Code!U283,1)</f>
        <v>0</v>
      </c>
      <c r="C461" s="193" t="str">
        <f>IF(Code!F283="","",Code!F283)</f>
        <v>LNC</v>
      </c>
      <c r="D461" s="155" t="str">
        <f>IFERROR(VLOOKUP($C461,Code!$H:$K,2,FALSE),"")</f>
        <v>XLF</v>
      </c>
      <c r="E461" s="156" t="str">
        <f>IFERROR(VLOOKUP($C461,Code!$H:$K,3,FALSE),"")</f>
        <v>保險-人壽保險</v>
      </c>
      <c r="F461" s="157" t="str">
        <f>IFERROR(VLOOKUP($C461,Code!$H:$K,4,FALSE),"")</f>
        <v>.SPX</v>
      </c>
      <c r="G461" s="170">
        <f>IFERROR(((VLOOKUP($C461,Code!$H:$Q,9,FALSE))+(VLOOKUP($C461,Code!$H:$Q,10,FALSE)))/2*0.5/(((VLOOKUP($C461,Code!$H:$Q,7,FALSE))+(VLOOKUP($C461,Code!$H:$Q,8,FALSE)))/2),0)</f>
        <v>0.42874682101201433</v>
      </c>
      <c r="H461" s="171" t="str">
        <f t="shared" si="56"/>
        <v>S</v>
      </c>
      <c r="I461" s="170">
        <f>IFERROR((VLOOKUP($C461,Code!$H:$Q,5,FALSE))/(((VLOOKUP($C461,Code!$H:$Q,7,FALSE))+(VLOOKUP($C461,Code!$H:$Q,8,FALSE)))/2)-1,0)</f>
        <v>-0.34631237393668346</v>
      </c>
      <c r="J461" s="204">
        <f>IFERROR(POWER((VLOOKUP(C461,Code!H:W,12,FALSE))/(VLOOKUP(C461,Code!H:W,15,FALSE)),1/(P461-1))-1,"")</f>
        <v>0.10008357448271621</v>
      </c>
      <c r="K461" s="172" cm="1">
        <f t="array" ref="K461">IFERROR(IF(C461="","",_xlfn.IFS(AND(VLOOKUP(C461,Code!H:W,13,FALSE)=0,VLOOKUP(C461,Code!H:W,16,FALSE)=0),"無股息",AND(VLOOKUP(C461,Code!H:W,13,FALSE)=0,VLOOKUP(C461,Code!H:W,16,FALSE)&gt;0),"股息沒了",AND(VLOOKUP(C461,Code!H:W,13,FALSE)&gt;0,VLOOKUP(C461,Code!H:W,16,FALSE)=0),"發股息了",AND(VLOOKUP(C461,Code!H:W,13,FALSE)&gt;0,VLOOKUP(C461,Code!H:W,16,FALSE)&gt;0),POWER((VLOOKUP(C461,Code!H:W,13,FALSE))/(VLOOKUP(C461,Code!H:W,16,FALSE)),1/(P461-1))-1)),"")</f>
        <v>0.14788001609266588</v>
      </c>
      <c r="L461" s="173">
        <f>IFERROR(VLOOKUP(C461,Code!H:W,13,FALSE)*4/VLOOKUP(C461,Code!H:W,12,FALSE),"")</f>
        <v>2.7092405184223553E-2</v>
      </c>
      <c r="M461" s="172">
        <f t="shared" si="57"/>
        <v>0.24796359057538209</v>
      </c>
      <c r="N461" s="172" t="str">
        <f t="shared" si="58"/>
        <v>-</v>
      </c>
      <c r="O461" s="172" t="str">
        <f t="shared" si="59"/>
        <v>Value</v>
      </c>
      <c r="P461" s="205">
        <f>IFERROR(YEARFRAC(VLOOKUP(C461,Code!H:W,11,FALSE),VLOOKUP(C461,Code!H:W,14,FALSE),3),"")</f>
        <v>4.7616438356164386</v>
      </c>
      <c r="Q461" s="174">
        <v>44547</v>
      </c>
      <c r="R461" s="175" t="str">
        <f t="shared" ca="1" si="60"/>
        <v/>
      </c>
      <c r="S461" s="176">
        <f>IFERROR(VLOOKUP($C461,Code!$H:$Q,5,FALSE),"")</f>
        <v>0.37269999999999998</v>
      </c>
      <c r="T461" s="177" t="str">
        <f t="shared" ca="1" si="61"/>
        <v/>
      </c>
      <c r="U461" s="178" t="str">
        <f t="shared" ca="1" si="62"/>
        <v/>
      </c>
      <c r="V461" s="179">
        <f>IFERROR(VLOOKUP($C461,Code!$H:$Q,6,FALSE),"")</f>
        <v>66.989999999999995</v>
      </c>
      <c r="W461" s="180" t="str">
        <f t="shared" ca="1" si="63"/>
        <v/>
      </c>
      <c r="X461" s="12"/>
      <c r="Y461" s="12"/>
      <c r="Z461" s="12"/>
      <c r="AA461" s="12"/>
      <c r="AB461" s="12"/>
    </row>
    <row r="462" spans="1:28" s="10" customFormat="1" ht="15" hidden="1">
      <c r="A462" s="9"/>
      <c r="B462" s="169" cm="1">
        <f t="array" ref="B462">_xlfn.IFS(OR(Code!R456&lt;&gt;Code!U456,Code!R456=""),0,Code!R456=Code!U456,1)</f>
        <v>1</v>
      </c>
      <c r="C462" s="193" t="str">
        <f>IF(Code!F456="","",Code!F456)</f>
        <v>TYL</v>
      </c>
      <c r="D462" s="155" t="str">
        <f>IFERROR(VLOOKUP($C462,Code!$H:$K,2,FALSE),"")</f>
        <v>XLK</v>
      </c>
      <c r="E462" s="156" t="str">
        <f>IFERROR(VLOOKUP($C462,Code!$H:$K,3,FALSE),"")</f>
        <v>軟件-應用</v>
      </c>
      <c r="F462" s="157" t="str">
        <f>IFERROR(VLOOKUP($C462,Code!$H:$K,4,FALSE),"")</f>
        <v>.SPX</v>
      </c>
      <c r="G462" s="170">
        <f>IFERROR(((VLOOKUP($C462,Code!$H:$Q,9,FALSE))+(VLOOKUP($C462,Code!$H:$Q,10,FALSE)))/2*0.5/(((VLOOKUP($C462,Code!$H:$Q,7,FALSE))+(VLOOKUP($C462,Code!$H:$Q,8,FALSE)))/2),0)</f>
        <v>0.47089761570827482</v>
      </c>
      <c r="H462" s="171" t="str">
        <f t="shared" si="56"/>
        <v>S</v>
      </c>
      <c r="I462" s="170">
        <f>IFERROR((VLOOKUP($C462,Code!$H:$Q,5,FALSE))/(((VLOOKUP($C462,Code!$H:$Q,7,FALSE))+(VLOOKUP($C462,Code!$H:$Q,8,FALSE)))/2)-1,0)</f>
        <v>-0.34866760168302957</v>
      </c>
      <c r="J462" s="204" t="str">
        <f>IFERROR(POWER((VLOOKUP(C462,Code!H:W,12,FALSE))/(VLOOKUP(C462,Code!H:W,15,FALSE)),1/(P462-1))-1,"")</f>
        <v/>
      </c>
      <c r="K462" s="172" t="str" cm="1">
        <f t="array" ref="K462">IFERROR(IF(C462="","",_xlfn.IFS(AND(VLOOKUP(C462,Code!H:W,13,FALSE)=0,VLOOKUP(C462,Code!H:W,16,FALSE)=0),"無股息",AND(VLOOKUP(C462,Code!H:W,13,FALSE)=0,VLOOKUP(C462,Code!H:W,16,FALSE)&gt;0),"股息沒了",AND(VLOOKUP(C462,Code!H:W,13,FALSE)&gt;0,VLOOKUP(C462,Code!H:W,16,FALSE)=0),"發股息了",AND(VLOOKUP(C462,Code!H:W,13,FALSE)&gt;0,VLOOKUP(C462,Code!H:W,16,FALSE)&gt;0),POWER((VLOOKUP(C462,Code!H:W,13,FALSE))/(VLOOKUP(C462,Code!H:W,16,FALSE)),1/(P462-1))-1)),"")</f>
        <v>無股息</v>
      </c>
      <c r="L462" s="173" t="str">
        <f>IFERROR(VLOOKUP(C462,Code!H:W,13,FALSE)*4/VLOOKUP(C462,Code!H:W,12,FALSE),"")</f>
        <v/>
      </c>
      <c r="M462" s="172" t="str">
        <f t="shared" si="57"/>
        <v/>
      </c>
      <c r="N462" s="172" t="str">
        <f t="shared" si="58"/>
        <v/>
      </c>
      <c r="O462" s="172" t="str">
        <f t="shared" si="59"/>
        <v/>
      </c>
      <c r="P462" s="205">
        <f>IFERROR(YEARFRAC(VLOOKUP(C462,Code!H:W,11,FALSE),VLOOKUP(C462,Code!H:W,14,FALSE),3),"")</f>
        <v>0</v>
      </c>
      <c r="Q462" s="174">
        <v>44547</v>
      </c>
      <c r="R462" s="175" t="str">
        <f t="shared" ca="1" si="60"/>
        <v/>
      </c>
      <c r="S462" s="176">
        <f>IFERROR(VLOOKUP($C462,Code!$H:$Q,5,FALSE),"")</f>
        <v>0.23219999999999999</v>
      </c>
      <c r="T462" s="177" t="str">
        <f t="shared" ca="1" si="61"/>
        <v/>
      </c>
      <c r="U462" s="178" t="str">
        <f t="shared" ca="1" si="62"/>
        <v/>
      </c>
      <c r="V462" s="179">
        <f>IFERROR(VLOOKUP($C462,Code!$H:$Q,6,FALSE),"")</f>
        <v>493.99</v>
      </c>
      <c r="W462" s="180" t="str">
        <f t="shared" ca="1" si="63"/>
        <v/>
      </c>
      <c r="X462" s="12"/>
      <c r="Y462" s="12"/>
      <c r="Z462" s="12"/>
      <c r="AA462" s="12"/>
      <c r="AB462" s="12"/>
    </row>
    <row r="463" spans="1:28" s="10" customFormat="1" ht="15" hidden="1">
      <c r="A463" s="9"/>
      <c r="B463" s="169" cm="1">
        <f t="array" ref="B463">_xlfn.IFS(OR(Code!R97&lt;&gt;Code!U97,Code!R97=""),0,Code!R97=Code!U97,1)</f>
        <v>0</v>
      </c>
      <c r="C463" s="193" t="str">
        <f>IF(Code!F97="","",Code!F97)</f>
        <v>CINF</v>
      </c>
      <c r="D463" s="155" t="str">
        <f>IFERROR(VLOOKUP($C463,Code!$H:$K,2,FALSE),"")</f>
        <v>XLF</v>
      </c>
      <c r="E463" s="156" t="str">
        <f>IFERROR(VLOOKUP($C463,Code!$H:$K,3,FALSE),"")</f>
        <v>保險-財產及意外事故</v>
      </c>
      <c r="F463" s="157" t="str">
        <f>IFERROR(VLOOKUP($C463,Code!$H:$K,4,FALSE),"")</f>
        <v>.SPX</v>
      </c>
      <c r="G463" s="170">
        <f>IFERROR(((VLOOKUP($C463,Code!$H:$Q,9,FALSE))+(VLOOKUP($C463,Code!$H:$Q,10,FALSE)))/2*0.5/(((VLOOKUP($C463,Code!$H:$Q,7,FALSE))+(VLOOKUP($C463,Code!$H:$Q,8,FALSE)))/2),0)</f>
        <v>0.44103889709502708</v>
      </c>
      <c r="H463" s="171" t="str">
        <f t="shared" si="56"/>
        <v>S</v>
      </c>
      <c r="I463" s="170">
        <f>IFERROR((VLOOKUP($C463,Code!$H:$Q,5,FALSE))/(((VLOOKUP($C463,Code!$H:$Q,7,FALSE))+(VLOOKUP($C463,Code!$H:$Q,8,FALSE)))/2)-1,0)</f>
        <v>-0.3498276710979813</v>
      </c>
      <c r="J463" s="204">
        <f>IFERROR(POWER((VLOOKUP(C463,Code!H:W,12,FALSE))/(VLOOKUP(C463,Code!H:W,15,FALSE)),1/(P463-1))-1,"")</f>
        <v>0.17698079340456618</v>
      </c>
      <c r="K463" s="172" cm="1">
        <f t="array" ref="K463">IFERROR(IF(C463="","",_xlfn.IFS(AND(VLOOKUP(C463,Code!H:W,13,FALSE)=0,VLOOKUP(C463,Code!H:W,16,FALSE)=0),"無股息",AND(VLOOKUP(C463,Code!H:W,13,FALSE)=0,VLOOKUP(C463,Code!H:W,16,FALSE)&gt;0),"股息沒了",AND(VLOOKUP(C463,Code!H:W,13,FALSE)&gt;0,VLOOKUP(C463,Code!H:W,16,FALSE)=0),"發股息了",AND(VLOOKUP(C463,Code!H:W,13,FALSE)&gt;0,VLOOKUP(C463,Code!H:W,16,FALSE)&gt;0),POWER((VLOOKUP(C463,Code!H:W,13,FALSE))/(VLOOKUP(C463,Code!H:W,16,FALSE)),1/(P463-1))-1)),"")</f>
        <v>7.5366618955911013E-2</v>
      </c>
      <c r="L463" s="173">
        <f>IFERROR(VLOOKUP(C463,Code!H:W,13,FALSE)*4/VLOOKUP(C463,Code!H:W,12,FALSE),"")</f>
        <v>2.0951114279806362E-2</v>
      </c>
      <c r="M463" s="172">
        <f t="shared" si="57"/>
        <v>0.2523474123604772</v>
      </c>
      <c r="N463" s="172" t="str">
        <f t="shared" si="58"/>
        <v>-</v>
      </c>
      <c r="O463" s="172" t="str">
        <f t="shared" si="59"/>
        <v>-</v>
      </c>
      <c r="P463" s="205">
        <f>IFERROR(YEARFRAC(VLOOKUP(C463,Code!H:W,11,FALSE),VLOOKUP(C463,Code!H:W,14,FALSE),3),"")</f>
        <v>4.7424657534246579</v>
      </c>
      <c r="Q463" s="174">
        <v>44547</v>
      </c>
      <c r="R463" s="175" t="str">
        <f t="shared" ca="1" si="60"/>
        <v/>
      </c>
      <c r="S463" s="176">
        <f>IFERROR(VLOOKUP($C463,Code!$H:$Q,5,FALSE),"")</f>
        <v>0.2641</v>
      </c>
      <c r="T463" s="177" t="str">
        <f t="shared" ca="1" si="61"/>
        <v/>
      </c>
      <c r="U463" s="178" t="str">
        <f t="shared" ca="1" si="62"/>
        <v/>
      </c>
      <c r="V463" s="179">
        <f>IFERROR(VLOOKUP($C463,Code!$H:$Q,6,FALSE),"")</f>
        <v>118.06</v>
      </c>
      <c r="W463" s="180" t="str">
        <f t="shared" ca="1" si="63"/>
        <v/>
      </c>
      <c r="X463" s="12"/>
      <c r="Y463" s="12"/>
      <c r="Z463" s="12"/>
      <c r="AA463" s="12"/>
      <c r="AB463" s="12"/>
    </row>
    <row r="464" spans="1:28" s="10" customFormat="1" ht="15" hidden="1">
      <c r="A464" s="9"/>
      <c r="B464" s="169" cm="1">
        <f t="array" ref="B464">_xlfn.IFS(OR(Code!R233&lt;&gt;Code!U233,Code!R233=""),0,Code!R233=Code!U233,1)</f>
        <v>0</v>
      </c>
      <c r="C464" s="193" t="str">
        <f>IF(Code!F233="","",Code!F233)</f>
        <v>IBM</v>
      </c>
      <c r="D464" s="155" t="str">
        <f>IFERROR(VLOOKUP($C464,Code!$H:$K,2,FALSE),"")</f>
        <v>XLK</v>
      </c>
      <c r="E464" s="156" t="str">
        <f>IFERROR(VLOOKUP($C464,Code!$H:$K,3,FALSE),"")</f>
        <v>信息技術處</v>
      </c>
      <c r="F464" s="157" t="str">
        <f>IFERROR(VLOOKUP($C464,Code!$H:$K,4,FALSE),"")</f>
        <v>.SPX</v>
      </c>
      <c r="G464" s="170">
        <f>IFERROR(((VLOOKUP($C464,Code!$H:$Q,9,FALSE))+(VLOOKUP($C464,Code!$H:$Q,10,FALSE)))/2*0.5/(((VLOOKUP($C464,Code!$H:$Q,7,FALSE))+(VLOOKUP($C464,Code!$H:$Q,8,FALSE)))/2),0)</f>
        <v>0.48543503257953241</v>
      </c>
      <c r="H464" s="171" t="str">
        <f t="shared" si="56"/>
        <v>S</v>
      </c>
      <c r="I464" s="170">
        <f>IFERROR((VLOOKUP($C464,Code!$H:$Q,5,FALSE))/(((VLOOKUP($C464,Code!$H:$Q,7,FALSE))+(VLOOKUP($C464,Code!$H:$Q,8,FALSE)))/2)-1,0)</f>
        <v>-0.35224223840551938</v>
      </c>
      <c r="J464" s="204">
        <f>IFERROR(POWER((VLOOKUP(C464,Code!H:W,12,FALSE))/(VLOOKUP(C464,Code!H:W,15,FALSE)),1/(P464-1))-1,"")</f>
        <v>2.8611697696216742E-2</v>
      </c>
      <c r="K464" s="172" cm="1">
        <f t="array" ref="K464">IFERROR(IF(C464="","",_xlfn.IFS(AND(VLOOKUP(C464,Code!H:W,13,FALSE)=0,VLOOKUP(C464,Code!H:W,16,FALSE)=0),"無股息",AND(VLOOKUP(C464,Code!H:W,13,FALSE)=0,VLOOKUP(C464,Code!H:W,16,FALSE)&gt;0),"股息沒了",AND(VLOOKUP(C464,Code!H:W,13,FALSE)&gt;0,VLOOKUP(C464,Code!H:W,16,FALSE)=0),"發股息了",AND(VLOOKUP(C464,Code!H:W,13,FALSE)&gt;0,VLOOKUP(C464,Code!H:W,16,FALSE)&gt;0),POWER((VLOOKUP(C464,Code!H:W,13,FALSE))/(VLOOKUP(C464,Code!H:W,16,FALSE)),1/(P464-1))-1)),"")</f>
        <v>4.3119977143916799E-2</v>
      </c>
      <c r="L464" s="173">
        <f>IFERROR(VLOOKUP(C464,Code!H:W,13,FALSE)*4/VLOOKUP(C464,Code!H:W,12,FALSE),"")</f>
        <v>4.5098306731857329E-2</v>
      </c>
      <c r="M464" s="172">
        <f t="shared" si="57"/>
        <v>7.1731674840133541E-2</v>
      </c>
      <c r="N464" s="172" t="str">
        <f t="shared" si="58"/>
        <v>-</v>
      </c>
      <c r="O464" s="172" t="str">
        <f t="shared" si="59"/>
        <v>-</v>
      </c>
      <c r="P464" s="205">
        <f>IFERROR(YEARFRAC(VLOOKUP(C464,Code!H:W,11,FALSE),VLOOKUP(C464,Code!H:W,14,FALSE),3),"")</f>
        <v>4.7479452054794518</v>
      </c>
      <c r="Q464" s="174">
        <v>44547</v>
      </c>
      <c r="R464" s="175" t="str">
        <f t="shared" ca="1" si="60"/>
        <v/>
      </c>
      <c r="S464" s="176">
        <f>IFERROR(VLOOKUP($C464,Code!$H:$Q,5,FALSE),"")</f>
        <v>0.16900000000000001</v>
      </c>
      <c r="T464" s="177" t="str">
        <f t="shared" ca="1" si="61"/>
        <v/>
      </c>
      <c r="U464" s="178" t="str">
        <f t="shared" ca="1" si="62"/>
        <v/>
      </c>
      <c r="V464" s="179">
        <f>IFERROR(VLOOKUP($C464,Code!$H:$Q,6,FALSE),"")</f>
        <v>143.33000000000001</v>
      </c>
      <c r="W464" s="180" t="str">
        <f t="shared" ca="1" si="63"/>
        <v/>
      </c>
      <c r="X464" s="12"/>
      <c r="Y464" s="12"/>
      <c r="Z464" s="12"/>
      <c r="AA464" s="12"/>
      <c r="AB464" s="12"/>
    </row>
    <row r="465" spans="1:28" s="10" customFormat="1" ht="15" hidden="1">
      <c r="A465" s="9"/>
      <c r="B465" s="169" cm="1">
        <f t="array" ref="B465">_xlfn.IFS(OR(Code!R40&lt;&gt;Code!U40,Code!R40=""),0,Code!R40=Code!U40,1)</f>
        <v>1</v>
      </c>
      <c r="C465" s="193" t="str">
        <f>IF(Code!F40="","",Code!F40)</f>
        <v>ANSS</v>
      </c>
      <c r="D465" s="155" t="str">
        <f>IFERROR(VLOOKUP($C465,Code!$H:$K,2,FALSE),"")</f>
        <v>XLK</v>
      </c>
      <c r="E465" s="156" t="str">
        <f>IFERROR(VLOOKUP($C465,Code!$H:$K,3,FALSE),"")</f>
        <v>軟件-應用</v>
      </c>
      <c r="F465" s="157" t="str">
        <f>IFERROR(VLOOKUP($C465,Code!$H:$K,4,FALSE),"")</f>
        <v>.SPX</v>
      </c>
      <c r="G465" s="170">
        <f>IFERROR(((VLOOKUP($C465,Code!$H:$Q,9,FALSE))+(VLOOKUP($C465,Code!$H:$Q,10,FALSE)))/2*0.5/(((VLOOKUP($C465,Code!$H:$Q,7,FALSE))+(VLOOKUP($C465,Code!$H:$Q,8,FALSE)))/2),0)</f>
        <v>0.50498157499658802</v>
      </c>
      <c r="H465" s="171" t="str">
        <f t="shared" si="56"/>
        <v>M</v>
      </c>
      <c r="I465" s="170">
        <f>IFERROR((VLOOKUP($C465,Code!$H:$Q,5,FALSE))/(((VLOOKUP($C465,Code!$H:$Q,7,FALSE))+(VLOOKUP($C465,Code!$H:$Q,8,FALSE)))/2)-1,0)</f>
        <v>-0.35225876893680896</v>
      </c>
      <c r="J465" s="204" t="str">
        <f>IFERROR(POWER((VLOOKUP(C465,Code!H:W,12,FALSE))/(VLOOKUP(C465,Code!H:W,15,FALSE)),1/(P465-1))-1,"")</f>
        <v/>
      </c>
      <c r="K465" s="172" t="str" cm="1">
        <f t="array" ref="K465">IFERROR(IF(C465="","",_xlfn.IFS(AND(VLOOKUP(C465,Code!H:W,13,FALSE)=0,VLOOKUP(C465,Code!H:W,16,FALSE)=0),"無股息",AND(VLOOKUP(C465,Code!H:W,13,FALSE)=0,VLOOKUP(C465,Code!H:W,16,FALSE)&gt;0),"股息沒了",AND(VLOOKUP(C465,Code!H:W,13,FALSE)&gt;0,VLOOKUP(C465,Code!H:W,16,FALSE)=0),"發股息了",AND(VLOOKUP(C465,Code!H:W,13,FALSE)&gt;0,VLOOKUP(C465,Code!H:W,16,FALSE)&gt;0),POWER((VLOOKUP(C465,Code!H:W,13,FALSE))/(VLOOKUP(C465,Code!H:W,16,FALSE)),1/(P465-1))-1)),"")</f>
        <v>無股息</v>
      </c>
      <c r="L465" s="173" t="str">
        <f>IFERROR(VLOOKUP(C465,Code!H:W,13,FALSE)*4/VLOOKUP(C465,Code!H:W,12,FALSE),"")</f>
        <v/>
      </c>
      <c r="M465" s="172" t="str">
        <f t="shared" si="57"/>
        <v/>
      </c>
      <c r="N465" s="172" t="str">
        <f t="shared" si="58"/>
        <v/>
      </c>
      <c r="O465" s="172" t="str">
        <f t="shared" si="59"/>
        <v/>
      </c>
      <c r="P465" s="205">
        <f>IFERROR(YEARFRAC(VLOOKUP(C465,Code!H:W,11,FALSE),VLOOKUP(C465,Code!H:W,14,FALSE),3),"")</f>
        <v>0</v>
      </c>
      <c r="Q465" s="174">
        <v>44547</v>
      </c>
      <c r="R465" s="175" t="str">
        <f t="shared" ca="1" si="60"/>
        <v/>
      </c>
      <c r="S465" s="176">
        <f>IFERROR(VLOOKUP($C465,Code!$H:$Q,5,FALSE),"")</f>
        <v>0.23730000000000001</v>
      </c>
      <c r="T465" s="177" t="str">
        <f t="shared" ca="1" si="61"/>
        <v/>
      </c>
      <c r="U465" s="178" t="str">
        <f t="shared" ca="1" si="62"/>
        <v/>
      </c>
      <c r="V465" s="179">
        <f>IFERROR(VLOOKUP($C465,Code!$H:$Q,6,FALSE),"")</f>
        <v>373.47</v>
      </c>
      <c r="W465" s="180" t="str">
        <f t="shared" ca="1" si="63"/>
        <v/>
      </c>
      <c r="X465" s="12"/>
      <c r="Y465" s="12"/>
      <c r="Z465" s="12"/>
      <c r="AA465" s="12"/>
      <c r="AB465" s="12"/>
    </row>
    <row r="466" spans="1:28" s="10" customFormat="1" ht="15" hidden="1">
      <c r="A466" s="9"/>
      <c r="B466" s="169" cm="1">
        <f t="array" ref="B466">_xlfn.IFS(OR(Code!R276&lt;&gt;Code!U276,Code!R276=""),0,Code!R276=Code!U276,1)</f>
        <v>0</v>
      </c>
      <c r="C466" s="193" t="str">
        <f>IF(Code!F276="","",Code!F276)</f>
        <v>LEN</v>
      </c>
      <c r="D466" s="155" t="str">
        <f>IFERROR(VLOOKUP($C466,Code!$H:$K,2,FALSE),"")</f>
        <v>XLY</v>
      </c>
      <c r="E466" s="156" t="str">
        <f>IFERROR(VLOOKUP($C466,Code!$H:$K,3,FALSE),"")</f>
        <v>住宅建設</v>
      </c>
      <c r="F466" s="157" t="str">
        <f>IFERROR(VLOOKUP($C466,Code!$H:$K,4,FALSE),"")</f>
        <v>.SPX</v>
      </c>
      <c r="G466" s="170">
        <f>IFERROR(((VLOOKUP($C466,Code!$H:$Q,9,FALSE))+(VLOOKUP($C466,Code!$H:$Q,10,FALSE)))/2*0.5/(((VLOOKUP($C466,Code!$H:$Q,7,FALSE))+(VLOOKUP($C466,Code!$H:$Q,8,FALSE)))/2),0)</f>
        <v>0.49377193975767175</v>
      </c>
      <c r="H466" s="171" t="str">
        <f t="shared" si="56"/>
        <v>S</v>
      </c>
      <c r="I466" s="170">
        <f>IFERROR((VLOOKUP($C466,Code!$H:$Q,5,FALSE))/(((VLOOKUP($C466,Code!$H:$Q,7,FALSE))+(VLOOKUP($C466,Code!$H:$Q,8,FALSE)))/2)-1,0)</f>
        <v>-0.35432000905899663</v>
      </c>
      <c r="J466" s="204">
        <f>IFERROR(POWER((VLOOKUP(C466,Code!H:W,12,FALSE))/(VLOOKUP(C466,Code!H:W,15,FALSE)),1/(P466-1))-1,"")</f>
        <v>0.28065833115634731</v>
      </c>
      <c r="K466" s="172" cm="1">
        <f t="array" ref="K466">IFERROR(IF(C466="","",_xlfn.IFS(AND(VLOOKUP(C466,Code!H:W,13,FALSE)=0,VLOOKUP(C466,Code!H:W,16,FALSE)=0),"無股息",AND(VLOOKUP(C466,Code!H:W,13,FALSE)=0,VLOOKUP(C466,Code!H:W,16,FALSE)&gt;0),"股息沒了",AND(VLOOKUP(C466,Code!H:W,13,FALSE)&gt;0,VLOOKUP(C466,Code!H:W,16,FALSE)=0),"發股息了",AND(VLOOKUP(C466,Code!H:W,13,FALSE)&gt;0,VLOOKUP(C466,Code!H:W,16,FALSE)&gt;0),POWER((VLOOKUP(C466,Code!H:W,13,FALSE))/(VLOOKUP(C466,Code!H:W,16,FALSE)),1/(P466-1))-1)),"")</f>
        <v>0.63855945221239718</v>
      </c>
      <c r="L466" s="173">
        <f>IFERROR(VLOOKUP(C466,Code!H:W,13,FALSE)*4/VLOOKUP(C466,Code!H:W,12,FALSE),"")</f>
        <v>9.8251131066374037E-3</v>
      </c>
      <c r="M466" s="172">
        <f t="shared" si="57"/>
        <v>0.91921778336874449</v>
      </c>
      <c r="N466" s="172" t="str">
        <f t="shared" si="58"/>
        <v>-</v>
      </c>
      <c r="O466" s="172" t="str">
        <f t="shared" si="59"/>
        <v>Value</v>
      </c>
      <c r="P466" s="205">
        <f>IFERROR(YEARFRAC(VLOOKUP(C466,Code!H:W,11,FALSE),VLOOKUP(C466,Code!H:W,14,FALSE),3),"")</f>
        <v>4.7452054794520544</v>
      </c>
      <c r="Q466" s="174">
        <v>44547</v>
      </c>
      <c r="R466" s="175" t="str">
        <f t="shared" ca="1" si="60"/>
        <v/>
      </c>
      <c r="S466" s="176">
        <f>IFERROR(VLOOKUP($C466,Code!$H:$Q,5,FALSE),"")</f>
        <v>0.28510000000000002</v>
      </c>
      <c r="T466" s="177" t="str">
        <f t="shared" ca="1" si="61"/>
        <v/>
      </c>
      <c r="U466" s="178" t="str">
        <f t="shared" ca="1" si="62"/>
        <v/>
      </c>
      <c r="V466" s="179">
        <f>IFERROR(VLOOKUP($C466,Code!$H:$Q,6,FALSE),"")</f>
        <v>105.45</v>
      </c>
      <c r="W466" s="180" t="str">
        <f t="shared" ca="1" si="63"/>
        <v/>
      </c>
      <c r="X466" s="12"/>
      <c r="Y466" s="12"/>
      <c r="Z466" s="12"/>
      <c r="AA466" s="12"/>
      <c r="AB466" s="12"/>
    </row>
    <row r="467" spans="1:28" s="10" customFormat="1" ht="15" hidden="1">
      <c r="A467" s="9"/>
      <c r="B467" s="169" cm="1">
        <f t="array" ref="B467">_xlfn.IFS(OR(Code!R321&lt;&gt;Code!U321,Code!R321=""),0,Code!R321=Code!U321,1)</f>
        <v>0</v>
      </c>
      <c r="C467" s="193" t="str">
        <f>IF(Code!F321="","",Code!F321)</f>
        <v>MSFT</v>
      </c>
      <c r="D467" s="155" t="str">
        <f>IFERROR(VLOOKUP($C467,Code!$H:$K,2,FALSE),"")</f>
        <v>XLK</v>
      </c>
      <c r="E467" s="156" t="str">
        <f>IFERROR(VLOOKUP($C467,Code!$H:$K,3,FALSE),"")</f>
        <v>軟件基礎設施</v>
      </c>
      <c r="F467" s="157" t="str">
        <f>IFERROR(VLOOKUP($C467,Code!$H:$K,4,FALSE),"")</f>
        <v>.SPX</v>
      </c>
      <c r="G467" s="170">
        <f>IFERROR(((VLOOKUP($C467,Code!$H:$Q,9,FALSE))+(VLOOKUP($C467,Code!$H:$Q,10,FALSE)))/2*0.5/(((VLOOKUP($C467,Code!$H:$Q,7,FALSE))+(VLOOKUP($C467,Code!$H:$Q,8,FALSE)))/2),0)</f>
        <v>0.60941043083900226</v>
      </c>
      <c r="H467" s="171" t="str">
        <f t="shared" si="56"/>
        <v>L</v>
      </c>
      <c r="I467" s="170">
        <f>IFERROR((VLOOKUP($C467,Code!$H:$Q,5,FALSE))/(((VLOOKUP($C467,Code!$H:$Q,7,FALSE))+(VLOOKUP($C467,Code!$H:$Q,8,FALSE)))/2)-1,0)</f>
        <v>-0.35978835978835977</v>
      </c>
      <c r="J467" s="204">
        <f>IFERROR(POWER((VLOOKUP(C467,Code!H:W,12,FALSE))/(VLOOKUP(C467,Code!H:W,15,FALSE)),1/(P467-1))-1,"")</f>
        <v>0.49781144142454181</v>
      </c>
      <c r="K467" s="172" cm="1">
        <f t="array" ref="K467">IFERROR(IF(C467="","",_xlfn.IFS(AND(VLOOKUP(C467,Code!H:W,13,FALSE)=0,VLOOKUP(C467,Code!H:W,16,FALSE)=0),"無股息",AND(VLOOKUP(C467,Code!H:W,13,FALSE)=0,VLOOKUP(C467,Code!H:W,16,FALSE)&gt;0),"股息沒了",AND(VLOOKUP(C467,Code!H:W,13,FALSE)&gt;0,VLOOKUP(C467,Code!H:W,16,FALSE)=0),"發股息了",AND(VLOOKUP(C467,Code!H:W,13,FALSE)&gt;0,VLOOKUP(C467,Code!H:W,16,FALSE)&gt;0),POWER((VLOOKUP(C467,Code!H:W,13,FALSE))/(VLOOKUP(C467,Code!H:W,16,FALSE)),1/(P467-1))-1)),"")</f>
        <v>0.12472995834007916</v>
      </c>
      <c r="L467" s="173">
        <f>IFERROR(VLOOKUP(C467,Code!H:W,13,FALSE)*4/VLOOKUP(C467,Code!H:W,12,FALSE),"")</f>
        <v>9.2135572761931454E-3</v>
      </c>
      <c r="M467" s="172">
        <f t="shared" si="57"/>
        <v>0.62254139976462097</v>
      </c>
      <c r="N467" s="172" t="str">
        <f t="shared" si="58"/>
        <v>-</v>
      </c>
      <c r="O467" s="172" t="str">
        <f t="shared" si="59"/>
        <v>-</v>
      </c>
      <c r="P467" s="205">
        <f>IFERROR(YEARFRAC(VLOOKUP(C467,Code!H:W,11,FALSE),VLOOKUP(C467,Code!H:W,14,FALSE),3),"")</f>
        <v>4.7589041095890412</v>
      </c>
      <c r="Q467" s="174">
        <v>44547</v>
      </c>
      <c r="R467" s="175" t="str">
        <f t="shared" ca="1" si="60"/>
        <v/>
      </c>
      <c r="S467" s="176">
        <f>IFERROR(VLOOKUP($C467,Code!$H:$Q,5,FALSE),"")</f>
        <v>0.1694</v>
      </c>
      <c r="T467" s="177" t="str">
        <f t="shared" ca="1" si="61"/>
        <v/>
      </c>
      <c r="U467" s="178" t="str">
        <f t="shared" ca="1" si="62"/>
        <v/>
      </c>
      <c r="V467" s="179">
        <f>IFERROR(VLOOKUP($C467,Code!$H:$Q,6,FALSE),"")</f>
        <v>289.52</v>
      </c>
      <c r="W467" s="180" t="str">
        <f t="shared" ca="1" si="63"/>
        <v/>
      </c>
      <c r="X467" s="12"/>
      <c r="Y467" s="12"/>
      <c r="Z467" s="12"/>
      <c r="AA467" s="12"/>
      <c r="AB467" s="12"/>
    </row>
    <row r="468" spans="1:28" s="10" customFormat="1" ht="15" hidden="1">
      <c r="A468" s="9"/>
      <c r="B468" s="169" cm="1">
        <f t="array" ref="B468">_xlfn.IFS(OR(Code!R51&lt;&gt;Code!U51,Code!R51=""),0,Code!R51=Code!U51,1)</f>
        <v>0</v>
      </c>
      <c r="C468" s="193" t="str">
        <f>IF(Code!F51="","",Code!F51)</f>
        <v>AVB</v>
      </c>
      <c r="D468" s="155" t="str">
        <f>IFERROR(VLOOKUP($C468,Code!$H:$K,2,FALSE),"")</f>
        <v>XLRE</v>
      </c>
      <c r="E468" s="156" t="str">
        <f>IFERROR(VLOOKUP($C468,Code!$H:$K,3,FALSE),"")</f>
        <v>-</v>
      </c>
      <c r="F468" s="157" t="str">
        <f>IFERROR(VLOOKUP($C468,Code!$H:$K,4,FALSE),"")</f>
        <v>.SPX</v>
      </c>
      <c r="G468" s="170">
        <f>IFERROR(((VLOOKUP($C468,Code!$H:$Q,9,FALSE))+(VLOOKUP($C468,Code!$H:$Q,10,FALSE)))/2*0.5/(((VLOOKUP($C468,Code!$H:$Q,7,FALSE))+(VLOOKUP($C468,Code!$H:$Q,8,FALSE)))/2),0)</f>
        <v>0.48140931969475564</v>
      </c>
      <c r="H468" s="171" t="str">
        <f t="shared" si="56"/>
        <v>S</v>
      </c>
      <c r="I468" s="170">
        <f>IFERROR((VLOOKUP($C468,Code!$H:$Q,5,FALSE))/(((VLOOKUP($C468,Code!$H:$Q,7,FALSE))+(VLOOKUP($C468,Code!$H:$Q,8,FALSE)))/2)-1,0)</f>
        <v>-0.36190940087676571</v>
      </c>
      <c r="J468" s="204">
        <f>IFERROR(POWER((VLOOKUP(C468,Code!H:W,12,FALSE))/(VLOOKUP(C468,Code!H:W,15,FALSE)),1/(P468-1))-1,"")</f>
        <v>8.5275656680556366E-2</v>
      </c>
      <c r="K468" s="172" cm="1">
        <f t="array" ref="K468">IFERROR(IF(C468="","",_xlfn.IFS(AND(VLOOKUP(C468,Code!H:W,13,FALSE)=0,VLOOKUP(C468,Code!H:W,16,FALSE)=0),"無股息",AND(VLOOKUP(C468,Code!H:W,13,FALSE)=0,VLOOKUP(C468,Code!H:W,16,FALSE)&gt;0),"股息沒了",AND(VLOOKUP(C468,Code!H:W,13,FALSE)&gt;0,VLOOKUP(C468,Code!H:W,16,FALSE)=0),"發股息了",AND(VLOOKUP(C468,Code!H:W,13,FALSE)&gt;0,VLOOKUP(C468,Code!H:W,16,FALSE)&gt;0),POWER((VLOOKUP(C468,Code!H:W,13,FALSE))/(VLOOKUP(C468,Code!H:W,16,FALSE)),1/(P468-1))-1)),"")</f>
        <v>4.4558909875781039E-2</v>
      </c>
      <c r="L468" s="173">
        <f>IFERROR(VLOOKUP(C468,Code!H:W,13,FALSE)*4/VLOOKUP(C468,Code!H:W,12,FALSE),"")</f>
        <v>3.0241073053258367E-2</v>
      </c>
      <c r="M468" s="172">
        <f t="shared" si="57"/>
        <v>0.12983456655633741</v>
      </c>
      <c r="N468" s="172" t="str">
        <f t="shared" si="58"/>
        <v>-</v>
      </c>
      <c r="O468" s="172" t="str">
        <f t="shared" si="59"/>
        <v>-</v>
      </c>
      <c r="P468" s="205">
        <f>IFERROR(YEARFRAC(VLOOKUP(C468,Code!H:W,11,FALSE),VLOOKUP(C468,Code!H:W,14,FALSE),3),"")</f>
        <v>4.7534246575342465</v>
      </c>
      <c r="Q468" s="174">
        <v>44547</v>
      </c>
      <c r="R468" s="175" t="str">
        <f t="shared" ca="1" si="60"/>
        <v/>
      </c>
      <c r="S468" s="176">
        <f>IFERROR(VLOOKUP($C468,Code!$H:$Q,5,FALSE),"")</f>
        <v>0.19650000000000001</v>
      </c>
      <c r="T468" s="177" t="str">
        <f t="shared" ca="1" si="61"/>
        <v/>
      </c>
      <c r="U468" s="178" t="str">
        <f t="shared" ca="1" si="62"/>
        <v/>
      </c>
      <c r="V468" s="179">
        <f>IFERROR(VLOOKUP($C468,Code!$H:$Q,6,FALSE),"")</f>
        <v>228.7</v>
      </c>
      <c r="W468" s="180" t="str">
        <f t="shared" ca="1" si="63"/>
        <v/>
      </c>
      <c r="X468" s="12"/>
      <c r="Y468" s="12"/>
      <c r="Z468" s="12"/>
      <c r="AA468" s="12"/>
      <c r="AB468" s="12"/>
    </row>
    <row r="469" spans="1:28" s="10" customFormat="1" ht="15" hidden="1">
      <c r="A469" s="9"/>
      <c r="B469" s="169" cm="1">
        <f t="array" ref="B469">_xlfn.IFS(OR(Code!R501&lt;&gt;Code!U501,Code!R501=""),0,Code!R501=Code!U501,1)</f>
        <v>0</v>
      </c>
      <c r="C469" s="193" t="str">
        <f>IF(Code!F501="","",Code!F501)</f>
        <v>XOM</v>
      </c>
      <c r="D469" s="155" t="str">
        <f>IFERROR(VLOOKUP($C469,Code!$H:$K,2,FALSE),"")</f>
        <v>XLE</v>
      </c>
      <c r="E469" s="156" t="str">
        <f>IFERROR(VLOOKUP($C469,Code!$H:$K,3,FALSE),"")</f>
        <v>油氣一體化</v>
      </c>
      <c r="F469" s="157" t="str">
        <f>IFERROR(VLOOKUP($C469,Code!$H:$K,4,FALSE),"")</f>
        <v>.SPX</v>
      </c>
      <c r="G469" s="170">
        <f>IFERROR(((VLOOKUP($C469,Code!$H:$Q,9,FALSE))+(VLOOKUP($C469,Code!$H:$Q,10,FALSE)))/2*0.5/(((VLOOKUP($C469,Code!$H:$Q,7,FALSE))+(VLOOKUP($C469,Code!$H:$Q,8,FALSE)))/2),0)</f>
        <v>0.44195543110488861</v>
      </c>
      <c r="H469" s="171" t="str">
        <f t="shared" si="56"/>
        <v>S</v>
      </c>
      <c r="I469" s="170">
        <f>IFERROR((VLOOKUP($C469,Code!$H:$Q,5,FALSE))/(((VLOOKUP($C469,Code!$H:$Q,7,FALSE))+(VLOOKUP($C469,Code!$H:$Q,8,FALSE)))/2)-1,0)</f>
        <v>-0.36250145840625358</v>
      </c>
      <c r="J469" s="204">
        <f>IFERROR(POWER((VLOOKUP(C469,Code!H:W,12,FALSE))/(VLOOKUP(C469,Code!H:W,15,FALSE)),1/(P469-1))-1,"")</f>
        <v>-3.2058780446330482E-2</v>
      </c>
      <c r="K469" s="172" cm="1">
        <f t="array" ref="K469">IFERROR(IF(C469="","",_xlfn.IFS(AND(VLOOKUP(C469,Code!H:W,13,FALSE)=0,VLOOKUP(C469,Code!H:W,16,FALSE)=0),"無股息",AND(VLOOKUP(C469,Code!H:W,13,FALSE)=0,VLOOKUP(C469,Code!H:W,16,FALSE)&gt;0),"股息沒了",AND(VLOOKUP(C469,Code!H:W,13,FALSE)&gt;0,VLOOKUP(C469,Code!H:W,16,FALSE)=0),"發股息了",AND(VLOOKUP(C469,Code!H:W,13,FALSE)&gt;0,VLOOKUP(C469,Code!H:W,16,FALSE)&gt;0),POWER((VLOOKUP(C469,Code!H:W,13,FALSE))/(VLOOKUP(C469,Code!H:W,16,FALSE)),1/(P469-1))-1)),"")</f>
        <v>4.030476550708606E-2</v>
      </c>
      <c r="L469" s="173">
        <f>IFERROR(VLOOKUP(C469,Code!H:W,13,FALSE)*4/VLOOKUP(C469,Code!H:W,12,FALSE),"")</f>
        <v>5.7961358210106499E-2</v>
      </c>
      <c r="M469" s="172">
        <f t="shared" si="57"/>
        <v>8.2459850607555785E-3</v>
      </c>
      <c r="N469" s="172" t="str">
        <f t="shared" si="58"/>
        <v>-</v>
      </c>
      <c r="O469" s="172" t="str">
        <f t="shared" si="59"/>
        <v>-</v>
      </c>
      <c r="P469" s="205">
        <f>IFERROR(YEARFRAC(VLOOKUP(C469,Code!H:W,11,FALSE),VLOOKUP(C469,Code!H:W,14,FALSE),3),"")</f>
        <v>4.7561643835616438</v>
      </c>
      <c r="Q469" s="174">
        <v>44547</v>
      </c>
      <c r="R469" s="175" t="str">
        <f t="shared" ca="1" si="60"/>
        <v/>
      </c>
      <c r="S469" s="176">
        <f>IFERROR(VLOOKUP($C469,Code!$H:$Q,5,FALSE),"")</f>
        <v>0.2732</v>
      </c>
      <c r="T469" s="177" t="str">
        <f t="shared" ca="1" si="61"/>
        <v/>
      </c>
      <c r="U469" s="178" t="str">
        <f t="shared" ca="1" si="62"/>
        <v/>
      </c>
      <c r="V469" s="179">
        <f>IFERROR(VLOOKUP($C469,Code!$H:$Q,6,FALSE),"")</f>
        <v>57.74</v>
      </c>
      <c r="W469" s="180" t="str">
        <f t="shared" ca="1" si="63"/>
        <v/>
      </c>
      <c r="X469" s="12"/>
      <c r="Y469" s="12"/>
      <c r="Z469" s="12"/>
      <c r="AA469" s="12"/>
      <c r="AB469" s="12"/>
    </row>
    <row r="470" spans="1:28" s="10" customFormat="1" ht="15" hidden="1">
      <c r="A470" s="9"/>
      <c r="B470" s="169" cm="1">
        <f t="array" ref="B470">_xlfn.IFS(OR(Code!R84&lt;&gt;Code!U84,Code!R84=""),0,Code!R84=Code!U84,1)</f>
        <v>1</v>
      </c>
      <c r="C470" s="193" t="str">
        <f>IF(Code!F84="","",Code!F84)</f>
        <v>CBRE</v>
      </c>
      <c r="D470" s="155" t="str">
        <f>IFERROR(VLOOKUP($C470,Code!$H:$K,2,FALSE),"")</f>
        <v>XLRE</v>
      </c>
      <c r="E470" s="156" t="str">
        <f>IFERROR(VLOOKUP($C470,Code!$H:$K,3,FALSE),"")</f>
        <v>房地產服務</v>
      </c>
      <c r="F470" s="157" t="str">
        <f>IFERROR(VLOOKUP($C470,Code!$H:$K,4,FALSE),"")</f>
        <v>.SPX</v>
      </c>
      <c r="G470" s="170">
        <f>IFERROR(((VLOOKUP($C470,Code!$H:$Q,9,FALSE))+(VLOOKUP($C470,Code!$H:$Q,10,FALSE)))/2*0.5/(((VLOOKUP($C470,Code!$H:$Q,7,FALSE))+(VLOOKUP($C470,Code!$H:$Q,8,FALSE)))/2),0)</f>
        <v>0.41357878536758613</v>
      </c>
      <c r="H470" s="171" t="str">
        <f t="shared" si="56"/>
        <v>S</v>
      </c>
      <c r="I470" s="170">
        <f>IFERROR((VLOOKUP($C470,Code!$H:$Q,5,FALSE))/(((VLOOKUP($C470,Code!$H:$Q,7,FALSE))+(VLOOKUP($C470,Code!$H:$Q,8,FALSE)))/2)-1,0)</f>
        <v>-0.36308748668166213</v>
      </c>
      <c r="J470" s="204" t="str">
        <f>IFERROR(POWER((VLOOKUP(C470,Code!H:W,12,FALSE))/(VLOOKUP(C470,Code!H:W,15,FALSE)),1/(P470-1))-1,"")</f>
        <v/>
      </c>
      <c r="K470" s="172" t="str" cm="1">
        <f t="array" ref="K470">IFERROR(IF(C470="","",_xlfn.IFS(AND(VLOOKUP(C470,Code!H:W,13,FALSE)=0,VLOOKUP(C470,Code!H:W,16,FALSE)=0),"無股息",AND(VLOOKUP(C470,Code!H:W,13,FALSE)=0,VLOOKUP(C470,Code!H:W,16,FALSE)&gt;0),"股息沒了",AND(VLOOKUP(C470,Code!H:W,13,FALSE)&gt;0,VLOOKUP(C470,Code!H:W,16,FALSE)=0),"發股息了",AND(VLOOKUP(C470,Code!H:W,13,FALSE)&gt;0,VLOOKUP(C470,Code!H:W,16,FALSE)&gt;0),POWER((VLOOKUP(C470,Code!H:W,13,FALSE))/(VLOOKUP(C470,Code!H:W,16,FALSE)),1/(P470-1))-1)),"")</f>
        <v>無股息</v>
      </c>
      <c r="L470" s="173" t="str">
        <f>IFERROR(VLOOKUP(C470,Code!H:W,13,FALSE)*4/VLOOKUP(C470,Code!H:W,12,FALSE),"")</f>
        <v/>
      </c>
      <c r="M470" s="172" t="str">
        <f t="shared" si="57"/>
        <v/>
      </c>
      <c r="N470" s="172" t="str">
        <f t="shared" si="58"/>
        <v/>
      </c>
      <c r="O470" s="172" t="str">
        <f t="shared" si="59"/>
        <v/>
      </c>
      <c r="P470" s="205">
        <f>IFERROR(YEARFRAC(VLOOKUP(C470,Code!H:W,11,FALSE),VLOOKUP(C470,Code!H:W,14,FALSE),3),"")</f>
        <v>0</v>
      </c>
      <c r="Q470" s="174">
        <v>44547</v>
      </c>
      <c r="R470" s="175" t="str">
        <f t="shared" ca="1" si="60"/>
        <v/>
      </c>
      <c r="S470" s="176">
        <f>IFERROR(VLOOKUP($C470,Code!$H:$Q,5,FALSE),"")</f>
        <v>0.26900000000000002</v>
      </c>
      <c r="T470" s="177" t="str">
        <f t="shared" ca="1" si="61"/>
        <v/>
      </c>
      <c r="U470" s="178" t="str">
        <f t="shared" ca="1" si="62"/>
        <v/>
      </c>
      <c r="V470" s="179">
        <f>IFERROR(VLOOKUP($C470,Code!$H:$Q,6,FALSE),"")</f>
        <v>98.13</v>
      </c>
      <c r="W470" s="180" t="str">
        <f t="shared" ca="1" si="63"/>
        <v/>
      </c>
      <c r="X470" s="12"/>
      <c r="Y470" s="12"/>
      <c r="Z470" s="12"/>
      <c r="AA470" s="12"/>
      <c r="AB470" s="12"/>
    </row>
    <row r="471" spans="1:28" s="10" customFormat="1" ht="15" hidden="1">
      <c r="A471" s="9"/>
      <c r="B471" s="169" cm="1">
        <f t="array" ref="B471">_xlfn.IFS(OR(Code!R21&lt;&gt;Code!U21,Code!R21=""),0,Code!R21=Code!U21,1)</f>
        <v>0</v>
      </c>
      <c r="C471" s="193" t="str">
        <f>IF(Code!F21="","",Code!F21)</f>
        <v>AFL</v>
      </c>
      <c r="D471" s="155" t="str">
        <f>IFERROR(VLOOKUP($C471,Code!$H:$K,2,FALSE),"")</f>
        <v>XLF</v>
      </c>
      <c r="E471" s="156" t="str">
        <f>IFERROR(VLOOKUP($C471,Code!$H:$K,3,FALSE),"")</f>
        <v>保險-人壽保險</v>
      </c>
      <c r="F471" s="157" t="str">
        <f>IFERROR(VLOOKUP($C471,Code!$H:$K,4,FALSE),"")</f>
        <v>.SPX</v>
      </c>
      <c r="G471" s="170">
        <f>IFERROR(((VLOOKUP($C471,Code!$H:$Q,9,FALSE))+(VLOOKUP($C471,Code!$H:$Q,10,FALSE)))/2*0.5/(((VLOOKUP($C471,Code!$H:$Q,7,FALSE))+(VLOOKUP($C471,Code!$H:$Q,8,FALSE)))/2),0)</f>
        <v>0.46222329162656406</v>
      </c>
      <c r="H471" s="171" t="str">
        <f t="shared" si="56"/>
        <v>S</v>
      </c>
      <c r="I471" s="170">
        <f>IFERROR((VLOOKUP($C471,Code!$H:$Q,5,FALSE))/(((VLOOKUP($C471,Code!$H:$Q,7,FALSE))+(VLOOKUP($C471,Code!$H:$Q,8,FALSE)))/2)-1,0)</f>
        <v>-0.36445299967917866</v>
      </c>
      <c r="J471" s="204">
        <f>IFERROR(POWER((VLOOKUP(C471,Code!H:W,12,FALSE))/(VLOOKUP(C471,Code!H:W,15,FALSE)),1/(P471-1))-1,"")</f>
        <v>0.15658664706214487</v>
      </c>
      <c r="K471" s="172" cm="1">
        <f t="array" ref="K471">IFERROR(IF(C471="","",_xlfn.IFS(AND(VLOOKUP(C471,Code!H:W,13,FALSE)=0,VLOOKUP(C471,Code!H:W,16,FALSE)=0),"無股息",AND(VLOOKUP(C471,Code!H:W,13,FALSE)=0,VLOOKUP(C471,Code!H:W,16,FALSE)&gt;0),"股息沒了",AND(VLOOKUP(C471,Code!H:W,13,FALSE)&gt;0,VLOOKUP(C471,Code!H:W,16,FALSE)=0),"發股息了",AND(VLOOKUP(C471,Code!H:W,13,FALSE)&gt;0,VLOOKUP(C471,Code!H:W,16,FALSE)&gt;0),POWER((VLOOKUP(C471,Code!H:W,13,FALSE))/(VLOOKUP(C471,Code!H:W,16,FALSE)),1/(P471-1))-1)),"")</f>
        <v>0.13576241716043658</v>
      </c>
      <c r="L471" s="173">
        <f>IFERROR(VLOOKUP(C471,Code!H:W,13,FALSE)*4/VLOOKUP(C471,Code!H:W,12,FALSE),"")</f>
        <v>2.3609372269763989E-2</v>
      </c>
      <c r="M471" s="172">
        <f t="shared" si="57"/>
        <v>0.29234906422258145</v>
      </c>
      <c r="N471" s="172" t="str">
        <f t="shared" si="58"/>
        <v>-</v>
      </c>
      <c r="O471" s="172" t="str">
        <f t="shared" si="59"/>
        <v>Value</v>
      </c>
      <c r="P471" s="205">
        <f>IFERROR(YEARFRAC(VLOOKUP(C471,Code!H:W,11,FALSE),VLOOKUP(C471,Code!H:W,14,FALSE),3),"")</f>
        <v>4.7397260273972606</v>
      </c>
      <c r="Q471" s="174">
        <v>44547</v>
      </c>
      <c r="R471" s="175" t="str">
        <f t="shared" ca="1" si="60"/>
        <v/>
      </c>
      <c r="S471" s="176">
        <f>IFERROR(VLOOKUP($C471,Code!$H:$Q,5,FALSE),"")</f>
        <v>0.1981</v>
      </c>
      <c r="T471" s="177" t="str">
        <f t="shared" ca="1" si="61"/>
        <v/>
      </c>
      <c r="U471" s="178" t="str">
        <f t="shared" ca="1" si="62"/>
        <v/>
      </c>
      <c r="V471" s="179">
        <f>IFERROR(VLOOKUP($C471,Code!$H:$Q,6,FALSE),"")</f>
        <v>55.97</v>
      </c>
      <c r="W471" s="180" t="str">
        <f t="shared" ca="1" si="63"/>
        <v/>
      </c>
      <c r="X471" s="12"/>
      <c r="Y471" s="12"/>
      <c r="Z471" s="12"/>
      <c r="AA471" s="12"/>
      <c r="AB471" s="12"/>
    </row>
    <row r="472" spans="1:28" s="10" customFormat="1" ht="15" hidden="1">
      <c r="A472" s="9"/>
      <c r="B472" s="169" cm="1">
        <f t="array" ref="B472">_xlfn.IFS(OR(Code!R86&lt;&gt;Code!U86,Code!R86=""),0,Code!R86=Code!U86,1)</f>
        <v>0</v>
      </c>
      <c r="C472" s="193" t="str">
        <f>IF(Code!F86="","",Code!F86)</f>
        <v>CCL</v>
      </c>
      <c r="D472" s="155" t="str">
        <f>IFERROR(VLOOKUP($C472,Code!$H:$K,2,FALSE),"")</f>
        <v>XLY</v>
      </c>
      <c r="E472" s="156" t="str">
        <f>IFERROR(VLOOKUP($C472,Code!$H:$K,3,FALSE),"")</f>
        <v>旅行服務</v>
      </c>
      <c r="F472" s="157" t="str">
        <f>IFERROR(VLOOKUP($C472,Code!$H:$K,4,FALSE),"")</f>
        <v>.SPX</v>
      </c>
      <c r="G472" s="170">
        <f>IFERROR(((VLOOKUP($C472,Code!$H:$Q,9,FALSE))+(VLOOKUP($C472,Code!$H:$Q,10,FALSE)))/2*0.5/(((VLOOKUP($C472,Code!$H:$Q,7,FALSE))+(VLOOKUP($C472,Code!$H:$Q,8,FALSE)))/2),0)</f>
        <v>0.44046724108020585</v>
      </c>
      <c r="H472" s="171" t="str">
        <f t="shared" si="56"/>
        <v>S</v>
      </c>
      <c r="I472" s="170">
        <f>IFERROR((VLOOKUP($C472,Code!$H:$Q,5,FALSE))/(((VLOOKUP($C472,Code!$H:$Q,7,FALSE))+(VLOOKUP($C472,Code!$H:$Q,8,FALSE)))/2)-1,0)</f>
        <v>-0.36668015960215117</v>
      </c>
      <c r="J472" s="204">
        <f>IFERROR(POWER((VLOOKUP(C472,Code!H:W,12,FALSE))/(VLOOKUP(C472,Code!H:W,15,FALSE)),1/(P472-1))-1,"")</f>
        <v>3.3425505670918731E-3</v>
      </c>
      <c r="K472" s="172" cm="1">
        <f t="array" ref="K472">IFERROR(IF(C472="","",_xlfn.IFS(AND(VLOOKUP(C472,Code!H:W,13,FALSE)=0,VLOOKUP(C472,Code!H:W,16,FALSE)=0),"無股息",AND(VLOOKUP(C472,Code!H:W,13,FALSE)=0,VLOOKUP(C472,Code!H:W,16,FALSE)&gt;0),"股息沒了",AND(VLOOKUP(C472,Code!H:W,13,FALSE)&gt;0,VLOOKUP(C472,Code!H:W,16,FALSE)=0),"發股息了",AND(VLOOKUP(C472,Code!H:W,13,FALSE)&gt;0,VLOOKUP(C472,Code!H:W,16,FALSE)&gt;0),POWER((VLOOKUP(C472,Code!H:W,13,FALSE))/(VLOOKUP(C472,Code!H:W,16,FALSE)),1/(P472-1))-1)),"")</f>
        <v>0.15380125213061424</v>
      </c>
      <c r="L472" s="173">
        <f>IFERROR(VLOOKUP(C472,Code!H:W,13,FALSE)*4/VLOOKUP(C472,Code!H:W,12,FALSE),"")</f>
        <v>4.7058823529411764E-2</v>
      </c>
      <c r="M472" s="172">
        <f t="shared" si="57"/>
        <v>0.15714380269770611</v>
      </c>
      <c r="N472" s="172" t="str">
        <f t="shared" si="58"/>
        <v>Venture</v>
      </c>
      <c r="O472" s="172" t="str">
        <f t="shared" si="59"/>
        <v>-</v>
      </c>
      <c r="P472" s="205">
        <f>IFERROR(YEARFRAC(VLOOKUP(C472,Code!H:W,11,FALSE),VLOOKUP(C472,Code!H:W,14,FALSE),3),"")</f>
        <v>3.493150684931507</v>
      </c>
      <c r="Q472" s="174">
        <v>44547</v>
      </c>
      <c r="R472" s="175" t="str">
        <f t="shared" ca="1" si="60"/>
        <v/>
      </c>
      <c r="S472" s="176">
        <f>IFERROR(VLOOKUP($C472,Code!$H:$Q,5,FALSE),"")</f>
        <v>0.54759999999999998</v>
      </c>
      <c r="T472" s="177" t="str">
        <f t="shared" ca="1" si="61"/>
        <v/>
      </c>
      <c r="U472" s="178" t="str">
        <f t="shared" ca="1" si="62"/>
        <v/>
      </c>
      <c r="V472" s="179">
        <f>IFERROR(VLOOKUP($C472,Code!$H:$Q,6,FALSE),"")</f>
        <v>22.67</v>
      </c>
      <c r="W472" s="180" t="str">
        <f t="shared" ca="1" si="63"/>
        <v/>
      </c>
      <c r="X472" s="12"/>
      <c r="Y472" s="12"/>
      <c r="Z472" s="12"/>
      <c r="AA472" s="12"/>
      <c r="AB472" s="12"/>
    </row>
    <row r="473" spans="1:28" s="10" customFormat="1" ht="15" hidden="1">
      <c r="A473" s="9"/>
      <c r="B473" s="169" cm="1">
        <f t="array" ref="B473">_xlfn.IFS(OR(Code!R171&lt;&gt;Code!U171,Code!R171=""),0,Code!R171=Code!U171,1)</f>
        <v>0</v>
      </c>
      <c r="C473" s="193" t="str">
        <f>IF(Code!F171="","",Code!F171)</f>
        <v>EVRG</v>
      </c>
      <c r="D473" s="155" t="str">
        <f>IFERROR(VLOOKUP($C473,Code!$H:$K,2,FALSE),"")</f>
        <v>XLU</v>
      </c>
      <c r="E473" s="156" t="str">
        <f>IFERROR(VLOOKUP($C473,Code!$H:$K,3,FALSE),"")</f>
        <v>公用事業—受監督的電力</v>
      </c>
      <c r="F473" s="157" t="str">
        <f>IFERROR(VLOOKUP($C473,Code!$H:$K,4,FALSE),"")</f>
        <v>.SPX</v>
      </c>
      <c r="G473" s="170">
        <f>IFERROR(((VLOOKUP($C473,Code!$H:$Q,9,FALSE))+(VLOOKUP($C473,Code!$H:$Q,10,FALSE)))/2*0.5/(((VLOOKUP($C473,Code!$H:$Q,7,FALSE))+(VLOOKUP($C473,Code!$H:$Q,8,FALSE)))/2),0)</f>
        <v>0.52791364479676173</v>
      </c>
      <c r="H473" s="171" t="str">
        <f t="shared" si="56"/>
        <v>M</v>
      </c>
      <c r="I473" s="170">
        <f>IFERROR((VLOOKUP($C473,Code!$H:$Q,5,FALSE))/(((VLOOKUP($C473,Code!$H:$Q,7,FALSE))+(VLOOKUP($C473,Code!$H:$Q,8,FALSE)))/2)-1,0)</f>
        <v>-0.36852757631978406</v>
      </c>
      <c r="J473" s="204">
        <f>IFERROR(POWER((VLOOKUP(C473,Code!H:W,12,FALSE))/(VLOOKUP(C473,Code!H:W,15,FALSE)),1/(P473-1))-1,"")</f>
        <v>7.6033450459506824E-2</v>
      </c>
      <c r="K473" s="172" cm="1">
        <f t="array" ref="K473">IFERROR(IF(C473="","",_xlfn.IFS(AND(VLOOKUP(C473,Code!H:W,13,FALSE)=0,VLOOKUP(C473,Code!H:W,16,FALSE)=0),"無股息",AND(VLOOKUP(C473,Code!H:W,13,FALSE)=0,VLOOKUP(C473,Code!H:W,16,FALSE)&gt;0),"股息沒了",AND(VLOOKUP(C473,Code!H:W,13,FALSE)&gt;0,VLOOKUP(C473,Code!H:W,16,FALSE)=0),"發股息了",AND(VLOOKUP(C473,Code!H:W,13,FALSE)&gt;0,VLOOKUP(C473,Code!H:W,16,FALSE)&gt;0),POWER((VLOOKUP(C473,Code!H:W,13,FALSE))/(VLOOKUP(C473,Code!H:W,16,FALSE)),1/(P473-1))-1)),"")</f>
        <v>9.6829804800875774E-2</v>
      </c>
      <c r="L473" s="173">
        <f>IFERROR(VLOOKUP(C473,Code!H:W,13,FALSE)*4/VLOOKUP(C473,Code!H:W,12,FALSE),"")</f>
        <v>3.4571889293174216E-2</v>
      </c>
      <c r="M473" s="172">
        <f t="shared" si="57"/>
        <v>0.1728632552603826</v>
      </c>
      <c r="N473" s="172" t="str">
        <f t="shared" si="58"/>
        <v>Venture</v>
      </c>
      <c r="O473" s="172" t="str">
        <f t="shared" si="59"/>
        <v>-</v>
      </c>
      <c r="P473" s="205">
        <f>IFERROR(YEARFRAC(VLOOKUP(C473,Code!H:W,11,FALSE),VLOOKUP(C473,Code!H:W,14,FALSE),3),"")</f>
        <v>4.7013698630136984</v>
      </c>
      <c r="Q473" s="174">
        <v>44547</v>
      </c>
      <c r="R473" s="175" t="str">
        <f t="shared" ca="1" si="60"/>
        <v/>
      </c>
      <c r="S473" s="176">
        <f>IFERROR(VLOOKUP($C473,Code!$H:$Q,5,FALSE),"")</f>
        <v>0.18720000000000001</v>
      </c>
      <c r="T473" s="177" t="str">
        <f t="shared" ca="1" si="61"/>
        <v/>
      </c>
      <c r="U473" s="178" t="str">
        <f t="shared" ca="1" si="62"/>
        <v/>
      </c>
      <c r="V473" s="179">
        <f>IFERROR(VLOOKUP($C473,Code!$H:$Q,6,FALSE),"")</f>
        <v>67.19</v>
      </c>
      <c r="W473" s="180" t="str">
        <f t="shared" ca="1" si="63"/>
        <v/>
      </c>
      <c r="X473" s="12"/>
      <c r="Y473" s="12"/>
      <c r="Z473" s="12"/>
      <c r="AA473" s="12"/>
      <c r="AB473" s="12"/>
    </row>
    <row r="474" spans="1:28" s="10" customFormat="1" ht="15" hidden="1">
      <c r="A474" s="9"/>
      <c r="B474" s="169" cm="1">
        <f t="array" ref="B474">_xlfn.IFS(OR(Code!R368&lt;&gt;Code!U368,Code!R368=""),0,Code!R368=Code!U368,1)</f>
        <v>0</v>
      </c>
      <c r="C474" s="193" t="str">
        <f>IF(Code!F368="","",Code!F368)</f>
        <v>PFG</v>
      </c>
      <c r="D474" s="155" t="str">
        <f>IFERROR(VLOOKUP($C474,Code!$H:$K,2,FALSE),"")</f>
        <v>XLF</v>
      </c>
      <c r="E474" s="156" t="str">
        <f>IFERROR(VLOOKUP($C474,Code!$H:$K,3,FALSE),"")</f>
        <v>保險-多樣化</v>
      </c>
      <c r="F474" s="157" t="str">
        <f>IFERROR(VLOOKUP($C474,Code!$H:$K,4,FALSE),"")</f>
        <v>.SPX</v>
      </c>
      <c r="G474" s="170">
        <f>IFERROR(((VLOOKUP($C474,Code!$H:$Q,9,FALSE))+(VLOOKUP($C474,Code!$H:$Q,10,FALSE)))/2*0.5/(((VLOOKUP($C474,Code!$H:$Q,7,FALSE))+(VLOOKUP($C474,Code!$H:$Q,8,FALSE)))/2),0)</f>
        <v>0.46657451621010304</v>
      </c>
      <c r="H474" s="171" t="str">
        <f t="shared" si="56"/>
        <v>S</v>
      </c>
      <c r="I474" s="170">
        <f>IFERROR((VLOOKUP($C474,Code!$H:$Q,5,FALSE))/(((VLOOKUP($C474,Code!$H:$Q,7,FALSE))+(VLOOKUP($C474,Code!$H:$Q,8,FALSE)))/2)-1,0)</f>
        <v>-0.37044483538577533</v>
      </c>
      <c r="J474" s="204">
        <f>IFERROR(POWER((VLOOKUP(C474,Code!H:W,12,FALSE))/(VLOOKUP(C474,Code!H:W,15,FALSE)),1/(P474-1))-1,"")</f>
        <v>0.13401838247840914</v>
      </c>
      <c r="K474" s="172" cm="1">
        <f t="array" ref="K474">IFERROR(IF(C474="","",_xlfn.IFS(AND(VLOOKUP(C474,Code!H:W,13,FALSE)=0,VLOOKUP(C474,Code!H:W,16,FALSE)=0),"無股息",AND(VLOOKUP(C474,Code!H:W,13,FALSE)=0,VLOOKUP(C474,Code!H:W,16,FALSE)&gt;0),"股息沒了",AND(VLOOKUP(C474,Code!H:W,13,FALSE)&gt;0,VLOOKUP(C474,Code!H:W,16,FALSE)=0),"發股息了",AND(VLOOKUP(C474,Code!H:W,13,FALSE)&gt;0,VLOOKUP(C474,Code!H:W,16,FALSE)&gt;0),POWER((VLOOKUP(C474,Code!H:W,13,FALSE))/(VLOOKUP(C474,Code!H:W,16,FALSE)),1/(P474-1))-1)),"")</f>
        <v>0.11156982406399996</v>
      </c>
      <c r="L474" s="173">
        <f>IFERROR(VLOOKUP(C474,Code!H:W,13,FALSE)*4/VLOOKUP(C474,Code!H:W,12,FALSE),"")</f>
        <v>3.7274672076473933E-2</v>
      </c>
      <c r="M474" s="172">
        <f t="shared" si="57"/>
        <v>0.24558820654240909</v>
      </c>
      <c r="N474" s="172" t="str">
        <f t="shared" si="58"/>
        <v>Venture</v>
      </c>
      <c r="O474" s="172" t="str">
        <f t="shared" si="59"/>
        <v>-</v>
      </c>
      <c r="P474" s="205">
        <f>IFERROR(YEARFRAC(VLOOKUP(C474,Code!H:W,11,FALSE),VLOOKUP(C474,Code!H:W,14,FALSE),3),"")</f>
        <v>4.7561643835616438</v>
      </c>
      <c r="Q474" s="174">
        <v>44547</v>
      </c>
      <c r="R474" s="175" t="str">
        <f t="shared" ca="1" si="60"/>
        <v/>
      </c>
      <c r="S474" s="176">
        <f>IFERROR(VLOOKUP($C474,Code!$H:$Q,5,FALSE),"")</f>
        <v>0.2505</v>
      </c>
      <c r="T474" s="177" t="str">
        <f t="shared" ca="1" si="61"/>
        <v/>
      </c>
      <c r="U474" s="178" t="str">
        <f t="shared" ca="1" si="62"/>
        <v/>
      </c>
      <c r="V474" s="179">
        <f>IFERROR(VLOOKUP($C474,Code!$H:$Q,6,FALSE),"")</f>
        <v>64.72</v>
      </c>
      <c r="W474" s="180" t="str">
        <f t="shared" ca="1" si="63"/>
        <v/>
      </c>
      <c r="X474" s="12"/>
      <c r="Y474" s="12"/>
      <c r="Z474" s="12"/>
      <c r="AA474" s="12"/>
      <c r="AB474" s="12"/>
    </row>
    <row r="475" spans="1:28" s="10" customFormat="1" ht="15" hidden="1">
      <c r="A475" s="9"/>
      <c r="B475" s="169" cm="1">
        <f t="array" ref="B475">_xlfn.IFS(OR(Code!R248&lt;&gt;Code!U248,Code!R248=""),0,Code!R248=Code!U248,1)</f>
        <v>0</v>
      </c>
      <c r="C475" s="193" t="str">
        <f>IF(Code!F248="","",Code!F248)</f>
        <v>IRM</v>
      </c>
      <c r="D475" s="155" t="str">
        <f>IFERROR(VLOOKUP($C475,Code!$H:$K,2,FALSE),"")</f>
        <v>XLRE</v>
      </c>
      <c r="E475" s="156" t="str">
        <f>IFERROR(VLOOKUP($C475,Code!$H:$K,3,FALSE),"")</f>
        <v>REIT-專業</v>
      </c>
      <c r="F475" s="157" t="str">
        <f>IFERROR(VLOOKUP($C475,Code!$H:$K,4,FALSE),"")</f>
        <v>.SPX</v>
      </c>
      <c r="G475" s="170">
        <f>IFERROR(((VLOOKUP($C475,Code!$H:$Q,9,FALSE))+(VLOOKUP($C475,Code!$H:$Q,10,FALSE)))/2*0.5/(((VLOOKUP($C475,Code!$H:$Q,7,FALSE))+(VLOOKUP($C475,Code!$H:$Q,8,FALSE)))/2),0)</f>
        <v>0.5133886731824876</v>
      </c>
      <c r="H475" s="171" t="str">
        <f t="shared" si="56"/>
        <v>M</v>
      </c>
      <c r="I475" s="170">
        <f>IFERROR((VLOOKUP($C475,Code!$H:$Q,5,FALSE))/(((VLOOKUP($C475,Code!$H:$Q,7,FALSE))+(VLOOKUP($C475,Code!$H:$Q,8,FALSE)))/2)-1,0)</f>
        <v>-0.37180345427768113</v>
      </c>
      <c r="J475" s="204">
        <f>IFERROR(POWER((VLOOKUP(C475,Code!H:W,12,FALSE))/(VLOOKUP(C475,Code!H:W,15,FALSE)),1/(P475-1))-1,"")</f>
        <v>0.14840873414034439</v>
      </c>
      <c r="K475" s="172" cm="1">
        <f t="array" ref="K475">IFERROR(IF(C475="","",_xlfn.IFS(AND(VLOOKUP(C475,Code!H:W,13,FALSE)=0,VLOOKUP(C475,Code!H:W,16,FALSE)=0),"無股息",AND(VLOOKUP(C475,Code!H:W,13,FALSE)=0,VLOOKUP(C475,Code!H:W,16,FALSE)&gt;0),"股息沒了",AND(VLOOKUP(C475,Code!H:W,13,FALSE)&gt;0,VLOOKUP(C475,Code!H:W,16,FALSE)=0),"發股息了",AND(VLOOKUP(C475,Code!H:W,13,FALSE)&gt;0,VLOOKUP(C475,Code!H:W,16,FALSE)&gt;0),POWER((VLOOKUP(C475,Code!H:W,13,FALSE))/(VLOOKUP(C475,Code!H:W,16,FALSE)),1/(P475-1))-1)),"")</f>
        <v>6.690222258134404E-2</v>
      </c>
      <c r="L475" s="173">
        <f>IFERROR(VLOOKUP(C475,Code!H:W,13,FALSE)*4/VLOOKUP(C475,Code!H:W,12,FALSE),"")</f>
        <v>5.389638820233849E-2</v>
      </c>
      <c r="M475" s="172">
        <f t="shared" si="57"/>
        <v>0.21531095672168843</v>
      </c>
      <c r="N475" s="172" t="str">
        <f t="shared" si="58"/>
        <v>Venture</v>
      </c>
      <c r="O475" s="172" t="str">
        <f t="shared" si="59"/>
        <v>-</v>
      </c>
      <c r="P475" s="205">
        <f>IFERROR(YEARFRAC(VLOOKUP(C475,Code!H:W,11,FALSE),VLOOKUP(C475,Code!H:W,14,FALSE),3),"")</f>
        <v>4.7671232876712333</v>
      </c>
      <c r="Q475" s="174">
        <v>44547</v>
      </c>
      <c r="R475" s="175" t="str">
        <f t="shared" ca="1" si="60"/>
        <v/>
      </c>
      <c r="S475" s="176">
        <f>IFERROR(VLOOKUP($C475,Code!$H:$Q,5,FALSE),"")</f>
        <v>0.2346</v>
      </c>
      <c r="T475" s="177" t="str">
        <f t="shared" ca="1" si="61"/>
        <v/>
      </c>
      <c r="U475" s="178" t="str">
        <f t="shared" ca="1" si="62"/>
        <v/>
      </c>
      <c r="V475" s="179">
        <f>IFERROR(VLOOKUP($C475,Code!$H:$Q,6,FALSE),"")</f>
        <v>44.47</v>
      </c>
      <c r="W475" s="180" t="str">
        <f t="shared" ca="1" si="63"/>
        <v/>
      </c>
      <c r="X475" s="12"/>
      <c r="Y475" s="12"/>
      <c r="Z475" s="12"/>
      <c r="AA475" s="12"/>
      <c r="AB475" s="12"/>
    </row>
    <row r="476" spans="1:28" s="10" customFormat="1" ht="15" hidden="1">
      <c r="A476" s="9"/>
      <c r="B476" s="169" cm="1">
        <f t="array" ref="B476">_xlfn.IFS(OR(Code!R196&lt;&gt;Code!U196,Code!R196=""),0,Code!R196=Code!U196,1)</f>
        <v>0</v>
      </c>
      <c r="C476" s="193" t="str">
        <f>IF(Code!F196="","",Code!F196)</f>
        <v>FTV</v>
      </c>
      <c r="D476" s="155" t="str">
        <f>IFERROR(VLOOKUP($C476,Code!$H:$K,2,FALSE),"")</f>
        <v>XLI</v>
      </c>
      <c r="E476" s="156" t="str">
        <f>IFERROR(VLOOKUP($C476,Code!$H:$K,3,FALSE),"")</f>
        <v>科技儀器</v>
      </c>
      <c r="F476" s="157" t="str">
        <f>IFERROR(VLOOKUP($C476,Code!$H:$K,4,FALSE),"")</f>
        <v>.SPX</v>
      </c>
      <c r="G476" s="170">
        <f>IFERROR(((VLOOKUP($C476,Code!$H:$Q,9,FALSE))+(VLOOKUP($C476,Code!$H:$Q,10,FALSE)))/2*0.5/(((VLOOKUP($C476,Code!$H:$Q,7,FALSE))+(VLOOKUP($C476,Code!$H:$Q,8,FALSE)))/2),0)</f>
        <v>0.49127199885534412</v>
      </c>
      <c r="H476" s="171" t="str">
        <f t="shared" si="56"/>
        <v>S</v>
      </c>
      <c r="I476" s="170">
        <f>IFERROR((VLOOKUP($C476,Code!$H:$Q,5,FALSE))/(((VLOOKUP($C476,Code!$H:$Q,7,FALSE))+(VLOOKUP($C476,Code!$H:$Q,8,FALSE)))/2)-1,0)</f>
        <v>-0.3727285734725998</v>
      </c>
      <c r="J476" s="204">
        <f>IFERROR(POWER((VLOOKUP(C476,Code!H:W,12,FALSE))/(VLOOKUP(C476,Code!H:W,15,FALSE)),1/(P476-1))-1,"")</f>
        <v>0.15404213531259936</v>
      </c>
      <c r="K476" s="172" cm="1">
        <f t="array" ref="K476">IFERROR(IF(C476="","",_xlfn.IFS(AND(VLOOKUP(C476,Code!H:W,13,FALSE)=0,VLOOKUP(C476,Code!H:W,16,FALSE)=0),"無股息",AND(VLOOKUP(C476,Code!H:W,13,FALSE)=0,VLOOKUP(C476,Code!H:W,16,FALSE)&gt;0),"股息沒了",AND(VLOOKUP(C476,Code!H:W,13,FALSE)&gt;0,VLOOKUP(C476,Code!H:W,16,FALSE)=0),"發股息了",AND(VLOOKUP(C476,Code!H:W,13,FALSE)&gt;0,VLOOKUP(C476,Code!H:W,16,FALSE)&gt;0),POWER((VLOOKUP(C476,Code!H:W,13,FALSE))/(VLOOKUP(C476,Code!H:W,16,FALSE)),1/(P476-1))-1)),"")</f>
        <v>4.8536058242016233E-2</v>
      </c>
      <c r="L476" s="173">
        <f>IFERROR(VLOOKUP(C476,Code!H:W,13,FALSE)*4/VLOOKUP(C476,Code!H:W,12,FALSE),"")</f>
        <v>3.8743602187072089E-3</v>
      </c>
      <c r="M476" s="172">
        <f t="shared" si="57"/>
        <v>0.20257819355461559</v>
      </c>
      <c r="N476" s="172" t="str">
        <f t="shared" si="58"/>
        <v>-</v>
      </c>
      <c r="O476" s="172" t="str">
        <f t="shared" si="59"/>
        <v>-</v>
      </c>
      <c r="P476" s="205">
        <f>IFERROR(YEARFRAC(VLOOKUP(C476,Code!H:W,11,FALSE),VLOOKUP(C476,Code!H:W,14,FALSE),3),"")</f>
        <v>4.7589041095890412</v>
      </c>
      <c r="Q476" s="174">
        <v>44547</v>
      </c>
      <c r="R476" s="175" t="str">
        <f t="shared" ca="1" si="60"/>
        <v/>
      </c>
      <c r="S476" s="176">
        <f>IFERROR(VLOOKUP($C476,Code!$H:$Q,5,FALSE),"")</f>
        <v>0.21920000000000001</v>
      </c>
      <c r="T476" s="177" t="str">
        <f t="shared" ca="1" si="61"/>
        <v/>
      </c>
      <c r="U476" s="178" t="str">
        <f t="shared" ca="1" si="62"/>
        <v/>
      </c>
      <c r="V476" s="179">
        <f>IFERROR(VLOOKUP($C476,Code!$H:$Q,6,FALSE),"")</f>
        <v>73.52</v>
      </c>
      <c r="W476" s="180" t="str">
        <f t="shared" ca="1" si="63"/>
        <v/>
      </c>
      <c r="X476" s="12"/>
      <c r="Y476" s="12"/>
      <c r="Z476" s="12"/>
      <c r="AA476" s="12"/>
      <c r="AB476" s="12"/>
    </row>
    <row r="477" spans="1:28" s="10" customFormat="1" ht="15" hidden="1">
      <c r="A477" s="9"/>
      <c r="B477" s="169" cm="1">
        <f t="array" ref="B477">_xlfn.IFS(OR(Code!R215&lt;&gt;Code!U215,Code!R215=""),0,Code!R215=Code!U215,1)</f>
        <v>0</v>
      </c>
      <c r="C477" s="193" t="str">
        <f>IF(Code!F215="","",Code!F215)</f>
        <v>HBAN</v>
      </c>
      <c r="D477" s="155" t="str">
        <f>IFERROR(VLOOKUP($C477,Code!$H:$K,2,FALSE),"")</f>
        <v>XLF</v>
      </c>
      <c r="E477" s="156" t="str">
        <f>IFERROR(VLOOKUP($C477,Code!$H:$K,3,FALSE),"")</f>
        <v>銀行-區域</v>
      </c>
      <c r="F477" s="157" t="str">
        <f>IFERROR(VLOOKUP($C477,Code!$H:$K,4,FALSE),"")</f>
        <v>.SPX</v>
      </c>
      <c r="G477" s="170">
        <f>IFERROR(((VLOOKUP($C477,Code!$H:$Q,9,FALSE))+(VLOOKUP($C477,Code!$H:$Q,10,FALSE)))/2*0.5/(((VLOOKUP($C477,Code!$H:$Q,7,FALSE))+(VLOOKUP($C477,Code!$H:$Q,8,FALSE)))/2),0)</f>
        <v>0.39730657795900848</v>
      </c>
      <c r="H477" s="171" t="str">
        <f t="shared" si="56"/>
        <v>S</v>
      </c>
      <c r="I477" s="170">
        <f>IFERROR((VLOOKUP($C477,Code!$H:$Q,5,FALSE))/(((VLOOKUP($C477,Code!$H:$Q,7,FALSE))+(VLOOKUP($C477,Code!$H:$Q,8,FALSE)))/2)-1,0)</f>
        <v>-0.37332331795257001</v>
      </c>
      <c r="J477" s="204">
        <f>IFERROR(POWER((VLOOKUP(C477,Code!H:W,12,FALSE))/(VLOOKUP(C477,Code!H:W,15,FALSE)),1/(P477-1))-1,"")</f>
        <v>0.16410840667498783</v>
      </c>
      <c r="K477" s="172" cm="1">
        <f t="array" ref="K477">IFERROR(IF(C477="","",_xlfn.IFS(AND(VLOOKUP(C477,Code!H:W,13,FALSE)=0,VLOOKUP(C477,Code!H:W,16,FALSE)=0),"無股息",AND(VLOOKUP(C477,Code!H:W,13,FALSE)=0,VLOOKUP(C477,Code!H:W,16,FALSE)&gt;0),"股息沒了",AND(VLOOKUP(C477,Code!H:W,13,FALSE)&gt;0,VLOOKUP(C477,Code!H:W,16,FALSE)=0),"發股息了",AND(VLOOKUP(C477,Code!H:W,13,FALSE)&gt;0,VLOOKUP(C477,Code!H:W,16,FALSE)&gt;0),POWER((VLOOKUP(C477,Code!H:W,13,FALSE))/(VLOOKUP(C477,Code!H:W,16,FALSE)),1/(P477-1))-1)),"")</f>
        <v>0.22513606546414389</v>
      </c>
      <c r="L477" s="173">
        <f>IFERROR(VLOOKUP(C477,Code!H:W,13,FALSE)*4/VLOOKUP(C477,Code!H:W,12,FALSE),"")</f>
        <v>4.1753653777197627E-2</v>
      </c>
      <c r="M477" s="172">
        <f t="shared" si="57"/>
        <v>0.38924447213913171</v>
      </c>
      <c r="N477" s="172" t="str">
        <f t="shared" si="58"/>
        <v>Venture</v>
      </c>
      <c r="O477" s="172" t="str">
        <f t="shared" si="59"/>
        <v>-</v>
      </c>
      <c r="P477" s="205">
        <f>IFERROR(YEARFRAC(VLOOKUP(C477,Code!H:W,11,FALSE),VLOOKUP(C477,Code!H:W,14,FALSE),3),"")</f>
        <v>4.7534246575342465</v>
      </c>
      <c r="Q477" s="174">
        <v>44547</v>
      </c>
      <c r="R477" s="175" t="str">
        <f t="shared" ca="1" si="60"/>
        <v/>
      </c>
      <c r="S477" s="176">
        <f>IFERROR(VLOOKUP($C477,Code!$H:$Q,5,FALSE),"")</f>
        <v>0.29199999999999998</v>
      </c>
      <c r="T477" s="177" t="str">
        <f t="shared" ca="1" si="61"/>
        <v/>
      </c>
      <c r="U477" s="178" t="str">
        <f t="shared" ca="1" si="62"/>
        <v/>
      </c>
      <c r="V477" s="179">
        <f>IFERROR(VLOOKUP($C477,Code!$H:$Q,6,FALSE),"")</f>
        <v>14.41</v>
      </c>
      <c r="W477" s="180" t="str">
        <f t="shared" ca="1" si="63"/>
        <v/>
      </c>
      <c r="X477" s="12"/>
      <c r="Y477" s="12"/>
      <c r="Z477" s="12"/>
      <c r="AA477" s="12"/>
      <c r="AB477" s="12"/>
    </row>
    <row r="478" spans="1:28" s="10" customFormat="1" ht="15" hidden="1">
      <c r="A478" s="9"/>
      <c r="B478" s="169" cm="1">
        <f t="array" ref="B478">_xlfn.IFS(OR(Code!R137&lt;&gt;Code!U137,Code!R137=""),0,Code!R137=Code!U137,1)</f>
        <v>1</v>
      </c>
      <c r="C478" s="193" t="str">
        <f>IF(Code!F137="","",Code!F137)</f>
        <v>DISCA</v>
      </c>
      <c r="D478" s="155" t="str">
        <f>IFERROR(VLOOKUP($C478,Code!$H:$K,2,FALSE),"")</f>
        <v>XLC</v>
      </c>
      <c r="E478" s="156" t="str">
        <f>IFERROR(VLOOKUP($C478,Code!$H:$K,3,FALSE),"")</f>
        <v>娛樂</v>
      </c>
      <c r="F478" s="157" t="str">
        <f>IFERROR(VLOOKUP($C478,Code!$H:$K,4,FALSE),"")</f>
        <v>.SPX</v>
      </c>
      <c r="G478" s="170">
        <f>IFERROR(((VLOOKUP($C478,Code!$H:$Q,9,FALSE))+(VLOOKUP($C478,Code!$H:$Q,10,FALSE)))/2*0.5/(((VLOOKUP($C478,Code!$H:$Q,7,FALSE))+(VLOOKUP($C478,Code!$H:$Q,8,FALSE)))/2),0)</f>
        <v>0.50126053207722421</v>
      </c>
      <c r="H478" s="171" t="str">
        <f t="shared" si="56"/>
        <v>M</v>
      </c>
      <c r="I478" s="170">
        <f>IFERROR((VLOOKUP($C478,Code!$H:$Q,5,FALSE))/(((VLOOKUP($C478,Code!$H:$Q,7,FALSE))+(VLOOKUP($C478,Code!$H:$Q,8,FALSE)))/2)-1,0)</f>
        <v>-0.37384727658727535</v>
      </c>
      <c r="J478" s="204" t="str">
        <f>IFERROR(POWER((VLOOKUP(C478,Code!H:W,12,FALSE))/(VLOOKUP(C478,Code!H:W,15,FALSE)),1/(P478-1))-1,"")</f>
        <v/>
      </c>
      <c r="K478" s="172" t="str" cm="1">
        <f t="array" ref="K478">IFERROR(IF(C478="","",_xlfn.IFS(AND(VLOOKUP(C478,Code!H:W,13,FALSE)=0,VLOOKUP(C478,Code!H:W,16,FALSE)=0),"無股息",AND(VLOOKUP(C478,Code!H:W,13,FALSE)=0,VLOOKUP(C478,Code!H:W,16,FALSE)&gt;0),"股息沒了",AND(VLOOKUP(C478,Code!H:W,13,FALSE)&gt;0,VLOOKUP(C478,Code!H:W,16,FALSE)=0),"發股息了",AND(VLOOKUP(C478,Code!H:W,13,FALSE)&gt;0,VLOOKUP(C478,Code!H:W,16,FALSE)&gt;0),POWER((VLOOKUP(C478,Code!H:W,13,FALSE))/(VLOOKUP(C478,Code!H:W,16,FALSE)),1/(P478-1))-1)),"")</f>
        <v>無股息</v>
      </c>
      <c r="L478" s="173" t="str">
        <f>IFERROR(VLOOKUP(C478,Code!H:W,13,FALSE)*4/VLOOKUP(C478,Code!H:W,12,FALSE),"")</f>
        <v/>
      </c>
      <c r="M478" s="172" t="str">
        <f t="shared" si="57"/>
        <v/>
      </c>
      <c r="N478" s="172" t="str">
        <f t="shared" si="58"/>
        <v/>
      </c>
      <c r="O478" s="172" t="str">
        <f t="shared" si="59"/>
        <v/>
      </c>
      <c r="P478" s="205">
        <f>IFERROR(YEARFRAC(VLOOKUP(C478,Code!H:W,11,FALSE),VLOOKUP(C478,Code!H:W,14,FALSE),3),"")</f>
        <v>0</v>
      </c>
      <c r="Q478" s="174">
        <v>44547</v>
      </c>
      <c r="R478" s="175" t="str">
        <f t="shared" ca="1" si="60"/>
        <v/>
      </c>
      <c r="S478" s="176">
        <f>IFERROR(VLOOKUP($C478,Code!$H:$Q,5,FALSE),"")</f>
        <v>0.47189999999999999</v>
      </c>
      <c r="T478" s="177" t="str">
        <f t="shared" ca="1" si="61"/>
        <v/>
      </c>
      <c r="U478" s="178" t="str">
        <f t="shared" ca="1" si="62"/>
        <v/>
      </c>
      <c r="V478" s="179">
        <f>IFERROR(VLOOKUP($C478,Code!$H:$Q,6,FALSE),"")</f>
        <v>29.2</v>
      </c>
      <c r="W478" s="180" t="str">
        <f t="shared" ca="1" si="63"/>
        <v/>
      </c>
      <c r="X478" s="12"/>
      <c r="Y478" s="12"/>
      <c r="Z478" s="12"/>
      <c r="AA478" s="12"/>
      <c r="AB478" s="12"/>
    </row>
    <row r="479" spans="1:28" s="10" customFormat="1" ht="15" hidden="1">
      <c r="A479" s="9"/>
      <c r="B479" s="169" cm="1">
        <f t="array" ref="B479">_xlfn.IFS(OR(Code!R261&lt;&gt;Code!U261,Code!R261=""),0,Code!R261=Code!U261,1)</f>
        <v>0</v>
      </c>
      <c r="C479" s="193" t="str">
        <f>IF(Code!F261="","",Code!F261)</f>
        <v>KEY</v>
      </c>
      <c r="D479" s="155" t="str">
        <f>IFERROR(VLOOKUP($C479,Code!$H:$K,2,FALSE),"")</f>
        <v>XLF</v>
      </c>
      <c r="E479" s="156" t="str">
        <f>IFERROR(VLOOKUP($C479,Code!$H:$K,3,FALSE),"")</f>
        <v>銀行-區域</v>
      </c>
      <c r="F479" s="157" t="str">
        <f>IFERROR(VLOOKUP($C479,Code!$H:$K,4,FALSE),"")</f>
        <v>.SPX</v>
      </c>
      <c r="G479" s="170">
        <f>IFERROR(((VLOOKUP($C479,Code!$H:$Q,9,FALSE))+(VLOOKUP($C479,Code!$H:$Q,10,FALSE)))/2*0.5/(((VLOOKUP($C479,Code!$H:$Q,7,FALSE))+(VLOOKUP($C479,Code!$H:$Q,8,FALSE)))/2),0)</f>
        <v>0.41584564860426926</v>
      </c>
      <c r="H479" s="171" t="str">
        <f t="shared" si="56"/>
        <v>S</v>
      </c>
      <c r="I479" s="170">
        <f>IFERROR((VLOOKUP($C479,Code!$H:$Q,5,FALSE))/(((VLOOKUP($C479,Code!$H:$Q,7,FALSE))+(VLOOKUP($C479,Code!$H:$Q,8,FALSE)))/2)-1,0)</f>
        <v>-0.375</v>
      </c>
      <c r="J479" s="204">
        <f>IFERROR(POWER((VLOOKUP(C479,Code!H:W,12,FALSE))/(VLOOKUP(C479,Code!H:W,15,FALSE)),1/(P479-1))-1,"")</f>
        <v>0.13556263988353834</v>
      </c>
      <c r="K479" s="172" cm="1">
        <f t="array" ref="K479">IFERROR(IF(C479="","",_xlfn.IFS(AND(VLOOKUP(C479,Code!H:W,13,FALSE)=0,VLOOKUP(C479,Code!H:W,16,FALSE)=0),"無股息",AND(VLOOKUP(C479,Code!H:W,13,FALSE)=0,VLOOKUP(C479,Code!H:W,16,FALSE)&gt;0),"股息沒了",AND(VLOOKUP(C479,Code!H:W,13,FALSE)&gt;0,VLOOKUP(C479,Code!H:W,16,FALSE)=0),"發股息了",AND(VLOOKUP(C479,Code!H:W,13,FALSE)&gt;0,VLOOKUP(C479,Code!H:W,16,FALSE)&gt;0),POWER((VLOOKUP(C479,Code!H:W,13,FALSE))/(VLOOKUP(C479,Code!H:W,16,FALSE)),1/(P479-1))-1)),"")</f>
        <v>0.24828089205808124</v>
      </c>
      <c r="L479" s="173">
        <f>IFERROR(VLOOKUP(C479,Code!H:W,13,FALSE)*4/VLOOKUP(C479,Code!H:W,12,FALSE),"")</f>
        <v>3.2118054279298806E-2</v>
      </c>
      <c r="M479" s="172">
        <f t="shared" si="57"/>
        <v>0.38384353194161958</v>
      </c>
      <c r="N479" s="172" t="str">
        <f t="shared" si="58"/>
        <v>Venture</v>
      </c>
      <c r="O479" s="172" t="str">
        <f t="shared" si="59"/>
        <v>-</v>
      </c>
      <c r="P479" s="205">
        <f>IFERROR(YEARFRAC(VLOOKUP(C479,Code!H:W,11,FALSE),VLOOKUP(C479,Code!H:W,14,FALSE),3),"")</f>
        <v>4.506849315068493</v>
      </c>
      <c r="Q479" s="174">
        <v>44547</v>
      </c>
      <c r="R479" s="175" t="str">
        <f t="shared" ca="1" si="60"/>
        <v/>
      </c>
      <c r="S479" s="176">
        <f>IFERROR(VLOOKUP($C479,Code!$H:$Q,5,FALSE),"")</f>
        <v>0.30449999999999999</v>
      </c>
      <c r="T479" s="177" t="str">
        <f t="shared" ca="1" si="61"/>
        <v/>
      </c>
      <c r="U479" s="178" t="str">
        <f t="shared" ca="1" si="62"/>
        <v/>
      </c>
      <c r="V479" s="179">
        <f>IFERROR(VLOOKUP($C479,Code!$H:$Q,6,FALSE),"")</f>
        <v>19.899999999999999</v>
      </c>
      <c r="W479" s="180" t="str">
        <f t="shared" ca="1" si="63"/>
        <v/>
      </c>
      <c r="X479" s="12"/>
      <c r="Y479" s="12"/>
      <c r="Z479" s="12"/>
      <c r="AA479" s="12"/>
      <c r="AB479" s="12"/>
    </row>
    <row r="480" spans="1:28" s="10" customFormat="1" ht="15" hidden="1">
      <c r="A480" s="9"/>
      <c r="B480" s="169" cm="1">
        <f t="array" ref="B480">_xlfn.IFS(OR(Code!R76&lt;&gt;Code!U76,Code!R76=""),0,Code!R76=Code!U76,1)</f>
        <v>0</v>
      </c>
      <c r="C480" s="193" t="str">
        <f>IF(Code!F76="","",Code!F76)</f>
        <v>BXP</v>
      </c>
      <c r="D480" s="155" t="str">
        <f>IFERROR(VLOOKUP($C480,Code!$H:$K,2,FALSE),"")</f>
        <v>XLRE</v>
      </c>
      <c r="E480" s="156" t="str">
        <f>IFERROR(VLOOKUP($C480,Code!$H:$K,3,FALSE),"")</f>
        <v>REIT-辦公室</v>
      </c>
      <c r="F480" s="157" t="str">
        <f>IFERROR(VLOOKUP($C480,Code!$H:$K,4,FALSE),"")</f>
        <v>.SPX</v>
      </c>
      <c r="G480" s="170">
        <f>IFERROR(((VLOOKUP($C480,Code!$H:$Q,9,FALSE))+(VLOOKUP($C480,Code!$H:$Q,10,FALSE)))/2*0.5/(((VLOOKUP($C480,Code!$H:$Q,7,FALSE))+(VLOOKUP($C480,Code!$H:$Q,8,FALSE)))/2),0)</f>
        <v>0.40051694428489376</v>
      </c>
      <c r="H480" s="171" t="str">
        <f t="shared" si="56"/>
        <v>S</v>
      </c>
      <c r="I480" s="170">
        <f>IFERROR((VLOOKUP($C480,Code!$H:$Q,5,FALSE))/(((VLOOKUP($C480,Code!$H:$Q,7,FALSE))+(VLOOKUP($C480,Code!$H:$Q,8,FALSE)))/2)-1,0)</f>
        <v>-0.37553130384836297</v>
      </c>
      <c r="J480" s="204">
        <f>IFERROR(POWER((VLOOKUP(C480,Code!H:W,12,FALSE))/(VLOOKUP(C480,Code!H:W,15,FALSE)),1/(P480-1))-1,"")</f>
        <v>-1.1773026733506442E-2</v>
      </c>
      <c r="K480" s="172" cm="1">
        <f t="array" ref="K480">IFERROR(IF(C480="","",_xlfn.IFS(AND(VLOOKUP(C480,Code!H:W,13,FALSE)=0,VLOOKUP(C480,Code!H:W,16,FALSE)=0),"無股息",AND(VLOOKUP(C480,Code!H:W,13,FALSE)=0,VLOOKUP(C480,Code!H:W,16,FALSE)&gt;0),"股息沒了",AND(VLOOKUP(C480,Code!H:W,13,FALSE)&gt;0,VLOOKUP(C480,Code!H:W,16,FALSE)=0),"發股息了",AND(VLOOKUP(C480,Code!H:W,13,FALSE)&gt;0,VLOOKUP(C480,Code!H:W,16,FALSE)&gt;0),POWER((VLOOKUP(C480,Code!H:W,13,FALSE))/(VLOOKUP(C480,Code!H:W,16,FALSE)),1/(P480-1))-1)),"")</f>
        <v>0.11559529333938356</v>
      </c>
      <c r="L480" s="173">
        <f>IFERROR(VLOOKUP(C480,Code!H:W,13,FALSE)*4/VLOOKUP(C480,Code!H:W,12,FALSE),"")</f>
        <v>3.4437318254795839E-2</v>
      </c>
      <c r="M480" s="172">
        <f t="shared" si="57"/>
        <v>0.10382226660587712</v>
      </c>
      <c r="N480" s="172" t="str">
        <f t="shared" si="58"/>
        <v>Venture</v>
      </c>
      <c r="O480" s="172" t="str">
        <f t="shared" si="59"/>
        <v>-</v>
      </c>
      <c r="P480" s="205">
        <f>IFERROR(YEARFRAC(VLOOKUP(C480,Code!H:W,11,FALSE),VLOOKUP(C480,Code!H:W,14,FALSE),3),"")</f>
        <v>4.7534246575342465</v>
      </c>
      <c r="Q480" s="174">
        <v>44547</v>
      </c>
      <c r="R480" s="175" t="str">
        <f t="shared" ca="1" si="60"/>
        <v/>
      </c>
      <c r="S480" s="176">
        <f>IFERROR(VLOOKUP($C480,Code!$H:$Q,5,FALSE),"")</f>
        <v>0.27179999999999999</v>
      </c>
      <c r="T480" s="177" t="str">
        <f t="shared" ca="1" si="61"/>
        <v/>
      </c>
      <c r="U480" s="178" t="str">
        <f t="shared" ca="1" si="62"/>
        <v/>
      </c>
      <c r="V480" s="179">
        <f>IFERROR(VLOOKUP($C480,Code!$H:$Q,6,FALSE),"")</f>
        <v>117.68</v>
      </c>
      <c r="W480" s="180" t="str">
        <f t="shared" ca="1" si="63"/>
        <v/>
      </c>
      <c r="X480" s="12"/>
      <c r="Y480" s="12"/>
      <c r="Z480" s="12"/>
      <c r="AA480" s="12"/>
      <c r="AB480" s="12"/>
    </row>
    <row r="481" spans="1:28" s="10" customFormat="1" ht="15" hidden="1">
      <c r="A481" s="9"/>
      <c r="B481" s="169" cm="1">
        <f t="array" ref="B481">_xlfn.IFS(OR(Code!R138&lt;&gt;Code!U138,Code!R138=""),0,Code!R138=Code!U138,1)</f>
        <v>1</v>
      </c>
      <c r="C481" s="193" t="str">
        <f>IF(Code!F138="","",Code!F138)</f>
        <v>DISCK</v>
      </c>
      <c r="D481" s="155" t="str">
        <f>IFERROR(VLOOKUP($C481,Code!$H:$K,2,FALSE),"")</f>
        <v>XLC</v>
      </c>
      <c r="E481" s="156" t="str">
        <f>IFERROR(VLOOKUP($C481,Code!$H:$K,3,FALSE),"")</f>
        <v>娛樂</v>
      </c>
      <c r="F481" s="157" t="str">
        <f>IFERROR(VLOOKUP($C481,Code!$H:$K,4,FALSE),"")</f>
        <v>.SPX</v>
      </c>
      <c r="G481" s="170">
        <f>IFERROR(((VLOOKUP($C481,Code!$H:$Q,9,FALSE))+(VLOOKUP($C481,Code!$H:$Q,10,FALSE)))/2*0.5/(((VLOOKUP($C481,Code!$H:$Q,7,FALSE))+(VLOOKUP($C481,Code!$H:$Q,8,FALSE)))/2),0)</f>
        <v>0.47804750376235028</v>
      </c>
      <c r="H481" s="171" t="str">
        <f t="shared" si="56"/>
        <v>S</v>
      </c>
      <c r="I481" s="170">
        <f>IFERROR((VLOOKUP($C481,Code!$H:$Q,5,FALSE))/(((VLOOKUP($C481,Code!$H:$Q,7,FALSE))+(VLOOKUP($C481,Code!$H:$Q,8,FALSE)))/2)-1,0)</f>
        <v>-0.37603873585029124</v>
      </c>
      <c r="J481" s="204" t="str">
        <f>IFERROR(POWER((VLOOKUP(C481,Code!H:W,12,FALSE))/(VLOOKUP(C481,Code!H:W,15,FALSE)),1/(P481-1))-1,"")</f>
        <v/>
      </c>
      <c r="K481" s="172" t="str" cm="1">
        <f t="array" ref="K481">IFERROR(IF(C481="","",_xlfn.IFS(AND(VLOOKUP(C481,Code!H:W,13,FALSE)=0,VLOOKUP(C481,Code!H:W,16,FALSE)=0),"無股息",AND(VLOOKUP(C481,Code!H:W,13,FALSE)=0,VLOOKUP(C481,Code!H:W,16,FALSE)&gt;0),"股息沒了",AND(VLOOKUP(C481,Code!H:W,13,FALSE)&gt;0,VLOOKUP(C481,Code!H:W,16,FALSE)=0),"發股息了",AND(VLOOKUP(C481,Code!H:W,13,FALSE)&gt;0,VLOOKUP(C481,Code!H:W,16,FALSE)&gt;0),POWER((VLOOKUP(C481,Code!H:W,13,FALSE))/(VLOOKUP(C481,Code!H:W,16,FALSE)),1/(P481-1))-1)),"")</f>
        <v>無股息</v>
      </c>
      <c r="L481" s="173" t="str">
        <f>IFERROR(VLOOKUP(C481,Code!H:W,13,FALSE)*4/VLOOKUP(C481,Code!H:W,12,FALSE),"")</f>
        <v/>
      </c>
      <c r="M481" s="172" t="str">
        <f t="shared" si="57"/>
        <v/>
      </c>
      <c r="N481" s="172" t="str">
        <f t="shared" si="58"/>
        <v/>
      </c>
      <c r="O481" s="172" t="str">
        <f t="shared" si="59"/>
        <v/>
      </c>
      <c r="P481" s="205">
        <f>IFERROR(YEARFRAC(VLOOKUP(C481,Code!H:W,11,FALSE),VLOOKUP(C481,Code!H:W,14,FALSE),3),"")</f>
        <v>0</v>
      </c>
      <c r="Q481" s="174">
        <v>44547</v>
      </c>
      <c r="R481" s="175" t="str">
        <f t="shared" ca="1" si="60"/>
        <v/>
      </c>
      <c r="S481" s="176">
        <f>IFERROR(VLOOKUP($C481,Code!$H:$Q,5,FALSE),"")</f>
        <v>0.4768</v>
      </c>
      <c r="T481" s="177" t="str">
        <f t="shared" ca="1" si="61"/>
        <v/>
      </c>
      <c r="U481" s="178" t="str">
        <f t="shared" ca="1" si="62"/>
        <v/>
      </c>
      <c r="V481" s="179">
        <f>IFERROR(VLOOKUP($C481,Code!$H:$Q,6,FALSE),"")</f>
        <v>27.49</v>
      </c>
      <c r="W481" s="180" t="str">
        <f t="shared" ca="1" si="63"/>
        <v/>
      </c>
      <c r="X481" s="12"/>
      <c r="Y481" s="12"/>
      <c r="Z481" s="12"/>
      <c r="AA481" s="12"/>
      <c r="AB481" s="12"/>
    </row>
    <row r="482" spans="1:28" s="10" customFormat="1" ht="15" hidden="1">
      <c r="A482" s="9"/>
      <c r="B482" s="169" cm="1">
        <f t="array" ref="B482">_xlfn.IFS(OR(Code!R453&lt;&gt;Code!U453,Code!R453=""),0,Code!R453=Code!U453,1)</f>
        <v>1</v>
      </c>
      <c r="C482" s="193" t="str">
        <f>IF(Code!F453="","",Code!F453)</f>
        <v>TWTR</v>
      </c>
      <c r="D482" s="155" t="str">
        <f>IFERROR(VLOOKUP($C482,Code!$H:$K,2,FALSE),"")</f>
        <v>XLC</v>
      </c>
      <c r="E482" s="156" t="str">
        <f>IFERROR(VLOOKUP($C482,Code!$H:$K,3,FALSE),"")</f>
        <v>互聯網內容與信息</v>
      </c>
      <c r="F482" s="157" t="str">
        <f>IFERROR(VLOOKUP($C482,Code!$H:$K,4,FALSE),"")</f>
        <v>.SPX</v>
      </c>
      <c r="G482" s="170">
        <f>IFERROR(((VLOOKUP($C482,Code!$H:$Q,9,FALSE))+(VLOOKUP($C482,Code!$H:$Q,10,FALSE)))/2*0.5/(((VLOOKUP($C482,Code!$H:$Q,7,FALSE))+(VLOOKUP($C482,Code!$H:$Q,8,FALSE)))/2),0)</f>
        <v>0.54537117903930121</v>
      </c>
      <c r="H482" s="171" t="str">
        <f t="shared" si="56"/>
        <v>M</v>
      </c>
      <c r="I482" s="170">
        <f>IFERROR((VLOOKUP($C482,Code!$H:$Q,5,FALSE))/(((VLOOKUP($C482,Code!$H:$Q,7,FALSE))+(VLOOKUP($C482,Code!$H:$Q,8,FALSE)))/2)-1,0)</f>
        <v>-0.37659388646288217</v>
      </c>
      <c r="J482" s="204" t="str">
        <f>IFERROR(POWER((VLOOKUP(C482,Code!H:W,12,FALSE))/(VLOOKUP(C482,Code!H:W,15,FALSE)),1/(P482-1))-1,"")</f>
        <v/>
      </c>
      <c r="K482" s="172" t="str" cm="1">
        <f t="array" ref="K482">IFERROR(IF(C482="","",_xlfn.IFS(AND(VLOOKUP(C482,Code!H:W,13,FALSE)=0,VLOOKUP(C482,Code!H:W,16,FALSE)=0),"無股息",AND(VLOOKUP(C482,Code!H:W,13,FALSE)=0,VLOOKUP(C482,Code!H:W,16,FALSE)&gt;0),"股息沒了",AND(VLOOKUP(C482,Code!H:W,13,FALSE)&gt;0,VLOOKUP(C482,Code!H:W,16,FALSE)=0),"發股息了",AND(VLOOKUP(C482,Code!H:W,13,FALSE)&gt;0,VLOOKUP(C482,Code!H:W,16,FALSE)&gt;0),POWER((VLOOKUP(C482,Code!H:W,13,FALSE))/(VLOOKUP(C482,Code!H:W,16,FALSE)),1/(P482-1))-1)),"")</f>
        <v>無股息</v>
      </c>
      <c r="L482" s="173" t="str">
        <f>IFERROR(VLOOKUP(C482,Code!H:W,13,FALSE)*4/VLOOKUP(C482,Code!H:W,12,FALSE),"")</f>
        <v/>
      </c>
      <c r="M482" s="172" t="str">
        <f t="shared" si="57"/>
        <v/>
      </c>
      <c r="N482" s="172" t="str">
        <f t="shared" si="58"/>
        <v/>
      </c>
      <c r="O482" s="172" t="str">
        <f t="shared" si="59"/>
        <v/>
      </c>
      <c r="P482" s="205">
        <f>IFERROR(YEARFRAC(VLOOKUP(C482,Code!H:W,11,FALSE),VLOOKUP(C482,Code!H:W,14,FALSE),3),"")</f>
        <v>0</v>
      </c>
      <c r="Q482" s="174">
        <v>44547</v>
      </c>
      <c r="R482" s="175" t="str">
        <f t="shared" ca="1" si="60"/>
        <v/>
      </c>
      <c r="S482" s="176">
        <f>IFERROR(VLOOKUP($C482,Code!$H:$Q,5,FALSE),"")</f>
        <v>0.3569</v>
      </c>
      <c r="T482" s="177" t="str">
        <f t="shared" ca="1" si="61"/>
        <v/>
      </c>
      <c r="U482" s="178" t="str">
        <f t="shared" ca="1" si="62"/>
        <v/>
      </c>
      <c r="V482" s="179">
        <f>IFERROR(VLOOKUP($C482,Code!$H:$Q,6,FALSE),"")</f>
        <v>69.28</v>
      </c>
      <c r="W482" s="180" t="str">
        <f t="shared" ca="1" si="63"/>
        <v/>
      </c>
      <c r="X482" s="12"/>
      <c r="Y482" s="12"/>
      <c r="Z482" s="12"/>
      <c r="AA482" s="12"/>
      <c r="AB482" s="12"/>
    </row>
    <row r="483" spans="1:28" s="10" customFormat="1" ht="15" hidden="1">
      <c r="A483" s="9"/>
      <c r="B483" s="169" cm="1">
        <f t="array" ref="B483">_xlfn.IFS(OR(Code!R386&lt;&gt;Code!U386,Code!R386=""),0,Code!R386=Code!U386,1)</f>
        <v>0</v>
      </c>
      <c r="C483" s="193" t="str">
        <f>IF(Code!F386="","",Code!F386)</f>
        <v>PSX</v>
      </c>
      <c r="D483" s="155" t="str">
        <f>IFERROR(VLOOKUP($C483,Code!$H:$K,2,FALSE),"")</f>
        <v>XLE</v>
      </c>
      <c r="E483" s="156" t="str">
        <f>IFERROR(VLOOKUP($C483,Code!$H:$K,3,FALSE),"")</f>
        <v>油氣煉製與營銷</v>
      </c>
      <c r="F483" s="157" t="str">
        <f>IFERROR(VLOOKUP($C483,Code!$H:$K,4,FALSE),"")</f>
        <v>.SPX</v>
      </c>
      <c r="G483" s="170">
        <f>IFERROR(((VLOOKUP($C483,Code!$H:$Q,9,FALSE))+(VLOOKUP($C483,Code!$H:$Q,10,FALSE)))/2*0.5/(((VLOOKUP($C483,Code!$H:$Q,7,FALSE))+(VLOOKUP($C483,Code!$H:$Q,8,FALSE)))/2),0)</f>
        <v>0.40220483641536275</v>
      </c>
      <c r="H483" s="171" t="str">
        <f t="shared" si="56"/>
        <v>S</v>
      </c>
      <c r="I483" s="170">
        <f>IFERROR((VLOOKUP($C483,Code!$H:$Q,5,FALSE))/(((VLOOKUP($C483,Code!$H:$Q,7,FALSE))+(VLOOKUP($C483,Code!$H:$Q,8,FALSE)))/2)-1,0)</f>
        <v>-0.38015647226173543</v>
      </c>
      <c r="J483" s="204">
        <f>IFERROR(POWER((VLOOKUP(C483,Code!H:W,12,FALSE))/(VLOOKUP(C483,Code!H:W,15,FALSE)),1/(P483-1))-1,"")</f>
        <v>7.0692128592179548E-2</v>
      </c>
      <c r="K483" s="172" cm="1">
        <f t="array" ref="K483">IFERROR(IF(C483="","",_xlfn.IFS(AND(VLOOKUP(C483,Code!H:W,13,FALSE)=0,VLOOKUP(C483,Code!H:W,16,FALSE)=0),"無股息",AND(VLOOKUP(C483,Code!H:W,13,FALSE)=0,VLOOKUP(C483,Code!H:W,16,FALSE)&gt;0),"股息沒了",AND(VLOOKUP(C483,Code!H:W,13,FALSE)&gt;0,VLOOKUP(C483,Code!H:W,16,FALSE)=0),"發股息了",AND(VLOOKUP(C483,Code!H:W,13,FALSE)&gt;0,VLOOKUP(C483,Code!H:W,16,FALSE)&gt;0),POWER((VLOOKUP(C483,Code!H:W,13,FALSE))/(VLOOKUP(C483,Code!H:W,16,FALSE)),1/(P483-1))-1)),"")</f>
        <v>9.9383858384436197E-2</v>
      </c>
      <c r="L483" s="173">
        <f>IFERROR(VLOOKUP(C483,Code!H:W,13,FALSE)*4/VLOOKUP(C483,Code!H:W,12,FALSE),"")</f>
        <v>4.2709692263591302E-2</v>
      </c>
      <c r="M483" s="172">
        <f t="shared" si="57"/>
        <v>0.17007598697661575</v>
      </c>
      <c r="N483" s="172" t="str">
        <f t="shared" si="58"/>
        <v>Venture</v>
      </c>
      <c r="O483" s="172" t="str">
        <f t="shared" si="59"/>
        <v>-</v>
      </c>
      <c r="P483" s="205">
        <f>IFERROR(YEARFRAC(VLOOKUP(C483,Code!H:W,11,FALSE),VLOOKUP(C483,Code!H:W,14,FALSE),3),"")</f>
        <v>4.7643835616438359</v>
      </c>
      <c r="Q483" s="174">
        <v>44547</v>
      </c>
      <c r="R483" s="175" t="str">
        <f t="shared" ca="1" si="60"/>
        <v/>
      </c>
      <c r="S483" s="176">
        <f>IFERROR(VLOOKUP($C483,Code!$H:$Q,5,FALSE),"")</f>
        <v>0.34860000000000002</v>
      </c>
      <c r="T483" s="177" t="str">
        <f t="shared" ca="1" si="61"/>
        <v/>
      </c>
      <c r="U483" s="178" t="str">
        <f t="shared" ca="1" si="62"/>
        <v/>
      </c>
      <c r="V483" s="179">
        <f>IFERROR(VLOOKUP($C483,Code!$H:$Q,6,FALSE),"")</f>
        <v>73.599999999999994</v>
      </c>
      <c r="W483" s="180" t="str">
        <f t="shared" ca="1" si="63"/>
        <v/>
      </c>
      <c r="X483" s="12"/>
      <c r="Y483" s="12"/>
      <c r="Z483" s="12"/>
      <c r="AA483" s="12"/>
      <c r="AB483" s="12"/>
    </row>
    <row r="484" spans="1:28" s="10" customFormat="1" ht="15" hidden="1">
      <c r="A484" s="9"/>
      <c r="B484" s="169" cm="1">
        <f t="array" ref="B484">_xlfn.IFS(OR(Code!R483&lt;&gt;Code!U483,Code!R483=""),0,Code!R483=Code!U483,1)</f>
        <v>0</v>
      </c>
      <c r="C484" s="193" t="str">
        <f>IF(Code!F483="","",Code!F483)</f>
        <v>WBA</v>
      </c>
      <c r="D484" s="155" t="str">
        <f>IFERROR(VLOOKUP($C484,Code!$H:$K,2,FALSE),"")</f>
        <v>XLP</v>
      </c>
      <c r="E484" s="156" t="str">
        <f>IFERROR(VLOOKUP($C484,Code!$H:$K,3,FALSE),"")</f>
        <v>醫葯零售商</v>
      </c>
      <c r="F484" s="157" t="str">
        <f>IFERROR(VLOOKUP($C484,Code!$H:$K,4,FALSE),"")</f>
        <v>.SPX</v>
      </c>
      <c r="G484" s="170">
        <f>IFERROR(((VLOOKUP($C484,Code!$H:$Q,9,FALSE))+(VLOOKUP($C484,Code!$H:$Q,10,FALSE)))/2*0.5/(((VLOOKUP($C484,Code!$H:$Q,7,FALSE))+(VLOOKUP($C484,Code!$H:$Q,8,FALSE)))/2),0)</f>
        <v>0.44996209249431385</v>
      </c>
      <c r="H484" s="171" t="str">
        <f t="shared" si="56"/>
        <v>S</v>
      </c>
      <c r="I484" s="170">
        <f>IFERROR((VLOOKUP($C484,Code!$H:$Q,5,FALSE))/(((VLOOKUP($C484,Code!$H:$Q,7,FALSE))+(VLOOKUP($C484,Code!$H:$Q,8,FALSE)))/2)-1,0)</f>
        <v>-0.38033864038412935</v>
      </c>
      <c r="J484" s="204">
        <f>IFERROR(POWER((VLOOKUP(C484,Code!H:W,12,FALSE))/(VLOOKUP(C484,Code!H:W,15,FALSE)),1/(P484-1))-1,"")</f>
        <v>-6.9986277327033442E-2</v>
      </c>
      <c r="K484" s="172" cm="1">
        <f t="array" ref="K484">IFERROR(IF(C484="","",_xlfn.IFS(AND(VLOOKUP(C484,Code!H:W,13,FALSE)=0,VLOOKUP(C484,Code!H:W,16,FALSE)=0),"無股息",AND(VLOOKUP(C484,Code!H:W,13,FALSE)=0,VLOOKUP(C484,Code!H:W,16,FALSE)&gt;0),"股息沒了",AND(VLOOKUP(C484,Code!H:W,13,FALSE)&gt;0,VLOOKUP(C484,Code!H:W,16,FALSE)=0),"發股息了",AND(VLOOKUP(C484,Code!H:W,13,FALSE)&gt;0,VLOOKUP(C484,Code!H:W,16,FALSE)&gt;0),POWER((VLOOKUP(C484,Code!H:W,13,FALSE))/(VLOOKUP(C484,Code!H:W,16,FALSE)),1/(P484-1))-1)),"")</f>
        <v>6.0709468939428302E-2</v>
      </c>
      <c r="L484" s="173">
        <f>IFERROR(VLOOKUP(C484,Code!H:W,13,FALSE)*4/VLOOKUP(C484,Code!H:W,12,FALSE),"")</f>
        <v>3.4285715243880091E-2</v>
      </c>
      <c r="M484" s="172">
        <f t="shared" si="57"/>
        <v>-9.2768083876051399E-3</v>
      </c>
      <c r="N484" s="172" t="str">
        <f t="shared" si="58"/>
        <v>-</v>
      </c>
      <c r="O484" s="172" t="str">
        <f t="shared" si="59"/>
        <v>-</v>
      </c>
      <c r="P484" s="205">
        <f>IFERROR(YEARFRAC(VLOOKUP(C484,Code!H:W,11,FALSE),VLOOKUP(C484,Code!H:W,14,FALSE),3),"")</f>
        <v>4.7589041095890412</v>
      </c>
      <c r="Q484" s="174">
        <v>44547</v>
      </c>
      <c r="R484" s="175" t="str">
        <f t="shared" ca="1" si="60"/>
        <v/>
      </c>
      <c r="S484" s="176">
        <f>IFERROR(VLOOKUP($C484,Code!$H:$Q,5,FALSE),"")</f>
        <v>0.2452</v>
      </c>
      <c r="T484" s="177" t="str">
        <f t="shared" ca="1" si="61"/>
        <v/>
      </c>
      <c r="U484" s="178" t="str">
        <f t="shared" ca="1" si="62"/>
        <v/>
      </c>
      <c r="V484" s="179">
        <f>IFERROR(VLOOKUP($C484,Code!$H:$Q,6,FALSE),"")</f>
        <v>47.06</v>
      </c>
      <c r="W484" s="180" t="str">
        <f t="shared" ca="1" si="63"/>
        <v/>
      </c>
      <c r="X484" s="12"/>
      <c r="Y484" s="12"/>
      <c r="Z484" s="12"/>
      <c r="AA484" s="12"/>
      <c r="AB484" s="12"/>
    </row>
    <row r="485" spans="1:28" s="10" customFormat="1" ht="15" hidden="1">
      <c r="A485" s="9"/>
      <c r="B485" s="169" cm="1">
        <f t="array" ref="B485">_xlfn.IFS(OR(Code!R125&lt;&gt;Code!U125,Code!R125=""),0,Code!R125=Code!U125,1)</f>
        <v>0</v>
      </c>
      <c r="C485" s="193" t="str">
        <f>IF(Code!F125="","",Code!F125)</f>
        <v>CVX</v>
      </c>
      <c r="D485" s="155" t="str">
        <f>IFERROR(VLOOKUP($C485,Code!$H:$K,2,FALSE),"")</f>
        <v>XLE</v>
      </c>
      <c r="E485" s="156" t="str">
        <f>IFERROR(VLOOKUP($C485,Code!$H:$K,3,FALSE),"")</f>
        <v>油氣一體化</v>
      </c>
      <c r="F485" s="157" t="str">
        <f>IFERROR(VLOOKUP($C485,Code!$H:$K,4,FALSE),"")</f>
        <v>.SPX</v>
      </c>
      <c r="G485" s="170">
        <f>IFERROR(((VLOOKUP($C485,Code!$H:$Q,9,FALSE))+(VLOOKUP($C485,Code!$H:$Q,10,FALSE)))/2*0.5/(((VLOOKUP($C485,Code!$H:$Q,7,FALSE))+(VLOOKUP($C485,Code!$H:$Q,8,FALSE)))/2),0)</f>
        <v>0.45596318547871661</v>
      </c>
      <c r="H485" s="171" t="str">
        <f t="shared" si="56"/>
        <v>S</v>
      </c>
      <c r="I485" s="170">
        <f>IFERROR((VLOOKUP($C485,Code!$H:$Q,5,FALSE))/(((VLOOKUP($C485,Code!$H:$Q,7,FALSE))+(VLOOKUP($C485,Code!$H:$Q,8,FALSE)))/2)-1,0)</f>
        <v>-0.38207848651412502</v>
      </c>
      <c r="J485" s="204">
        <f>IFERROR(POWER((VLOOKUP(C485,Code!H:W,12,FALSE))/(VLOOKUP(C485,Code!H:W,15,FALSE)),1/(P485-1))-1,"")</f>
        <v>6.771588030209208E-2</v>
      </c>
      <c r="K485" s="172" cm="1">
        <f t="array" ref="K485">IFERROR(IF(C485="","",_xlfn.IFS(AND(VLOOKUP(C485,Code!H:W,13,FALSE)=0,VLOOKUP(C485,Code!H:W,16,FALSE)=0),"無股息",AND(VLOOKUP(C485,Code!H:W,13,FALSE)=0,VLOOKUP(C485,Code!H:W,16,FALSE)&gt;0),"股息沒了",AND(VLOOKUP(C485,Code!H:W,13,FALSE)&gt;0,VLOOKUP(C485,Code!H:W,16,FALSE)=0),"發股息了",AND(VLOOKUP(C485,Code!H:W,13,FALSE)&gt;0,VLOOKUP(C485,Code!H:W,16,FALSE)&gt;0),POWER((VLOOKUP(C485,Code!H:W,13,FALSE))/(VLOOKUP(C485,Code!H:W,16,FALSE)),1/(P485-1))-1)),"")</f>
        <v>6.178152034878015E-2</v>
      </c>
      <c r="L485" s="173">
        <f>IFERROR(VLOOKUP(C485,Code!H:W,13,FALSE)*4/VLOOKUP(C485,Code!H:W,12,FALSE),"")</f>
        <v>5.0480316298687794E-2</v>
      </c>
      <c r="M485" s="172">
        <f t="shared" si="57"/>
        <v>0.12949740065087223</v>
      </c>
      <c r="N485" s="172" t="str">
        <f t="shared" si="58"/>
        <v>-</v>
      </c>
      <c r="O485" s="172" t="str">
        <f t="shared" si="59"/>
        <v>-</v>
      </c>
      <c r="P485" s="205">
        <f>IFERROR(YEARFRAC(VLOOKUP(C485,Code!H:W,11,FALSE),VLOOKUP(C485,Code!H:W,14,FALSE),3),"")</f>
        <v>4.7534246575342465</v>
      </c>
      <c r="Q485" s="174">
        <v>44547</v>
      </c>
      <c r="R485" s="175" t="str">
        <f t="shared" ca="1" si="60"/>
        <v/>
      </c>
      <c r="S485" s="176">
        <f>IFERROR(VLOOKUP($C485,Code!$H:$Q,5,FALSE),"")</f>
        <v>0.2417</v>
      </c>
      <c r="T485" s="177" t="str">
        <f t="shared" ca="1" si="61"/>
        <v/>
      </c>
      <c r="U485" s="178" t="str">
        <f t="shared" ca="1" si="62"/>
        <v/>
      </c>
      <c r="V485" s="179">
        <f>IFERROR(VLOOKUP($C485,Code!$H:$Q,6,FALSE),"")</f>
        <v>101.92</v>
      </c>
      <c r="W485" s="180" t="str">
        <f t="shared" ca="1" si="63"/>
        <v/>
      </c>
      <c r="X485" s="12"/>
      <c r="Y485" s="12"/>
      <c r="Z485" s="12"/>
      <c r="AA485" s="12"/>
      <c r="AB485" s="12"/>
    </row>
    <row r="486" spans="1:28" s="10" customFormat="1" ht="15" hidden="1">
      <c r="A486" s="9"/>
      <c r="B486" s="169" cm="1">
        <f t="array" ref="B486">_xlfn.IFS(OR(Code!R241&lt;&gt;Code!U241,Code!R241=""),0,Code!R241=Code!U241,1)</f>
        <v>0</v>
      </c>
      <c r="C486" s="193" t="str">
        <f>IF(Code!F241="","",Code!F241)</f>
        <v>INTC</v>
      </c>
      <c r="D486" s="155" t="str">
        <f>IFERROR(VLOOKUP($C486,Code!$H:$K,2,FALSE),"")</f>
        <v>XLK</v>
      </c>
      <c r="E486" s="156" t="str">
        <f>IFERROR(VLOOKUP($C486,Code!$H:$K,3,FALSE),"")</f>
        <v>半導體</v>
      </c>
      <c r="F486" s="157" t="str">
        <f>IFERROR(VLOOKUP($C486,Code!$H:$K,4,FALSE),"")</f>
        <v>.SPX</v>
      </c>
      <c r="G486" s="170">
        <f>IFERROR(((VLOOKUP($C486,Code!$H:$Q,9,FALSE))+(VLOOKUP($C486,Code!$H:$Q,10,FALSE)))/2*0.5/(((VLOOKUP($C486,Code!$H:$Q,7,FALSE))+(VLOOKUP($C486,Code!$H:$Q,8,FALSE)))/2),0)</f>
        <v>0.45425144859183403</v>
      </c>
      <c r="H486" s="171" t="str">
        <f t="shared" si="56"/>
        <v>S</v>
      </c>
      <c r="I486" s="170">
        <f>IFERROR((VLOOKUP($C486,Code!$H:$Q,5,FALSE))/(((VLOOKUP($C486,Code!$H:$Q,7,FALSE))+(VLOOKUP($C486,Code!$H:$Q,8,FALSE)))/2)-1,0)</f>
        <v>-0.38444953510308588</v>
      </c>
      <c r="J486" s="204">
        <f>IFERROR(POWER((VLOOKUP(C486,Code!H:W,12,FALSE))/(VLOOKUP(C486,Code!H:W,15,FALSE)),1/(P486-1))-1,"")</f>
        <v>0.16799300457830313</v>
      </c>
      <c r="K486" s="172" cm="1">
        <f t="array" ref="K486">IFERROR(IF(C486="","",_xlfn.IFS(AND(VLOOKUP(C486,Code!H:W,13,FALSE)=0,VLOOKUP(C486,Code!H:W,16,FALSE)=0),"無股息",AND(VLOOKUP(C486,Code!H:W,13,FALSE)=0,VLOOKUP(C486,Code!H:W,16,FALSE)&gt;0),"股息沒了",AND(VLOOKUP(C486,Code!H:W,13,FALSE)&gt;0,VLOOKUP(C486,Code!H:W,16,FALSE)=0),"發股息了",AND(VLOOKUP(C486,Code!H:W,13,FALSE)&gt;0,VLOOKUP(C486,Code!H:W,16,FALSE)&gt;0),POWER((VLOOKUP(C486,Code!H:W,13,FALSE))/(VLOOKUP(C486,Code!H:W,16,FALSE)),1/(P486-1))-1)),"")</f>
        <v>8.0702521746412348E-2</v>
      </c>
      <c r="L486" s="173">
        <f>IFERROR(VLOOKUP(C486,Code!H:W,13,FALSE)*4/VLOOKUP(C486,Code!H:W,12,FALSE),"")</f>
        <v>2.5830395542134406E-2</v>
      </c>
      <c r="M486" s="172">
        <f t="shared" si="57"/>
        <v>0.24869552632471548</v>
      </c>
      <c r="N486" s="172" t="str">
        <f t="shared" si="58"/>
        <v>-</v>
      </c>
      <c r="O486" s="172" t="str">
        <f t="shared" si="59"/>
        <v>-</v>
      </c>
      <c r="P486" s="205">
        <f>IFERROR(YEARFRAC(VLOOKUP(C486,Code!H:W,11,FALSE),VLOOKUP(C486,Code!H:W,14,FALSE),3),"")</f>
        <v>4.7561643835616438</v>
      </c>
      <c r="Q486" s="174">
        <v>44547</v>
      </c>
      <c r="R486" s="175" t="str">
        <f t="shared" ca="1" si="60"/>
        <v/>
      </c>
      <c r="S486" s="176">
        <f>IFERROR(VLOOKUP($C486,Code!$H:$Q,5,FALSE),"")</f>
        <v>0.22839999999999999</v>
      </c>
      <c r="T486" s="177" t="str">
        <f t="shared" ca="1" si="61"/>
        <v/>
      </c>
      <c r="U486" s="178" t="str">
        <f t="shared" ca="1" si="62"/>
        <v/>
      </c>
      <c r="V486" s="179">
        <f>IFERROR(VLOOKUP($C486,Code!$H:$Q,6,FALSE),"")</f>
        <v>53.9</v>
      </c>
      <c r="W486" s="180" t="str">
        <f t="shared" ca="1" si="63"/>
        <v/>
      </c>
      <c r="X486" s="12"/>
      <c r="Y486" s="12"/>
      <c r="Z486" s="12"/>
      <c r="AA486" s="12"/>
      <c r="AB486" s="12"/>
    </row>
    <row r="487" spans="1:28" s="10" customFormat="1" ht="15" hidden="1">
      <c r="A487" s="9"/>
      <c r="B487" s="169" cm="1">
        <f t="array" ref="B487">_xlfn.IFS(OR(Code!R486&lt;&gt;Code!U486,Code!R486=""),0,Code!R486=Code!U486,1)</f>
        <v>0</v>
      </c>
      <c r="C487" s="193" t="str">
        <f>IF(Code!F486="","",Code!F486)</f>
        <v>WELL</v>
      </c>
      <c r="D487" s="155" t="str">
        <f>IFERROR(VLOOKUP($C487,Code!$H:$K,2,FALSE),"")</f>
        <v>XLRE</v>
      </c>
      <c r="E487" s="156" t="str">
        <f>IFERROR(VLOOKUP($C487,Code!$H:$K,3,FALSE),"")</f>
        <v>REIT-保健設施</v>
      </c>
      <c r="F487" s="157" t="str">
        <f>IFERROR(VLOOKUP($C487,Code!$H:$K,4,FALSE),"")</f>
        <v>.SPX</v>
      </c>
      <c r="G487" s="170">
        <f>IFERROR(((VLOOKUP($C487,Code!$H:$Q,9,FALSE))+(VLOOKUP($C487,Code!$H:$Q,10,FALSE)))/2*0.5/(((VLOOKUP($C487,Code!$H:$Q,7,FALSE))+(VLOOKUP($C487,Code!$H:$Q,8,FALSE)))/2),0)</f>
        <v>0.44066011235955049</v>
      </c>
      <c r="H487" s="171" t="str">
        <f t="shared" si="56"/>
        <v>S</v>
      </c>
      <c r="I487" s="170">
        <f>IFERROR((VLOOKUP($C487,Code!$H:$Q,5,FALSE))/(((VLOOKUP($C487,Code!$H:$Q,7,FALSE))+(VLOOKUP($C487,Code!$H:$Q,8,FALSE)))/2)-1,0)</f>
        <v>-0.38787453183520604</v>
      </c>
      <c r="J487" s="204">
        <f>IFERROR(POWER((VLOOKUP(C487,Code!H:W,12,FALSE))/(VLOOKUP(C487,Code!H:W,15,FALSE)),1/(P487-1))-1,"")</f>
        <v>0.10387450587745883</v>
      </c>
      <c r="K487" s="172" cm="1">
        <f t="array" ref="K487">IFERROR(IF(C487="","",_xlfn.IFS(AND(VLOOKUP(C487,Code!H:W,13,FALSE)=0,VLOOKUP(C487,Code!H:W,16,FALSE)=0),"無股息",AND(VLOOKUP(C487,Code!H:W,13,FALSE)=0,VLOOKUP(C487,Code!H:W,16,FALSE)&gt;0),"股息沒了",AND(VLOOKUP(C487,Code!H:W,13,FALSE)&gt;0,VLOOKUP(C487,Code!H:W,16,FALSE)=0),"發股息了",AND(VLOOKUP(C487,Code!H:W,13,FALSE)&gt;0,VLOOKUP(C487,Code!H:W,16,FALSE)&gt;0),POWER((VLOOKUP(C487,Code!H:W,13,FALSE))/(VLOOKUP(C487,Code!H:W,16,FALSE)),1/(P487-1))-1)),"")</f>
        <v>-9.3092281157509893E-2</v>
      </c>
      <c r="L487" s="173">
        <f>IFERROR(VLOOKUP(C487,Code!H:W,13,FALSE)*4/VLOOKUP(C487,Code!H:W,12,FALSE),"")</f>
        <v>3.2835420268666426E-2</v>
      </c>
      <c r="M487" s="172">
        <f t="shared" si="57"/>
        <v>1.0782224719948941E-2</v>
      </c>
      <c r="N487" s="172" t="str">
        <f t="shared" si="58"/>
        <v>-</v>
      </c>
      <c r="O487" s="172" t="str">
        <f t="shared" si="59"/>
        <v>-</v>
      </c>
      <c r="P487" s="205">
        <f>IFERROR(YEARFRAC(VLOOKUP(C487,Code!H:W,11,FALSE),VLOOKUP(C487,Code!H:W,14,FALSE),3),"")</f>
        <v>4.515068493150685</v>
      </c>
      <c r="Q487" s="174">
        <v>44547</v>
      </c>
      <c r="R487" s="175" t="str">
        <f t="shared" ca="1" si="60"/>
        <v/>
      </c>
      <c r="S487" s="176">
        <f>IFERROR(VLOOKUP($C487,Code!$H:$Q,5,FALSE),"")</f>
        <v>0.26150000000000001</v>
      </c>
      <c r="T487" s="177" t="str">
        <f t="shared" ca="1" si="61"/>
        <v/>
      </c>
      <c r="U487" s="178" t="str">
        <f t="shared" ca="1" si="62"/>
        <v/>
      </c>
      <c r="V487" s="179">
        <f>IFERROR(VLOOKUP($C487,Code!$H:$Q,6,FALSE),"")</f>
        <v>85.68</v>
      </c>
      <c r="W487" s="180" t="str">
        <f t="shared" ca="1" si="63"/>
        <v/>
      </c>
      <c r="X487" s="12"/>
      <c r="Y487" s="12"/>
      <c r="Z487" s="12"/>
      <c r="AA487" s="12"/>
      <c r="AB487" s="12"/>
    </row>
    <row r="488" spans="1:28" s="10" customFormat="1" ht="15" hidden="1">
      <c r="A488" s="9"/>
      <c r="B488" s="169" cm="1">
        <f t="array" ref="B488">_xlfn.IFS(OR(Code!R100&lt;&gt;Code!U100,Code!R100=""),0,Code!R100=Code!U100,1)</f>
        <v>0</v>
      </c>
      <c r="C488" s="193" t="str">
        <f>IF(Code!F100="","",Code!F100)</f>
        <v>CMA</v>
      </c>
      <c r="D488" s="155" t="str">
        <f>IFERROR(VLOOKUP($C488,Code!$H:$K,2,FALSE),"")</f>
        <v>XLF</v>
      </c>
      <c r="E488" s="156" t="str">
        <f>IFERROR(VLOOKUP($C488,Code!$H:$K,3,FALSE),"")</f>
        <v>銀行-區域</v>
      </c>
      <c r="F488" s="157" t="str">
        <f>IFERROR(VLOOKUP($C488,Code!$H:$K,4,FALSE),"")</f>
        <v>.SPX</v>
      </c>
      <c r="G488" s="170">
        <f>IFERROR(((VLOOKUP($C488,Code!$H:$Q,9,FALSE))+(VLOOKUP($C488,Code!$H:$Q,10,FALSE)))/2*0.5/(((VLOOKUP($C488,Code!$H:$Q,7,FALSE))+(VLOOKUP($C488,Code!$H:$Q,8,FALSE)))/2),0)</f>
        <v>0.39783472012102877</v>
      </c>
      <c r="H488" s="171" t="str">
        <f t="shared" si="56"/>
        <v>S</v>
      </c>
      <c r="I488" s="170">
        <f>IFERROR((VLOOKUP($C488,Code!$H:$Q,5,FALSE))/(((VLOOKUP($C488,Code!$H:$Q,7,FALSE))+(VLOOKUP($C488,Code!$H:$Q,8,FALSE)))/2)-1,0)</f>
        <v>-0.39409984871406945</v>
      </c>
      <c r="J488" s="204">
        <f>IFERROR(POWER((VLOOKUP(C488,Code!H:W,12,FALSE))/(VLOOKUP(C488,Code!H:W,15,FALSE)),1/(P488-1))-1,"")</f>
        <v>0.177291723938654</v>
      </c>
      <c r="K488" s="172" cm="1">
        <f t="array" ref="K488">IFERROR(IF(C488="","",_xlfn.IFS(AND(VLOOKUP(C488,Code!H:W,13,FALSE)=0,VLOOKUP(C488,Code!H:W,16,FALSE)=0),"無股息",AND(VLOOKUP(C488,Code!H:W,13,FALSE)=0,VLOOKUP(C488,Code!H:W,16,FALSE)&gt;0),"股息沒了",AND(VLOOKUP(C488,Code!H:W,13,FALSE)&gt;0,VLOOKUP(C488,Code!H:W,16,FALSE)=0),"發股息了",AND(VLOOKUP(C488,Code!H:W,13,FALSE)&gt;0,VLOOKUP(C488,Code!H:W,16,FALSE)&gt;0),POWER((VLOOKUP(C488,Code!H:W,13,FALSE))/(VLOOKUP(C488,Code!H:W,16,FALSE)),1/(P488-1))-1)),"")</f>
        <v>0.33483343137017862</v>
      </c>
      <c r="L488" s="173">
        <f>IFERROR(VLOOKUP(C488,Code!H:W,13,FALSE)*4/VLOOKUP(C488,Code!H:W,12,FALSE),"")</f>
        <v>3.7662696677167401E-2</v>
      </c>
      <c r="M488" s="172">
        <f t="shared" si="57"/>
        <v>0.51212515530883262</v>
      </c>
      <c r="N488" s="172" t="str">
        <f t="shared" si="58"/>
        <v>Venture</v>
      </c>
      <c r="O488" s="172" t="str">
        <f t="shared" si="59"/>
        <v>-</v>
      </c>
      <c r="P488" s="205">
        <f>IFERROR(YEARFRAC(VLOOKUP(C488,Code!H:W,11,FALSE),VLOOKUP(C488,Code!H:W,14,FALSE),3),"")</f>
        <v>4.7534246575342465</v>
      </c>
      <c r="Q488" s="174">
        <v>44547</v>
      </c>
      <c r="R488" s="175" t="str">
        <f t="shared" ca="1" si="60"/>
        <v/>
      </c>
      <c r="S488" s="176">
        <f>IFERROR(VLOOKUP($C488,Code!$H:$Q,5,FALSE),"")</f>
        <v>0.32040000000000002</v>
      </c>
      <c r="T488" s="177" t="str">
        <f t="shared" ca="1" si="61"/>
        <v/>
      </c>
      <c r="U488" s="178" t="str">
        <f t="shared" ca="1" si="62"/>
        <v/>
      </c>
      <c r="V488" s="179">
        <f>IFERROR(VLOOKUP($C488,Code!$H:$Q,6,FALSE),"")</f>
        <v>70.099999999999994</v>
      </c>
      <c r="W488" s="180" t="str">
        <f t="shared" ca="1" si="63"/>
        <v/>
      </c>
      <c r="X488" s="12"/>
      <c r="Y488" s="12"/>
      <c r="Z488" s="12"/>
      <c r="AA488" s="12"/>
      <c r="AB488" s="12"/>
    </row>
    <row r="489" spans="1:28" s="10" customFormat="1" ht="15" hidden="1">
      <c r="A489" s="9"/>
      <c r="B489" s="169" cm="1">
        <f t="array" ref="B489">_xlfn.IFS(OR(Code!R167&lt;&gt;Code!U167,Code!R167=""),0,Code!R167=Code!U167,1)</f>
        <v>0</v>
      </c>
      <c r="C489" s="193" t="str">
        <f>IF(Code!F167="","",Code!F167)</f>
        <v>ESS</v>
      </c>
      <c r="D489" s="155" t="str">
        <f>IFERROR(VLOOKUP($C489,Code!$H:$K,2,FALSE),"")</f>
        <v>XLRE</v>
      </c>
      <c r="E489" s="156" t="str">
        <f>IFERROR(VLOOKUP($C489,Code!$H:$K,3,FALSE),"")</f>
        <v>-</v>
      </c>
      <c r="F489" s="157" t="str">
        <f>IFERROR(VLOOKUP($C489,Code!$H:$K,4,FALSE),"")</f>
        <v>.SPX</v>
      </c>
      <c r="G489" s="170">
        <f>IFERROR(((VLOOKUP($C489,Code!$H:$Q,9,FALSE))+(VLOOKUP($C489,Code!$H:$Q,10,FALSE)))/2*0.5/(((VLOOKUP($C489,Code!$H:$Q,7,FALSE))+(VLOOKUP($C489,Code!$H:$Q,8,FALSE)))/2),0)</f>
        <v>0.42406918792143072</v>
      </c>
      <c r="H489" s="171" t="str">
        <f t="shared" si="56"/>
        <v>S</v>
      </c>
      <c r="I489" s="170">
        <f>IFERROR((VLOOKUP($C489,Code!$H:$Q,5,FALSE))/(((VLOOKUP($C489,Code!$H:$Q,7,FALSE))+(VLOOKUP($C489,Code!$H:$Q,8,FALSE)))/2)-1,0)</f>
        <v>-0.39871005570214002</v>
      </c>
      <c r="J489" s="204">
        <f>IFERROR(POWER((VLOOKUP(C489,Code!H:W,12,FALSE))/(VLOOKUP(C489,Code!H:W,15,FALSE)),1/(P489-1))-1,"")</f>
        <v>0.12095928177849724</v>
      </c>
      <c r="K489" s="172" cm="1">
        <f t="array" ref="K489">IFERROR(IF(C489="","",_xlfn.IFS(AND(VLOOKUP(C489,Code!H:W,13,FALSE)=0,VLOOKUP(C489,Code!H:W,16,FALSE)=0),"無股息",AND(VLOOKUP(C489,Code!H:W,13,FALSE)=0,VLOOKUP(C489,Code!H:W,16,FALSE)&gt;0),"股息沒了",AND(VLOOKUP(C489,Code!H:W,13,FALSE)&gt;0,VLOOKUP(C489,Code!H:W,16,FALSE)=0),"發股息了",AND(VLOOKUP(C489,Code!H:W,13,FALSE)&gt;0,VLOOKUP(C489,Code!H:W,16,FALSE)&gt;0),POWER((VLOOKUP(C489,Code!H:W,13,FALSE))/(VLOOKUP(C489,Code!H:W,16,FALSE)),1/(P489-1))-1)),"")</f>
        <v>7.3772104737713118E-2</v>
      </c>
      <c r="L489" s="173">
        <f>IFERROR(VLOOKUP(C489,Code!H:W,13,FALSE)*4/VLOOKUP(C489,Code!H:W,12,FALSE),"")</f>
        <v>2.767020774134173E-2</v>
      </c>
      <c r="M489" s="172">
        <f t="shared" si="57"/>
        <v>0.19473138651621036</v>
      </c>
      <c r="N489" s="172" t="str">
        <f t="shared" si="58"/>
        <v>-</v>
      </c>
      <c r="O489" s="172" t="str">
        <f t="shared" si="59"/>
        <v>-</v>
      </c>
      <c r="P489" s="205">
        <f>IFERROR(YEARFRAC(VLOOKUP(C489,Code!H:W,11,FALSE),VLOOKUP(C489,Code!H:W,14,FALSE),3),"")</f>
        <v>4.7534246575342465</v>
      </c>
      <c r="Q489" s="174">
        <v>44547</v>
      </c>
      <c r="R489" s="175" t="str">
        <f t="shared" ca="1" si="60"/>
        <v/>
      </c>
      <c r="S489" s="176">
        <f>IFERROR(VLOOKUP($C489,Code!$H:$Q,5,FALSE),"")</f>
        <v>0.2051</v>
      </c>
      <c r="T489" s="177" t="str">
        <f t="shared" ca="1" si="61"/>
        <v/>
      </c>
      <c r="U489" s="178" t="str">
        <f t="shared" ca="1" si="62"/>
        <v/>
      </c>
      <c r="V489" s="179">
        <f>IFERROR(VLOOKUP($C489,Code!$H:$Q,6,FALSE),"")</f>
        <v>327.43</v>
      </c>
      <c r="W489" s="180" t="str">
        <f t="shared" ca="1" si="63"/>
        <v/>
      </c>
      <c r="X489" s="12"/>
      <c r="Y489" s="12"/>
      <c r="Z489" s="12"/>
      <c r="AA489" s="12"/>
      <c r="AB489" s="12"/>
    </row>
    <row r="490" spans="1:28" s="10" customFormat="1" ht="15" hidden="1">
      <c r="A490" s="9"/>
      <c r="B490" s="169" cm="1">
        <f t="array" ref="B490">_xlfn.IFS(OR(Code!R354&lt;&gt;Code!U354,Code!R354=""),0,Code!R354=Code!U354,1)</f>
        <v>0</v>
      </c>
      <c r="C490" s="193" t="str">
        <f>IF(Code!F354="","",Code!F354)</f>
        <v>OMC</v>
      </c>
      <c r="D490" s="155" t="str">
        <f>IFERROR(VLOOKUP($C490,Code!$H:$K,2,FALSE),"")</f>
        <v>XLC</v>
      </c>
      <c r="E490" s="156" t="str">
        <f>IFERROR(VLOOKUP($C490,Code!$H:$K,3,FALSE),"")</f>
        <v>廣告公司</v>
      </c>
      <c r="F490" s="157" t="str">
        <f>IFERROR(VLOOKUP($C490,Code!$H:$K,4,FALSE),"")</f>
        <v>.SPX</v>
      </c>
      <c r="G490" s="170">
        <f>IFERROR(((VLOOKUP($C490,Code!$H:$Q,9,FALSE))+(VLOOKUP($C490,Code!$H:$Q,10,FALSE)))/2*0.5/(((VLOOKUP($C490,Code!$H:$Q,7,FALSE))+(VLOOKUP($C490,Code!$H:$Q,8,FALSE)))/2),0)</f>
        <v>0.43498205025927406</v>
      </c>
      <c r="H490" s="171" t="str">
        <f t="shared" si="56"/>
        <v>S</v>
      </c>
      <c r="I490" s="170">
        <f>IFERROR((VLOOKUP($C490,Code!$H:$Q,5,FALSE))/(((VLOOKUP($C490,Code!$H:$Q,7,FALSE))+(VLOOKUP($C490,Code!$H:$Q,8,FALSE)))/2)-1,0)</f>
        <v>-0.40114346496476527</v>
      </c>
      <c r="J490" s="204">
        <f>IFERROR(POWER((VLOOKUP(C490,Code!H:W,12,FALSE))/(VLOOKUP(C490,Code!H:W,15,FALSE)),1/(P490-1))-1,"")</f>
        <v>4.0963775870278996E-2</v>
      </c>
      <c r="K490" s="172" cm="1">
        <f t="array" ref="K490">IFERROR(IF(C490="","",_xlfn.IFS(AND(VLOOKUP(C490,Code!H:W,13,FALSE)=0,VLOOKUP(C490,Code!H:W,16,FALSE)=0),"無股息",AND(VLOOKUP(C490,Code!H:W,13,FALSE)=0,VLOOKUP(C490,Code!H:W,16,FALSE)&gt;0),"股息沒了",AND(VLOOKUP(C490,Code!H:W,13,FALSE)&gt;0,VLOOKUP(C490,Code!H:W,16,FALSE)=0),"發股息了",AND(VLOOKUP(C490,Code!H:W,13,FALSE)&gt;0,VLOOKUP(C490,Code!H:W,16,FALSE)&gt;0),POWER((VLOOKUP(C490,Code!H:W,13,FALSE))/(VLOOKUP(C490,Code!H:W,16,FALSE)),1/(P490-1))-1)),"")</f>
        <v>6.6914956937943471E-2</v>
      </c>
      <c r="L490" s="173">
        <f>IFERROR(VLOOKUP(C490,Code!H:W,13,FALSE)*4/VLOOKUP(C490,Code!H:W,12,FALSE),"")</f>
        <v>3.3755275503471106E-2</v>
      </c>
      <c r="M490" s="172">
        <f t="shared" si="57"/>
        <v>0.10787873280822247</v>
      </c>
      <c r="N490" s="172" t="str">
        <f t="shared" si="58"/>
        <v>-</v>
      </c>
      <c r="O490" s="172" t="str">
        <f t="shared" si="59"/>
        <v>-</v>
      </c>
      <c r="P490" s="205">
        <f>IFERROR(YEARFRAC(VLOOKUP(C490,Code!H:W,11,FALSE),VLOOKUP(C490,Code!H:W,14,FALSE),3),"")</f>
        <v>4.7232876712328764</v>
      </c>
      <c r="Q490" s="174">
        <v>44547</v>
      </c>
      <c r="R490" s="175" t="str">
        <f t="shared" ca="1" si="60"/>
        <v/>
      </c>
      <c r="S490" s="176">
        <f>IFERROR(VLOOKUP($C490,Code!$H:$Q,5,FALSE),"")</f>
        <v>0.22520000000000001</v>
      </c>
      <c r="T490" s="177" t="str">
        <f t="shared" ca="1" si="61"/>
        <v/>
      </c>
      <c r="U490" s="178" t="str">
        <f t="shared" ca="1" si="62"/>
        <v/>
      </c>
      <c r="V490" s="179">
        <f>IFERROR(VLOOKUP($C490,Code!$H:$Q,6,FALSE),"")</f>
        <v>73.73</v>
      </c>
      <c r="W490" s="180" t="str">
        <f t="shared" ca="1" si="63"/>
        <v/>
      </c>
      <c r="X490" s="12"/>
      <c r="Y490" s="12"/>
      <c r="Z490" s="12"/>
      <c r="AA490" s="12"/>
      <c r="AB490" s="12"/>
    </row>
    <row r="491" spans="1:28" s="10" customFormat="1" ht="15" hidden="1">
      <c r="A491" s="9"/>
      <c r="B491" s="169" cm="1">
        <f t="array" ref="B491">_xlfn.IFS(OR(Code!R460&lt;&gt;Code!U460,Code!R460=""),0,Code!R460=Code!U460,1)</f>
        <v>0</v>
      </c>
      <c r="C491" s="193" t="str">
        <f>IF(Code!F460="","",Code!F460)</f>
        <v>UDR</v>
      </c>
      <c r="D491" s="155" t="str">
        <f>IFERROR(VLOOKUP($C491,Code!$H:$K,2,FALSE),"")</f>
        <v>XLRE</v>
      </c>
      <c r="E491" s="156" t="str">
        <f>IFERROR(VLOOKUP($C491,Code!$H:$K,3,FALSE),"")</f>
        <v>-</v>
      </c>
      <c r="F491" s="157" t="str">
        <f>IFERROR(VLOOKUP($C491,Code!$H:$K,4,FALSE),"")</f>
        <v>.SPX</v>
      </c>
      <c r="G491" s="170">
        <f>IFERROR(((VLOOKUP($C491,Code!$H:$Q,9,FALSE))+(VLOOKUP($C491,Code!$H:$Q,10,FALSE)))/2*0.5/(((VLOOKUP($C491,Code!$H:$Q,7,FALSE))+(VLOOKUP($C491,Code!$H:$Q,8,FALSE)))/2),0)</f>
        <v>0.44918988061398524</v>
      </c>
      <c r="H491" s="171" t="str">
        <f t="shared" si="56"/>
        <v>S</v>
      </c>
      <c r="I491" s="170">
        <f>IFERROR((VLOOKUP($C491,Code!$H:$Q,5,FALSE))/(((VLOOKUP($C491,Code!$H:$Q,7,FALSE))+(VLOOKUP($C491,Code!$H:$Q,8,FALSE)))/2)-1,0)</f>
        <v>-0.40250142126208077</v>
      </c>
      <c r="J491" s="204">
        <f>IFERROR(POWER((VLOOKUP(C491,Code!H:W,12,FALSE))/(VLOOKUP(C491,Code!H:W,15,FALSE)),1/(P491-1))-1,"")</f>
        <v>0.17048038064511362</v>
      </c>
      <c r="K491" s="172" cm="1">
        <f t="array" ref="K491">IFERROR(IF(C491="","",_xlfn.IFS(AND(VLOOKUP(C491,Code!H:W,13,FALSE)=0,VLOOKUP(C491,Code!H:W,16,FALSE)=0),"無股息",AND(VLOOKUP(C491,Code!H:W,13,FALSE)=0,VLOOKUP(C491,Code!H:W,16,FALSE)&gt;0),"股息沒了",AND(VLOOKUP(C491,Code!H:W,13,FALSE)&gt;0,VLOOKUP(C491,Code!H:W,16,FALSE)=0),"發股息了",AND(VLOOKUP(C491,Code!H:W,13,FALSE)&gt;0,VLOOKUP(C491,Code!H:W,16,FALSE)&gt;0),POWER((VLOOKUP(C491,Code!H:W,13,FALSE))/(VLOOKUP(C491,Code!H:W,16,FALSE)),1/(P491-1))-1)),"")</f>
        <v>5.6733943441158008E-2</v>
      </c>
      <c r="L491" s="173">
        <f>IFERROR(VLOOKUP(C491,Code!H:W,13,FALSE)*4/VLOOKUP(C491,Code!H:W,12,FALSE),"")</f>
        <v>2.7944573240647082E-2</v>
      </c>
      <c r="M491" s="172">
        <f t="shared" si="57"/>
        <v>0.22721432408627162</v>
      </c>
      <c r="N491" s="172" t="str">
        <f t="shared" si="58"/>
        <v>-</v>
      </c>
      <c r="O491" s="172" t="str">
        <f t="shared" si="59"/>
        <v>-</v>
      </c>
      <c r="P491" s="205">
        <f>IFERROR(YEARFRAC(VLOOKUP(C491,Code!H:W,11,FALSE),VLOOKUP(C491,Code!H:W,14,FALSE),3),"")</f>
        <v>4.7589041095890412</v>
      </c>
      <c r="Q491" s="174">
        <v>44547</v>
      </c>
      <c r="R491" s="175" t="str">
        <f t="shared" ca="1" si="60"/>
        <v/>
      </c>
      <c r="S491" s="176">
        <f>IFERROR(VLOOKUP($C491,Code!$H:$Q,5,FALSE),"")</f>
        <v>0.2102</v>
      </c>
      <c r="T491" s="177" t="str">
        <f t="shared" ca="1" si="61"/>
        <v/>
      </c>
      <c r="U491" s="178" t="str">
        <f t="shared" ca="1" si="62"/>
        <v/>
      </c>
      <c r="V491" s="179">
        <f>IFERROR(VLOOKUP($C491,Code!$H:$Q,6,FALSE),"")</f>
        <v>55.46</v>
      </c>
      <c r="W491" s="180" t="str">
        <f t="shared" ca="1" si="63"/>
        <v/>
      </c>
      <c r="X491" s="12"/>
      <c r="Y491" s="12"/>
      <c r="Z491" s="12"/>
      <c r="AA491" s="12"/>
      <c r="AB491" s="12"/>
    </row>
    <row r="492" spans="1:28" s="10" customFormat="1" ht="15" hidden="1">
      <c r="A492" s="9"/>
      <c r="B492" s="169" cm="1">
        <f t="array" ref="B492">_xlfn.IFS(OR(Code!R331&lt;&gt;Code!U331,Code!R331=""),0,Code!R331=Code!U331,1)</f>
        <v>1</v>
      </c>
      <c r="C492" s="193" t="str">
        <f>IF(Code!F331="","",Code!F331)</f>
        <v>NFLX</v>
      </c>
      <c r="D492" s="155" t="str">
        <f>IFERROR(VLOOKUP($C492,Code!$H:$K,2,FALSE),"")</f>
        <v>XLC</v>
      </c>
      <c r="E492" s="156" t="str">
        <f>IFERROR(VLOOKUP($C492,Code!$H:$K,3,FALSE),"")</f>
        <v>娛樂</v>
      </c>
      <c r="F492" s="157" t="str">
        <f>IFERROR(VLOOKUP($C492,Code!$H:$K,4,FALSE),"")</f>
        <v>.SPX</v>
      </c>
      <c r="G492" s="170">
        <f>IFERROR(((VLOOKUP($C492,Code!$H:$Q,9,FALSE))+(VLOOKUP($C492,Code!$H:$Q,10,FALSE)))/2*0.5/(((VLOOKUP($C492,Code!$H:$Q,7,FALSE))+(VLOOKUP($C492,Code!$H:$Q,8,FALSE)))/2),0)</f>
        <v>0.56365571371557799</v>
      </c>
      <c r="H492" s="171" t="str">
        <f t="shared" si="56"/>
        <v>M</v>
      </c>
      <c r="I492" s="170">
        <f>IFERROR((VLOOKUP($C492,Code!$H:$Q,5,FALSE))/(((VLOOKUP($C492,Code!$H:$Q,7,FALSE))+(VLOOKUP($C492,Code!$H:$Q,8,FALSE)))/2)-1,0)</f>
        <v>-0.40854064121324996</v>
      </c>
      <c r="J492" s="204" t="str">
        <f>IFERROR(POWER((VLOOKUP(C492,Code!H:W,12,FALSE))/(VLOOKUP(C492,Code!H:W,15,FALSE)),1/(P492-1))-1,"")</f>
        <v/>
      </c>
      <c r="K492" s="172" t="str" cm="1">
        <f t="array" ref="K492">IFERROR(IF(C492="","",_xlfn.IFS(AND(VLOOKUP(C492,Code!H:W,13,FALSE)=0,VLOOKUP(C492,Code!H:W,16,FALSE)=0),"無股息",AND(VLOOKUP(C492,Code!H:W,13,FALSE)=0,VLOOKUP(C492,Code!H:W,16,FALSE)&gt;0),"股息沒了",AND(VLOOKUP(C492,Code!H:W,13,FALSE)&gt;0,VLOOKUP(C492,Code!H:W,16,FALSE)=0),"發股息了",AND(VLOOKUP(C492,Code!H:W,13,FALSE)&gt;0,VLOOKUP(C492,Code!H:W,16,FALSE)&gt;0),POWER((VLOOKUP(C492,Code!H:W,13,FALSE))/(VLOOKUP(C492,Code!H:W,16,FALSE)),1/(P492-1))-1)),"")</f>
        <v>無股息</v>
      </c>
      <c r="L492" s="173" t="str">
        <f>IFERROR(VLOOKUP(C492,Code!H:W,13,FALSE)*4/VLOOKUP(C492,Code!H:W,12,FALSE),"")</f>
        <v/>
      </c>
      <c r="M492" s="172" t="str">
        <f t="shared" si="57"/>
        <v/>
      </c>
      <c r="N492" s="172" t="str">
        <f t="shared" si="58"/>
        <v/>
      </c>
      <c r="O492" s="172" t="str">
        <f t="shared" si="59"/>
        <v/>
      </c>
      <c r="P492" s="205">
        <f>IFERROR(YEARFRAC(VLOOKUP(C492,Code!H:W,11,FALSE),VLOOKUP(C492,Code!H:W,14,FALSE),3),"")</f>
        <v>0</v>
      </c>
      <c r="Q492" s="174">
        <v>44547</v>
      </c>
      <c r="R492" s="175" t="str">
        <f t="shared" ca="1" si="60"/>
        <v/>
      </c>
      <c r="S492" s="176">
        <f>IFERROR(VLOOKUP($C492,Code!$H:$Q,5,FALSE),"")</f>
        <v>0.2223</v>
      </c>
      <c r="T492" s="177" t="str">
        <f t="shared" ca="1" si="61"/>
        <v/>
      </c>
      <c r="U492" s="178" t="str">
        <f t="shared" ca="1" si="62"/>
        <v/>
      </c>
      <c r="V492" s="179">
        <f>IFERROR(VLOOKUP($C492,Code!$H:$Q,6,FALSE),"")</f>
        <v>524.89</v>
      </c>
      <c r="W492" s="180" t="str">
        <f t="shared" ca="1" si="63"/>
        <v/>
      </c>
      <c r="X492" s="12"/>
      <c r="Y492" s="12"/>
      <c r="Z492" s="12"/>
      <c r="AA492" s="12"/>
      <c r="AB492" s="12"/>
    </row>
    <row r="493" spans="1:28" s="10" customFormat="1" ht="15" hidden="1">
      <c r="A493" s="9"/>
      <c r="B493" s="169" cm="1">
        <f t="array" ref="B493">_xlfn.IFS(OR(Code!R189&lt;&gt;Code!U189,Code!R189=""),0,Code!R189=Code!U189,1)</f>
        <v>1</v>
      </c>
      <c r="C493" s="193" t="str">
        <f>IF(Code!F189="","",Code!F189)</f>
        <v>FLT</v>
      </c>
      <c r="D493" s="155" t="str">
        <f>IFERROR(VLOOKUP($C493,Code!$H:$K,2,FALSE),"")</f>
        <v>XLK</v>
      </c>
      <c r="E493" s="156" t="str">
        <f>IFERROR(VLOOKUP($C493,Code!$H:$K,3,FALSE),"")</f>
        <v>信息技術處</v>
      </c>
      <c r="F493" s="157" t="str">
        <f>IFERROR(VLOOKUP($C493,Code!$H:$K,4,FALSE),"")</f>
        <v>.SPX</v>
      </c>
      <c r="G493" s="170">
        <f>IFERROR(((VLOOKUP($C493,Code!$H:$Q,9,FALSE))+(VLOOKUP($C493,Code!$H:$Q,10,FALSE)))/2*0.5/(((VLOOKUP($C493,Code!$H:$Q,7,FALSE))+(VLOOKUP($C493,Code!$H:$Q,8,FALSE)))/2),0)</f>
        <v>0.43672644607224043</v>
      </c>
      <c r="H493" s="171" t="str">
        <f t="shared" si="56"/>
        <v>S</v>
      </c>
      <c r="I493" s="170">
        <f>IFERROR((VLOOKUP($C493,Code!$H:$Q,5,FALSE))/(((VLOOKUP($C493,Code!$H:$Q,7,FALSE))+(VLOOKUP($C493,Code!$H:$Q,8,FALSE)))/2)-1,0)</f>
        <v>-0.41045718615812077</v>
      </c>
      <c r="J493" s="204" t="str">
        <f>IFERROR(POWER((VLOOKUP(C493,Code!H:W,12,FALSE))/(VLOOKUP(C493,Code!H:W,15,FALSE)),1/(P493-1))-1,"")</f>
        <v/>
      </c>
      <c r="K493" s="172" t="str" cm="1">
        <f t="array" ref="K493">IFERROR(IF(C493="","",_xlfn.IFS(AND(VLOOKUP(C493,Code!H:W,13,FALSE)=0,VLOOKUP(C493,Code!H:W,16,FALSE)=0),"無股息",AND(VLOOKUP(C493,Code!H:W,13,FALSE)=0,VLOOKUP(C493,Code!H:W,16,FALSE)&gt;0),"股息沒了",AND(VLOOKUP(C493,Code!H:W,13,FALSE)&gt;0,VLOOKUP(C493,Code!H:W,16,FALSE)=0),"發股息了",AND(VLOOKUP(C493,Code!H:W,13,FALSE)&gt;0,VLOOKUP(C493,Code!H:W,16,FALSE)&gt;0),POWER((VLOOKUP(C493,Code!H:W,13,FALSE))/(VLOOKUP(C493,Code!H:W,16,FALSE)),1/(P493-1))-1)),"")</f>
        <v>無股息</v>
      </c>
      <c r="L493" s="173" t="str">
        <f>IFERROR(VLOOKUP(C493,Code!H:W,13,FALSE)*4/VLOOKUP(C493,Code!H:W,12,FALSE),"")</f>
        <v/>
      </c>
      <c r="M493" s="172" t="str">
        <f t="shared" si="57"/>
        <v/>
      </c>
      <c r="N493" s="172" t="str">
        <f t="shared" si="58"/>
        <v/>
      </c>
      <c r="O493" s="172" t="str">
        <f t="shared" si="59"/>
        <v/>
      </c>
      <c r="P493" s="205">
        <f>IFERROR(YEARFRAC(VLOOKUP(C493,Code!H:W,11,FALSE),VLOOKUP(C493,Code!H:W,14,FALSE),3),"")</f>
        <v>0</v>
      </c>
      <c r="Q493" s="174">
        <v>44547</v>
      </c>
      <c r="R493" s="175" t="str">
        <f t="shared" ca="1" si="60"/>
        <v/>
      </c>
      <c r="S493" s="176">
        <f>IFERROR(VLOOKUP($C493,Code!$H:$Q,5,FALSE),"")</f>
        <v>0.2334</v>
      </c>
      <c r="T493" s="177" t="str">
        <f t="shared" ca="1" si="61"/>
        <v/>
      </c>
      <c r="U493" s="178" t="str">
        <f t="shared" ca="1" si="62"/>
        <v/>
      </c>
      <c r="V493" s="179">
        <f>IFERROR(VLOOKUP($C493,Code!$H:$Q,6,FALSE),"")</f>
        <v>260.79000000000002</v>
      </c>
      <c r="W493" s="180" t="str">
        <f t="shared" ca="1" si="63"/>
        <v/>
      </c>
      <c r="X493" s="12"/>
      <c r="Y493" s="12"/>
      <c r="Z493" s="12"/>
      <c r="AA493" s="12"/>
      <c r="AB493" s="12"/>
    </row>
    <row r="494" spans="1:28" s="10" customFormat="1" ht="15" hidden="1">
      <c r="A494" s="9"/>
      <c r="B494" s="169" cm="1">
        <f t="array" ref="B494">_xlfn.IFS(OR(Code!R339&lt;&gt;Code!U339,Code!R339=""),0,Code!R339=Code!U339,1)</f>
        <v>0</v>
      </c>
      <c r="C494" s="193" t="str">
        <f>IF(Code!F339="","",Code!F339)</f>
        <v>NRG</v>
      </c>
      <c r="D494" s="155" t="str">
        <f>IFERROR(VLOOKUP($C494,Code!$H:$K,2,FALSE),"")</f>
        <v>XLU</v>
      </c>
      <c r="E494" s="156" t="str">
        <f>IFERROR(VLOOKUP($C494,Code!$H:$K,3,FALSE),"")</f>
        <v>公用事業-獨立發電商</v>
      </c>
      <c r="F494" s="157" t="str">
        <f>IFERROR(VLOOKUP($C494,Code!$H:$K,4,FALSE),"")</f>
        <v>.SPX</v>
      </c>
      <c r="G494" s="170">
        <f>IFERROR(((VLOOKUP($C494,Code!$H:$Q,9,FALSE))+(VLOOKUP($C494,Code!$H:$Q,10,FALSE)))/2*0.5/(((VLOOKUP($C494,Code!$H:$Q,7,FALSE))+(VLOOKUP($C494,Code!$H:$Q,8,FALSE)))/2),0)</f>
        <v>0.4972115189616711</v>
      </c>
      <c r="H494" s="171" t="str">
        <f t="shared" si="56"/>
        <v>S</v>
      </c>
      <c r="I494" s="170">
        <f>IFERROR((VLOOKUP($C494,Code!$H:$Q,5,FALSE))/(((VLOOKUP($C494,Code!$H:$Q,7,FALSE))+(VLOOKUP($C494,Code!$H:$Q,8,FALSE)))/2)-1,0)</f>
        <v>-0.41087000608395863</v>
      </c>
      <c r="J494" s="204">
        <f>IFERROR(POWER((VLOOKUP(C494,Code!H:W,12,FALSE))/(VLOOKUP(C494,Code!H:W,15,FALSE)),1/(P494-1))-1,"")</f>
        <v>0.47515252471408176</v>
      </c>
      <c r="K494" s="172" cm="1">
        <f t="array" ref="K494">IFERROR(IF(C494="","",_xlfn.IFS(AND(VLOOKUP(C494,Code!H:W,13,FALSE)=0,VLOOKUP(C494,Code!H:W,16,FALSE)=0),"無股息",AND(VLOOKUP(C494,Code!H:W,13,FALSE)=0,VLOOKUP(C494,Code!H:W,16,FALSE)&gt;0),"股息沒了",AND(VLOOKUP(C494,Code!H:W,13,FALSE)&gt;0,VLOOKUP(C494,Code!H:W,16,FALSE)=0),"發股息了",AND(VLOOKUP(C494,Code!H:W,13,FALSE)&gt;0,VLOOKUP(C494,Code!H:W,16,FALSE)&gt;0),POWER((VLOOKUP(C494,Code!H:W,13,FALSE))/(VLOOKUP(C494,Code!H:W,16,FALSE)),1/(P494-1))-1)),"")</f>
        <v>0.88574824294427379</v>
      </c>
      <c r="L494" s="173">
        <f>IFERROR(VLOOKUP(C494,Code!H:W,13,FALSE)*4/VLOOKUP(C494,Code!H:W,12,FALSE),"")</f>
        <v>3.1522792121484969E-2</v>
      </c>
      <c r="M494" s="172">
        <f t="shared" si="57"/>
        <v>1.3609007676583555</v>
      </c>
      <c r="N494" s="172" t="str">
        <f t="shared" si="58"/>
        <v>Venture</v>
      </c>
      <c r="O494" s="172" t="str">
        <f t="shared" si="59"/>
        <v>-</v>
      </c>
      <c r="P494" s="205">
        <f>IFERROR(YEARFRAC(VLOOKUP(C494,Code!H:W,11,FALSE),VLOOKUP(C494,Code!H:W,14,FALSE),3),"")</f>
        <v>4.7561643835616438</v>
      </c>
      <c r="Q494" s="174">
        <v>44547</v>
      </c>
      <c r="R494" s="175" t="str">
        <f t="shared" ca="1" si="60"/>
        <v/>
      </c>
      <c r="S494" s="176">
        <f>IFERROR(VLOOKUP($C494,Code!$H:$Q,5,FALSE),"")</f>
        <v>0.29049999999999998</v>
      </c>
      <c r="T494" s="177" t="str">
        <f t="shared" ca="1" si="61"/>
        <v/>
      </c>
      <c r="U494" s="178" t="str">
        <f t="shared" ca="1" si="62"/>
        <v/>
      </c>
      <c r="V494" s="179">
        <f>IFERROR(VLOOKUP($C494,Code!$H:$Q,6,FALSE),"")</f>
        <v>41.97</v>
      </c>
      <c r="W494" s="180" t="str">
        <f t="shared" ca="1" si="63"/>
        <v/>
      </c>
      <c r="X494" s="12"/>
      <c r="Y494" s="12"/>
      <c r="Z494" s="12"/>
      <c r="AA494" s="12"/>
      <c r="AB494" s="12"/>
    </row>
    <row r="495" spans="1:28" s="10" customFormat="1" ht="15" hidden="1">
      <c r="A495" s="9"/>
      <c r="B495" s="169" cm="1">
        <f t="array" ref="B495">_xlfn.IFS(OR(Code!R7&lt;&gt;Code!U7,Code!R7=""),0,Code!R7=Code!U7,1)</f>
        <v>0</v>
      </c>
      <c r="C495" s="193" t="str">
        <f>IF(Code!F7="","",Code!F7)</f>
        <v>AAPL</v>
      </c>
      <c r="D495" s="155" t="str">
        <f>IFERROR(VLOOKUP($C495,Code!$H:$K,2,FALSE),"")</f>
        <v>XLK</v>
      </c>
      <c r="E495" s="156" t="str">
        <f>IFERROR(VLOOKUP($C495,Code!$H:$K,3,FALSE),"")</f>
        <v>消費類電子</v>
      </c>
      <c r="F495" s="157" t="str">
        <f>IFERROR(VLOOKUP($C495,Code!$H:$K,4,FALSE),"")</f>
        <v>.SPX</v>
      </c>
      <c r="G495" s="170">
        <f>IFERROR(((VLOOKUP($C495,Code!$H:$Q,9,FALSE))+(VLOOKUP($C495,Code!$H:$Q,10,FALSE)))/2*0.5/(((VLOOKUP($C495,Code!$H:$Q,7,FALSE))+(VLOOKUP($C495,Code!$H:$Q,8,FALSE)))/2),0)</f>
        <v>0.54729729729729737</v>
      </c>
      <c r="H495" s="171" t="str">
        <f t="shared" si="56"/>
        <v>M</v>
      </c>
      <c r="I495" s="170">
        <f>IFERROR((VLOOKUP($C495,Code!$H:$Q,5,FALSE))/(((VLOOKUP($C495,Code!$H:$Q,7,FALSE))+(VLOOKUP($C495,Code!$H:$Q,8,FALSE)))/2)-1,0)</f>
        <v>-0.41413288288288275</v>
      </c>
      <c r="J495" s="204">
        <f>IFERROR(POWER((VLOOKUP(C495,Code!H:W,12,FALSE))/(VLOOKUP(C495,Code!H:W,15,FALSE)),1/(P495-1))-1,"")</f>
        <v>0.58391843165991286</v>
      </c>
      <c r="K495" s="172" cm="1">
        <f t="array" ref="K495">IFERROR(IF(C495="","",_xlfn.IFS(AND(VLOOKUP(C495,Code!H:W,13,FALSE)=0,VLOOKUP(C495,Code!H:W,16,FALSE)=0),"無股息",AND(VLOOKUP(C495,Code!H:W,13,FALSE)=0,VLOOKUP(C495,Code!H:W,16,FALSE)&gt;0),"股息沒了",AND(VLOOKUP(C495,Code!H:W,13,FALSE)&gt;0,VLOOKUP(C495,Code!H:W,16,FALSE)=0),"發股息了",AND(VLOOKUP(C495,Code!H:W,13,FALSE)&gt;0,VLOOKUP(C495,Code!H:W,16,FALSE)&gt;0),POWER((VLOOKUP(C495,Code!H:W,13,FALSE))/(VLOOKUP(C495,Code!H:W,16,FALSE)),1/(P495-1))-1)),"")</f>
        <v>0.13172448690556471</v>
      </c>
      <c r="L495" s="173">
        <f>IFERROR(VLOOKUP(C495,Code!H:W,13,FALSE)*4/VLOOKUP(C495,Code!H:W,12,FALSE),"")</f>
        <v>6.7583131451162317E-3</v>
      </c>
      <c r="M495" s="172">
        <f t="shared" si="57"/>
        <v>0.71564291856547757</v>
      </c>
      <c r="N495" s="172" t="str">
        <f t="shared" si="58"/>
        <v>-</v>
      </c>
      <c r="O495" s="172" t="str">
        <f t="shared" si="59"/>
        <v>-</v>
      </c>
      <c r="P495" s="205">
        <f>IFERROR(YEARFRAC(VLOOKUP(C495,Code!H:W,11,FALSE),VLOOKUP(C495,Code!H:W,14,FALSE),3),"")</f>
        <v>4.5095890410958903</v>
      </c>
      <c r="Q495" s="174">
        <v>44547</v>
      </c>
      <c r="R495" s="175" t="str">
        <f t="shared" ca="1" si="60"/>
        <v/>
      </c>
      <c r="S495" s="176">
        <f>IFERROR(VLOOKUP($C495,Code!$H:$Q,5,FALSE),"")</f>
        <v>0.20810000000000001</v>
      </c>
      <c r="T495" s="177" t="str">
        <f t="shared" ca="1" si="61"/>
        <v/>
      </c>
      <c r="U495" s="178" t="str">
        <f t="shared" ca="1" si="62"/>
        <v/>
      </c>
      <c r="V495" s="179">
        <f>IFERROR(VLOOKUP($C495,Code!$H:$Q,6,FALSE),"")</f>
        <v>147.06</v>
      </c>
      <c r="W495" s="180" t="str">
        <f t="shared" ca="1" si="63"/>
        <v/>
      </c>
      <c r="X495" s="12"/>
      <c r="Y495" s="12"/>
      <c r="Z495" s="12"/>
      <c r="AA495" s="12"/>
      <c r="AB495" s="12"/>
    </row>
    <row r="496" spans="1:28" s="10" customFormat="1" ht="15" hidden="1">
      <c r="A496" s="9"/>
      <c r="B496" s="169" cm="1">
        <f t="array" ref="B496">_xlfn.IFS(OR(Code!R55&lt;&gt;Code!U55,Code!R55=""),0,Code!R55=Code!U55,1)</f>
        <v>0</v>
      </c>
      <c r="C496" s="193" t="str">
        <f>IF(Code!F55="","",Code!F55)</f>
        <v>AXP</v>
      </c>
      <c r="D496" s="155" t="str">
        <f>IFERROR(VLOOKUP($C496,Code!$H:$K,2,FALSE),"")</f>
        <v>XLF</v>
      </c>
      <c r="E496" s="156" t="str">
        <f>IFERROR(VLOOKUP($C496,Code!$H:$K,3,FALSE),"")</f>
        <v>信貸服務</v>
      </c>
      <c r="F496" s="157" t="str">
        <f>IFERROR(VLOOKUP($C496,Code!$H:$K,4,FALSE),"")</f>
        <v>.SPX</v>
      </c>
      <c r="G496" s="170">
        <f>IFERROR(((VLOOKUP($C496,Code!$H:$Q,9,FALSE))+(VLOOKUP($C496,Code!$H:$Q,10,FALSE)))/2*0.5/(((VLOOKUP($C496,Code!$H:$Q,7,FALSE))+(VLOOKUP($C496,Code!$H:$Q,8,FALSE)))/2),0)</f>
        <v>0.37086446104589116</v>
      </c>
      <c r="H496" s="171" t="str">
        <f t="shared" si="56"/>
        <v>S</v>
      </c>
      <c r="I496" s="170">
        <f>IFERROR((VLOOKUP($C496,Code!$H:$Q,5,FALSE))/(((VLOOKUP($C496,Code!$H:$Q,7,FALSE))+(VLOOKUP($C496,Code!$H:$Q,8,FALSE)))/2)-1,0)</f>
        <v>-0.41610340329657303</v>
      </c>
      <c r="J496" s="204">
        <f>IFERROR(POWER((VLOOKUP(C496,Code!H:W,12,FALSE))/(VLOOKUP(C496,Code!H:W,15,FALSE)),1/(P496-1))-1,"")</f>
        <v>0.31530146060904207</v>
      </c>
      <c r="K496" s="172" cm="1">
        <f t="array" ref="K496">IFERROR(IF(C496="","",_xlfn.IFS(AND(VLOOKUP(C496,Code!H:W,13,FALSE)=0,VLOOKUP(C496,Code!H:W,16,FALSE)=0),"無股息",AND(VLOOKUP(C496,Code!H:W,13,FALSE)=0,VLOOKUP(C496,Code!H:W,16,FALSE)&gt;0),"股息沒了",AND(VLOOKUP(C496,Code!H:W,13,FALSE)&gt;0,VLOOKUP(C496,Code!H:W,16,FALSE)=0),"發股息了",AND(VLOOKUP(C496,Code!H:W,13,FALSE)&gt;0,VLOOKUP(C496,Code!H:W,16,FALSE)&gt;0),POWER((VLOOKUP(C496,Code!H:W,13,FALSE))/(VLOOKUP(C496,Code!H:W,16,FALSE)),1/(P496-1))-1)),"")</f>
        <v>8.2211804533173893E-2</v>
      </c>
      <c r="L496" s="173">
        <f>IFERROR(VLOOKUP(C496,Code!H:W,13,FALSE)*4/VLOOKUP(C496,Code!H:W,12,FALSE),"")</f>
        <v>1.030310276054836E-2</v>
      </c>
      <c r="M496" s="172">
        <f t="shared" si="57"/>
        <v>0.39751326514221597</v>
      </c>
      <c r="N496" s="172" t="str">
        <f t="shared" si="58"/>
        <v>-</v>
      </c>
      <c r="O496" s="172" t="str">
        <f t="shared" si="59"/>
        <v>-</v>
      </c>
      <c r="P496" s="205">
        <f>IFERROR(YEARFRAC(VLOOKUP(C496,Code!H:W,11,FALSE),VLOOKUP(C496,Code!H:W,14,FALSE),3),"")</f>
        <v>4.7397260273972606</v>
      </c>
      <c r="Q496" s="174">
        <v>44547</v>
      </c>
      <c r="R496" s="175" t="str">
        <f t="shared" ca="1" si="60"/>
        <v/>
      </c>
      <c r="S496" s="176">
        <f>IFERROR(VLOOKUP($C496,Code!$H:$Q,5,FALSE),"")</f>
        <v>0.2462</v>
      </c>
      <c r="T496" s="177" t="str">
        <f t="shared" ca="1" si="61"/>
        <v/>
      </c>
      <c r="U496" s="178" t="str">
        <f t="shared" ca="1" si="62"/>
        <v/>
      </c>
      <c r="V496" s="179">
        <f>IFERROR(VLOOKUP($C496,Code!$H:$Q,6,FALSE),"")</f>
        <v>169.63</v>
      </c>
      <c r="W496" s="180" t="str">
        <f t="shared" ca="1" si="63"/>
        <v/>
      </c>
      <c r="X496" s="12"/>
      <c r="Y496" s="12"/>
      <c r="Z496" s="12"/>
      <c r="AA496" s="12"/>
      <c r="AB496" s="12"/>
    </row>
    <row r="497" spans="1:28" s="10" customFormat="1" ht="15" hidden="1">
      <c r="A497" s="9"/>
      <c r="B497" s="169" cm="1">
        <f t="array" ref="B497">_xlfn.IFS(OR(Code!R507&lt;&gt;Code!U507,Code!R507=""),0,Code!R507=Code!U507,1)</f>
        <v>0</v>
      </c>
      <c r="C497" s="193" t="str">
        <f>IF(Code!F507="","",Code!F507)</f>
        <v>ZION</v>
      </c>
      <c r="D497" s="155" t="str">
        <f>IFERROR(VLOOKUP($C497,Code!$H:$K,2,FALSE),"")</f>
        <v>XLF</v>
      </c>
      <c r="E497" s="156" t="str">
        <f>IFERROR(VLOOKUP($C497,Code!$H:$K,3,FALSE),"")</f>
        <v>銀行-區域</v>
      </c>
      <c r="F497" s="157" t="str">
        <f>IFERROR(VLOOKUP($C497,Code!$H:$K,4,FALSE),"")</f>
        <v>.SPX</v>
      </c>
      <c r="G497" s="170">
        <f>IFERROR(((VLOOKUP($C497,Code!$H:$Q,9,FALSE))+(VLOOKUP($C497,Code!$H:$Q,10,FALSE)))/2*0.5/(((VLOOKUP($C497,Code!$H:$Q,7,FALSE))+(VLOOKUP($C497,Code!$H:$Q,8,FALSE)))/2),0)</f>
        <v>0.35233485704042311</v>
      </c>
      <c r="H497" s="171" t="str">
        <f t="shared" si="56"/>
        <v>S</v>
      </c>
      <c r="I497" s="170">
        <f>IFERROR((VLOOKUP($C497,Code!$H:$Q,5,FALSE))/(((VLOOKUP($C497,Code!$H:$Q,7,FALSE))+(VLOOKUP($C497,Code!$H:$Q,8,FALSE)))/2)-1,0)</f>
        <v>-0.42672761495025546</v>
      </c>
      <c r="J497" s="204">
        <f>IFERROR(POWER((VLOOKUP(C497,Code!H:W,12,FALSE))/(VLOOKUP(C497,Code!H:W,15,FALSE)),1/(P497-1))-1,"")</f>
        <v>0.23846990475306162</v>
      </c>
      <c r="K497" s="172" cm="1">
        <f t="array" ref="K497">IFERROR(IF(C497="","",_xlfn.IFS(AND(VLOOKUP(C497,Code!H:W,13,FALSE)=0,VLOOKUP(C497,Code!H:W,16,FALSE)=0),"無股息",AND(VLOOKUP(C497,Code!H:W,13,FALSE)=0,VLOOKUP(C497,Code!H:W,16,FALSE)&gt;0),"股息沒了",AND(VLOOKUP(C497,Code!H:W,13,FALSE)&gt;0,VLOOKUP(C497,Code!H:W,16,FALSE)=0),"發股息了",AND(VLOOKUP(C497,Code!H:W,13,FALSE)&gt;0,VLOOKUP(C497,Code!H:W,16,FALSE)&gt;0),POWER((VLOOKUP(C497,Code!H:W,13,FALSE))/(VLOOKUP(C497,Code!H:W,16,FALSE)),1/(P497-1))-1)),"")</f>
        <v>0.47241671698908938</v>
      </c>
      <c r="L497" s="173">
        <f>IFERROR(VLOOKUP(C497,Code!H:W,13,FALSE)*4/VLOOKUP(C497,Code!H:W,12,FALSE),"")</f>
        <v>2.3797024736458831E-2</v>
      </c>
      <c r="M497" s="172">
        <f t="shared" si="57"/>
        <v>0.710886621742151</v>
      </c>
      <c r="N497" s="172" t="str">
        <f t="shared" si="58"/>
        <v>-</v>
      </c>
      <c r="O497" s="172" t="str">
        <f t="shared" si="59"/>
        <v>Value</v>
      </c>
      <c r="P497" s="205">
        <f>IFERROR(YEARFRAC(VLOOKUP(C497,Code!H:W,11,FALSE),VLOOKUP(C497,Code!H:W,14,FALSE),3),"")</f>
        <v>4.7397260273972606</v>
      </c>
      <c r="Q497" s="174">
        <v>44547</v>
      </c>
      <c r="R497" s="175" t="str">
        <f t="shared" ca="1" si="60"/>
        <v/>
      </c>
      <c r="S497" s="176">
        <f>IFERROR(VLOOKUP($C497,Code!$H:$Q,5,FALSE),"")</f>
        <v>0.31979999999999997</v>
      </c>
      <c r="T497" s="177" t="str">
        <f t="shared" ca="1" si="61"/>
        <v/>
      </c>
      <c r="U497" s="178" t="str">
        <f t="shared" ca="1" si="62"/>
        <v/>
      </c>
      <c r="V497" s="179">
        <f>IFERROR(VLOOKUP($C497,Code!$H:$Q,6,FALSE),"")</f>
        <v>53.12</v>
      </c>
      <c r="W497" s="180" t="str">
        <f t="shared" ca="1" si="63"/>
        <v/>
      </c>
      <c r="X497" s="12"/>
      <c r="Y497" s="12"/>
      <c r="Z497" s="12"/>
      <c r="AA497" s="12"/>
      <c r="AB497" s="12"/>
    </row>
    <row r="498" spans="1:28" s="10" customFormat="1" ht="15" hidden="1">
      <c r="A498" s="9"/>
      <c r="B498" s="169" cm="1">
        <f t="array" ref="B498">_xlfn.IFS(OR(Code!R449&lt;&gt;Code!U449,Code!R449=""),0,Code!R449=Code!U449,1)</f>
        <v>1</v>
      </c>
      <c r="C498" s="193" t="str">
        <f>IF(Code!F449="","",Code!F449)</f>
        <v>TSLA</v>
      </c>
      <c r="D498" s="155" t="str">
        <f>IFERROR(VLOOKUP($C498,Code!$H:$K,2,FALSE),"")</f>
        <v>XLY</v>
      </c>
      <c r="E498" s="156" t="str">
        <f>IFERROR(VLOOKUP($C498,Code!$H:$K,3,FALSE),"")</f>
        <v>汽車製造商</v>
      </c>
      <c r="F498" s="157" t="str">
        <f>IFERROR(VLOOKUP($C498,Code!$H:$K,4,FALSE),"")</f>
        <v>.SPX</v>
      </c>
      <c r="G498" s="170">
        <f>IFERROR(((VLOOKUP($C498,Code!$H:$Q,9,FALSE))+(VLOOKUP($C498,Code!$H:$Q,10,FALSE)))/2*0.5/(((VLOOKUP($C498,Code!$H:$Q,7,FALSE))+(VLOOKUP($C498,Code!$H:$Q,8,FALSE)))/2),0)</f>
        <v>0.56998566401668183</v>
      </c>
      <c r="H498" s="171" t="str">
        <f t="shared" si="56"/>
        <v>M</v>
      </c>
      <c r="I498" s="170">
        <f>IFERROR((VLOOKUP($C498,Code!$H:$Q,5,FALSE))/(((VLOOKUP($C498,Code!$H:$Q,7,FALSE))+(VLOOKUP($C498,Code!$H:$Q,8,FALSE)))/2)-1,0)</f>
        <v>-0.42760328424345107</v>
      </c>
      <c r="J498" s="204">
        <f>IFERROR(POWER((VLOOKUP(C498,Code!H:W,12,FALSE))/(VLOOKUP(C498,Code!H:W,15,FALSE)),1/(P498-1))-1,"")</f>
        <v>0</v>
      </c>
      <c r="K498" s="172" t="str" cm="1">
        <f t="array" ref="K498">IFERROR(IF(C498="","",_xlfn.IFS(AND(VLOOKUP(C498,Code!H:W,13,FALSE)=0,VLOOKUP(C498,Code!H:W,16,FALSE)=0),"無股息",AND(VLOOKUP(C498,Code!H:W,13,FALSE)=0,VLOOKUP(C498,Code!H:W,16,FALSE)&gt;0),"股息沒了",AND(VLOOKUP(C498,Code!H:W,13,FALSE)&gt;0,VLOOKUP(C498,Code!H:W,16,FALSE)=0),"發股息了",AND(VLOOKUP(C498,Code!H:W,13,FALSE)&gt;0,VLOOKUP(C498,Code!H:W,16,FALSE)&gt;0),POWER((VLOOKUP(C498,Code!H:W,13,FALSE))/(VLOOKUP(C498,Code!H:W,16,FALSE)),1/(P498-1))-1)),"")</f>
        <v>無股息</v>
      </c>
      <c r="L498" s="173">
        <f>IFERROR(VLOOKUP(C498,Code!H:W,13,FALSE)*4/VLOOKUP(C498,Code!H:W,12,FALSE),"")</f>
        <v>0</v>
      </c>
      <c r="M498" s="172" t="str">
        <f t="shared" si="57"/>
        <v/>
      </c>
      <c r="N498" s="172" t="str">
        <f t="shared" si="58"/>
        <v>-</v>
      </c>
      <c r="O498" s="172" t="str">
        <f t="shared" si="59"/>
        <v/>
      </c>
      <c r="P498" s="205">
        <f>IFERROR(YEARFRAC(VLOOKUP(C498,Code!H:W,11,FALSE),VLOOKUP(C498,Code!H:W,14,FALSE),3),"")</f>
        <v>0</v>
      </c>
      <c r="Q498" s="174">
        <v>44547</v>
      </c>
      <c r="R498" s="175" t="str">
        <f t="shared" ca="1" si="60"/>
        <v/>
      </c>
      <c r="S498" s="176">
        <f>IFERROR(VLOOKUP($C498,Code!$H:$Q,5,FALSE),"")</f>
        <v>0.43919999999999998</v>
      </c>
      <c r="T498" s="177" t="str">
        <f t="shared" ca="1" si="61"/>
        <v/>
      </c>
      <c r="U498" s="178" t="str">
        <f t="shared" ca="1" si="62"/>
        <v/>
      </c>
      <c r="V498" s="179">
        <f>IFERROR(VLOOKUP($C498,Code!$H:$Q,6,FALSE),"")</f>
        <v>714.63</v>
      </c>
      <c r="W498" s="180" t="str">
        <f t="shared" ca="1" si="63"/>
        <v/>
      </c>
      <c r="X498" s="12"/>
      <c r="Y498" s="12"/>
      <c r="Z498" s="12"/>
      <c r="AA498" s="12"/>
      <c r="AB498" s="12"/>
    </row>
    <row r="499" spans="1:28" s="10" customFormat="1" ht="15" hidden="1">
      <c r="A499" s="9"/>
      <c r="B499" s="169" cm="1">
        <f t="array" ref="B499">_xlfn.IFS(OR(Code!R472&lt;&gt;Code!U472,Code!R472=""),0,Code!R472=Code!U472,1)</f>
        <v>0</v>
      </c>
      <c r="C499" s="193" t="str">
        <f>IF(Code!F472="","",Code!F472)</f>
        <v>VLO</v>
      </c>
      <c r="D499" s="155" t="str">
        <f>IFERROR(VLOOKUP($C499,Code!$H:$K,2,FALSE),"")</f>
        <v>XLE</v>
      </c>
      <c r="E499" s="156" t="str">
        <f>IFERROR(VLOOKUP($C499,Code!$H:$K,3,FALSE),"")</f>
        <v>油氣煉製與營銷</v>
      </c>
      <c r="F499" s="157" t="str">
        <f>IFERROR(VLOOKUP($C499,Code!$H:$K,4,FALSE),"")</f>
        <v>.SPX</v>
      </c>
      <c r="G499" s="170">
        <f>IFERROR(((VLOOKUP($C499,Code!$H:$Q,9,FALSE))+(VLOOKUP($C499,Code!$H:$Q,10,FALSE)))/2*0.5/(((VLOOKUP($C499,Code!$H:$Q,7,FALSE))+(VLOOKUP($C499,Code!$H:$Q,8,FALSE)))/2),0)</f>
        <v>0.39029856415710706</v>
      </c>
      <c r="H499" s="171" t="str">
        <f t="shared" si="56"/>
        <v>S</v>
      </c>
      <c r="I499" s="170">
        <f>IFERROR((VLOOKUP($C499,Code!$H:$Q,5,FALSE))/(((VLOOKUP($C499,Code!$H:$Q,7,FALSE))+(VLOOKUP($C499,Code!$H:$Q,8,FALSE)))/2)-1,0)</f>
        <v>-0.42854972270758951</v>
      </c>
      <c r="J499" s="204">
        <f>IFERROR(POWER((VLOOKUP(C499,Code!H:W,12,FALSE))/(VLOOKUP(C499,Code!H:W,15,FALSE)),1/(P499-1))-1,"")</f>
        <v>0.11366677212924903</v>
      </c>
      <c r="K499" s="172" cm="1">
        <f t="array" ref="K499">IFERROR(IF(C499="","",_xlfn.IFS(AND(VLOOKUP(C499,Code!H:W,13,FALSE)=0,VLOOKUP(C499,Code!H:W,16,FALSE)=0),"無股息",AND(VLOOKUP(C499,Code!H:W,13,FALSE)=0,VLOOKUP(C499,Code!H:W,16,FALSE)&gt;0),"股息沒了",AND(VLOOKUP(C499,Code!H:W,13,FALSE)&gt;0,VLOOKUP(C499,Code!H:W,16,FALSE)=0),"發股息了",AND(VLOOKUP(C499,Code!H:W,13,FALSE)&gt;0,VLOOKUP(C499,Code!H:W,16,FALSE)&gt;0),POWER((VLOOKUP(C499,Code!H:W,13,FALSE))/(VLOOKUP(C499,Code!H:W,16,FALSE)),1/(P499-1))-1)),"")</f>
        <v>0.1308761603203219</v>
      </c>
      <c r="L499" s="173">
        <f>IFERROR(VLOOKUP(C499,Code!H:W,13,FALSE)*4/VLOOKUP(C499,Code!H:W,12,FALSE),"")</f>
        <v>6.1078217222817269E-2</v>
      </c>
      <c r="M499" s="172">
        <f t="shared" si="57"/>
        <v>0.24454293244957093</v>
      </c>
      <c r="N499" s="172" t="str">
        <f t="shared" si="58"/>
        <v>Venture</v>
      </c>
      <c r="O499" s="172" t="str">
        <f t="shared" si="59"/>
        <v>-</v>
      </c>
      <c r="P499" s="205">
        <f>IFERROR(YEARFRAC(VLOOKUP(C499,Code!H:W,11,FALSE),VLOOKUP(C499,Code!H:W,14,FALSE),3),"")</f>
        <v>4.9890410958904106</v>
      </c>
      <c r="Q499" s="174">
        <v>44547</v>
      </c>
      <c r="R499" s="175" t="str">
        <f t="shared" ca="1" si="60"/>
        <v/>
      </c>
      <c r="S499" s="176">
        <f>IFERROR(VLOOKUP($C499,Code!$H:$Q,5,FALSE),"")</f>
        <v>0.37609999999999999</v>
      </c>
      <c r="T499" s="177" t="str">
        <f t="shared" ca="1" si="61"/>
        <v/>
      </c>
      <c r="U499" s="178" t="str">
        <f t="shared" ca="1" si="62"/>
        <v/>
      </c>
      <c r="V499" s="179">
        <f>IFERROR(VLOOKUP($C499,Code!$H:$Q,6,FALSE),"")</f>
        <v>65.709999999999994</v>
      </c>
      <c r="W499" s="180" t="str">
        <f t="shared" ca="1" si="63"/>
        <v/>
      </c>
      <c r="X499" s="12"/>
      <c r="Y499" s="12"/>
      <c r="Z499" s="12"/>
      <c r="AA499" s="12"/>
      <c r="AB499" s="12"/>
    </row>
    <row r="500" spans="1:28" s="10" customFormat="1" ht="15" hidden="1">
      <c r="A500" s="9"/>
      <c r="B500" s="169" cm="1">
        <f t="array" ref="B500">_xlfn.IFS(OR(Code!R474&lt;&gt;Code!U474,Code!R474=""),0,Code!R474=Code!U474,1)</f>
        <v>0</v>
      </c>
      <c r="C500" s="193" t="str">
        <f>IF(Code!F474="","",Code!F474)</f>
        <v>VNO</v>
      </c>
      <c r="D500" s="155" t="str">
        <f>IFERROR(VLOOKUP($C500,Code!$H:$K,2,FALSE),"")</f>
        <v>XLRE</v>
      </c>
      <c r="E500" s="156" t="str">
        <f>IFERROR(VLOOKUP($C500,Code!$H:$K,3,FALSE),"")</f>
        <v>REIT-辦公室</v>
      </c>
      <c r="F500" s="157" t="str">
        <f>IFERROR(VLOOKUP($C500,Code!$H:$K,4,FALSE),"")</f>
        <v>.SPX</v>
      </c>
      <c r="G500" s="170">
        <f>IFERROR(((VLOOKUP($C500,Code!$H:$Q,9,FALSE))+(VLOOKUP($C500,Code!$H:$Q,10,FALSE)))/2*0.5/(((VLOOKUP($C500,Code!$H:$Q,7,FALSE))+(VLOOKUP($C500,Code!$H:$Q,8,FALSE)))/2),0)</f>
        <v>0.37629483777073885</v>
      </c>
      <c r="H500" s="171" t="str">
        <f t="shared" si="56"/>
        <v>S</v>
      </c>
      <c r="I500" s="170">
        <f>IFERROR((VLOOKUP($C500,Code!$H:$Q,5,FALSE))/(((VLOOKUP($C500,Code!$H:$Q,7,FALSE))+(VLOOKUP($C500,Code!$H:$Q,8,FALSE)))/2)-1,0)</f>
        <v>-0.43087064463658931</v>
      </c>
      <c r="J500" s="204">
        <f>IFERROR(POWER((VLOOKUP(C500,Code!H:W,12,FALSE))/(VLOOKUP(C500,Code!H:W,15,FALSE)),1/(P500-1))-1,"")</f>
        <v>-5.5963472877992082E-2</v>
      </c>
      <c r="K500" s="172" cm="1">
        <f t="array" ref="K500">IFERROR(IF(C500="","",_xlfn.IFS(AND(VLOOKUP(C500,Code!H:W,13,FALSE)=0,VLOOKUP(C500,Code!H:W,16,FALSE)=0),"無股息",AND(VLOOKUP(C500,Code!H:W,13,FALSE)=0,VLOOKUP(C500,Code!H:W,16,FALSE)&gt;0),"股息沒了",AND(VLOOKUP(C500,Code!H:W,13,FALSE)&gt;0,VLOOKUP(C500,Code!H:W,16,FALSE)=0),"發股息了",AND(VLOOKUP(C500,Code!H:W,13,FALSE)&gt;0,VLOOKUP(C500,Code!H:W,16,FALSE)&gt;0),POWER((VLOOKUP(C500,Code!H:W,13,FALSE))/(VLOOKUP(C500,Code!H:W,16,FALSE)),1/(P500-1))-1)),"")</f>
        <v>1.1418064157076468E-2</v>
      </c>
      <c r="L500" s="173">
        <f>IFERROR(VLOOKUP(C500,Code!H:W,13,FALSE)*4/VLOOKUP(C500,Code!H:W,12,FALSE),"")</f>
        <v>4.6076941476605446E-2</v>
      </c>
      <c r="M500" s="172">
        <f t="shared" si="57"/>
        <v>-4.4545408720915614E-2</v>
      </c>
      <c r="N500" s="172" t="str">
        <f t="shared" si="58"/>
        <v>-</v>
      </c>
      <c r="O500" s="172" t="str">
        <f t="shared" si="59"/>
        <v>-</v>
      </c>
      <c r="P500" s="205">
        <f>IFERROR(YEARFRAC(VLOOKUP(C500,Code!H:W,11,FALSE),VLOOKUP(C500,Code!H:W,14,FALSE),3),"")</f>
        <v>4.5095890410958903</v>
      </c>
      <c r="Q500" s="174">
        <v>44547</v>
      </c>
      <c r="R500" s="175" t="str">
        <f t="shared" ca="1" si="60"/>
        <v/>
      </c>
      <c r="S500" s="176">
        <f>IFERROR(VLOOKUP($C500,Code!$H:$Q,5,FALSE),"")</f>
        <v>0.33239999999999997</v>
      </c>
      <c r="T500" s="177" t="str">
        <f t="shared" ca="1" si="61"/>
        <v/>
      </c>
      <c r="U500" s="178" t="str">
        <f t="shared" ca="1" si="62"/>
        <v/>
      </c>
      <c r="V500" s="179">
        <f>IFERROR(VLOOKUP($C500,Code!$H:$Q,6,FALSE),"")</f>
        <v>42.56</v>
      </c>
      <c r="W500" s="180" t="str">
        <f t="shared" ca="1" si="63"/>
        <v/>
      </c>
      <c r="X500" s="12"/>
      <c r="Y500" s="12"/>
      <c r="Z500" s="12"/>
      <c r="AA500" s="12"/>
      <c r="AB500" s="12"/>
    </row>
    <row r="501" spans="1:28" s="10" customFormat="1" ht="15" hidden="1">
      <c r="A501" s="9"/>
      <c r="B501" s="169" cm="1">
        <f t="array" ref="B501">_xlfn.IFS(OR(Code!R305&lt;&gt;Code!U305,Code!R305=""),0,Code!R305=Code!U305,1)</f>
        <v>1</v>
      </c>
      <c r="C501" s="193" t="str">
        <f>IF(Code!F305="","",Code!F305)</f>
        <v>MHK</v>
      </c>
      <c r="D501" s="155" t="str">
        <f>IFERROR(VLOOKUP($C501,Code!$H:$K,2,FALSE),"")</f>
        <v>XLY</v>
      </c>
      <c r="E501" s="156" t="str">
        <f>IFERROR(VLOOKUP($C501,Code!$H:$K,3,FALSE),"")</f>
        <v>-</v>
      </c>
      <c r="F501" s="157" t="str">
        <f>IFERROR(VLOOKUP($C501,Code!$H:$K,4,FALSE),"")</f>
        <v>.SPX</v>
      </c>
      <c r="G501" s="170">
        <f>IFERROR(((VLOOKUP($C501,Code!$H:$Q,9,FALSE))+(VLOOKUP($C501,Code!$H:$Q,10,FALSE)))/2*0.5/(((VLOOKUP($C501,Code!$H:$Q,7,FALSE))+(VLOOKUP($C501,Code!$H:$Q,8,FALSE)))/2),0)</f>
        <v>0.47551739321884628</v>
      </c>
      <c r="H501" s="171" t="str">
        <f t="shared" si="56"/>
        <v>S</v>
      </c>
      <c r="I501" s="170">
        <f>IFERROR((VLOOKUP($C501,Code!$H:$Q,5,FALSE))/(((VLOOKUP($C501,Code!$H:$Q,7,FALSE))+(VLOOKUP($C501,Code!$H:$Q,8,FALSE)))/2)-1,0)</f>
        <v>-0.43161602818141787</v>
      </c>
      <c r="J501" s="204" t="str">
        <f>IFERROR(POWER((VLOOKUP(C501,Code!H:W,12,FALSE))/(VLOOKUP(C501,Code!H:W,15,FALSE)),1/(P501-1))-1,"")</f>
        <v/>
      </c>
      <c r="K501" s="172" t="str" cm="1">
        <f t="array" ref="K501">IFERROR(IF(C501="","",_xlfn.IFS(AND(VLOOKUP(C501,Code!H:W,13,FALSE)=0,VLOOKUP(C501,Code!H:W,16,FALSE)=0),"無股息",AND(VLOOKUP(C501,Code!H:W,13,FALSE)=0,VLOOKUP(C501,Code!H:W,16,FALSE)&gt;0),"股息沒了",AND(VLOOKUP(C501,Code!H:W,13,FALSE)&gt;0,VLOOKUP(C501,Code!H:W,16,FALSE)=0),"發股息了",AND(VLOOKUP(C501,Code!H:W,13,FALSE)&gt;0,VLOOKUP(C501,Code!H:W,16,FALSE)&gt;0),POWER((VLOOKUP(C501,Code!H:W,13,FALSE))/(VLOOKUP(C501,Code!H:W,16,FALSE)),1/(P501-1))-1)),"")</f>
        <v>無股息</v>
      </c>
      <c r="L501" s="173" t="str">
        <f>IFERROR(VLOOKUP(C501,Code!H:W,13,FALSE)*4/VLOOKUP(C501,Code!H:W,12,FALSE),"")</f>
        <v/>
      </c>
      <c r="M501" s="172" t="str">
        <f t="shared" si="57"/>
        <v/>
      </c>
      <c r="N501" s="172" t="str">
        <f t="shared" si="58"/>
        <v/>
      </c>
      <c r="O501" s="172" t="str">
        <f t="shared" si="59"/>
        <v/>
      </c>
      <c r="P501" s="205">
        <f>IFERROR(YEARFRAC(VLOOKUP(C501,Code!H:W,11,FALSE),VLOOKUP(C501,Code!H:W,14,FALSE),3),"")</f>
        <v>0</v>
      </c>
      <c r="Q501" s="174">
        <v>44547</v>
      </c>
      <c r="R501" s="175" t="str">
        <f t="shared" ca="1" si="60"/>
        <v/>
      </c>
      <c r="S501" s="176">
        <f>IFERROR(VLOOKUP($C501,Code!$H:$Q,5,FALSE),"")</f>
        <v>0.32269999999999999</v>
      </c>
      <c r="T501" s="177" t="str">
        <f t="shared" ca="1" si="61"/>
        <v/>
      </c>
      <c r="U501" s="178" t="str">
        <f t="shared" ca="1" si="62"/>
        <v/>
      </c>
      <c r="V501" s="179">
        <f>IFERROR(VLOOKUP($C501,Code!$H:$Q,6,FALSE),"")</f>
        <v>199.1</v>
      </c>
      <c r="W501" s="180" t="str">
        <f t="shared" ca="1" si="63"/>
        <v/>
      </c>
      <c r="X501" s="12"/>
      <c r="Y501" s="12"/>
      <c r="Z501" s="12"/>
      <c r="AA501" s="12"/>
      <c r="AB501" s="12"/>
    </row>
    <row r="502" spans="1:28" s="10" customFormat="1" ht="15" hidden="1">
      <c r="A502" s="9"/>
      <c r="B502" s="169" cm="1">
        <f t="array" ref="B502">_xlfn.IFS(OR(Code!R477&lt;&gt;Code!U477,Code!R477=""),0,Code!R477=Code!U477,1)</f>
        <v>1</v>
      </c>
      <c r="C502" s="193" t="str">
        <f>IF(Code!F477="","",Code!F477)</f>
        <v>VRTX</v>
      </c>
      <c r="D502" s="155" t="str">
        <f>IFERROR(VLOOKUP($C502,Code!$H:$K,2,FALSE),"")</f>
        <v>XLV</v>
      </c>
      <c r="E502" s="156" t="str">
        <f>IFERROR(VLOOKUP($C502,Code!$H:$K,3,FALSE),"")</f>
        <v>生物技術</v>
      </c>
      <c r="F502" s="157" t="str">
        <f>IFERROR(VLOOKUP($C502,Code!$H:$K,4,FALSE),"")</f>
        <v>.SPX</v>
      </c>
      <c r="G502" s="170">
        <f>IFERROR(((VLOOKUP($C502,Code!$H:$Q,9,FALSE))+(VLOOKUP($C502,Code!$H:$Q,10,FALSE)))/2*0.5/(((VLOOKUP($C502,Code!$H:$Q,7,FALSE))+(VLOOKUP($C502,Code!$H:$Q,8,FALSE)))/2),0)</f>
        <v>0.40653996646171037</v>
      </c>
      <c r="H502" s="171" t="str">
        <f t="shared" si="56"/>
        <v>S</v>
      </c>
      <c r="I502" s="170">
        <f>IFERROR((VLOOKUP($C502,Code!$H:$Q,5,FALSE))/(((VLOOKUP($C502,Code!$H:$Q,7,FALSE))+(VLOOKUP($C502,Code!$H:$Q,8,FALSE)))/2)-1,0)</f>
        <v>-0.43610955841252108</v>
      </c>
      <c r="J502" s="204" t="str">
        <f>IFERROR(POWER((VLOOKUP(C502,Code!H:W,12,FALSE))/(VLOOKUP(C502,Code!H:W,15,FALSE)),1/(P502-1))-1,"")</f>
        <v/>
      </c>
      <c r="K502" s="172" t="str" cm="1">
        <f t="array" ref="K502">IFERROR(IF(C502="","",_xlfn.IFS(AND(VLOOKUP(C502,Code!H:W,13,FALSE)=0,VLOOKUP(C502,Code!H:W,16,FALSE)=0),"無股息",AND(VLOOKUP(C502,Code!H:W,13,FALSE)=0,VLOOKUP(C502,Code!H:W,16,FALSE)&gt;0),"股息沒了",AND(VLOOKUP(C502,Code!H:W,13,FALSE)&gt;0,VLOOKUP(C502,Code!H:W,16,FALSE)=0),"發股息了",AND(VLOOKUP(C502,Code!H:W,13,FALSE)&gt;0,VLOOKUP(C502,Code!H:W,16,FALSE)&gt;0),POWER((VLOOKUP(C502,Code!H:W,13,FALSE))/(VLOOKUP(C502,Code!H:W,16,FALSE)),1/(P502-1))-1)),"")</f>
        <v>無股息</v>
      </c>
      <c r="L502" s="173" t="str">
        <f>IFERROR(VLOOKUP(C502,Code!H:W,13,FALSE)*4/VLOOKUP(C502,Code!H:W,12,FALSE),"")</f>
        <v/>
      </c>
      <c r="M502" s="172" t="str">
        <f t="shared" si="57"/>
        <v/>
      </c>
      <c r="N502" s="172" t="str">
        <f t="shared" si="58"/>
        <v/>
      </c>
      <c r="O502" s="172" t="str">
        <f t="shared" si="59"/>
        <v/>
      </c>
      <c r="P502" s="205">
        <f>IFERROR(YEARFRAC(VLOOKUP(C502,Code!H:W,11,FALSE),VLOOKUP(C502,Code!H:W,14,FALSE),3),"")</f>
        <v>0</v>
      </c>
      <c r="Q502" s="174">
        <v>44547</v>
      </c>
      <c r="R502" s="175" t="str">
        <f t="shared" ca="1" si="60"/>
        <v/>
      </c>
      <c r="S502" s="176">
        <f>IFERROR(VLOOKUP($C502,Code!$H:$Q,5,FALSE),"")</f>
        <v>0.25219999999999998</v>
      </c>
      <c r="T502" s="177" t="str">
        <f t="shared" ca="1" si="61"/>
        <v/>
      </c>
      <c r="U502" s="178" t="str">
        <f t="shared" ca="1" si="62"/>
        <v/>
      </c>
      <c r="V502" s="179">
        <f>IFERROR(VLOOKUP($C502,Code!$H:$Q,6,FALSE),"")</f>
        <v>202.99</v>
      </c>
      <c r="W502" s="180" t="str">
        <f t="shared" ca="1" si="63"/>
        <v/>
      </c>
      <c r="X502" s="12"/>
      <c r="Y502" s="12"/>
      <c r="Z502" s="12"/>
      <c r="AA502" s="12"/>
      <c r="AB502" s="12"/>
    </row>
    <row r="503" spans="1:28" s="10" customFormat="1" ht="15" hidden="1">
      <c r="A503" s="9"/>
      <c r="B503" s="169" cm="1">
        <f t="array" ref="B503">_xlfn.IFS(OR(Code!R165&lt;&gt;Code!U165,Code!R165=""),0,Code!R165=Code!U165,1)</f>
        <v>0</v>
      </c>
      <c r="C503" s="193" t="str">
        <f>IF(Code!F165="","",Code!F165)</f>
        <v>EQR</v>
      </c>
      <c r="D503" s="155" t="str">
        <f>IFERROR(VLOOKUP($C503,Code!$H:$K,2,FALSE),"")</f>
        <v>XLRE</v>
      </c>
      <c r="E503" s="156" t="str">
        <f>IFERROR(VLOOKUP($C503,Code!$H:$K,3,FALSE),"")</f>
        <v>-</v>
      </c>
      <c r="F503" s="157" t="str">
        <f>IFERROR(VLOOKUP($C503,Code!$H:$K,4,FALSE),"")</f>
        <v>.SPX</v>
      </c>
      <c r="G503" s="170">
        <f>IFERROR(((VLOOKUP($C503,Code!$H:$Q,9,FALSE))+(VLOOKUP($C503,Code!$H:$Q,10,FALSE)))/2*0.5/(((VLOOKUP($C503,Code!$H:$Q,7,FALSE))+(VLOOKUP($C503,Code!$H:$Q,8,FALSE)))/2),0)</f>
        <v>0.43774940143655217</v>
      </c>
      <c r="H503" s="171" t="str">
        <f t="shared" si="56"/>
        <v>S</v>
      </c>
      <c r="I503" s="170">
        <f>IFERROR((VLOOKUP($C503,Code!$H:$Q,5,FALSE))/(((VLOOKUP($C503,Code!$H:$Q,7,FALSE))+(VLOOKUP($C503,Code!$H:$Q,8,FALSE)))/2)-1,0)</f>
        <v>-0.44213886671987235</v>
      </c>
      <c r="J503" s="204">
        <f>IFERROR(POWER((VLOOKUP(C503,Code!H:W,12,FALSE))/(VLOOKUP(C503,Code!H:W,15,FALSE)),1/(P503-1))-1,"")</f>
        <v>0.10023107468194969</v>
      </c>
      <c r="K503" s="172" cm="1">
        <f t="array" ref="K503">IFERROR(IF(C503="","",_xlfn.IFS(AND(VLOOKUP(C503,Code!H:W,13,FALSE)=0,VLOOKUP(C503,Code!H:W,16,FALSE)=0),"無股息",AND(VLOOKUP(C503,Code!H:W,13,FALSE)=0,VLOOKUP(C503,Code!H:W,16,FALSE)&gt;0),"股息沒了",AND(VLOOKUP(C503,Code!H:W,13,FALSE)&gt;0,VLOOKUP(C503,Code!H:W,16,FALSE)=0),"發股息了",AND(VLOOKUP(C503,Code!H:W,13,FALSE)&gt;0,VLOOKUP(C503,Code!H:W,16,FALSE)&gt;0),POWER((VLOOKUP(C503,Code!H:W,13,FALSE))/(VLOOKUP(C503,Code!H:W,16,FALSE)),1/(P503-1))-1)),"")</f>
        <v>-0.37384245566552021</v>
      </c>
      <c r="L503" s="173">
        <f>IFERROR(VLOOKUP(C503,Code!H:W,13,FALSE)*4/VLOOKUP(C503,Code!H:W,12,FALSE),"")</f>
        <v>3.0698740096328274E-2</v>
      </c>
      <c r="M503" s="172">
        <f t="shared" si="57"/>
        <v>-0.27361138098357052</v>
      </c>
      <c r="N503" s="172" t="str">
        <f t="shared" si="58"/>
        <v>-</v>
      </c>
      <c r="O503" s="172" t="str">
        <f t="shared" si="59"/>
        <v>-</v>
      </c>
      <c r="P503" s="205">
        <f>IFERROR(YEARFRAC(VLOOKUP(C503,Code!H:W,11,FALSE),VLOOKUP(C503,Code!H:W,14,FALSE),3),"")</f>
        <v>4.7589041095890412</v>
      </c>
      <c r="Q503" s="174">
        <v>44547</v>
      </c>
      <c r="R503" s="175" t="str">
        <f t="shared" ca="1" si="60"/>
        <v/>
      </c>
      <c r="S503" s="176">
        <f>IFERROR(VLOOKUP($C503,Code!$H:$Q,5,FALSE),"")</f>
        <v>0.2097</v>
      </c>
      <c r="T503" s="177" t="str">
        <f t="shared" ca="1" si="61"/>
        <v/>
      </c>
      <c r="U503" s="178" t="str">
        <f t="shared" ca="1" si="62"/>
        <v/>
      </c>
      <c r="V503" s="179">
        <f>IFERROR(VLOOKUP($C503,Code!$H:$Q,6,FALSE),"")</f>
        <v>84.82</v>
      </c>
      <c r="W503" s="180" t="str">
        <f t="shared" ca="1" si="63"/>
        <v/>
      </c>
      <c r="X503" s="12"/>
      <c r="Y503" s="12"/>
      <c r="Z503" s="12"/>
      <c r="AA503" s="12"/>
      <c r="AB503" s="12"/>
    </row>
    <row r="504" spans="1:28" s="10" customFormat="1" ht="15" hidden="1">
      <c r="A504" s="9"/>
      <c r="B504" s="169" cm="1">
        <f t="array" ref="B504">_xlfn.IFS(OR(Code!R27&lt;&gt;Code!U27,Code!R27=""),0,Code!R27=Code!U27,1)</f>
        <v>1</v>
      </c>
      <c r="C504" s="193" t="str">
        <f>IF(Code!F27="","",Code!F27)</f>
        <v>ALGN</v>
      </c>
      <c r="D504" s="155" t="str">
        <f>IFERROR(VLOOKUP($C504,Code!$H:$K,2,FALSE),"")</f>
        <v>XLV</v>
      </c>
      <c r="E504" s="156" t="str">
        <f>IFERROR(VLOOKUP($C504,Code!$H:$K,3,FALSE),"")</f>
        <v>醫療設備</v>
      </c>
      <c r="F504" s="157" t="str">
        <f>IFERROR(VLOOKUP($C504,Code!$H:$K,4,FALSE),"")</f>
        <v>.SPX</v>
      </c>
      <c r="G504" s="170">
        <f>IFERROR(((VLOOKUP($C504,Code!$H:$Q,9,FALSE))+(VLOOKUP($C504,Code!$H:$Q,10,FALSE)))/2*0.5/(((VLOOKUP($C504,Code!$H:$Q,7,FALSE))+(VLOOKUP($C504,Code!$H:$Q,8,FALSE)))/2),0)</f>
        <v>0.45399363697253858</v>
      </c>
      <c r="H504" s="171" t="str">
        <f t="shared" si="56"/>
        <v>S</v>
      </c>
      <c r="I504" s="170">
        <f>IFERROR((VLOOKUP($C504,Code!$H:$Q,5,FALSE))/(((VLOOKUP($C504,Code!$H:$Q,7,FALSE))+(VLOOKUP($C504,Code!$H:$Q,8,FALSE)))/2)-1,0)</f>
        <v>-0.44290020093770932</v>
      </c>
      <c r="J504" s="204" t="str">
        <f>IFERROR(POWER((VLOOKUP(C504,Code!H:W,12,FALSE))/(VLOOKUP(C504,Code!H:W,15,FALSE)),1/(P504-1))-1,"")</f>
        <v/>
      </c>
      <c r="K504" s="172" t="str" cm="1">
        <f t="array" ref="K504">IFERROR(IF(C504="","",_xlfn.IFS(AND(VLOOKUP(C504,Code!H:W,13,FALSE)=0,VLOOKUP(C504,Code!H:W,16,FALSE)=0),"無股息",AND(VLOOKUP(C504,Code!H:W,13,FALSE)=0,VLOOKUP(C504,Code!H:W,16,FALSE)&gt;0),"股息沒了",AND(VLOOKUP(C504,Code!H:W,13,FALSE)&gt;0,VLOOKUP(C504,Code!H:W,16,FALSE)=0),"發股息了",AND(VLOOKUP(C504,Code!H:W,13,FALSE)&gt;0,VLOOKUP(C504,Code!H:W,16,FALSE)&gt;0),POWER((VLOOKUP(C504,Code!H:W,13,FALSE))/(VLOOKUP(C504,Code!H:W,16,FALSE)),1/(P504-1))-1)),"")</f>
        <v>無股息</v>
      </c>
      <c r="L504" s="173" t="str">
        <f>IFERROR(VLOOKUP(C504,Code!H:W,13,FALSE)*4/VLOOKUP(C504,Code!H:W,12,FALSE),"")</f>
        <v/>
      </c>
      <c r="M504" s="172" t="str">
        <f t="shared" si="57"/>
        <v/>
      </c>
      <c r="N504" s="172" t="str">
        <f t="shared" si="58"/>
        <v/>
      </c>
      <c r="O504" s="172" t="str">
        <f t="shared" si="59"/>
        <v/>
      </c>
      <c r="P504" s="205">
        <f>IFERROR(YEARFRAC(VLOOKUP(C504,Code!H:W,11,FALSE),VLOOKUP(C504,Code!H:W,14,FALSE),3),"")</f>
        <v>0</v>
      </c>
      <c r="Q504" s="174">
        <v>44547</v>
      </c>
      <c r="R504" s="175" t="str">
        <f t="shared" ca="1" si="60"/>
        <v/>
      </c>
      <c r="S504" s="176">
        <f>IFERROR(VLOOKUP($C504,Code!$H:$Q,5,FALSE),"")</f>
        <v>0.3327</v>
      </c>
      <c r="T504" s="177" t="str">
        <f t="shared" ca="1" si="61"/>
        <v/>
      </c>
      <c r="U504" s="178" t="str">
        <f t="shared" ca="1" si="62"/>
        <v/>
      </c>
      <c r="V504" s="179">
        <f>IFERROR(VLOOKUP($C504,Code!$H:$Q,6,FALSE),"")</f>
        <v>699.22</v>
      </c>
      <c r="W504" s="180" t="str">
        <f t="shared" ca="1" si="63"/>
        <v/>
      </c>
      <c r="X504" s="12"/>
      <c r="Y504" s="12"/>
      <c r="Z504" s="12"/>
      <c r="AA504" s="12"/>
      <c r="AB504" s="12"/>
    </row>
    <row r="505" spans="1:28" s="10" customFormat="1" ht="15" hidden="1">
      <c r="A505" s="9"/>
      <c r="B505" s="169" cm="1">
        <f t="array" ref="B505">_xlfn.IFS(OR(Code!R63&lt;&gt;Code!U63,Code!R63=""),0,Code!R63=Code!U63,1)</f>
        <v>0</v>
      </c>
      <c r="C505" s="193" t="str">
        <f>IF(Code!F63="","",Code!F63)</f>
        <v>BF.B</v>
      </c>
      <c r="D505" s="155" t="str">
        <f>IFERROR(VLOOKUP($C505,Code!$H:$K,2,FALSE),"")</f>
        <v>XLP</v>
      </c>
      <c r="E505" s="156" t="str">
        <f>IFERROR(VLOOKUP($C505,Code!$H:$K,3,FALSE),"")</f>
        <v>飲料-酒廠和釀酒廠</v>
      </c>
      <c r="F505" s="157" t="str">
        <f>IFERROR(VLOOKUP($C505,Code!$H:$K,4,FALSE),"")</f>
        <v>.SPX</v>
      </c>
      <c r="G505" s="170">
        <f>IFERROR(((VLOOKUP($C505,Code!$H:$Q,9,FALSE))+(VLOOKUP($C505,Code!$H:$Q,10,FALSE)))/2*0.5/(((VLOOKUP($C505,Code!$H:$Q,7,FALSE))+(VLOOKUP($C505,Code!$H:$Q,8,FALSE)))/2),0)</f>
        <v>0.43774940143655217</v>
      </c>
      <c r="H505" s="171" t="str">
        <f t="shared" si="56"/>
        <v>S</v>
      </c>
      <c r="I505" s="170">
        <f>IFERROR((VLOOKUP($C505,Code!$H:$Q,5,FALSE))/(((VLOOKUP($C505,Code!$H:$Q,7,FALSE))+(VLOOKUP($C505,Code!$H:$Q,8,FALSE)))/2)-1,0)</f>
        <v>-0.44692737430167595</v>
      </c>
      <c r="J505" s="204">
        <f>IFERROR(POWER((VLOOKUP(C505,Code!H:W,12,FALSE))/(VLOOKUP(C505,Code!H:W,15,FALSE)),1/(P505-1))-1,"")</f>
        <v>0.10023107468194969</v>
      </c>
      <c r="K505" s="172" cm="1">
        <f t="array" ref="K505">IFERROR(IF(C505="","",_xlfn.IFS(AND(VLOOKUP(C505,Code!H:W,13,FALSE)=0,VLOOKUP(C505,Code!H:W,16,FALSE)=0),"無股息",AND(VLOOKUP(C505,Code!H:W,13,FALSE)=0,VLOOKUP(C505,Code!H:W,16,FALSE)&gt;0),"股息沒了",AND(VLOOKUP(C505,Code!H:W,13,FALSE)&gt;0,VLOOKUP(C505,Code!H:W,16,FALSE)=0),"發股息了",AND(VLOOKUP(C505,Code!H:W,13,FALSE)&gt;0,VLOOKUP(C505,Code!H:W,16,FALSE)&gt;0),POWER((VLOOKUP(C505,Code!H:W,13,FALSE))/(VLOOKUP(C505,Code!H:W,16,FALSE)),1/(P505-1))-1)),"")</f>
        <v>-0.37384245566552021</v>
      </c>
      <c r="L505" s="173">
        <f>IFERROR(VLOOKUP(C505,Code!H:W,13,FALSE)*4/VLOOKUP(C505,Code!H:W,12,FALSE),"")</f>
        <v>3.0698740096328274E-2</v>
      </c>
      <c r="M505" s="172">
        <f t="shared" si="57"/>
        <v>-0.27361138098357052</v>
      </c>
      <c r="N505" s="172" t="str">
        <f t="shared" si="58"/>
        <v>-</v>
      </c>
      <c r="O505" s="172" t="str">
        <f t="shared" si="59"/>
        <v>-</v>
      </c>
      <c r="P505" s="205">
        <f>IFERROR(YEARFRAC(VLOOKUP(C505,Code!H:W,11,FALSE),VLOOKUP(C505,Code!H:W,14,FALSE),3),"")</f>
        <v>4.7589041095890412</v>
      </c>
      <c r="Q505" s="174">
        <v>44547</v>
      </c>
      <c r="R505" s="175" t="str">
        <f t="shared" ca="1" si="60"/>
        <v/>
      </c>
      <c r="S505" s="176">
        <f>IFERROR(VLOOKUP($C505,Code!$H:$Q,5,FALSE),"")</f>
        <v>0.2079</v>
      </c>
      <c r="T505" s="177" t="str">
        <f t="shared" ca="1" si="61"/>
        <v/>
      </c>
      <c r="U505" s="178" t="str">
        <f t="shared" ca="1" si="62"/>
        <v/>
      </c>
      <c r="V505" s="179">
        <f>IFERROR(VLOOKUP($C505,Code!$H:$Q,6,FALSE),"")</f>
        <v>84.82</v>
      </c>
      <c r="W505" s="180" t="str">
        <f t="shared" ca="1" si="63"/>
        <v/>
      </c>
      <c r="X505" s="12"/>
      <c r="Y505" s="12"/>
      <c r="Z505" s="12"/>
      <c r="AA505" s="12"/>
      <c r="AB505" s="12"/>
    </row>
    <row r="506" spans="1:28" s="10" customFormat="1" ht="15" hidden="1">
      <c r="A506" s="9"/>
      <c r="B506" s="169" cm="1">
        <f t="array" ref="B506">_xlfn.IFS(OR(Code!R380&lt;&gt;Code!U380,Code!R380=""),0,Code!R380=Code!U380,1)</f>
        <v>0</v>
      </c>
      <c r="C506" s="193" t="str">
        <f>IF(Code!F380="","",Code!F380)</f>
        <v>POOL</v>
      </c>
      <c r="D506" s="155" t="str">
        <f>IFERROR(VLOOKUP($C506,Code!$H:$K,2,FALSE),"")</f>
        <v>XLY</v>
      </c>
      <c r="E506" s="156" t="str">
        <f>IFERROR(VLOOKUP($C506,Code!$H:$K,3,FALSE),"")</f>
        <v>休閑</v>
      </c>
      <c r="F506" s="157" t="str">
        <f>IFERROR(VLOOKUP($C506,Code!$H:$K,4,FALSE),"")</f>
        <v>.SPX</v>
      </c>
      <c r="G506" s="170">
        <f>IFERROR(((VLOOKUP($C506,Code!$H:$Q,9,FALSE))+(VLOOKUP($C506,Code!$H:$Q,10,FALSE)))/2*0.5/(((VLOOKUP($C506,Code!$H:$Q,7,FALSE))+(VLOOKUP($C506,Code!$H:$Q,8,FALSE)))/2),0)</f>
        <v>0.42559826883910384</v>
      </c>
      <c r="H506" s="171" t="str">
        <f t="shared" si="56"/>
        <v>S</v>
      </c>
      <c r="I506" s="170">
        <f>IFERROR((VLOOKUP($C506,Code!$H:$Q,5,FALSE))/(((VLOOKUP($C506,Code!$H:$Q,7,FALSE))+(VLOOKUP($C506,Code!$H:$Q,8,FALSE)))/2)-1,0)</f>
        <v>-0.45392057026476573</v>
      </c>
      <c r="J506" s="204">
        <f>IFERROR(POWER((VLOOKUP(C506,Code!H:W,12,FALSE))/(VLOOKUP(C506,Code!H:W,15,FALSE)),1/(P506-1))-1,"")</f>
        <v>0.5026184447793336</v>
      </c>
      <c r="K506" s="172" cm="1">
        <f t="array" ref="K506">IFERROR(IF(C506="","",_xlfn.IFS(AND(VLOOKUP(C506,Code!H:W,13,FALSE)=0,VLOOKUP(C506,Code!H:W,16,FALSE)=0),"無股息",AND(VLOOKUP(C506,Code!H:W,13,FALSE)=0,VLOOKUP(C506,Code!H:W,16,FALSE)&gt;0),"股息沒了",AND(VLOOKUP(C506,Code!H:W,13,FALSE)&gt;0,VLOOKUP(C506,Code!H:W,16,FALSE)=0),"發股息了",AND(VLOOKUP(C506,Code!H:W,13,FALSE)&gt;0,VLOOKUP(C506,Code!H:W,16,FALSE)&gt;0),POWER((VLOOKUP(C506,Code!H:W,13,FALSE))/(VLOOKUP(C506,Code!H:W,16,FALSE)),1/(P506-1))-1)),"")</f>
        <v>0.28616043876220143</v>
      </c>
      <c r="L506" s="173">
        <f>IFERROR(VLOOKUP(C506,Code!H:W,13,FALSE)*4/VLOOKUP(C506,Code!H:W,12,FALSE),"")</f>
        <v>7.3081052268575411E-3</v>
      </c>
      <c r="M506" s="172">
        <f t="shared" si="57"/>
        <v>0.78877888354153503</v>
      </c>
      <c r="N506" s="172" t="str">
        <f t="shared" si="58"/>
        <v>-</v>
      </c>
      <c r="O506" s="172" t="str">
        <f t="shared" si="59"/>
        <v>Value</v>
      </c>
      <c r="P506" s="205">
        <f>IFERROR(YEARFRAC(VLOOKUP(C506,Code!H:W,11,FALSE),VLOOKUP(C506,Code!H:W,14,FALSE),3),"")</f>
        <v>4.7671232876712333</v>
      </c>
      <c r="Q506" s="174">
        <v>44547</v>
      </c>
      <c r="R506" s="175" t="str">
        <f t="shared" ca="1" si="60"/>
        <v/>
      </c>
      <c r="S506" s="176">
        <f>IFERROR(VLOOKUP($C506,Code!$H:$Q,5,FALSE),"")</f>
        <v>0.2145</v>
      </c>
      <c r="T506" s="177" t="str">
        <f t="shared" ca="1" si="61"/>
        <v/>
      </c>
      <c r="U506" s="178" t="str">
        <f t="shared" ca="1" si="62"/>
        <v/>
      </c>
      <c r="V506" s="179">
        <f>IFERROR(VLOOKUP($C506,Code!$H:$Q,6,FALSE),"")</f>
        <v>486.81</v>
      </c>
      <c r="W506" s="180" t="str">
        <f t="shared" ca="1" si="63"/>
        <v/>
      </c>
      <c r="X506" s="12"/>
      <c r="Y506" s="12"/>
      <c r="Z506" s="12"/>
      <c r="AA506" s="12"/>
      <c r="AB506" s="12"/>
    </row>
    <row r="507" spans="1:28" s="10" customFormat="1" ht="15" hidden="1">
      <c r="A507" s="9"/>
      <c r="B507" s="169" cm="1">
        <f t="array" ref="B507">_xlfn.IFS(OR(Code!R361&lt;&gt;Code!U361,Code!R361=""),0,Code!R361=Code!U361,1)</f>
        <v>0</v>
      </c>
      <c r="C507" s="193" t="str">
        <f>IF(Code!F361="","",Code!F361)</f>
        <v>PBCT</v>
      </c>
      <c r="D507" s="155" t="str">
        <f>IFERROR(VLOOKUP($C507,Code!$H:$K,2,FALSE),"")</f>
        <v>XLF</v>
      </c>
      <c r="E507" s="156" t="str">
        <f>IFERROR(VLOOKUP($C507,Code!$H:$K,3,FALSE),"")</f>
        <v>銀行-區域</v>
      </c>
      <c r="F507" s="157" t="str">
        <f>IFERROR(VLOOKUP($C507,Code!$H:$K,4,FALSE),"")</f>
        <v>.SPX</v>
      </c>
      <c r="G507" s="170">
        <f>IFERROR(((VLOOKUP($C507,Code!$H:$Q,9,FALSE))+(VLOOKUP($C507,Code!$H:$Q,10,FALSE)))/2*0.5/(((VLOOKUP($C507,Code!$H:$Q,7,FALSE))+(VLOOKUP($C507,Code!$H:$Q,8,FALSE)))/2),0)</f>
        <v>0.36690957905839489</v>
      </c>
      <c r="H507" s="171" t="str">
        <f t="shared" si="56"/>
        <v>S</v>
      </c>
      <c r="I507" s="170">
        <f>IFERROR((VLOOKUP($C507,Code!$H:$Q,5,FALSE))/(((VLOOKUP($C507,Code!$H:$Q,7,FALSE))+(VLOOKUP($C507,Code!$H:$Q,8,FALSE)))/2)-1,0)</f>
        <v>-0.46456994918017069</v>
      </c>
      <c r="J507" s="204">
        <f>IFERROR(POWER((VLOOKUP(C507,Code!H:W,12,FALSE))/(VLOOKUP(C507,Code!H:W,15,FALSE)),1/(P507-1))-1,"")</f>
        <v>5.22421930997512E-2</v>
      </c>
      <c r="K507" s="172" cm="1">
        <f t="array" ref="K507">IFERROR(IF(C507="","",_xlfn.IFS(AND(VLOOKUP(C507,Code!H:W,13,FALSE)=0,VLOOKUP(C507,Code!H:W,16,FALSE)=0),"無股息",AND(VLOOKUP(C507,Code!H:W,13,FALSE)=0,VLOOKUP(C507,Code!H:W,16,FALSE)&gt;0),"股息沒了",AND(VLOOKUP(C507,Code!H:W,13,FALSE)&gt;0,VLOOKUP(C507,Code!H:W,16,FALSE)=0),"發股息了",AND(VLOOKUP(C507,Code!H:W,13,FALSE)&gt;0,VLOOKUP(C507,Code!H:W,16,FALSE)&gt;0),POWER((VLOOKUP(C507,Code!H:W,13,FALSE))/(VLOOKUP(C507,Code!H:W,16,FALSE)),1/(P507-1))-1)),"")</f>
        <v>1.9826106215526718E-2</v>
      </c>
      <c r="L507" s="173">
        <f>IFERROR(VLOOKUP(C507,Code!H:W,13,FALSE)*4/VLOOKUP(C507,Code!H:W,12,FALSE),"")</f>
        <v>4.6124764037716703E-2</v>
      </c>
      <c r="M507" s="172">
        <f t="shared" si="57"/>
        <v>7.2068299315277917E-2</v>
      </c>
      <c r="N507" s="172" t="str">
        <f t="shared" si="58"/>
        <v>-</v>
      </c>
      <c r="O507" s="172" t="str">
        <f t="shared" si="59"/>
        <v>-</v>
      </c>
      <c r="P507" s="205">
        <f>IFERROR(YEARFRAC(VLOOKUP(C507,Code!H:W,11,FALSE),VLOOKUP(C507,Code!H:W,14,FALSE),3),"")</f>
        <v>4.7534246575342465</v>
      </c>
      <c r="Q507" s="174">
        <v>44547</v>
      </c>
      <c r="R507" s="175" t="str">
        <f t="shared" ca="1" si="60"/>
        <v/>
      </c>
      <c r="S507" s="176">
        <f>IFERROR(VLOOKUP($C507,Code!$H:$Q,5,FALSE),"")</f>
        <v>0.2792</v>
      </c>
      <c r="T507" s="177" t="str">
        <f t="shared" ca="1" si="61"/>
        <v/>
      </c>
      <c r="U507" s="178" t="str">
        <f t="shared" ca="1" si="62"/>
        <v/>
      </c>
      <c r="V507" s="179">
        <f>IFERROR(VLOOKUP($C507,Code!$H:$Q,6,FALSE),"")</f>
        <v>16.16</v>
      </c>
      <c r="W507" s="180" t="str">
        <f t="shared" ca="1" si="63"/>
        <v/>
      </c>
      <c r="X507" s="12"/>
      <c r="Y507" s="12"/>
      <c r="Z507" s="12"/>
      <c r="AA507" s="12"/>
      <c r="AB507" s="12"/>
    </row>
    <row r="508" spans="1:28" s="10" customFormat="1" ht="15" hidden="1">
      <c r="A508" s="9"/>
      <c r="B508" s="169" cm="1">
        <f t="array" ref="B508">_xlfn.IFS(OR(Code!R420&lt;&gt;Code!U420,Code!R420=""),0,Code!R420=Code!U420,1)</f>
        <v>0</v>
      </c>
      <c r="C508" s="193" t="str">
        <f>IF(Code!F420="","",Code!F420)</f>
        <v>SPG</v>
      </c>
      <c r="D508" s="155" t="str">
        <f>IFERROR(VLOOKUP($C508,Code!$H:$K,2,FALSE),"")</f>
        <v>XLRE</v>
      </c>
      <c r="E508" s="156" t="str">
        <f>IFERROR(VLOOKUP($C508,Code!$H:$K,3,FALSE),"")</f>
        <v>-</v>
      </c>
      <c r="F508" s="157" t="str">
        <f>IFERROR(VLOOKUP($C508,Code!$H:$K,4,FALSE),"")</f>
        <v>.SPX</v>
      </c>
      <c r="G508" s="170">
        <f>IFERROR(((VLOOKUP($C508,Code!$H:$Q,9,FALSE))+(VLOOKUP($C508,Code!$H:$Q,10,FALSE)))/2*0.5/(((VLOOKUP($C508,Code!$H:$Q,7,FALSE))+(VLOOKUP($C508,Code!$H:$Q,8,FALSE)))/2),0)</f>
        <v>0.43886931866998891</v>
      </c>
      <c r="H508" s="171" t="str">
        <f t="shared" si="56"/>
        <v>S</v>
      </c>
      <c r="I508" s="170">
        <f>IFERROR((VLOOKUP($C508,Code!$H:$Q,5,FALSE))/(((VLOOKUP($C508,Code!$H:$Q,7,FALSE))+(VLOOKUP($C508,Code!$H:$Q,8,FALSE)))/2)-1,0)</f>
        <v>-0.46507431909957897</v>
      </c>
      <c r="J508" s="204">
        <f>IFERROR(POWER((VLOOKUP(C508,Code!H:W,12,FALSE))/(VLOOKUP(C508,Code!H:W,15,FALSE)),1/(P508-1))-1,"")</f>
        <v>-6.1265570929833091E-2</v>
      </c>
      <c r="K508" s="172" cm="1">
        <f t="array" ref="K508">IFERROR(IF(C508="","",_xlfn.IFS(AND(VLOOKUP(C508,Code!H:W,13,FALSE)=0,VLOOKUP(C508,Code!H:W,16,FALSE)=0),"無股息",AND(VLOOKUP(C508,Code!H:W,13,FALSE)=0,VLOOKUP(C508,Code!H:W,16,FALSE)&gt;0),"股息沒了",AND(VLOOKUP(C508,Code!H:W,13,FALSE)&gt;0,VLOOKUP(C508,Code!H:W,16,FALSE)=0),"發股息了",AND(VLOOKUP(C508,Code!H:W,13,FALSE)&gt;0,VLOOKUP(C508,Code!H:W,16,FALSE)&gt;0),POWER((VLOOKUP(C508,Code!H:W,13,FALSE))/(VLOOKUP(C508,Code!H:W,16,FALSE)),1/(P508-1))-1)),"")</f>
        <v>-4.1467805205876007E-2</v>
      </c>
      <c r="L508" s="173">
        <f>IFERROR(VLOOKUP(C508,Code!H:W,13,FALSE)*4/VLOOKUP(C508,Code!H:W,12,FALSE),"")</f>
        <v>4.2572603662968236E-2</v>
      </c>
      <c r="M508" s="172">
        <f t="shared" si="57"/>
        <v>-0.1027333761357091</v>
      </c>
      <c r="N508" s="172" t="str">
        <f t="shared" si="58"/>
        <v>-</v>
      </c>
      <c r="O508" s="172" t="str">
        <f t="shared" si="59"/>
        <v>-</v>
      </c>
      <c r="P508" s="205">
        <f>IFERROR(YEARFRAC(VLOOKUP(C508,Code!H:W,11,FALSE),VLOOKUP(C508,Code!H:W,14,FALSE),3),"")</f>
        <v>4.8794520547945206</v>
      </c>
      <c r="Q508" s="174">
        <v>44547</v>
      </c>
      <c r="R508" s="175" t="str">
        <f t="shared" ca="1" si="60"/>
        <v/>
      </c>
      <c r="S508" s="176">
        <f>IFERROR(VLOOKUP($C508,Code!$H:$Q,5,FALSE),"")</f>
        <v>0.31130000000000002</v>
      </c>
      <c r="T508" s="177" t="str">
        <f t="shared" ca="1" si="61"/>
        <v/>
      </c>
      <c r="U508" s="178" t="str">
        <f t="shared" ca="1" si="62"/>
        <v/>
      </c>
      <c r="V508" s="179">
        <f>IFERROR(VLOOKUP($C508,Code!$H:$Q,6,FALSE),"")</f>
        <v>135.06</v>
      </c>
      <c r="W508" s="180" t="str">
        <f t="shared" ca="1" si="63"/>
        <v/>
      </c>
      <c r="X508" s="12"/>
      <c r="Y508" s="12"/>
      <c r="Z508" s="12"/>
      <c r="AA508" s="12"/>
      <c r="AB508" s="12"/>
    </row>
    <row r="509" spans="1:28" s="10" customFormat="1" ht="15" hidden="1">
      <c r="A509" s="9"/>
      <c r="B509" s="169" cm="1">
        <f t="array" ref="B509">_xlfn.IFS(OR(Code!R323&lt;&gt;Code!U323,Code!R323=""),0,Code!R323=Code!U323,1)</f>
        <v>0</v>
      </c>
      <c r="C509" s="193" t="str">
        <f>IF(Code!F323="","",Code!F323)</f>
        <v>MTB</v>
      </c>
      <c r="D509" s="155" t="str">
        <f>IFERROR(VLOOKUP($C509,Code!$H:$K,2,FALSE),"")</f>
        <v>XLF</v>
      </c>
      <c r="E509" s="156" t="str">
        <f>IFERROR(VLOOKUP($C509,Code!$H:$K,3,FALSE),"")</f>
        <v>銀行-區域</v>
      </c>
      <c r="F509" s="157" t="str">
        <f>IFERROR(VLOOKUP($C509,Code!$H:$K,4,FALSE),"")</f>
        <v>.SPX</v>
      </c>
      <c r="G509" s="170">
        <f>IFERROR(((VLOOKUP($C509,Code!$H:$Q,9,FALSE))+(VLOOKUP($C509,Code!$H:$Q,10,FALSE)))/2*0.5/(((VLOOKUP($C509,Code!$H:$Q,7,FALSE))+(VLOOKUP($C509,Code!$H:$Q,8,FALSE)))/2),0)</f>
        <v>0.34944639481501483</v>
      </c>
      <c r="H509" s="171" t="str">
        <f t="shared" si="56"/>
        <v>S</v>
      </c>
      <c r="I509" s="170">
        <f>IFERROR((VLOOKUP($C509,Code!$H:$Q,5,FALSE))/(((VLOOKUP($C509,Code!$H:$Q,7,FALSE))+(VLOOKUP($C509,Code!$H:$Q,8,FALSE)))/2)-1,0)</f>
        <v>-0.46709874876226487</v>
      </c>
      <c r="J509" s="204">
        <f>IFERROR(POWER((VLOOKUP(C509,Code!H:W,12,FALSE))/(VLOOKUP(C509,Code!H:W,15,FALSE)),1/(P509-1))-1,"")</f>
        <v>0.12153355617924055</v>
      </c>
      <c r="K509" s="172" cm="1">
        <f t="array" ref="K509">IFERROR(IF(C509="","",_xlfn.IFS(AND(VLOOKUP(C509,Code!H:W,13,FALSE)=0,VLOOKUP(C509,Code!H:W,16,FALSE)=0),"無股息",AND(VLOOKUP(C509,Code!H:W,13,FALSE)=0,VLOOKUP(C509,Code!H:W,16,FALSE)&gt;0),"股息沒了",AND(VLOOKUP(C509,Code!H:W,13,FALSE)&gt;0,VLOOKUP(C509,Code!H:W,16,FALSE)=0),"發股息了",AND(VLOOKUP(C509,Code!H:W,13,FALSE)&gt;0,VLOOKUP(C509,Code!H:W,16,FALSE)&gt;0),POWER((VLOOKUP(C509,Code!H:W,13,FALSE))/(VLOOKUP(C509,Code!H:W,16,FALSE)),1/(P509-1))-1)),"")</f>
        <v>0.12826794536105379</v>
      </c>
      <c r="L509" s="173">
        <f>IFERROR(VLOOKUP(C509,Code!H:W,13,FALSE)*4/VLOOKUP(C509,Code!H:W,12,FALSE),"")</f>
        <v>2.7381915073431008E-2</v>
      </c>
      <c r="M509" s="172">
        <f t="shared" si="57"/>
        <v>0.24980150154029435</v>
      </c>
      <c r="N509" s="172" t="str">
        <f t="shared" si="58"/>
        <v>-</v>
      </c>
      <c r="O509" s="172" t="str">
        <f t="shared" si="59"/>
        <v>Value</v>
      </c>
      <c r="P509" s="205">
        <f>IFERROR(YEARFRAC(VLOOKUP(C509,Code!H:W,11,FALSE),VLOOKUP(C509,Code!H:W,14,FALSE),3),"")</f>
        <v>4.7452054794520544</v>
      </c>
      <c r="Q509" s="174">
        <v>44547</v>
      </c>
      <c r="R509" s="175" t="str">
        <f t="shared" ca="1" si="60"/>
        <v/>
      </c>
      <c r="S509" s="176">
        <f>IFERROR(VLOOKUP($C509,Code!$H:$Q,5,FALSE),"")</f>
        <v>0.29599999999999999</v>
      </c>
      <c r="T509" s="177" t="str">
        <f t="shared" ca="1" si="61"/>
        <v/>
      </c>
      <c r="U509" s="178" t="str">
        <f t="shared" ca="1" si="62"/>
        <v/>
      </c>
      <c r="V509" s="179">
        <f>IFERROR(VLOOKUP($C509,Code!$H:$Q,6,FALSE),"")</f>
        <v>137.37</v>
      </c>
      <c r="W509" s="180" t="str">
        <f t="shared" ca="1" si="63"/>
        <v/>
      </c>
      <c r="X509" s="12"/>
      <c r="Y509" s="12"/>
      <c r="Z509" s="12"/>
      <c r="AA509" s="12"/>
      <c r="AB509" s="12"/>
    </row>
    <row r="510" spans="1:28" s="10" customFormat="1" ht="15">
      <c r="A510" s="9"/>
      <c r="B510" s="169" cm="1">
        <f t="array" ref="B510">_xlfn.IFS(OR(Code!R229&lt;&gt;Code!U229,Code!R229=""),0,Code!R229=Code!U229,1)</f>
        <v>0</v>
      </c>
      <c r="C510" s="193" t="str">
        <f>IF(Code!F229="","",Code!F229)</f>
        <v>HST</v>
      </c>
      <c r="D510" s="155" t="str">
        <f>IFERROR(VLOOKUP($C510,Code!$H:$K,2,FALSE),"")</f>
        <v>XLRE</v>
      </c>
      <c r="E510" s="156" t="str">
        <f>IFERROR(VLOOKUP($C510,Code!$H:$K,3,FALSE),"")</f>
        <v>REIT-酒店及汽車旅館</v>
      </c>
      <c r="F510" s="157" t="str">
        <f>IFERROR(VLOOKUP($C510,Code!$H:$K,4,FALSE),"")</f>
        <v>.SPX</v>
      </c>
      <c r="G510" s="170">
        <f>IFERROR(((VLOOKUP($C510,Code!$H:$Q,9,FALSE))+(VLOOKUP($C510,Code!$H:$Q,10,FALSE)))/2*0.5/(((VLOOKUP($C510,Code!$H:$Q,7,FALSE))+(VLOOKUP($C510,Code!$H:$Q,8,FALSE)))/2),0)</f>
        <v>0.35852447791852116</v>
      </c>
      <c r="H510" s="171" t="str">
        <f t="shared" si="56"/>
        <v>S</v>
      </c>
      <c r="I510" s="170">
        <f>IFERROR((VLOOKUP($C510,Code!$H:$Q,5,FALSE))/(((VLOOKUP($C510,Code!$H:$Q,7,FALSE))+(VLOOKUP($C510,Code!$H:$Q,8,FALSE)))/2)-1,0)</f>
        <v>-0.467134542964738</v>
      </c>
      <c r="J510" s="204">
        <f>IFERROR(POWER((VLOOKUP(C510,Code!H:W,12,FALSE))/(VLOOKUP(C510,Code!H:W,15,FALSE)),1/(P510-1))-1,"")</f>
        <v>-5.5694970418194489E-2</v>
      </c>
      <c r="K510" s="172" cm="1">
        <f t="array" ref="K510">IFERROR(IF(C510="","",_xlfn.IFS(AND(VLOOKUP(C510,Code!H:W,13,FALSE)=0,VLOOKUP(C510,Code!H:W,16,FALSE)=0),"無股息",AND(VLOOKUP(C510,Code!H:W,13,FALSE)=0,VLOOKUP(C510,Code!H:W,16,FALSE)&gt;0),"股息沒了",AND(VLOOKUP(C510,Code!H:W,13,FALSE)&gt;0,VLOOKUP(C510,Code!H:W,16,FALSE)=0),"發股息了",AND(VLOOKUP(C510,Code!H:W,13,FALSE)&gt;0,VLOOKUP(C510,Code!H:W,16,FALSE)&gt;0),POWER((VLOOKUP(C510,Code!H:W,13,FALSE))/(VLOOKUP(C510,Code!H:W,16,FALSE)),1/(P510-1))-1)),"")</f>
        <v>0</v>
      </c>
      <c r="L510" s="173">
        <f>IFERROR(VLOOKUP(C510,Code!H:W,13,FALSE)*4/VLOOKUP(C510,Code!H:W,12,FALSE),"")</f>
        <v>7.0052538936551556E-2</v>
      </c>
      <c r="M510" s="172">
        <f t="shared" si="57"/>
        <v>-5.5694970418194489E-2</v>
      </c>
      <c r="N510" s="172" t="str">
        <f t="shared" si="58"/>
        <v>-</v>
      </c>
      <c r="O510" s="172" t="str">
        <f t="shared" si="59"/>
        <v>-</v>
      </c>
      <c r="P510" s="205">
        <f>IFERROR(YEARFRAC(VLOOKUP(C510,Code!H:W,11,FALSE),VLOOKUP(C510,Code!H:W,14,FALSE),3),"")</f>
        <v>3.504109589041096</v>
      </c>
      <c r="Q510" s="174">
        <v>44547</v>
      </c>
      <c r="R510" s="175" t="str">
        <f t="shared" ca="1" si="60"/>
        <v/>
      </c>
      <c r="S510" s="176">
        <f>IFERROR(VLOOKUP($C510,Code!$H:$Q,5,FALSE),"")</f>
        <v>0.31130000000000002</v>
      </c>
      <c r="T510" s="177" t="str">
        <f t="shared" ca="1" si="61"/>
        <v/>
      </c>
      <c r="U510" s="178" t="str">
        <f t="shared" ca="1" si="62"/>
        <v/>
      </c>
      <c r="V510" s="179">
        <f>IFERROR(VLOOKUP($C510,Code!$H:$Q,6,FALSE),"")</f>
        <v>16.010000000000002</v>
      </c>
      <c r="W510" s="180" t="str">
        <f t="shared" ca="1" si="63"/>
        <v/>
      </c>
      <c r="X510" s="12"/>
      <c r="Y510" s="12"/>
      <c r="Z510" s="12"/>
      <c r="AA510" s="12"/>
      <c r="AB510" s="12"/>
    </row>
    <row r="511" spans="1:28" s="10" customFormat="1" ht="15" hidden="1">
      <c r="A511" s="9"/>
      <c r="B511" s="169" cm="1">
        <f t="array" ref="B511">_xlfn.IFS(OR(Code!R399&lt;&gt;Code!U399,Code!R399=""),0,Code!R399=Code!U399,1)</f>
        <v>0</v>
      </c>
      <c r="C511" s="193" t="str">
        <f>IF(Code!F399="","",Code!F399)</f>
        <v>RHI</v>
      </c>
      <c r="D511" s="155" t="str">
        <f>IFERROR(VLOOKUP($C511,Code!$H:$K,2,FALSE),"")</f>
        <v>XLI</v>
      </c>
      <c r="E511" s="156" t="str">
        <f>IFERROR(VLOOKUP($C511,Code!$H:$K,3,FALSE),"")</f>
        <v>人員配置和就業服務</v>
      </c>
      <c r="F511" s="157" t="str">
        <f>IFERROR(VLOOKUP($C511,Code!$H:$K,4,FALSE),"")</f>
        <v>.SPX</v>
      </c>
      <c r="G511" s="170">
        <f>IFERROR(((VLOOKUP($C511,Code!$H:$Q,9,FALSE))+(VLOOKUP($C511,Code!$H:$Q,10,FALSE)))/2*0.5/(((VLOOKUP($C511,Code!$H:$Q,7,FALSE))+(VLOOKUP($C511,Code!$H:$Q,8,FALSE)))/2),0)</f>
        <v>0.41072046109510085</v>
      </c>
      <c r="H511" s="171" t="str">
        <f t="shared" si="56"/>
        <v>S</v>
      </c>
      <c r="I511" s="170">
        <f>IFERROR((VLOOKUP($C511,Code!$H:$Q,5,FALSE))/(((VLOOKUP($C511,Code!$H:$Q,7,FALSE))+(VLOOKUP($C511,Code!$H:$Q,8,FALSE)))/2)-1,0)</f>
        <v>-0.47988472622478395</v>
      </c>
      <c r="J511" s="204">
        <f>IFERROR(POWER((VLOOKUP(C511,Code!H:W,12,FALSE))/(VLOOKUP(C511,Code!H:W,15,FALSE)),1/(P511-1))-1,"")</f>
        <v>0.28087001096730613</v>
      </c>
      <c r="K511" s="172" cm="1">
        <f t="array" ref="K511">IFERROR(IF(C511="","",_xlfn.IFS(AND(VLOOKUP(C511,Code!H:W,13,FALSE)=0,VLOOKUP(C511,Code!H:W,16,FALSE)=0),"無股息",AND(VLOOKUP(C511,Code!H:W,13,FALSE)=0,VLOOKUP(C511,Code!H:W,16,FALSE)&gt;0),"股息沒了",AND(VLOOKUP(C511,Code!H:W,13,FALSE)&gt;0,VLOOKUP(C511,Code!H:W,16,FALSE)=0),"發股息了",AND(VLOOKUP(C511,Code!H:W,13,FALSE)&gt;0,VLOOKUP(C511,Code!H:W,16,FALSE)&gt;0),POWER((VLOOKUP(C511,Code!H:W,13,FALSE))/(VLOOKUP(C511,Code!H:W,16,FALSE)),1/(P511-1))-1)),"")</f>
        <v>0.15674729385116137</v>
      </c>
      <c r="L511" s="173">
        <f>IFERROR(VLOOKUP(C511,Code!H:W,13,FALSE)*4/VLOOKUP(C511,Code!H:W,12,FALSE),"")</f>
        <v>1.7268803203479045E-2</v>
      </c>
      <c r="M511" s="172">
        <f t="shared" si="57"/>
        <v>0.4376173048184675</v>
      </c>
      <c r="N511" s="172" t="str">
        <f t="shared" si="58"/>
        <v>-</v>
      </c>
      <c r="O511" s="172" t="str">
        <f t="shared" si="59"/>
        <v>Value</v>
      </c>
      <c r="P511" s="205">
        <f>IFERROR(YEARFRAC(VLOOKUP(C511,Code!H:W,11,FALSE),VLOOKUP(C511,Code!H:W,14,FALSE),3),"")</f>
        <v>4.7534246575342465</v>
      </c>
      <c r="Q511" s="174">
        <v>44547</v>
      </c>
      <c r="R511" s="175" t="str">
        <f t="shared" ca="1" si="60"/>
        <v/>
      </c>
      <c r="S511" s="176">
        <f>IFERROR(VLOOKUP($C511,Code!$H:$Q,5,FALSE),"")</f>
        <v>0.22559999999999999</v>
      </c>
      <c r="T511" s="177" t="str">
        <f t="shared" ca="1" si="61"/>
        <v/>
      </c>
      <c r="U511" s="178" t="str">
        <f t="shared" ca="1" si="62"/>
        <v/>
      </c>
      <c r="V511" s="179">
        <f>IFERROR(VLOOKUP($C511,Code!$H:$Q,6,FALSE),"")</f>
        <v>99.03</v>
      </c>
      <c r="W511" s="180" t="str">
        <f t="shared" ca="1" si="63"/>
        <v/>
      </c>
      <c r="X511" s="12"/>
      <c r="Y511" s="12"/>
      <c r="Z511" s="12"/>
      <c r="AA511" s="12"/>
      <c r="AB511" s="12"/>
    </row>
    <row r="512" spans="1:28" s="10" customFormat="1" ht="15" hidden="1">
      <c r="A512" s="9"/>
      <c r="B512" s="169" cm="1">
        <f t="array" ref="B512">_xlfn.IFS(OR(Code!R264&lt;&gt;Code!U264,Code!R264=""),0,Code!R264=Code!U264,1)</f>
        <v>0</v>
      </c>
      <c r="C512" s="193" t="str">
        <f>IF(Code!F264="","",Code!F264)</f>
        <v>KIM</v>
      </c>
      <c r="D512" s="155" t="str">
        <f>IFERROR(VLOOKUP($C512,Code!$H:$K,2,FALSE),"")</f>
        <v>XLRE</v>
      </c>
      <c r="E512" s="156" t="str">
        <f>IFERROR(VLOOKUP($C512,Code!$H:$K,3,FALSE),"")</f>
        <v>-</v>
      </c>
      <c r="F512" s="157" t="str">
        <f>IFERROR(VLOOKUP($C512,Code!$H:$K,4,FALSE),"")</f>
        <v>.SPX</v>
      </c>
      <c r="G512" s="170">
        <f>IFERROR(((VLOOKUP($C512,Code!$H:$Q,9,FALSE))+(VLOOKUP($C512,Code!$H:$Q,10,FALSE)))/2*0.5/(((VLOOKUP($C512,Code!$H:$Q,7,FALSE))+(VLOOKUP($C512,Code!$H:$Q,8,FALSE)))/2),0)</f>
        <v>0.34694484575507778</v>
      </c>
      <c r="H512" s="171" t="str">
        <f t="shared" si="56"/>
        <v>S</v>
      </c>
      <c r="I512" s="170">
        <f>IFERROR((VLOOKUP($C512,Code!$H:$Q,5,FALSE))/(((VLOOKUP($C512,Code!$H:$Q,7,FALSE))+(VLOOKUP($C512,Code!$H:$Q,8,FALSE)))/2)-1,0)</f>
        <v>-0.48466049120421506</v>
      </c>
      <c r="J512" s="204">
        <f>IFERROR(POWER((VLOOKUP(C512,Code!H:W,12,FALSE))/(VLOOKUP(C512,Code!H:W,15,FALSE)),1/(P512-1))-1,"")</f>
        <v>6.6084203474192638E-3</v>
      </c>
      <c r="K512" s="172" cm="1">
        <f t="array" ref="K512">IFERROR(IF(C512="","",_xlfn.IFS(AND(VLOOKUP(C512,Code!H:W,13,FALSE)=0,VLOOKUP(C512,Code!H:W,16,FALSE)=0),"無股息",AND(VLOOKUP(C512,Code!H:W,13,FALSE)=0,VLOOKUP(C512,Code!H:W,16,FALSE)&gt;0),"股息沒了",AND(VLOOKUP(C512,Code!H:W,13,FALSE)&gt;0,VLOOKUP(C512,Code!H:W,16,FALSE)=0),"發股息了",AND(VLOOKUP(C512,Code!H:W,13,FALSE)&gt;0,VLOOKUP(C512,Code!H:W,16,FALSE)&gt;0),POWER((VLOOKUP(C512,Code!H:W,13,FALSE))/(VLOOKUP(C512,Code!H:W,16,FALSE)),1/(P512-1))-1)),"")</f>
        <v>-0.10426901597096028</v>
      </c>
      <c r="L512" s="173">
        <f>IFERROR(VLOOKUP(C512,Code!H:W,13,FALSE)*4/VLOOKUP(C512,Code!H:W,12,FALSE),"")</f>
        <v>3.0685920788912469E-2</v>
      </c>
      <c r="M512" s="172">
        <f t="shared" si="57"/>
        <v>-9.7660595623541013E-2</v>
      </c>
      <c r="N512" s="172" t="str">
        <f t="shared" si="58"/>
        <v>-</v>
      </c>
      <c r="O512" s="172" t="str">
        <f t="shared" si="59"/>
        <v>-</v>
      </c>
      <c r="P512" s="205">
        <f>IFERROR(YEARFRAC(VLOOKUP(C512,Code!H:W,11,FALSE),VLOOKUP(C512,Code!H:W,14,FALSE),3),"")</f>
        <v>4.6821917808219178</v>
      </c>
      <c r="Q512" s="174">
        <v>44547</v>
      </c>
      <c r="R512" s="175" t="str">
        <f t="shared" ca="1" si="60"/>
        <v/>
      </c>
      <c r="S512" s="176">
        <f>IFERROR(VLOOKUP($C512,Code!$H:$Q,5,FALSE),"")</f>
        <v>0.30320000000000003</v>
      </c>
      <c r="T512" s="177" t="str">
        <f t="shared" ca="1" si="61"/>
        <v/>
      </c>
      <c r="U512" s="178" t="str">
        <f t="shared" ca="1" si="62"/>
        <v/>
      </c>
      <c r="V512" s="179">
        <f>IFERROR(VLOOKUP($C512,Code!$H:$Q,6,FALSE),"")</f>
        <v>21.89</v>
      </c>
      <c r="W512" s="180" t="str">
        <f t="shared" ca="1" si="63"/>
        <v/>
      </c>
      <c r="X512" s="12"/>
      <c r="Y512" s="12"/>
      <c r="Z512" s="12"/>
      <c r="AA512" s="12"/>
      <c r="AB512" s="12"/>
    </row>
    <row r="513" spans="1:28" s="10" customFormat="1" ht="15" hidden="1">
      <c r="A513" s="9"/>
      <c r="B513" s="169" cm="1">
        <f t="array" ref="B513">_xlfn.IFS(OR(Code!R64&lt;&gt;Code!U64,Code!R64=""),0,Code!R64=Code!U64,1)</f>
        <v>1</v>
      </c>
      <c r="C513" s="193" t="str">
        <f>IF(Code!F64="","",Code!F64)</f>
        <v>BIIB</v>
      </c>
      <c r="D513" s="155" t="str">
        <f>IFERROR(VLOOKUP($C513,Code!$H:$K,2,FALSE),"")</f>
        <v>XLV</v>
      </c>
      <c r="E513" s="156" t="str">
        <f>IFERROR(VLOOKUP($C513,Code!$H:$K,3,FALSE),"")</f>
        <v>藥品製造商— 常規</v>
      </c>
      <c r="F513" s="157" t="str">
        <f>IFERROR(VLOOKUP($C513,Code!$H:$K,4,FALSE),"")</f>
        <v>.SPX</v>
      </c>
      <c r="G513" s="170">
        <f>IFERROR(((VLOOKUP($C513,Code!$H:$Q,9,FALSE))+(VLOOKUP($C513,Code!$H:$Q,10,FALSE)))/2*0.5/(((VLOOKUP($C513,Code!$H:$Q,7,FALSE))+(VLOOKUP($C513,Code!$H:$Q,8,FALSE)))/2),0)</f>
        <v>0.50205539456836712</v>
      </c>
      <c r="H513" s="171" t="str">
        <f t="shared" si="56"/>
        <v>M</v>
      </c>
      <c r="I513" s="170">
        <f>IFERROR((VLOOKUP($C513,Code!$H:$Q,5,FALSE))/(((VLOOKUP($C513,Code!$H:$Q,7,FALSE))+(VLOOKUP($C513,Code!$H:$Q,8,FALSE)))/2)-1,0)</f>
        <v>-0.50684008356358246</v>
      </c>
      <c r="J513" s="204" t="str">
        <f>IFERROR(POWER((VLOOKUP(C513,Code!H:W,12,FALSE))/(VLOOKUP(C513,Code!H:W,15,FALSE)),1/(P513-1))-1,"")</f>
        <v/>
      </c>
      <c r="K513" s="172" t="str" cm="1">
        <f t="array" ref="K513">IFERROR(IF(C513="","",_xlfn.IFS(AND(VLOOKUP(C513,Code!H:W,13,FALSE)=0,VLOOKUP(C513,Code!H:W,16,FALSE)=0),"無股息",AND(VLOOKUP(C513,Code!H:W,13,FALSE)=0,VLOOKUP(C513,Code!H:W,16,FALSE)&gt;0),"股息沒了",AND(VLOOKUP(C513,Code!H:W,13,FALSE)&gt;0,VLOOKUP(C513,Code!H:W,16,FALSE)=0),"發股息了",AND(VLOOKUP(C513,Code!H:W,13,FALSE)&gt;0,VLOOKUP(C513,Code!H:W,16,FALSE)&gt;0),POWER((VLOOKUP(C513,Code!H:W,13,FALSE))/(VLOOKUP(C513,Code!H:W,16,FALSE)),1/(P513-1))-1)),"")</f>
        <v>無股息</v>
      </c>
      <c r="L513" s="173" t="str">
        <f>IFERROR(VLOOKUP(C513,Code!H:W,13,FALSE)*4/VLOOKUP(C513,Code!H:W,12,FALSE),"")</f>
        <v/>
      </c>
      <c r="M513" s="172" t="str">
        <f t="shared" si="57"/>
        <v/>
      </c>
      <c r="N513" s="172" t="str">
        <f t="shared" si="58"/>
        <v/>
      </c>
      <c r="O513" s="172" t="str">
        <f t="shared" si="59"/>
        <v/>
      </c>
      <c r="P513" s="205">
        <f>IFERROR(YEARFRAC(VLOOKUP(C513,Code!H:W,11,FALSE),VLOOKUP(C513,Code!H:W,14,FALSE),3),"")</f>
        <v>0</v>
      </c>
      <c r="Q513" s="174">
        <v>44547</v>
      </c>
      <c r="R513" s="175" t="str">
        <f t="shared" ca="1" si="60"/>
        <v/>
      </c>
      <c r="S513" s="176">
        <f>IFERROR(VLOOKUP($C513,Code!$H:$Q,5,FALSE),"")</f>
        <v>0.3659</v>
      </c>
      <c r="T513" s="177" t="str">
        <f t="shared" ca="1" si="61"/>
        <v/>
      </c>
      <c r="U513" s="178" t="str">
        <f t="shared" ca="1" si="62"/>
        <v/>
      </c>
      <c r="V513" s="179">
        <f>IFERROR(VLOOKUP($C513,Code!$H:$Q,6,FALSE),"")</f>
        <v>336.59</v>
      </c>
      <c r="W513" s="180" t="str">
        <f t="shared" ca="1" si="63"/>
        <v/>
      </c>
      <c r="X513" s="12"/>
      <c r="Y513" s="12"/>
      <c r="Z513" s="12"/>
      <c r="AA513" s="12"/>
      <c r="AB513" s="12"/>
    </row>
    <row r="514" spans="1:28" s="10" customFormat="1" ht="15" hidden="1">
      <c r="A514" s="9"/>
      <c r="B514" s="169" cm="1">
        <f t="array" ref="B514">_xlfn.IFS(OR(Code!R287&lt;&gt;Code!U287,Code!R287=""),0,Code!R287=Code!U287,1)</f>
        <v>0</v>
      </c>
      <c r="C514" s="193" t="str">
        <f>IF(Code!F287="","",Code!F287)</f>
        <v>LUMN</v>
      </c>
      <c r="D514" s="155" t="str">
        <f>IFERROR(VLOOKUP($C514,Code!$H:$K,2,FALSE),"")</f>
        <v>XLC</v>
      </c>
      <c r="E514" s="156" t="str">
        <f>IFERROR(VLOOKUP($C514,Code!$H:$K,3,FALSE),"")</f>
        <v>電信業務</v>
      </c>
      <c r="F514" s="157" t="str">
        <f>IFERROR(VLOOKUP($C514,Code!$H:$K,4,FALSE),"")</f>
        <v>.SPX</v>
      </c>
      <c r="G514" s="170">
        <f>IFERROR(((VLOOKUP($C514,Code!$H:$Q,9,FALSE))+(VLOOKUP($C514,Code!$H:$Q,10,FALSE)))/2*0.5/(((VLOOKUP($C514,Code!$H:$Q,7,FALSE))+(VLOOKUP($C514,Code!$H:$Q,8,FALSE)))/2),0)</f>
        <v>0.46546219706864017</v>
      </c>
      <c r="H514" s="171" t="str">
        <f t="shared" si="56"/>
        <v>S</v>
      </c>
      <c r="I514" s="170">
        <f>IFERROR((VLOOKUP($C514,Code!$H:$Q,5,FALSE))/(((VLOOKUP($C514,Code!$H:$Q,7,FALSE))+(VLOOKUP($C514,Code!$H:$Q,8,FALSE)))/2)-1,0)</f>
        <v>-0.51110143665650853</v>
      </c>
      <c r="J514" s="204">
        <f>IFERROR(POWER((VLOOKUP(C514,Code!H:W,12,FALSE))/(VLOOKUP(C514,Code!H:W,15,FALSE)),1/(P514-1))-1,"")</f>
        <v>-6.2013278585607567E-2</v>
      </c>
      <c r="K514" s="172" cm="1">
        <f t="array" ref="K514">IFERROR(IF(C514="","",_xlfn.IFS(AND(VLOOKUP(C514,Code!H:W,13,FALSE)=0,VLOOKUP(C514,Code!H:W,16,FALSE)=0),"無股息",AND(VLOOKUP(C514,Code!H:W,13,FALSE)=0,VLOOKUP(C514,Code!H:W,16,FALSE)&gt;0),"股息沒了",AND(VLOOKUP(C514,Code!H:W,13,FALSE)&gt;0,VLOOKUP(C514,Code!H:W,16,FALSE)=0),"發股息了",AND(VLOOKUP(C514,Code!H:W,13,FALSE)&gt;0,VLOOKUP(C514,Code!H:W,16,FALSE)&gt;0),POWER((VLOOKUP(C514,Code!H:W,13,FALSE))/(VLOOKUP(C514,Code!H:W,16,FALSE)),1/(P514-1))-1)),"")</f>
        <v>-0.18598429774620584</v>
      </c>
      <c r="L514" s="173">
        <f>IFERROR(VLOOKUP(C514,Code!H:W,13,FALSE)*4/VLOOKUP(C514,Code!H:W,12,FALSE),"")</f>
        <v>7.2254334463502171E-2</v>
      </c>
      <c r="M514" s="172">
        <f t="shared" si="57"/>
        <v>-0.24799757633181341</v>
      </c>
      <c r="N514" s="172" t="str">
        <f t="shared" si="58"/>
        <v>-</v>
      </c>
      <c r="O514" s="172" t="str">
        <f t="shared" si="59"/>
        <v>-</v>
      </c>
      <c r="P514" s="205">
        <f>IFERROR(YEARFRAC(VLOOKUP(C514,Code!H:W,11,FALSE),VLOOKUP(C514,Code!H:W,14,FALSE),3),"")</f>
        <v>4.7424657534246579</v>
      </c>
      <c r="Q514" s="174">
        <v>44547</v>
      </c>
      <c r="R514" s="175" t="str">
        <f t="shared" ca="1" si="60"/>
        <v/>
      </c>
      <c r="S514" s="176">
        <f>IFERROR(VLOOKUP($C514,Code!$H:$Q,5,FALSE),"")</f>
        <v>0.33689999999999998</v>
      </c>
      <c r="T514" s="177" t="str">
        <f t="shared" ca="1" si="61"/>
        <v/>
      </c>
      <c r="U514" s="178" t="str">
        <f t="shared" ca="1" si="62"/>
        <v/>
      </c>
      <c r="V514" s="179">
        <f>IFERROR(VLOOKUP($C514,Code!$H:$Q,6,FALSE),"")</f>
        <v>11.78</v>
      </c>
      <c r="W514" s="180" t="str">
        <f t="shared" ca="1" si="63"/>
        <v/>
      </c>
      <c r="X514" s="12"/>
      <c r="Y514" s="12"/>
      <c r="Z514" s="12"/>
      <c r="AA514" s="12"/>
      <c r="AB514" s="12"/>
    </row>
    <row r="515" spans="1:28" s="10" customFormat="1" ht="15" hidden="1">
      <c r="A515" s="9"/>
      <c r="B515" s="169" cm="1">
        <f t="array" ref="B515">_xlfn.IFS(OR(Code!R396&lt;&gt;Code!U396,Code!R396=""),0,Code!R396=Code!U396,1)</f>
        <v>0</v>
      </c>
      <c r="C515" s="193" t="str">
        <f>IF(Code!F396="","",Code!F396)</f>
        <v>REG</v>
      </c>
      <c r="D515" s="155" t="str">
        <f>IFERROR(VLOOKUP($C515,Code!$H:$K,2,FALSE),"")</f>
        <v>XLRE</v>
      </c>
      <c r="E515" s="156" t="str">
        <f>IFERROR(VLOOKUP($C515,Code!$H:$K,3,FALSE),"")</f>
        <v>-</v>
      </c>
      <c r="F515" s="157" t="str">
        <f>IFERROR(VLOOKUP($C515,Code!$H:$K,4,FALSE),"")</f>
        <v>.SPX</v>
      </c>
      <c r="G515" s="170">
        <f>IFERROR(((VLOOKUP($C515,Code!$H:$Q,9,FALSE))+(VLOOKUP($C515,Code!$H:$Q,10,FALSE)))/2*0.5/(((VLOOKUP($C515,Code!$H:$Q,7,FALSE))+(VLOOKUP($C515,Code!$H:$Q,8,FALSE)))/2),0)</f>
        <v>0.35340627404051628</v>
      </c>
      <c r="H515" s="171" t="str">
        <f t="shared" si="56"/>
        <v>S</v>
      </c>
      <c r="I515" s="170">
        <f>IFERROR((VLOOKUP($C515,Code!$H:$Q,5,FALSE))/(((VLOOKUP($C515,Code!$H:$Q,7,FALSE))+(VLOOKUP($C515,Code!$H:$Q,8,FALSE)))/2)-1,0)</f>
        <v>-0.52474570476109061</v>
      </c>
      <c r="J515" s="204">
        <f>IFERROR(POWER((VLOOKUP(C515,Code!H:W,12,FALSE))/(VLOOKUP(C515,Code!H:W,15,FALSE)),1/(P515-1))-1,"")</f>
        <v>2.456245823116987E-4</v>
      </c>
      <c r="K515" s="172" cm="1">
        <f t="array" ref="K515">IFERROR(IF(C515="","",_xlfn.IFS(AND(VLOOKUP(C515,Code!H:W,13,FALSE)=0,VLOOKUP(C515,Code!H:W,16,FALSE)=0),"無股息",AND(VLOOKUP(C515,Code!H:W,13,FALSE)=0,VLOOKUP(C515,Code!H:W,16,FALSE)&gt;0),"股息沒了",AND(VLOOKUP(C515,Code!H:W,13,FALSE)&gt;0,VLOOKUP(C515,Code!H:W,16,FALSE)=0),"發股息了",AND(VLOOKUP(C515,Code!H:W,13,FALSE)&gt;0,VLOOKUP(C515,Code!H:W,16,FALSE)&gt;0),POWER((VLOOKUP(C515,Code!H:W,13,FALSE))/(VLOOKUP(C515,Code!H:W,16,FALSE)),1/(P515-1))-1)),"")</f>
        <v>4.6430166069464374E-2</v>
      </c>
      <c r="L515" s="173">
        <f>IFERROR(VLOOKUP(C515,Code!H:W,13,FALSE)*4/VLOOKUP(C515,Code!H:W,12,FALSE),"")</f>
        <v>3.560742265706579E-2</v>
      </c>
      <c r="M515" s="172">
        <f t="shared" si="57"/>
        <v>4.6675790651776072E-2</v>
      </c>
      <c r="N515" s="172" t="str">
        <f t="shared" si="58"/>
        <v>-</v>
      </c>
      <c r="O515" s="172" t="str">
        <f t="shared" si="59"/>
        <v>-</v>
      </c>
      <c r="P515" s="205">
        <f>IFERROR(YEARFRAC(VLOOKUP(C515,Code!H:W,11,FALSE),VLOOKUP(C515,Code!H:W,14,FALSE),3),"")</f>
        <v>4.8328767123287673</v>
      </c>
      <c r="Q515" s="174">
        <v>44547</v>
      </c>
      <c r="R515" s="175" t="str">
        <f t="shared" ca="1" si="60"/>
        <v/>
      </c>
      <c r="S515" s="176">
        <f>IFERROR(VLOOKUP($C515,Code!$H:$Q,5,FALSE),"")</f>
        <v>0.27800000000000002</v>
      </c>
      <c r="T515" s="177" t="str">
        <f t="shared" ca="1" si="61"/>
        <v/>
      </c>
      <c r="U515" s="178" t="str">
        <f t="shared" ca="1" si="62"/>
        <v/>
      </c>
      <c r="V515" s="179">
        <f>IFERROR(VLOOKUP($C515,Code!$H:$Q,6,FALSE),"")</f>
        <v>67.41</v>
      </c>
      <c r="W515" s="180" t="str">
        <f t="shared" ca="1" si="63"/>
        <v/>
      </c>
      <c r="X515" s="12"/>
      <c r="Y515" s="12"/>
      <c r="Z515" s="12"/>
      <c r="AA515" s="12"/>
      <c r="AB515" s="12"/>
    </row>
    <row r="516" spans="1:28" s="10" customFormat="1" ht="15" hidden="1">
      <c r="A516" s="9"/>
      <c r="B516" s="169" cm="1">
        <f t="array" ref="B516">_xlfn.IFS(OR(Code!R471&lt;&gt;Code!U471,Code!R471=""),0,Code!R471=Code!U471,1)</f>
        <v>0</v>
      </c>
      <c r="C516" s="193" t="str">
        <f>IF(Code!F471="","",Code!F471)</f>
        <v>VIAC</v>
      </c>
      <c r="D516" s="155" t="str">
        <f>IFERROR(VLOOKUP($C516,Code!$H:$K,2,FALSE),"")</f>
        <v>XLC</v>
      </c>
      <c r="E516" s="156" t="str">
        <f>IFERROR(VLOOKUP($C516,Code!$H:$K,3,FALSE),"")</f>
        <v>娛樂</v>
      </c>
      <c r="F516" s="157" t="str">
        <f>IFERROR(VLOOKUP($C516,Code!$H:$K,4,FALSE),"")</f>
        <v>.SPX</v>
      </c>
      <c r="G516" s="170">
        <f>IFERROR(((VLOOKUP($C516,Code!$H:$Q,9,FALSE))+(VLOOKUP($C516,Code!$H:$Q,10,FALSE)))/2*0.5/(((VLOOKUP($C516,Code!$H:$Q,7,FALSE))+(VLOOKUP($C516,Code!$H:$Q,8,FALSE)))/2),0)</f>
        <v>0.42998910807212876</v>
      </c>
      <c r="H516" s="171" t="str">
        <f t="shared" ref="H516:H520" si="64">IFERROR(IF(G516&gt;9E+306,"",IF(G516&gt;70%,"XL",IF(G516&gt;60%,"L",IF(G516&gt;50%,"M",IF(G516&gt;0%,"S",""))))),"")</f>
        <v>S</v>
      </c>
      <c r="I516" s="170">
        <f>IFERROR((VLOOKUP($C516,Code!$H:$Q,5,FALSE))/(((VLOOKUP($C516,Code!$H:$Q,7,FALSE))+(VLOOKUP($C516,Code!$H:$Q,8,FALSE)))/2)-1,0)</f>
        <v>-0.52716930896768732</v>
      </c>
      <c r="J516" s="204">
        <f>IFERROR(POWER((VLOOKUP(C516,Code!H:W,12,FALSE))/(VLOOKUP(C516,Code!H:W,15,FALSE)),1/(P516-1))-1,"")</f>
        <v>-3.1809781877853882E-2</v>
      </c>
      <c r="K516" s="172" cm="1">
        <f t="array" ref="K516">IFERROR(IF(C516="","",_xlfn.IFS(AND(VLOOKUP(C516,Code!H:W,13,FALSE)=0,VLOOKUP(C516,Code!H:W,16,FALSE)=0),"無股息",AND(VLOOKUP(C516,Code!H:W,13,FALSE)=0,VLOOKUP(C516,Code!H:W,16,FALSE)&gt;0),"股息沒了",AND(VLOOKUP(C516,Code!H:W,13,FALSE)&gt;0,VLOOKUP(C516,Code!H:W,16,FALSE)=0),"發股息了",AND(VLOOKUP(C516,Code!H:W,13,FALSE)&gt;0,VLOOKUP(C516,Code!H:W,16,FALSE)&gt;0),POWER((VLOOKUP(C516,Code!H:W,13,FALSE))/(VLOOKUP(C516,Code!H:W,16,FALSE)),1/(P516-1))-1)),"")</f>
        <v>7.9298199738867536E-2</v>
      </c>
      <c r="L516" s="173">
        <f>IFERROR(VLOOKUP(C516,Code!H:W,13,FALSE)*4/VLOOKUP(C516,Code!H:W,12,FALSE),"")</f>
        <v>2.2519352004380433E-2</v>
      </c>
      <c r="M516" s="172">
        <f t="shared" si="57"/>
        <v>4.7488417861013654E-2</v>
      </c>
      <c r="N516" s="172" t="str">
        <f t="shared" si="58"/>
        <v>-</v>
      </c>
      <c r="O516" s="172" t="str">
        <f t="shared" si="59"/>
        <v>-</v>
      </c>
      <c r="P516" s="205">
        <f>IFERROR(YEARFRAC(VLOOKUP(C516,Code!H:W,11,FALSE),VLOOKUP(C516,Code!H:W,14,FALSE),3),"")</f>
        <v>4.7698630136986298</v>
      </c>
      <c r="Q516" s="174">
        <v>44547</v>
      </c>
      <c r="R516" s="175" t="str">
        <f t="shared" ref="R516:R520" ca="1" si="65">IFERROR(IF(OR(_xlfn.DAYS(Q516,TODAY())+1&lt;0,C516=0),"",_xlfn.DAYS(Q516,TODAY())+1),"")</f>
        <v/>
      </c>
      <c r="S516" s="176">
        <f>IFERROR(VLOOKUP($C516,Code!$H:$Q,5,FALSE),"")</f>
        <v>0.39069999999999999</v>
      </c>
      <c r="T516" s="177" t="str">
        <f t="shared" ref="T516:T520" ca="1" si="66">IFERROR(IF(V516*S516*SQRT(R516/365)=0,"",V516*S516*SQRT(R516/365)),"")</f>
        <v/>
      </c>
      <c r="U516" s="178" t="str">
        <f t="shared" ref="U516:U520" ca="1" si="67">IFERROR(V516-T516,"")</f>
        <v/>
      </c>
      <c r="V516" s="179">
        <f>IFERROR(VLOOKUP($C516,Code!$H:$Q,6,FALSE),"")</f>
        <v>41.8</v>
      </c>
      <c r="W516" s="180" t="str">
        <f t="shared" ref="W516:W520" ca="1" si="68">IFERROR(V516+T516,"")</f>
        <v/>
      </c>
      <c r="X516" s="12"/>
      <c r="Y516" s="12"/>
      <c r="Z516" s="12"/>
      <c r="AA516" s="12"/>
      <c r="AB516" s="12"/>
    </row>
    <row r="517" spans="1:28" s="10" customFormat="1" ht="15" hidden="1">
      <c r="A517" s="9"/>
      <c r="B517" s="169" cm="1">
        <f t="array" ref="B517">_xlfn.IFS(OR(Code!R194&lt;&gt;Code!U194,Code!R194=""),0,Code!R194=Code!U194,1)</f>
        <v>0</v>
      </c>
      <c r="C517" s="193" t="str">
        <f>IF(Code!F194="","",Code!F194)</f>
        <v>FRT</v>
      </c>
      <c r="D517" s="155" t="str">
        <f>IFERROR(VLOOKUP($C517,Code!$H:$K,2,FALSE),"")</f>
        <v>XLRE</v>
      </c>
      <c r="E517" s="156" t="str">
        <f>IFERROR(VLOOKUP($C517,Code!$H:$K,3,FALSE),"")</f>
        <v>-</v>
      </c>
      <c r="F517" s="157" t="str">
        <f>IFERROR(VLOOKUP($C517,Code!$H:$K,4,FALSE),"")</f>
        <v>.SPX</v>
      </c>
      <c r="G517" s="170">
        <f>IFERROR(((VLOOKUP($C517,Code!$H:$Q,9,FALSE))+(VLOOKUP($C517,Code!$H:$Q,10,FALSE)))/2*0.5/(((VLOOKUP($C517,Code!$H:$Q,7,FALSE))+(VLOOKUP($C517,Code!$H:$Q,8,FALSE)))/2),0)</f>
        <v>0.32330567081604422</v>
      </c>
      <c r="H517" s="171" t="str">
        <f t="shared" si="64"/>
        <v>S</v>
      </c>
      <c r="I517" s="170">
        <f>IFERROR((VLOOKUP($C517,Code!$H:$Q,5,FALSE))/(((VLOOKUP($C517,Code!$H:$Q,7,FALSE))+(VLOOKUP($C517,Code!$H:$Q,8,FALSE)))/2)-1,0)</f>
        <v>-0.56293222683264177</v>
      </c>
      <c r="J517" s="204">
        <f>IFERROR(POWER((VLOOKUP(C517,Code!H:W,12,FALSE))/(VLOOKUP(C517,Code!H:W,15,FALSE)),1/(P517-1))-1,"")</f>
        <v>-2.209541119278069E-2</v>
      </c>
      <c r="K517" s="172" cm="1">
        <f t="array" ref="K517">IFERROR(IF(C517="","",_xlfn.IFS(AND(VLOOKUP(C517,Code!H:W,13,FALSE)=0,VLOOKUP(C517,Code!H:W,16,FALSE)=0),"無股息",AND(VLOOKUP(C517,Code!H:W,13,FALSE)=0,VLOOKUP(C517,Code!H:W,16,FALSE)&gt;0),"股息沒了",AND(VLOOKUP(C517,Code!H:W,13,FALSE)&gt;0,VLOOKUP(C517,Code!H:W,16,FALSE)=0),"發股息了",AND(VLOOKUP(C517,Code!H:W,13,FALSE)&gt;0,VLOOKUP(C517,Code!H:W,16,FALSE)&gt;0),POWER((VLOOKUP(C517,Code!H:W,13,FALSE))/(VLOOKUP(C517,Code!H:W,16,FALSE)),1/(P517-1))-1)),"")</f>
        <v>2.1126746725015355E-2</v>
      </c>
      <c r="L517" s="173">
        <f>IFERROR(VLOOKUP(C517,Code!H:W,13,FALSE)*4/VLOOKUP(C517,Code!H:W,12,FALSE),"")</f>
        <v>3.5413011618816444E-2</v>
      </c>
      <c r="M517" s="172">
        <f t="shared" si="57"/>
        <v>-9.6866446776533444E-4</v>
      </c>
      <c r="N517" s="172" t="str">
        <f t="shared" si="58"/>
        <v>-</v>
      </c>
      <c r="O517" s="172" t="str">
        <f t="shared" si="59"/>
        <v>-</v>
      </c>
      <c r="P517" s="205">
        <f>IFERROR(YEARFRAC(VLOOKUP(C517,Code!H:W,11,FALSE),VLOOKUP(C517,Code!H:W,14,FALSE),3),"")</f>
        <v>4.7534246575342465</v>
      </c>
      <c r="Q517" s="174">
        <v>44547</v>
      </c>
      <c r="R517" s="175" t="str">
        <f t="shared" ca="1" si="65"/>
        <v/>
      </c>
      <c r="S517" s="176">
        <f>IFERROR(VLOOKUP($C517,Code!$H:$Q,5,FALSE),"")</f>
        <v>0.25280000000000002</v>
      </c>
      <c r="T517" s="177" t="str">
        <f t="shared" ca="1" si="66"/>
        <v/>
      </c>
      <c r="U517" s="178" t="str">
        <f t="shared" ca="1" si="67"/>
        <v/>
      </c>
      <c r="V517" s="179">
        <f>IFERROR(VLOOKUP($C517,Code!$H:$Q,6,FALSE),"")</f>
        <v>122.97</v>
      </c>
      <c r="W517" s="180" t="str">
        <f t="shared" ca="1" si="68"/>
        <v/>
      </c>
      <c r="X517" s="12"/>
      <c r="Y517" s="12"/>
      <c r="Z517" s="12"/>
      <c r="AA517" s="12"/>
      <c r="AB517" s="12"/>
    </row>
    <row r="518" spans="1:28" s="10" customFormat="1" ht="15" hidden="1">
      <c r="A518" s="9"/>
      <c r="B518" s="169" cm="1">
        <f t="array" ref="B518">_xlfn.IFS(OR(Code!R184&lt;&gt;Code!U184,Code!R184=""),0,Code!R184=Code!U184,1)</f>
        <v>0</v>
      </c>
      <c r="C518" s="193" t="str">
        <f>IF(Code!F184="","",Code!F184)</f>
        <v>FE</v>
      </c>
      <c r="D518" s="155" t="str">
        <f>IFERROR(VLOOKUP($C518,Code!$H:$K,2,FALSE),"")</f>
        <v>XLU</v>
      </c>
      <c r="E518" s="156" t="str">
        <f>IFERROR(VLOOKUP($C518,Code!$H:$K,3,FALSE),"")</f>
        <v>公用事業—受監督的電力</v>
      </c>
      <c r="F518" s="157" t="str">
        <f>IFERROR(VLOOKUP($C518,Code!$H:$K,4,FALSE),"")</f>
        <v>.SPX</v>
      </c>
      <c r="G518" s="170">
        <f>IFERROR(((VLOOKUP($C518,Code!$H:$Q,9,FALSE))+(VLOOKUP($C518,Code!$H:$Q,10,FALSE)))/2*0.5/(((VLOOKUP($C518,Code!$H:$Q,7,FALSE))+(VLOOKUP($C518,Code!$H:$Q,8,FALSE)))/2),0)</f>
        <v>0.29938213817637144</v>
      </c>
      <c r="H518" s="171" t="str">
        <f t="shared" si="64"/>
        <v>S</v>
      </c>
      <c r="I518" s="170">
        <f>IFERROR((VLOOKUP($C518,Code!$H:$Q,5,FALSE))/(((VLOOKUP($C518,Code!$H:$Q,7,FALSE))+(VLOOKUP($C518,Code!$H:$Q,8,FALSE)))/2)-1,0)</f>
        <v>-0.61524059164950384</v>
      </c>
      <c r="J518" s="204">
        <f>IFERROR(POWER((VLOOKUP(C518,Code!H:W,12,FALSE))/(VLOOKUP(C518,Code!H:W,15,FALSE)),1/(P518-1))-1,"")</f>
        <v>9.2580719595529049E-2</v>
      </c>
      <c r="K518" s="172" cm="1">
        <f t="array" ref="K518">IFERROR(IF(C518="","",_xlfn.IFS(AND(VLOOKUP(C518,Code!H:W,13,FALSE)=0,VLOOKUP(C518,Code!H:W,16,FALSE)=0),"無股息",AND(VLOOKUP(C518,Code!H:W,13,FALSE)=0,VLOOKUP(C518,Code!H:W,16,FALSE)&gt;0),"股息沒了",AND(VLOOKUP(C518,Code!H:W,13,FALSE)&gt;0,VLOOKUP(C518,Code!H:W,16,FALSE)=0),"發股息了",AND(VLOOKUP(C518,Code!H:W,13,FALSE)&gt;0,VLOOKUP(C518,Code!H:W,16,FALSE)&gt;0),POWER((VLOOKUP(C518,Code!H:W,13,FALSE))/(VLOOKUP(C518,Code!H:W,16,FALSE)),1/(P518-1))-1)),"")</f>
        <v>2.1538365338307885E-2</v>
      </c>
      <c r="L518" s="173">
        <f>IFERROR(VLOOKUP(C518,Code!H:W,13,FALSE)*4/VLOOKUP(C518,Code!H:W,12,FALSE),"")</f>
        <v>4.108506583743305E-2</v>
      </c>
      <c r="M518" s="172">
        <f t="shared" si="57"/>
        <v>0.11411908493383693</v>
      </c>
      <c r="N518" s="172" t="str">
        <f t="shared" si="58"/>
        <v>-</v>
      </c>
      <c r="O518" s="172" t="str">
        <f t="shared" si="59"/>
        <v>-</v>
      </c>
      <c r="P518" s="205">
        <f>IFERROR(YEARFRAC(VLOOKUP(C518,Code!H:W,11,FALSE),VLOOKUP(C518,Code!H:W,14,FALSE),3),"")</f>
        <v>4.7561643835616438</v>
      </c>
      <c r="Q518" s="174">
        <v>44547</v>
      </c>
      <c r="R518" s="175" t="str">
        <f t="shared" ca="1" si="65"/>
        <v/>
      </c>
      <c r="S518" s="176">
        <f>IFERROR(VLOOKUP($C518,Code!$H:$Q,5,FALSE),"")</f>
        <v>0.20549999999999999</v>
      </c>
      <c r="T518" s="177" t="str">
        <f t="shared" ca="1" si="66"/>
        <v/>
      </c>
      <c r="U518" s="178" t="str">
        <f t="shared" ca="1" si="67"/>
        <v/>
      </c>
      <c r="V518" s="179">
        <f>IFERROR(VLOOKUP($C518,Code!$H:$Q,6,FALSE),"")</f>
        <v>37.979999999999997</v>
      </c>
      <c r="W518" s="180" t="str">
        <f t="shared" ca="1" si="68"/>
        <v/>
      </c>
      <c r="X518" s="12"/>
      <c r="Y518" s="12"/>
      <c r="Z518" s="12"/>
      <c r="AA518" s="12"/>
      <c r="AB518" s="12"/>
    </row>
    <row r="519" spans="1:28" s="10" customFormat="1" ht="15" hidden="1">
      <c r="A519" s="9"/>
      <c r="B519" s="169" cm="1">
        <f t="array" ref="B519">_xlfn.IFS(OR(Code!R404&lt;&gt;Code!U404,Code!R404=""),0,Code!R404=Code!U404,1)</f>
        <v>0</v>
      </c>
      <c r="C519" s="193" t="str">
        <f>IF(Code!F404="","",Code!F404)</f>
        <v>ROL</v>
      </c>
      <c r="D519" s="155" t="str">
        <f>IFERROR(VLOOKUP($C519,Code!$H:$K,2,FALSE),"")</f>
        <v>XLI</v>
      </c>
      <c r="E519" s="156" t="str">
        <f>IFERROR(VLOOKUP($C519,Code!$H:$K,3,FALSE),"")</f>
        <v>個人服務</v>
      </c>
      <c r="F519" s="157" t="str">
        <f>IFERROR(VLOOKUP($C519,Code!$H:$K,4,FALSE),"")</f>
        <v>.SPX</v>
      </c>
      <c r="G519" s="170">
        <f>IFERROR(((VLOOKUP($C519,Code!$H:$Q,9,FALSE))+(VLOOKUP($C519,Code!$H:$Q,10,FALSE)))/2*0.5/(((VLOOKUP($C519,Code!$H:$Q,7,FALSE))+(VLOOKUP($C519,Code!$H:$Q,8,FALSE)))/2),0)</f>
        <v>0.2721551597232445</v>
      </c>
      <c r="H519" s="171" t="str">
        <f t="shared" si="64"/>
        <v>S</v>
      </c>
      <c r="I519" s="170">
        <f>IFERROR((VLOOKUP($C519,Code!$H:$Q,5,FALSE))/(((VLOOKUP($C519,Code!$H:$Q,7,FALSE))+(VLOOKUP($C519,Code!$H:$Q,8,FALSE)))/2)-1,0)</f>
        <v>-0.63904018842926535</v>
      </c>
      <c r="J519" s="204">
        <f>IFERROR(POWER((VLOOKUP(C519,Code!H:W,12,FALSE))/(VLOOKUP(C519,Code!H:W,15,FALSE)),1/(P519-1))-1,"")</f>
        <v>0.3675612838927178</v>
      </c>
      <c r="K519" s="172" cm="1">
        <f t="array" ref="K519">IFERROR(IF(C519="","",_xlfn.IFS(AND(VLOOKUP(C519,Code!H:W,13,FALSE)=0,VLOOKUP(C519,Code!H:W,16,FALSE)=0),"無股息",AND(VLOOKUP(C519,Code!H:W,13,FALSE)=0,VLOOKUP(C519,Code!H:W,16,FALSE)&gt;0),"股息沒了",AND(VLOOKUP(C519,Code!H:W,13,FALSE)&gt;0,VLOOKUP(C519,Code!H:W,16,FALSE)=0),"發股息了",AND(VLOOKUP(C519,Code!H:W,13,FALSE)&gt;0,VLOOKUP(C519,Code!H:W,16,FALSE)&gt;0),POWER((VLOOKUP(C519,Code!H:W,13,FALSE))/(VLOOKUP(C519,Code!H:W,16,FALSE)),1/(P519-1))-1)),"")</f>
        <v>0.16979873483708063</v>
      </c>
      <c r="L519" s="173">
        <f>IFERROR(VLOOKUP(C519,Code!H:W,13,FALSE)*4/VLOOKUP(C519,Code!H:W,12,FALSE),"")</f>
        <v>8.6206899032298164E-3</v>
      </c>
      <c r="M519" s="172">
        <f t="shared" si="57"/>
        <v>0.53736001872979844</v>
      </c>
      <c r="N519" s="172" t="str">
        <f t="shared" si="58"/>
        <v>-</v>
      </c>
      <c r="O519" s="172" t="str">
        <f t="shared" si="59"/>
        <v>Value</v>
      </c>
      <c r="P519" s="205">
        <f>IFERROR(YEARFRAC(VLOOKUP(C519,Code!H:W,11,FALSE),VLOOKUP(C519,Code!H:W,14,FALSE),3),"")</f>
        <v>4.7479452054794518</v>
      </c>
      <c r="Q519" s="174">
        <v>44547</v>
      </c>
      <c r="R519" s="175" t="str">
        <f t="shared" ca="1" si="65"/>
        <v/>
      </c>
      <c r="S519" s="176">
        <f>IFERROR(VLOOKUP($C519,Code!$H:$Q,5,FALSE),"")</f>
        <v>0.2452</v>
      </c>
      <c r="T519" s="177" t="str">
        <f t="shared" ca="1" si="66"/>
        <v/>
      </c>
      <c r="U519" s="178" t="str">
        <f t="shared" ca="1" si="67"/>
        <v/>
      </c>
      <c r="V519" s="179">
        <f>IFERROR(VLOOKUP($C519,Code!$H:$Q,6,FALSE),"")</f>
        <v>38.409999999999997</v>
      </c>
      <c r="W519" s="180" t="str">
        <f t="shared" ca="1" si="68"/>
        <v/>
      </c>
      <c r="X519" s="12"/>
      <c r="Y519" s="12"/>
      <c r="Z519" s="12"/>
      <c r="AA519" s="12"/>
      <c r="AB519" s="12"/>
    </row>
    <row r="520" spans="1:28" s="148" customFormat="1" ht="15.75" hidden="1" thickBot="1">
      <c r="A520" s="147"/>
      <c r="B520" s="169" cm="1">
        <f t="array" ref="B520">_xlfn.IFS(OR(Code!R306&lt;&gt;Code!U306,Code!R306=""),0,Code!R306=Code!U306,1)</f>
        <v>0</v>
      </c>
      <c r="C520" s="193" t="str">
        <f>IF(Code!F306="","",Code!F306)</f>
        <v>MKC</v>
      </c>
      <c r="D520" s="155" t="str">
        <f>IFERROR(VLOOKUP($C520,Code!$H:$K,2,FALSE),"")</f>
        <v>XLP</v>
      </c>
      <c r="E520" s="156" t="str">
        <f>IFERROR(VLOOKUP($C520,Code!$H:$K,3,FALSE),"")</f>
        <v>包裝食品</v>
      </c>
      <c r="F520" s="157" t="str">
        <f>IFERROR(VLOOKUP($C520,Code!$H:$K,4,FALSE),"")</f>
        <v>.SPX</v>
      </c>
      <c r="G520" s="191">
        <f>IFERROR(((VLOOKUP($C520,Code!$H:$Q,9,FALSE))+(VLOOKUP($C520,Code!$H:$Q,10,FALSE)))/2*0.5/(((VLOOKUP($C520,Code!$H:$Q,7,FALSE))+(VLOOKUP($C520,Code!$H:$Q,8,FALSE)))/2),0)</f>
        <v>0.12359130231470655</v>
      </c>
      <c r="H520" s="181" t="str">
        <f t="shared" si="64"/>
        <v>S</v>
      </c>
      <c r="I520" s="191">
        <f>IFERROR((VLOOKUP($C520,Code!$H:$Q,5,FALSE))/(((VLOOKUP($C520,Code!$H:$Q,7,FALSE))+(VLOOKUP($C520,Code!$H:$Q,8,FALSE)))/2)-1,0)</f>
        <v>-0.82782324058919809</v>
      </c>
      <c r="J520" s="206">
        <f>IFERROR(POWER((VLOOKUP(C520,Code!H:W,12,FALSE))/(VLOOKUP(C520,Code!H:W,15,FALSE)),1/(P520-1))-1,"")</f>
        <v>0.19898422933780457</v>
      </c>
      <c r="K520" s="172" cm="1">
        <f t="array" ref="K520">IFERROR(IF(C520="","",_xlfn.IFS(AND(VLOOKUP(C520,Code!H:W,13,FALSE)=0,VLOOKUP(C520,Code!H:W,16,FALSE)=0),"無股息",AND(VLOOKUP(C520,Code!H:W,13,FALSE)=0,VLOOKUP(C520,Code!H:W,16,FALSE)&gt;0),"股息沒了",AND(VLOOKUP(C520,Code!H:W,13,FALSE)&gt;0,VLOOKUP(C520,Code!H:W,16,FALSE)=0),"發股息了",AND(VLOOKUP(C520,Code!H:W,13,FALSE)&gt;0,VLOOKUP(C520,Code!H:W,16,FALSE)&gt;0),POWER((VLOOKUP(C520,Code!H:W,13,FALSE))/(VLOOKUP(C520,Code!H:W,16,FALSE)),1/(P520-1))-1)),"")</f>
        <v>0.12967033688090845</v>
      </c>
      <c r="L520" s="183">
        <f>IFERROR(VLOOKUP(C520,Code!H:W,13,FALSE)*4/VLOOKUP(C520,Code!H:W,12,FALSE),"")</f>
        <v>1.5614236783300053E-2</v>
      </c>
      <c r="M520" s="182">
        <f t="shared" si="57"/>
        <v>0.32865456621871303</v>
      </c>
      <c r="N520" s="182" t="str">
        <f t="shared" si="58"/>
        <v>-</v>
      </c>
      <c r="O520" s="182" t="str">
        <f t="shared" si="59"/>
        <v>-</v>
      </c>
      <c r="P520" s="207">
        <f>IFERROR(YEARFRAC(VLOOKUP(C520,Code!H:W,11,FALSE),VLOOKUP(C520,Code!H:W,14,FALSE),3),"")</f>
        <v>4.7589041095890412</v>
      </c>
      <c r="Q520" s="174">
        <v>44547</v>
      </c>
      <c r="R520" s="184" t="str">
        <f t="shared" ca="1" si="65"/>
        <v/>
      </c>
      <c r="S520" s="185">
        <f>IFERROR(VLOOKUP($C520,Code!$H:$Q,5,FALSE),"")</f>
        <v>0.18410000000000001</v>
      </c>
      <c r="T520" s="186" t="str">
        <f t="shared" ca="1" si="66"/>
        <v/>
      </c>
      <c r="U520" s="187" t="str">
        <f t="shared" ca="1" si="67"/>
        <v/>
      </c>
      <c r="V520" s="188">
        <f>IFERROR(VLOOKUP($C520,Code!$H:$Q,6,FALSE),"")</f>
        <v>83.25</v>
      </c>
      <c r="W520" s="189" t="str">
        <f t="shared" ca="1" si="68"/>
        <v/>
      </c>
      <c r="X520" s="26"/>
      <c r="Y520" s="26"/>
      <c r="Z520" s="26"/>
      <c r="AA520" s="26"/>
      <c r="AB520" s="26"/>
    </row>
  </sheetData>
  <sheetProtection selectLockedCells="1" sort="0" autoFilter="0"/>
  <autoFilter ref="B3:W520" xr:uid="{00000000-0009-0000-0000-000000000000}">
    <filterColumn colId="9">
      <filters>
        <filter val="0%"/>
      </filters>
    </filterColumn>
    <sortState xmlns:xlrd2="http://schemas.microsoft.com/office/spreadsheetml/2017/richdata2" ref="B4:W520">
      <sortCondition descending="1" ref="I3:I520"/>
    </sortState>
  </autoFilter>
  <mergeCells count="5">
    <mergeCell ref="D1:F2"/>
    <mergeCell ref="R1:T2"/>
    <mergeCell ref="U1:W2"/>
    <mergeCell ref="Q1:Q2"/>
    <mergeCell ref="G1:I1"/>
  </mergeCells>
  <phoneticPr fontId="2" type="noConversion"/>
  <conditionalFormatting sqref="D1 D3:D1048576">
    <cfRule type="cellIs" dxfId="53" priority="20" operator="equal">
      <formula>"XLP"</formula>
    </cfRule>
    <cfRule type="cellIs" dxfId="52" priority="21" operator="equal">
      <formula>"XLU"</formula>
    </cfRule>
    <cfRule type="cellIs" dxfId="51" priority="22" operator="equal">
      <formula>"XLV"</formula>
    </cfRule>
    <cfRule type="cellIs" dxfId="50" priority="23" operator="equal">
      <formula>"XLRE"</formula>
    </cfRule>
    <cfRule type="cellIs" dxfId="49" priority="24" operator="equal">
      <formula>"XLF"</formula>
    </cfRule>
    <cfRule type="cellIs" dxfId="48" priority="25" operator="equal">
      <formula>"XLE"</formula>
    </cfRule>
    <cfRule type="cellIs" dxfId="47" priority="26" operator="equal">
      <formula>"XLC"</formula>
    </cfRule>
    <cfRule type="cellIs" dxfId="46" priority="27" operator="equal">
      <formula>"XLK"</formula>
    </cfRule>
    <cfRule type="cellIs" dxfId="45" priority="28" operator="equal">
      <formula>"XLI"</formula>
    </cfRule>
    <cfRule type="cellIs" dxfId="44" priority="29" operator="equal">
      <formula>"XLY"</formula>
    </cfRule>
  </conditionalFormatting>
  <conditionalFormatting sqref="G1:G1048576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{091E5E98-ED98-41E4-B932-18E6080C5B4A}</x14:id>
        </ext>
      </extLst>
    </cfRule>
  </conditionalFormatting>
  <conditionalFormatting sqref="I4:I520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M1:M1048576">
    <cfRule type="aboveAverage" dxfId="41" priority="1"/>
  </conditionalFormatting>
  <hyperlinks>
    <hyperlink ref="D3" r:id="rId1" xr:uid="{00000000-0004-0000-0000-000000000000}"/>
  </hyperlinks>
  <pageMargins left="0.7" right="0.7" top="0.75" bottom="0.75" header="0.3" footer="0.3"/>
  <pageSetup paperSize="9" orientation="portrait" horizontalDpi="1200" verticalDpi="1200" r:id="rId2"/>
  <ignoredErrors>
    <ignoredError sqref="C3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SP_Click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762000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1E5E98-ED98-41E4-B932-18E6080C5B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beginsWith" priority="33" operator="beginsWith" id="{B81BF75C-C816-49F3-9680-2A9DBCAFD2BA}">
            <xm:f>LEFT(H2,LEN("XL"))="XL"</xm:f>
            <xm:f>"XL"</xm:f>
            <x14:dxf>
              <font>
                <b/>
                <i val="0"/>
                <color rgb="FF00B050"/>
              </font>
            </x14:dxf>
          </x14:cfRule>
          <xm:sqref>H2:H1048576</xm:sqref>
        </x14:conditionalFormatting>
        <x14:conditionalFormatting xmlns:xm="http://schemas.microsoft.com/office/excel/2006/main">
          <x14:cfRule type="beginsWith" priority="14" operator="beginsWith" id="{C8C4B505-3FCD-4D59-8EA3-4FEBEC075C68}">
            <xm:f>LEFT(J2,LEN("XL"))="XL"</xm:f>
            <xm:f>"XL"</xm:f>
            <x14:dxf>
              <font>
                <b/>
                <i val="0"/>
                <color rgb="FF00B050"/>
              </font>
            </x14:dxf>
          </x14:cfRule>
          <xm:sqref>J2</xm:sqref>
        </x14:conditionalFormatting>
        <x14:conditionalFormatting xmlns:xm="http://schemas.microsoft.com/office/excel/2006/main">
          <x14:cfRule type="beginsWith" priority="16" operator="beginsWith" id="{6394AA9D-F3CC-44D6-9D56-BE4A12D44C8E}">
            <xm:f>LEFT(I2,LEN("XL"))="XL"</xm:f>
            <xm:f>"XL"</xm:f>
            <x14:dxf>
              <font>
                <b/>
                <i val="0"/>
                <color rgb="FF00B050"/>
              </font>
            </x14:dxf>
          </x14:cfRule>
          <xm:sqref>I2</xm:sqref>
        </x14:conditionalFormatting>
        <x14:conditionalFormatting xmlns:xm="http://schemas.microsoft.com/office/excel/2006/main">
          <x14:cfRule type="beginsWith" priority="13" operator="beginsWith" id="{A6D94C17-C67E-425A-A81C-4C81D5206564}">
            <xm:f>LEFT(K2,LEN("XL"))="XL"</xm:f>
            <xm:f>"XL"</xm:f>
            <x14:dxf>
              <font>
                <b/>
                <i val="0"/>
                <color rgb="FF00B050"/>
              </font>
            </x14:dxf>
          </x14:cfRule>
          <xm:sqref>K2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 filterMode="1"/>
  <dimension ref="A1:AC521"/>
  <sheetViews>
    <sheetView tabSelected="1" zoomScale="160" zoomScaleNormal="160" workbookViewId="0">
      <pane ySplit="3" topLeftCell="A4" activePane="bottomLeft" state="frozen"/>
      <selection pane="bottomLeft" activeCell="Q525" sqref="Q525"/>
    </sheetView>
  </sheetViews>
  <sheetFormatPr defaultColWidth="13.140625" defaultRowHeight="14.25"/>
  <cols>
    <col min="1" max="1" width="7.42578125" style="28" bestFit="1" customWidth="1"/>
    <col min="2" max="2" width="9.42578125" style="112" customWidth="1"/>
    <col min="3" max="3" width="11.5703125" style="11" bestFit="1" customWidth="1"/>
    <col min="4" max="4" width="7.140625" style="9" customWidth="1"/>
    <col min="5" max="5" width="11.42578125" style="10" customWidth="1"/>
    <col min="6" max="6" width="9.5703125" style="11" customWidth="1"/>
    <col min="7" max="7" width="10.7109375" style="131" customWidth="1"/>
    <col min="8" max="8" width="10.7109375" style="10" bestFit="1" customWidth="1"/>
    <col min="9" max="9" width="11.28515625" style="129" bestFit="1" customWidth="1"/>
    <col min="10" max="10" width="13.85546875" style="10" hidden="1" customWidth="1"/>
    <col min="11" max="11" width="14" style="10" hidden="1" customWidth="1"/>
    <col min="12" max="12" width="9.28515625" style="10" hidden="1" customWidth="1"/>
    <col min="13" max="13" width="12.42578125" style="10" hidden="1" customWidth="1"/>
    <col min="14" max="15" width="14.85546875" style="10" hidden="1" customWidth="1"/>
    <col min="16" max="16" width="15" style="198" hidden="1" customWidth="1"/>
    <col min="17" max="17" width="12.28515625" style="140" bestFit="1" customWidth="1"/>
    <col min="18" max="18" width="12" style="10" customWidth="1"/>
    <col min="19" max="19" width="18.7109375" style="10" customWidth="1"/>
    <col min="20" max="20" width="15.85546875" style="11" customWidth="1"/>
    <col min="21" max="21" width="9.7109375" style="9" bestFit="1" customWidth="1"/>
    <col min="22" max="22" width="10.5703125" style="10" customWidth="1"/>
    <col min="23" max="23" width="9.7109375" style="11" bestFit="1" customWidth="1"/>
    <col min="24" max="28" width="13.140625" style="29"/>
    <col min="29" max="29" width="3" style="28" bestFit="1" customWidth="1"/>
    <col min="30" max="16384" width="13.140625" style="28"/>
  </cols>
  <sheetData>
    <row r="1" spans="1:29" s="113" customFormat="1" ht="15.75" customHeight="1">
      <c r="A1" s="30" t="s">
        <v>0</v>
      </c>
      <c r="B1" s="132" t="s">
        <v>871</v>
      </c>
      <c r="C1" s="132"/>
      <c r="D1" s="354" t="s">
        <v>539</v>
      </c>
      <c r="E1" s="355"/>
      <c r="F1" s="356"/>
      <c r="G1" s="354" t="s">
        <v>538</v>
      </c>
      <c r="H1" s="355"/>
      <c r="I1" s="355"/>
      <c r="J1" s="355"/>
      <c r="K1" s="355"/>
      <c r="L1" s="355"/>
      <c r="M1" s="355"/>
      <c r="N1" s="355"/>
      <c r="O1" s="355"/>
      <c r="P1" s="362"/>
      <c r="Q1" s="360" t="s">
        <v>884</v>
      </c>
      <c r="R1" s="354" t="s">
        <v>636</v>
      </c>
      <c r="S1" s="355"/>
      <c r="T1" s="356"/>
      <c r="U1" s="354" t="s">
        <v>537</v>
      </c>
      <c r="V1" s="355"/>
      <c r="W1" s="356"/>
      <c r="X1" s="78"/>
      <c r="Y1" s="78"/>
      <c r="Z1" s="78"/>
      <c r="AA1" s="78"/>
      <c r="AB1" s="78"/>
    </row>
    <row r="2" spans="1:29" s="10" customFormat="1" ht="15" thickBot="1">
      <c r="A2" s="82" t="s">
        <v>1</v>
      </c>
      <c r="B2" s="134">
        <v>7</v>
      </c>
      <c r="C2" s="134"/>
      <c r="D2" s="357"/>
      <c r="E2" s="358"/>
      <c r="F2" s="359"/>
      <c r="G2" s="135" t="s">
        <v>883</v>
      </c>
      <c r="H2" s="136" t="s">
        <v>881</v>
      </c>
      <c r="I2" s="135" t="s">
        <v>877</v>
      </c>
      <c r="J2" s="28" t="s">
        <v>874</v>
      </c>
      <c r="K2" s="28" t="s">
        <v>873</v>
      </c>
      <c r="L2" s="28" t="s">
        <v>875</v>
      </c>
      <c r="M2" s="28" t="s">
        <v>624</v>
      </c>
      <c r="N2" s="28" t="s">
        <v>625</v>
      </c>
      <c r="O2" s="28" t="s">
        <v>626</v>
      </c>
      <c r="P2" s="194" t="s">
        <v>872</v>
      </c>
      <c r="Q2" s="361"/>
      <c r="R2" s="357"/>
      <c r="S2" s="358"/>
      <c r="T2" s="359"/>
      <c r="U2" s="300" t="s">
        <v>1563</v>
      </c>
      <c r="V2" s="301"/>
      <c r="W2" s="302" t="s">
        <v>1563</v>
      </c>
      <c r="X2" s="12"/>
      <c r="Y2" s="12"/>
      <c r="Z2" s="12"/>
      <c r="AA2" s="12"/>
      <c r="AB2" s="12"/>
    </row>
    <row r="3" spans="1:29" s="113" customFormat="1" ht="16.5" thickBot="1">
      <c r="A3" s="303" t="s">
        <v>1565</v>
      </c>
      <c r="B3" s="114" t="s">
        <v>540</v>
      </c>
      <c r="C3" s="3" t="s">
        <v>5</v>
      </c>
      <c r="D3" s="4" t="s">
        <v>4</v>
      </c>
      <c r="E3" s="5" t="s">
        <v>11</v>
      </c>
      <c r="F3" s="6" t="s">
        <v>10</v>
      </c>
      <c r="G3" s="130" t="s">
        <v>3</v>
      </c>
      <c r="H3" s="5" t="s">
        <v>882</v>
      </c>
      <c r="I3" s="127" t="s">
        <v>868</v>
      </c>
      <c r="J3" s="6" t="s">
        <v>620</v>
      </c>
      <c r="K3" s="6" t="s">
        <v>620</v>
      </c>
      <c r="L3" s="6" t="s">
        <v>876</v>
      </c>
      <c r="M3" s="6" t="s">
        <v>620</v>
      </c>
      <c r="N3" s="6" t="s">
        <v>621</v>
      </c>
      <c r="O3" s="6" t="s">
        <v>622</v>
      </c>
      <c r="P3" s="195" t="s">
        <v>634</v>
      </c>
      <c r="Q3" s="1" t="s">
        <v>6</v>
      </c>
      <c r="R3" s="7" t="s">
        <v>12</v>
      </c>
      <c r="S3" s="5" t="s">
        <v>555</v>
      </c>
      <c r="T3" s="6" t="s">
        <v>7</v>
      </c>
      <c r="U3" s="7" t="s">
        <v>1562</v>
      </c>
      <c r="V3" s="5" t="s">
        <v>575</v>
      </c>
      <c r="W3" s="6" t="s">
        <v>1564</v>
      </c>
      <c r="X3" s="78"/>
      <c r="Y3" s="78"/>
      <c r="Z3" s="78"/>
      <c r="AA3" s="78"/>
      <c r="AB3" s="78"/>
    </row>
    <row r="4" spans="1:29" s="10" customFormat="1" ht="15">
      <c r="A4" s="9">
        <v>1</v>
      </c>
      <c r="B4" s="137">
        <v>3</v>
      </c>
      <c r="C4" s="141" t="s">
        <v>550</v>
      </c>
      <c r="D4" s="92" t="str">
        <f>IFERROR(VLOOKUP($C4,Code!$H:$K,2,FALSE),"")</f>
        <v/>
      </c>
      <c r="E4" s="93" t="str">
        <f>IFERROR(VLOOKUP($C4,Code!$H:$K,3,FALSE),"")</f>
        <v>千禧代</v>
      </c>
      <c r="F4" s="94" t="str">
        <f>IFERROR(VLOOKUP($C4,Code!$H:$K,4,FALSE),"")</f>
        <v>JIT</v>
      </c>
      <c r="G4" s="128">
        <f>_xlfn.IFNA(((VLOOKUP($C4,Code!$H:$Q,9,FALSE))+(VLOOKUP($C4,Code!$H:$Q,10,FALSE)))/2*0.5/(((VLOOKUP($C4,Code!$H:$Q,7,FALSE))+(VLOOKUP($C4,Code!$H:$Q,8,FALSE)))/2),0)</f>
        <v>0.58382838283828375</v>
      </c>
      <c r="H4" s="97" t="str">
        <f t="shared" ref="H4:H10" si="0">IFERROR(IF(G4&gt;9E+306,"",IF(G4&gt;70%,"XL",IF(G4&gt;60%,"L",IF(G4&gt;50%,"M",IF(G4&gt;0%,"S",""))))),"")</f>
        <v>M</v>
      </c>
      <c r="I4" s="128">
        <f>_xlfn.IFNA((VLOOKUP($C4,Code!$H:$Q,5,FALSE))/(((VLOOKUP($C4,Code!$H:$Q,7,FALSE))+(VLOOKUP($C4,Code!$H:$Q,8,FALSE)))/2)-G4,0)</f>
        <v>0.34143747708104155</v>
      </c>
      <c r="J4" s="55" t="str">
        <f>IFERROR(POWER((VLOOKUP(C4,Code!H:W,12,FALSE))/(VLOOKUP(C4,Code!H:W,15,FALSE)),1/(P4-1))-1,"")</f>
        <v/>
      </c>
      <c r="K4" s="55" t="str">
        <f>IFERROR(POWER((VLOOKUP(C4,Code!H:W,13,FALSE))/(VLOOKUP(C4,Code!H:W,16,FALSE)),1/(P4-1))-1,"")</f>
        <v/>
      </c>
      <c r="L4" s="75" t="str">
        <f>IFERROR(VLOOKUP(C4,Code!H:W,13,FALSE)*4/VLOOKUP(C4,Code!H:W,12,FALSE),"")</f>
        <v/>
      </c>
      <c r="M4" s="55" t="str">
        <f t="shared" ref="M4:M10" si="1">IF(SUM(J4:K4)=0,"",SUM(J4:K4))</f>
        <v/>
      </c>
      <c r="N4" s="55" t="str">
        <f t="shared" ref="N4:N10" si="2">IFERROR(IF(L4&gt;3%,IF((K4+L4)&gt;12%,"Venture","-"),"-"),"")</f>
        <v/>
      </c>
      <c r="O4" s="55" t="str">
        <f t="shared" ref="O4:O10" si="3">IFERROR(IF(OR(L4&lt;3%,L4=""),IF((K4+L4)&gt;15%,"Value","-"),"-"),"")</f>
        <v/>
      </c>
      <c r="P4" s="70">
        <f>IFERROR(YEARFRAC(VLOOKUP(C4,Code!H:W,11,FALSE),VLOOKUP(C4,Code!H:W,14,FALSE),3),"")</f>
        <v>0</v>
      </c>
      <c r="Q4" s="2">
        <v>44547</v>
      </c>
      <c r="R4" s="95" t="str">
        <f t="shared" ref="R4:R10" ca="1" si="4">IFERROR(IF(OR(_xlfn.DAYS(Q4,TODAY())+1&lt;0,C4=0),"",_xlfn.DAYS(Q4,TODAY())+1),"")</f>
        <v/>
      </c>
      <c r="S4" s="96">
        <f>IFERROR(VLOOKUP($C4,Code!$H:$Q,5,FALSE),"")</f>
        <v>0.63080000000000003</v>
      </c>
      <c r="T4" s="98" t="str">
        <f t="shared" ref="T4:T10" ca="1" si="5">IFERROR(IF(V4*S4*SQRT(R4/365)=0,"",V4*S4*SQRT(R4/365)),"")</f>
        <v/>
      </c>
      <c r="U4" s="99" t="str">
        <f t="shared" ref="U4:U10" ca="1" si="6">IFERROR(V4-T4,"")</f>
        <v/>
      </c>
      <c r="V4" s="100">
        <f>IFERROR(VLOOKUP($C4,Code!$H:$Q,6,FALSE),"")</f>
        <v>0</v>
      </c>
      <c r="W4" s="101" t="str">
        <f t="shared" ref="W4:W10" ca="1" si="7">IFERROR(V4+T4,"")</f>
        <v/>
      </c>
      <c r="X4" s="12"/>
      <c r="Y4" s="12"/>
      <c r="Z4" s="12"/>
      <c r="AA4" s="12"/>
      <c r="AB4" s="12"/>
      <c r="AC4" s="13"/>
    </row>
    <row r="5" spans="1:29" s="10" customFormat="1" ht="15">
      <c r="A5" s="9">
        <v>1</v>
      </c>
      <c r="B5" s="137">
        <v>2</v>
      </c>
      <c r="C5" s="142" t="s">
        <v>544</v>
      </c>
      <c r="D5" s="82" t="str">
        <f>IFERROR(VLOOKUP($C5,Code!$H:$K,2,FALSE),"")</f>
        <v/>
      </c>
      <c r="E5" s="83" t="str">
        <f>IFERROR(VLOOKUP($C5,Code!$H:$K,3,FALSE),"")</f>
        <v>新能源</v>
      </c>
      <c r="F5" s="84" t="str">
        <f>IFERROR(VLOOKUP($C5,Code!$H:$K,4,FALSE),"")</f>
        <v>Jason</v>
      </c>
      <c r="G5" s="128">
        <f>_xlfn.IFNA(((VLOOKUP($C5,Code!$H:$Q,9,FALSE))+(VLOOKUP($C5,Code!$H:$Q,10,FALSE)))/2*0.5/(((VLOOKUP($C5,Code!$H:$Q,7,FALSE))+(VLOOKUP($C5,Code!$H:$Q,8,FALSE)))/2),0)</f>
        <v>0.57069036792062833</v>
      </c>
      <c r="H5" s="87" t="str">
        <f t="shared" si="0"/>
        <v>M</v>
      </c>
      <c r="I5" s="128">
        <f>_xlfn.IFNA((VLOOKUP($C5,Code!$H:$Q,5,FALSE))/(((VLOOKUP($C5,Code!$H:$Q,7,FALSE))+(VLOOKUP($C5,Code!$H:$Q,8,FALSE)))/2)-G5,0)</f>
        <v>0.31107895824720966</v>
      </c>
      <c r="J5" s="55" t="str">
        <f>IFERROR(POWER((VLOOKUP(C5,Code!H:W,12,FALSE))/(VLOOKUP(C5,Code!H:W,15,FALSE)),1/(P5-1))-1,"")</f>
        <v/>
      </c>
      <c r="K5" s="55" t="str">
        <f>IFERROR(POWER((VLOOKUP(C5,Code!H:W,13,FALSE))/(VLOOKUP(C5,Code!H:W,16,FALSE)),1/(P5-1))-1,"")</f>
        <v/>
      </c>
      <c r="L5" s="75" t="str">
        <f>IFERROR(VLOOKUP(C5,Code!H:W,13,FALSE)*4/VLOOKUP(C5,Code!H:W,12,FALSE),"")</f>
        <v/>
      </c>
      <c r="M5" s="55" t="str">
        <f t="shared" si="1"/>
        <v/>
      </c>
      <c r="N5" s="55" t="str">
        <f t="shared" si="2"/>
        <v/>
      </c>
      <c r="O5" s="55" t="str">
        <f t="shared" si="3"/>
        <v/>
      </c>
      <c r="P5" s="70">
        <f>IFERROR(YEARFRAC(VLOOKUP(C5,Code!H:W,11,FALSE),VLOOKUP(C5,Code!H:W,14,FALSE),3),"")</f>
        <v>0</v>
      </c>
      <c r="Q5" s="2">
        <v>44547</v>
      </c>
      <c r="R5" s="85" t="str">
        <f t="shared" ca="1" si="4"/>
        <v/>
      </c>
      <c r="S5" s="86">
        <f>IFERROR(VLOOKUP($C5,Code!$H:$Q,5,FALSE),"")</f>
        <v>0.63990000000000002</v>
      </c>
      <c r="T5" s="88" t="str">
        <f t="shared" ca="1" si="5"/>
        <v/>
      </c>
      <c r="U5" s="89" t="str">
        <f t="shared" ca="1" si="6"/>
        <v/>
      </c>
      <c r="V5" s="90">
        <f>IFERROR(VLOOKUP($C5,Code!$H:$Q,6,FALSE),"")</f>
        <v>0</v>
      </c>
      <c r="W5" s="91" t="str">
        <f t="shared" ca="1" si="7"/>
        <v/>
      </c>
      <c r="X5" s="12"/>
      <c r="Y5" s="12"/>
      <c r="Z5" s="12"/>
      <c r="AA5" s="12"/>
      <c r="AB5" s="12"/>
      <c r="AC5" s="13"/>
    </row>
    <row r="6" spans="1:29" s="10" customFormat="1" ht="15">
      <c r="A6" s="9">
        <v>1</v>
      </c>
      <c r="B6" s="137">
        <v>3</v>
      </c>
      <c r="C6" s="142" t="s">
        <v>1602</v>
      </c>
      <c r="D6" s="82" t="str">
        <f>IFERROR(VLOOKUP($C6,Code!$H:$K,2,FALSE),"")</f>
        <v/>
      </c>
      <c r="E6" s="83" t="str">
        <f>IFERROR(VLOOKUP($C6,Code!$H:$K,3,FALSE),"")</f>
        <v/>
      </c>
      <c r="F6" s="84" t="str">
        <f>IFERROR(VLOOKUP($C6,Code!$H:$K,4,FALSE),"")</f>
        <v/>
      </c>
      <c r="G6" s="128">
        <f>_xlfn.IFNA(((VLOOKUP($C6,Code!$H:$Q,9,FALSE))+(VLOOKUP($C6,Code!$H:$Q,10,FALSE)))/2*0.5/(((VLOOKUP($C6,Code!$H:$Q,7,FALSE))+(VLOOKUP($C6,Code!$H:$Q,8,FALSE)))/2),0)</f>
        <v>0.50029830562405542</v>
      </c>
      <c r="H6" s="87" t="str">
        <f t="shared" si="0"/>
        <v>M</v>
      </c>
      <c r="I6" s="128">
        <f>_xlfn.IFNA((VLOOKUP($C6,Code!$H:$Q,5,FALSE))/(((VLOOKUP($C6,Code!$H:$Q,7,FALSE))+(VLOOKUP($C6,Code!$H:$Q,8,FALSE)))/2)-G6,0)</f>
        <v>0.30425184949486928</v>
      </c>
      <c r="J6" s="55">
        <f>IFERROR(POWER((VLOOKUP(C6,Code!H:W,12,FALSE))/(VLOOKUP(C6,Code!H:W,15,FALSE)),1/(P6-1))-1,"")</f>
        <v>0</v>
      </c>
      <c r="K6" s="55" t="str">
        <f>IFERROR(POWER((VLOOKUP(C6,Code!H:W,13,FALSE))/(VLOOKUP(C6,Code!H:W,16,FALSE)),1/(P6-1))-1,"")</f>
        <v/>
      </c>
      <c r="L6" s="75">
        <f>IFERROR(VLOOKUP(C6,Code!H:W,13,FALSE)*4/VLOOKUP(C6,Code!H:W,12,FALSE),"")</f>
        <v>0</v>
      </c>
      <c r="M6" s="55" t="str">
        <f t="shared" si="1"/>
        <v/>
      </c>
      <c r="N6" s="55" t="str">
        <f t="shared" si="2"/>
        <v>-</v>
      </c>
      <c r="O6" s="55" t="str">
        <f t="shared" si="3"/>
        <v/>
      </c>
      <c r="P6" s="70">
        <f>IFERROR(YEARFRAC(VLOOKUP(C6,Code!H:W,11,FALSE),VLOOKUP(C6,Code!H:W,14,FALSE),3),"")</f>
        <v>0</v>
      </c>
      <c r="Q6" s="2">
        <v>44547</v>
      </c>
      <c r="R6" s="85" t="str">
        <f t="shared" ca="1" si="4"/>
        <v/>
      </c>
      <c r="S6" s="86">
        <f>IFERROR(VLOOKUP($C6,Code!$H:$Q,5,FALSE),"")</f>
        <v>1.0114000000000001</v>
      </c>
      <c r="T6" s="88" t="str">
        <f t="shared" ca="1" si="5"/>
        <v/>
      </c>
      <c r="U6" s="89" t="str">
        <f t="shared" ca="1" si="6"/>
        <v/>
      </c>
      <c r="V6" s="90">
        <f>IFERROR(VLOOKUP($C6,Code!$H:$Q,6,FALSE),"")</f>
        <v>0</v>
      </c>
      <c r="W6" s="91" t="str">
        <f t="shared" ca="1" si="7"/>
        <v/>
      </c>
      <c r="X6" s="12"/>
      <c r="Y6" s="12"/>
      <c r="Z6" s="12"/>
      <c r="AA6" s="12"/>
      <c r="AB6" s="12"/>
      <c r="AC6" s="13"/>
    </row>
    <row r="7" spans="1:29" s="10" customFormat="1" ht="15">
      <c r="A7" s="9">
        <v>1</v>
      </c>
      <c r="B7" s="137">
        <v>3</v>
      </c>
      <c r="C7" s="142" t="s">
        <v>889</v>
      </c>
      <c r="D7" s="82" t="str">
        <f>IFERROR(VLOOKUP($C7,Code!$H:$K,2,FALSE),"")</f>
        <v/>
      </c>
      <c r="E7" s="83" t="str">
        <f>IFERROR(VLOOKUP($C7,Code!$H:$K,3,FALSE),"")</f>
        <v/>
      </c>
      <c r="F7" s="84" t="str">
        <f>IFERROR(VLOOKUP($C7,Code!$H:$K,4,FALSE),"")</f>
        <v>Jason</v>
      </c>
      <c r="G7" s="128">
        <f>_xlfn.IFNA(((VLOOKUP($C7,Code!$H:$Q,9,FALSE))+(VLOOKUP($C7,Code!$H:$Q,10,FALSE)))/2*0.5/(((VLOOKUP($C7,Code!$H:$Q,7,FALSE))+(VLOOKUP($C7,Code!$H:$Q,8,FALSE)))/2),0)</f>
        <v>0.55055594162612931</v>
      </c>
      <c r="H7" s="87" t="str">
        <f t="shared" si="0"/>
        <v>M</v>
      </c>
      <c r="I7" s="128">
        <f>_xlfn.IFNA((VLOOKUP($C7,Code!$H:$Q,5,FALSE))/(((VLOOKUP($C7,Code!$H:$Q,7,FALSE))+(VLOOKUP($C7,Code!$H:$Q,8,FALSE)))/2)-G7,0)</f>
        <v>0.26911049339819315</v>
      </c>
      <c r="J7" s="55" t="str">
        <f>IFERROR(POWER((VLOOKUP(C7,Code!H:W,12,FALSE))/(VLOOKUP(C7,Code!H:W,15,FALSE)),1/(P7-1))-1,"")</f>
        <v/>
      </c>
      <c r="K7" s="55" t="str">
        <f>IFERROR(POWER((VLOOKUP(C7,Code!H:W,13,FALSE))/(VLOOKUP(C7,Code!H:W,16,FALSE)),1/(P7-1))-1,"")</f>
        <v/>
      </c>
      <c r="L7" s="75" t="str">
        <f>IFERROR(VLOOKUP(C7,Code!H:W,13,FALSE)*4/VLOOKUP(C7,Code!H:W,12,FALSE),"")</f>
        <v/>
      </c>
      <c r="M7" s="55" t="str">
        <f t="shared" si="1"/>
        <v/>
      </c>
      <c r="N7" s="55" t="str">
        <f t="shared" si="2"/>
        <v/>
      </c>
      <c r="O7" s="55" t="str">
        <f t="shared" si="3"/>
        <v/>
      </c>
      <c r="P7" s="70">
        <f>IFERROR(YEARFRAC(VLOOKUP(C7,Code!H:W,11,FALSE),VLOOKUP(C7,Code!H:W,14,FALSE),3),"")</f>
        <v>0</v>
      </c>
      <c r="Q7" s="2">
        <v>44547</v>
      </c>
      <c r="R7" s="85" t="str">
        <f t="shared" ca="1" si="4"/>
        <v/>
      </c>
      <c r="S7" s="86">
        <f>IFERROR(VLOOKUP($C7,Code!$H:$Q,5,FALSE),"")</f>
        <v>0.4718</v>
      </c>
      <c r="T7" s="88" t="str">
        <f t="shared" ca="1" si="5"/>
        <v/>
      </c>
      <c r="U7" s="89" t="str">
        <f t="shared" ca="1" si="6"/>
        <v/>
      </c>
      <c r="V7" s="90">
        <f>IFERROR(VLOOKUP($C7,Code!$H:$Q,6,FALSE),"")</f>
        <v>0</v>
      </c>
      <c r="W7" s="91" t="str">
        <f t="shared" ca="1" si="7"/>
        <v/>
      </c>
      <c r="X7" s="12"/>
      <c r="Y7" s="12"/>
      <c r="Z7" s="12"/>
      <c r="AA7" s="12"/>
      <c r="AB7" s="12"/>
      <c r="AC7" s="13"/>
    </row>
    <row r="8" spans="1:29" s="10" customFormat="1" ht="15">
      <c r="A8" s="9">
        <v>1</v>
      </c>
      <c r="B8" s="137">
        <v>3</v>
      </c>
      <c r="C8" s="142" t="s">
        <v>633</v>
      </c>
      <c r="D8" s="82" t="str">
        <f>IFERROR(VLOOKUP($C8,Code!$H:$K,2,FALSE),"")</f>
        <v/>
      </c>
      <c r="E8" s="83" t="str">
        <f>IFERROR(VLOOKUP($C8,Code!$H:$K,3,FALSE),"")</f>
        <v/>
      </c>
      <c r="F8" s="84" t="str">
        <f>IFERROR(VLOOKUP($C8,Code!$H:$K,4,FALSE),"")</f>
        <v>Jason</v>
      </c>
      <c r="G8" s="128">
        <f>_xlfn.IFNA(((VLOOKUP($C8,Code!$H:$Q,9,FALSE))+(VLOOKUP($C8,Code!$H:$Q,10,FALSE)))/2*0.5/(((VLOOKUP($C8,Code!$H:$Q,7,FALSE))+(VLOOKUP($C8,Code!$H:$Q,8,FALSE)))/2),0)</f>
        <v>0.58227471218737592</v>
      </c>
      <c r="H8" s="87" t="str">
        <f t="shared" si="0"/>
        <v>M</v>
      </c>
      <c r="I8" s="128">
        <f>_xlfn.IFNA((VLOOKUP($C8,Code!$H:$Q,5,FALSE))/(((VLOOKUP($C8,Code!$H:$Q,7,FALSE))+(VLOOKUP($C8,Code!$H:$Q,8,FALSE)))/2)-G8,0)</f>
        <v>0.24652639936482723</v>
      </c>
      <c r="J8" s="55" t="str">
        <f>IFERROR(POWER((VLOOKUP(C8,Code!H:W,12,FALSE))/(VLOOKUP(C8,Code!H:W,15,FALSE)),1/(P8-1))-1,"")</f>
        <v/>
      </c>
      <c r="K8" s="55" t="str">
        <f>IFERROR(POWER((VLOOKUP(C8,Code!H:W,13,FALSE))/(VLOOKUP(C8,Code!H:W,16,FALSE)),1/(P8-1))-1,"")</f>
        <v/>
      </c>
      <c r="L8" s="75" t="str">
        <f>IFERROR(VLOOKUP(C8,Code!H:W,13,FALSE)*4/VLOOKUP(C8,Code!H:W,12,FALSE),"")</f>
        <v/>
      </c>
      <c r="M8" s="55" t="str">
        <f t="shared" si="1"/>
        <v/>
      </c>
      <c r="N8" s="55" t="str">
        <f t="shared" si="2"/>
        <v/>
      </c>
      <c r="O8" s="55" t="str">
        <f t="shared" si="3"/>
        <v/>
      </c>
      <c r="P8" s="70">
        <f>IFERROR(YEARFRAC(VLOOKUP(C8,Code!H:W,11,FALSE),VLOOKUP(C8,Code!H:W,14,FALSE),3),"")</f>
        <v>0</v>
      </c>
      <c r="Q8" s="2">
        <v>44547</v>
      </c>
      <c r="R8" s="85" t="str">
        <f t="shared" ca="1" si="4"/>
        <v/>
      </c>
      <c r="S8" s="86">
        <f>IFERROR(VLOOKUP($C8,Code!$H:$Q,5,FALSE),"")</f>
        <v>0.83509999999999995</v>
      </c>
      <c r="T8" s="88" t="str">
        <f t="shared" ca="1" si="5"/>
        <v/>
      </c>
      <c r="U8" s="89" t="str">
        <f t="shared" ca="1" si="6"/>
        <v/>
      </c>
      <c r="V8" s="90">
        <f>IFERROR(VLOOKUP($C8,Code!$H:$Q,6,FALSE),"")</f>
        <v>0</v>
      </c>
      <c r="W8" s="91" t="str">
        <f t="shared" ca="1" si="7"/>
        <v/>
      </c>
      <c r="X8" s="12"/>
      <c r="Y8" s="12"/>
      <c r="Z8" s="12"/>
      <c r="AA8" s="12"/>
      <c r="AB8" s="12"/>
      <c r="AC8" s="13"/>
    </row>
    <row r="9" spans="1:29" s="10" customFormat="1" ht="15">
      <c r="A9" s="9">
        <v>1</v>
      </c>
      <c r="B9" s="137">
        <v>3</v>
      </c>
      <c r="C9" s="142" t="s">
        <v>545</v>
      </c>
      <c r="D9" s="82" t="str">
        <f>IFERROR(VLOOKUP($C9,Code!$H:$K,2,FALSE),"")</f>
        <v/>
      </c>
      <c r="E9" s="83" t="str">
        <f>IFERROR(VLOOKUP($C9,Code!$H:$K,3,FALSE),"")</f>
        <v>疫苗</v>
      </c>
      <c r="F9" s="84" t="str">
        <f>IFERROR(VLOOKUP($C9,Code!$H:$K,4,FALSE),"")</f>
        <v>Jason</v>
      </c>
      <c r="G9" s="128">
        <f>_xlfn.IFNA(((VLOOKUP($C9,Code!$H:$Q,9,FALSE))+(VLOOKUP($C9,Code!$H:$Q,10,FALSE)))/2*0.5/(((VLOOKUP($C9,Code!$H:$Q,7,FALSE))+(VLOOKUP($C9,Code!$H:$Q,8,FALSE)))/2),0)</f>
        <v>0.69972305561966308</v>
      </c>
      <c r="H9" s="87" t="str">
        <f t="shared" si="0"/>
        <v>L</v>
      </c>
      <c r="I9" s="128">
        <f>_xlfn.IFNA((VLOOKUP($C9,Code!$H:$Q,5,FALSE))/(((VLOOKUP($C9,Code!$H:$Q,7,FALSE))+(VLOOKUP($C9,Code!$H:$Q,8,FALSE)))/2)-G9,0)</f>
        <v>5.735056542810979E-2</v>
      </c>
      <c r="J9" s="55" t="str">
        <f>IFERROR(POWER((VLOOKUP(C9,Code!H:W,12,FALSE))/(VLOOKUP(C9,Code!H:W,15,FALSE)),1/(P9-1))-1,"")</f>
        <v/>
      </c>
      <c r="K9" s="55" t="str">
        <f>IFERROR(POWER((VLOOKUP(C9,Code!H:W,13,FALSE))/(VLOOKUP(C9,Code!H:W,16,FALSE)),1/(P9-1))-1,"")</f>
        <v/>
      </c>
      <c r="L9" s="75" t="str">
        <f>IFERROR(VLOOKUP(C9,Code!H:W,13,FALSE)*4/VLOOKUP(C9,Code!H:W,12,FALSE),"")</f>
        <v/>
      </c>
      <c r="M9" s="55" t="str">
        <f t="shared" si="1"/>
        <v/>
      </c>
      <c r="N9" s="55" t="str">
        <f t="shared" si="2"/>
        <v/>
      </c>
      <c r="O9" s="55" t="str">
        <f t="shared" si="3"/>
        <v/>
      </c>
      <c r="P9" s="70">
        <f>IFERROR(YEARFRAC(VLOOKUP(C9,Code!H:W,11,FALSE),VLOOKUP(C9,Code!H:W,14,FALSE),3),"")</f>
        <v>0</v>
      </c>
      <c r="Q9" s="2">
        <v>44547</v>
      </c>
      <c r="R9" s="85" t="str">
        <f t="shared" ca="1" si="4"/>
        <v/>
      </c>
      <c r="S9" s="86">
        <f>IFERROR(VLOOKUP($C9,Code!$H:$Q,5,FALSE),"")</f>
        <v>0.82010000000000005</v>
      </c>
      <c r="T9" s="88" t="str">
        <f t="shared" ca="1" si="5"/>
        <v/>
      </c>
      <c r="U9" s="89" t="str">
        <f t="shared" ca="1" si="6"/>
        <v/>
      </c>
      <c r="V9" s="90">
        <f>IFERROR(VLOOKUP($C9,Code!$H:$Q,6,FALSE),"")</f>
        <v>0</v>
      </c>
      <c r="W9" s="91" t="str">
        <f t="shared" ca="1" si="7"/>
        <v/>
      </c>
      <c r="X9" s="12"/>
      <c r="Y9" s="12"/>
      <c r="Z9" s="12"/>
      <c r="AA9" s="12"/>
      <c r="AB9" s="12"/>
      <c r="AC9" s="13"/>
    </row>
    <row r="10" spans="1:29" s="10" customFormat="1" ht="15">
      <c r="A10" s="9">
        <v>1</v>
      </c>
      <c r="B10" s="137">
        <v>3</v>
      </c>
      <c r="C10" s="142" t="s">
        <v>543</v>
      </c>
      <c r="D10" s="82" t="str">
        <f>IFERROR(VLOOKUP($C10,Code!$H:$K,2,FALSE),"")</f>
        <v/>
      </c>
      <c r="E10" s="83" t="str">
        <f>IFERROR(VLOOKUP($C10,Code!$H:$K,3,FALSE),"")</f>
        <v>商業物聯網</v>
      </c>
      <c r="F10" s="84" t="str">
        <f>IFERROR(VLOOKUP($C10,Code!$H:$K,4,FALSE),"")</f>
        <v>ARK</v>
      </c>
      <c r="G10" s="128">
        <f>_xlfn.IFNA(((VLOOKUP($C10,Code!$H:$Q,9,FALSE))+(VLOOKUP($C10,Code!$H:$Q,10,FALSE)))/2*0.5/(((VLOOKUP($C10,Code!$H:$Q,7,FALSE))+(VLOOKUP($C10,Code!$H:$Q,8,FALSE)))/2),0)</f>
        <v>0.66749425858109357</v>
      </c>
      <c r="H10" s="87" t="str">
        <f t="shared" si="0"/>
        <v>L</v>
      </c>
      <c r="I10" s="128">
        <f>_xlfn.IFNA((VLOOKUP($C10,Code!$H:$Q,5,FALSE))/(((VLOOKUP($C10,Code!$H:$Q,7,FALSE))+(VLOOKUP($C10,Code!$H:$Q,8,FALSE)))/2)-G10,0)</f>
        <v>-8.0938489230960142E-2</v>
      </c>
      <c r="J10" s="55" t="str">
        <f>IFERROR(POWER((VLOOKUP(C10,Code!H:W,12,FALSE))/(VLOOKUP(C10,Code!H:W,15,FALSE)),1/(P10-1))-1,"")</f>
        <v/>
      </c>
      <c r="K10" s="55" t="str">
        <f>IFERROR(POWER((VLOOKUP(C10,Code!H:W,13,FALSE))/(VLOOKUP(C10,Code!H:W,16,FALSE)),1/(P10-1))-1,"")</f>
        <v/>
      </c>
      <c r="L10" s="75" t="str">
        <f>IFERROR(VLOOKUP(C10,Code!H:W,13,FALSE)*4/VLOOKUP(C10,Code!H:W,12,FALSE),"")</f>
        <v/>
      </c>
      <c r="M10" s="55" t="str">
        <f t="shared" si="1"/>
        <v/>
      </c>
      <c r="N10" s="55" t="str">
        <f t="shared" si="2"/>
        <v/>
      </c>
      <c r="O10" s="55" t="str">
        <f t="shared" si="3"/>
        <v/>
      </c>
      <c r="P10" s="70">
        <f>IFERROR(YEARFRAC(VLOOKUP(C10,Code!H:W,11,FALSE),VLOOKUP(C10,Code!H:W,14,FALSE),3),"")</f>
        <v>0</v>
      </c>
      <c r="Q10" s="2">
        <v>44547</v>
      </c>
      <c r="R10" s="85" t="str">
        <f t="shared" ca="1" si="4"/>
        <v/>
      </c>
      <c r="S10" s="86">
        <f>IFERROR(VLOOKUP($C10,Code!$H:$Q,5,FALSE),"")</f>
        <v>0.47249999999999998</v>
      </c>
      <c r="T10" s="88" t="str">
        <f t="shared" ca="1" si="5"/>
        <v/>
      </c>
      <c r="U10" s="89" t="str">
        <f t="shared" ca="1" si="6"/>
        <v/>
      </c>
      <c r="V10" s="90">
        <f>IFERROR(VLOOKUP($C10,Code!$H:$Q,6,FALSE),"")</f>
        <v>0</v>
      </c>
      <c r="W10" s="91" t="str">
        <f t="shared" ca="1" si="7"/>
        <v/>
      </c>
      <c r="X10" s="12"/>
      <c r="Y10" s="12"/>
      <c r="Z10" s="12"/>
      <c r="AA10" s="12"/>
      <c r="AB10" s="12"/>
      <c r="AC10" s="13"/>
    </row>
    <row r="11" spans="1:29" s="10" customFormat="1" ht="15" hidden="1">
      <c r="A11" s="9">
        <v>2</v>
      </c>
      <c r="B11" s="137">
        <v>5</v>
      </c>
      <c r="C11" s="142" t="s">
        <v>546</v>
      </c>
      <c r="D11" s="82" t="str">
        <f>IFERROR(VLOOKUP($C11,Code!$H:$K,2,FALSE),"")</f>
        <v/>
      </c>
      <c r="E11" s="83" t="str">
        <f>IFERROR(VLOOKUP($C11,Code!$H:$K,3,FALSE),"")</f>
        <v>其它</v>
      </c>
      <c r="F11" s="84" t="str">
        <f>IFERROR(VLOOKUP($C11,Code!$H:$K,4,FALSE),"")</f>
        <v>JIT</v>
      </c>
      <c r="G11" s="128">
        <f>_xlfn.IFNA(((VLOOKUP($C11,Code!$H:$Q,9,FALSE))+(VLOOKUP($C11,Code!$H:$Q,10,FALSE)))/2*0.5/(((VLOOKUP($C11,Code!$H:$Q,7,FALSE))+(VLOOKUP($C11,Code!$H:$Q,8,FALSE)))/2),0)</f>
        <v>0.74078231292516994</v>
      </c>
      <c r="H11" s="87" t="str">
        <f t="shared" ref="H11:H67" si="8">IFERROR(IF(G11&gt;9E+306,"",IF(G11&gt;70%,"XL",IF(G11&gt;60%,"L",IF(G11&gt;50%,"M",IF(G11&gt;0%,"S",""))))),"")</f>
        <v>XL</v>
      </c>
      <c r="I11" s="128">
        <f>_xlfn.IFNA((VLOOKUP($C11,Code!$H:$Q,5,FALSE))/(((VLOOKUP($C11,Code!$H:$Q,7,FALSE))+(VLOOKUP($C11,Code!$H:$Q,8,FALSE)))/2)-G11,0)</f>
        <v>0.48642857142857154</v>
      </c>
      <c r="J11" s="55" t="str">
        <f>IFERROR(POWER((VLOOKUP(C11,Code!H:W,12,FALSE))/(VLOOKUP(C11,Code!H:W,15,FALSE)),1/(P11-1))-1,"")</f>
        <v/>
      </c>
      <c r="K11" s="55" t="str">
        <f>IFERROR(POWER((VLOOKUP(C11,Code!H:W,13,FALSE))/(VLOOKUP(C11,Code!H:W,16,FALSE)),1/(P11-1))-1,"")</f>
        <v/>
      </c>
      <c r="L11" s="75" t="str">
        <f>IFERROR(VLOOKUP(C11,Code!H:W,13,FALSE)*4/VLOOKUP(C11,Code!H:W,12,FALSE),"")</f>
        <v/>
      </c>
      <c r="M11" s="55" t="str">
        <f t="shared" ref="M11:M67" si="9">IF(SUM(J11:K11)=0,"",SUM(J11:K11))</f>
        <v/>
      </c>
      <c r="N11" s="55" t="str">
        <f t="shared" ref="N11:N67" si="10">IFERROR(IF(L11&gt;3%,IF((K11+L11)&gt;12%,"Venture","-"),"-"),"")</f>
        <v/>
      </c>
      <c r="O11" s="55" t="str">
        <f t="shared" ref="O11:O67" si="11">IFERROR(IF(OR(L11&lt;3%,L11=""),IF((K11+L11)&gt;15%,"Value","-"),"-"),"")</f>
        <v/>
      </c>
      <c r="P11" s="70">
        <f>IFERROR(YEARFRAC(VLOOKUP(C11,Code!H:W,11,FALSE),VLOOKUP(C11,Code!H:W,14,FALSE),3),"")</f>
        <v>0</v>
      </c>
      <c r="Q11" s="2">
        <v>44456</v>
      </c>
      <c r="R11" s="85" t="str">
        <f t="shared" ref="R11:R67" ca="1" si="12">IFERROR(IF(OR(_xlfn.DAYS(Q11,TODAY())+1&lt;0,C11=0),"",_xlfn.DAYS(Q11,TODAY())+1),"")</f>
        <v/>
      </c>
      <c r="S11" s="86">
        <f>IFERROR(VLOOKUP($C11,Code!$H:$Q,5,FALSE),"")</f>
        <v>0.90200000000000002</v>
      </c>
      <c r="T11" s="88" t="str">
        <f t="shared" ref="T11:T67" ca="1" si="13">IFERROR(IF(V11*S11*SQRT(R11/365)=0,"",V11*S11*SQRT(R11/365)),"")</f>
        <v/>
      </c>
      <c r="U11" s="89" t="str">
        <f t="shared" ref="U11:U67" ca="1" si="14">IFERROR(V11-T11,"")</f>
        <v/>
      </c>
      <c r="V11" s="90">
        <f>IFERROR(VLOOKUP($C11,Code!$H:$Q,6,FALSE),"")</f>
        <v>8.61</v>
      </c>
      <c r="W11" s="91" t="str">
        <f t="shared" ref="W11:W67" ca="1" si="15">IFERROR(V11+T11,"")</f>
        <v/>
      </c>
      <c r="X11" s="145"/>
      <c r="Y11" s="12"/>
      <c r="Z11" s="12"/>
      <c r="AA11" s="12"/>
      <c r="AB11" s="12"/>
    </row>
    <row r="12" spans="1:29" s="10" customFormat="1" ht="15" hidden="1">
      <c r="A12" s="9">
        <v>2</v>
      </c>
      <c r="B12" s="137">
        <v>2</v>
      </c>
      <c r="C12" s="142" t="s">
        <v>699</v>
      </c>
      <c r="D12" s="82" t="str">
        <f>IFERROR(VLOOKUP($C12,Code!$H:$K,2,FALSE),"")</f>
        <v>XLK</v>
      </c>
      <c r="E12" s="83" t="str">
        <f>IFERROR(VLOOKUP($C12,Code!$H:$K,3,FALSE),"")</f>
        <v>半導體</v>
      </c>
      <c r="F12" s="84" t="str">
        <f>IFERROR(VLOOKUP($C12,Code!$H:$K,4,FALSE),"")</f>
        <v>.SPX</v>
      </c>
      <c r="G12" s="128">
        <f>_xlfn.IFNA(((VLOOKUP($C12,Code!$H:$Q,9,FALSE))+(VLOOKUP($C12,Code!$H:$Q,10,FALSE)))/2*0.5/(((VLOOKUP($C12,Code!$H:$Q,7,FALSE))+(VLOOKUP($C12,Code!$H:$Q,8,FALSE)))/2),0)</f>
        <v>0.61235955056179769</v>
      </c>
      <c r="H12" s="87" t="str">
        <f t="shared" si="8"/>
        <v>L</v>
      </c>
      <c r="I12" s="128">
        <f>_xlfn.IFNA((VLOOKUP($C12,Code!$H:$Q,5,FALSE))/(((VLOOKUP($C12,Code!$H:$Q,7,FALSE))+(VLOOKUP($C12,Code!$H:$Q,8,FALSE)))/2)-G12,0)</f>
        <v>0.29475655430711611</v>
      </c>
      <c r="J12" s="55" t="str">
        <f>IFERROR(POWER((VLOOKUP(C12,Code!H:W,12,FALSE))/(VLOOKUP(C12,Code!H:W,15,FALSE)),1/(P12-1))-1,"")</f>
        <v/>
      </c>
      <c r="K12" s="55" t="str">
        <f>IFERROR(POWER((VLOOKUP(C12,Code!H:W,13,FALSE))/(VLOOKUP(C12,Code!H:W,16,FALSE)),1/(P12-1))-1,"")</f>
        <v/>
      </c>
      <c r="L12" s="75" t="str">
        <f>IFERROR(VLOOKUP(C12,Code!H:W,13,FALSE)*4/VLOOKUP(C12,Code!H:W,12,FALSE),"")</f>
        <v/>
      </c>
      <c r="M12" s="55" t="str">
        <f t="shared" si="9"/>
        <v/>
      </c>
      <c r="N12" s="55" t="str">
        <f t="shared" si="10"/>
        <v/>
      </c>
      <c r="O12" s="55" t="str">
        <f t="shared" si="11"/>
        <v/>
      </c>
      <c r="P12" s="196">
        <f>IFERROR(YEARFRAC(VLOOKUP(C12,Code!H:W,11,FALSE),VLOOKUP(C12,Code!H:W,14,FALSE),3),"")</f>
        <v>0</v>
      </c>
      <c r="Q12" s="2">
        <v>44428</v>
      </c>
      <c r="R12" s="85" t="str">
        <f t="shared" ca="1" si="12"/>
        <v/>
      </c>
      <c r="S12" s="86">
        <f>IFERROR(VLOOKUP($C12,Code!$H:$Q,5,FALSE),"")</f>
        <v>0.36330000000000001</v>
      </c>
      <c r="T12" s="88" t="str">
        <f t="shared" ca="1" si="13"/>
        <v/>
      </c>
      <c r="U12" s="89" t="str">
        <f t="shared" ca="1" si="14"/>
        <v/>
      </c>
      <c r="V12" s="90">
        <f>IFERROR(VLOOKUP($C12,Code!$H:$Q,6,FALSE),"")</f>
        <v>106.22</v>
      </c>
      <c r="W12" s="91" t="str">
        <f t="shared" ca="1" si="15"/>
        <v/>
      </c>
      <c r="X12" s="12"/>
      <c r="Y12" s="12"/>
      <c r="Z12" s="12"/>
      <c r="AA12" s="12"/>
      <c r="AB12" s="12"/>
    </row>
    <row r="13" spans="1:29" s="10" customFormat="1" ht="15" hidden="1">
      <c r="A13" s="9">
        <v>2</v>
      </c>
      <c r="B13" s="137">
        <v>2</v>
      </c>
      <c r="C13" s="142" t="s">
        <v>640</v>
      </c>
      <c r="D13" s="82" t="str">
        <f>IFERROR(VLOOKUP($C13,Code!$H:$K,2,FALSE),"")</f>
        <v/>
      </c>
      <c r="E13" s="83" t="str">
        <f>IFERROR(VLOOKUP($C13,Code!$H:$K,3,FALSE),"")</f>
        <v/>
      </c>
      <c r="F13" s="84" t="str">
        <f>IFERROR(VLOOKUP($C13,Code!$H:$K,4,FALSE),"")</f>
        <v>Jason</v>
      </c>
      <c r="G13" s="128">
        <f>_xlfn.IFNA(((VLOOKUP($C13,Code!$H:$Q,9,FALSE))+(VLOOKUP($C13,Code!$H:$Q,10,FALSE)))/2*0.5/(((VLOOKUP($C13,Code!$H:$Q,7,FALSE))+(VLOOKUP($C13,Code!$H:$Q,8,FALSE)))/2),0)</f>
        <v>0.50670035149384896</v>
      </c>
      <c r="H13" s="87" t="str">
        <f t="shared" si="8"/>
        <v>M</v>
      </c>
      <c r="I13" s="128">
        <f>_xlfn.IFNA((VLOOKUP($C13,Code!$H:$Q,5,FALSE))/(((VLOOKUP($C13,Code!$H:$Q,7,FALSE))+(VLOOKUP($C13,Code!$H:$Q,8,FALSE)))/2)-G13,0)</f>
        <v>0.41003954305799639</v>
      </c>
      <c r="J13" s="55" t="str">
        <f>IFERROR(POWER((VLOOKUP(C13,Code!H:W,12,FALSE))/(VLOOKUP(C13,Code!H:W,15,FALSE)),1/(P13-1))-1,"")</f>
        <v/>
      </c>
      <c r="K13" s="55" t="str">
        <f>IFERROR(POWER((VLOOKUP(C13,Code!H:W,13,FALSE))/(VLOOKUP(C13,Code!H:W,16,FALSE)),1/(P13-1))-1,"")</f>
        <v/>
      </c>
      <c r="L13" s="75" t="str">
        <f>IFERROR(VLOOKUP(C13,Code!H:W,13,FALSE)*4/VLOOKUP(C13,Code!H:W,12,FALSE),"")</f>
        <v/>
      </c>
      <c r="M13" s="55" t="str">
        <f t="shared" si="9"/>
        <v/>
      </c>
      <c r="N13" s="55" t="str">
        <f t="shared" si="10"/>
        <v/>
      </c>
      <c r="O13" s="55" t="str">
        <f t="shared" si="11"/>
        <v/>
      </c>
      <c r="P13" s="70">
        <f>IFERROR(YEARFRAC(VLOOKUP(C13,Code!H:W,11,FALSE),VLOOKUP(C13,Code!H:W,14,FALSE),3),"")</f>
        <v>0</v>
      </c>
      <c r="Q13" s="2">
        <v>44428</v>
      </c>
      <c r="R13" s="85" t="str">
        <f t="shared" ca="1" si="12"/>
        <v/>
      </c>
      <c r="S13" s="86">
        <f>IFERROR(VLOOKUP($C13,Code!$H:$Q,5,FALSE),"")</f>
        <v>0.4173</v>
      </c>
      <c r="T13" s="88" t="str">
        <f t="shared" ca="1" si="13"/>
        <v/>
      </c>
      <c r="U13" s="89" t="str">
        <f t="shared" ca="1" si="14"/>
        <v/>
      </c>
      <c r="V13" s="90">
        <f>IFERROR(VLOOKUP($C13,Code!$H:$Q,6,FALSE),"")</f>
        <v>77.17</v>
      </c>
      <c r="W13" s="91" t="str">
        <f t="shared" ca="1" si="15"/>
        <v/>
      </c>
      <c r="X13" s="12"/>
      <c r="Y13" s="12"/>
      <c r="Z13" s="12"/>
      <c r="AA13" s="12"/>
      <c r="AB13" s="12"/>
    </row>
    <row r="14" spans="1:29" s="10" customFormat="1" ht="15" hidden="1">
      <c r="A14" s="9">
        <v>2</v>
      </c>
      <c r="B14" s="137">
        <v>1</v>
      </c>
      <c r="C14" s="142" t="s">
        <v>239</v>
      </c>
      <c r="D14" s="82" t="str">
        <f>IFERROR(VLOOKUP($C14,Code!$H:$K,2,FALSE),"")</f>
        <v>XLK</v>
      </c>
      <c r="E14" s="83" t="str">
        <f>IFERROR(VLOOKUP($C14,Code!$H:$K,3,FALSE),"")</f>
        <v>半導體</v>
      </c>
      <c r="F14" s="84" t="str">
        <f>IFERROR(VLOOKUP($C14,Code!$H:$K,4,FALSE),"")</f>
        <v>.SPX</v>
      </c>
      <c r="G14" s="128">
        <f>_xlfn.IFNA(((VLOOKUP($C14,Code!$H:$Q,9,FALSE))+(VLOOKUP($C14,Code!$H:$Q,10,FALSE)))/2*0.5/(((VLOOKUP($C14,Code!$H:$Q,7,FALSE))+(VLOOKUP($C14,Code!$H:$Q,8,FALSE)))/2),0)</f>
        <v>0.55779400654746902</v>
      </c>
      <c r="H14" s="87" t="str">
        <f t="shared" si="8"/>
        <v>M</v>
      </c>
      <c r="I14" s="128">
        <f>_xlfn.IFNA((VLOOKUP($C14,Code!$H:$Q,5,FALSE))/(((VLOOKUP($C14,Code!$H:$Q,7,FALSE))+(VLOOKUP($C14,Code!$H:$Q,8,FALSE)))/2)-G14,0)</f>
        <v>0.26869806094182835</v>
      </c>
      <c r="J14" s="55">
        <f>IFERROR(POWER((VLOOKUP(C14,Code!H:W,12,FALSE))/(VLOOKUP(C14,Code!H:W,15,FALSE)),1/(P14-1))-1,"")</f>
        <v>0.82390930161071063</v>
      </c>
      <c r="K14" s="304">
        <f>IFERROR(POWER((VLOOKUP(C14,Code!H:W,13,FALSE))/(VLOOKUP(C14,Code!H:W,16,FALSE)),1/(P14-1))-1,"")</f>
        <v>3.6028891970607102E-2</v>
      </c>
      <c r="L14" s="75">
        <f>IFERROR(VLOOKUP(C14,Code!H:W,13,FALSE)*4/VLOOKUP(C14,Code!H:W,12,FALSE),"")</f>
        <v>7.1476433163915646E-4</v>
      </c>
      <c r="M14" s="55">
        <f t="shared" si="9"/>
        <v>0.85993819358131773</v>
      </c>
      <c r="N14" s="55" t="str">
        <f t="shared" si="10"/>
        <v>-</v>
      </c>
      <c r="O14" s="55" t="str">
        <f t="shared" si="11"/>
        <v>-</v>
      </c>
      <c r="P14" s="196">
        <f>IFERROR(YEARFRAC(VLOOKUP(C14,Code!H:W,11,FALSE),VLOOKUP(C14,Code!H:W,14,FALSE),3),"")</f>
        <v>4.7726027397260271</v>
      </c>
      <c r="Q14" s="2">
        <v>44428</v>
      </c>
      <c r="R14" s="85" t="str">
        <f t="shared" ca="1" si="12"/>
        <v/>
      </c>
      <c r="S14" s="86">
        <f>IFERROR(VLOOKUP($C14,Code!$H:$Q,5,FALSE),"")</f>
        <v>0.32819999999999999</v>
      </c>
      <c r="T14" s="88" t="str">
        <f t="shared" ca="1" si="13"/>
        <v/>
      </c>
      <c r="U14" s="89" t="str">
        <f t="shared" ca="1" si="14"/>
        <v/>
      </c>
      <c r="V14" s="90">
        <f>IFERROR(VLOOKUP($C14,Code!$H:$Q,6,FALSE),"")</f>
        <v>222.42</v>
      </c>
      <c r="W14" s="91" t="str">
        <f t="shared" ca="1" si="15"/>
        <v/>
      </c>
      <c r="X14" s="12"/>
      <c r="Y14" s="12"/>
      <c r="Z14" s="12"/>
      <c r="AA14" s="12"/>
      <c r="AB14" s="12"/>
    </row>
    <row r="15" spans="1:29" s="10" customFormat="1" ht="15" hidden="1">
      <c r="A15" s="9">
        <v>2</v>
      </c>
      <c r="B15" s="137">
        <v>4</v>
      </c>
      <c r="C15" s="142" t="s">
        <v>1551</v>
      </c>
      <c r="D15" s="82" t="str">
        <f>IFERROR(VLOOKUP($C15,Code!$H:$K,2,FALSE),"")</f>
        <v/>
      </c>
      <c r="E15" s="83" t="str">
        <f>IFERROR(VLOOKUP($C15,Code!$H:$K,3,FALSE),"")</f>
        <v/>
      </c>
      <c r="F15" s="84" t="str">
        <f>IFERROR(VLOOKUP($C15,Code!$H:$K,4,FALSE),"")</f>
        <v>展</v>
      </c>
      <c r="G15" s="128">
        <f>_xlfn.IFNA(((VLOOKUP($C15,Code!$H:$Q,9,FALSE))+(VLOOKUP($C15,Code!$H:$Q,10,FALSE)))/2*0.5/(((VLOOKUP($C15,Code!$H:$Q,7,FALSE))+(VLOOKUP($C15,Code!$H:$Q,8,FALSE)))/2),0)</f>
        <v>0.4129176937825253</v>
      </c>
      <c r="H15" s="87" t="str">
        <f t="shared" si="8"/>
        <v>S</v>
      </c>
      <c r="I15" s="128">
        <f>_xlfn.IFNA((VLOOKUP($C15,Code!$H:$Q,5,FALSE))/(((VLOOKUP($C15,Code!$H:$Q,7,FALSE))+(VLOOKUP($C15,Code!$H:$Q,8,FALSE)))/2)-G15,0)</f>
        <v>0.25306422897836223</v>
      </c>
      <c r="J15" s="55">
        <f>IFERROR(POWER((VLOOKUP(C15,Code!H:W,12,FALSE))/(VLOOKUP(C15,Code!H:W,15,FALSE)),1/(P15-1))-1,"")</f>
        <v>0</v>
      </c>
      <c r="K15" s="55" t="str">
        <f>IFERROR(POWER((VLOOKUP(C15,Code!H:W,13,FALSE))/(VLOOKUP(C15,Code!H:W,16,FALSE)),1/(P15-1))-1,"")</f>
        <v/>
      </c>
      <c r="L15" s="75">
        <f>IFERROR(VLOOKUP(C15,Code!H:W,13,FALSE)*4/VLOOKUP(C15,Code!H:W,12,FALSE),"")</f>
        <v>0</v>
      </c>
      <c r="M15" s="55" t="str">
        <f t="shared" si="9"/>
        <v/>
      </c>
      <c r="N15" s="55" t="str">
        <f t="shared" si="10"/>
        <v>-</v>
      </c>
      <c r="O15" s="55" t="str">
        <f t="shared" si="11"/>
        <v/>
      </c>
      <c r="P15" s="196">
        <f>IFERROR(YEARFRAC(VLOOKUP(C15,Code!H:W,11,FALSE),VLOOKUP(C15,Code!H:W,14,FALSE),3),"")</f>
        <v>0</v>
      </c>
      <c r="Q15" s="2">
        <v>44428</v>
      </c>
      <c r="R15" s="85" t="str">
        <f t="shared" ca="1" si="12"/>
        <v/>
      </c>
      <c r="S15" s="86">
        <f>IFERROR(VLOOKUP($C15,Code!$H:$Q,5,FALSE),"")</f>
        <v>0.97260000000000002</v>
      </c>
      <c r="T15" s="88" t="str">
        <f t="shared" ca="1" si="13"/>
        <v/>
      </c>
      <c r="U15" s="89" t="str">
        <f t="shared" ca="1" si="14"/>
        <v/>
      </c>
      <c r="V15" s="90">
        <f>IFERROR(VLOOKUP($C15,Code!$H:$Q,6,FALSE),"")</f>
        <v>8.4499999999999993</v>
      </c>
      <c r="W15" s="91" t="str">
        <f t="shared" ca="1" si="15"/>
        <v/>
      </c>
      <c r="X15" s="12"/>
      <c r="Y15" s="12"/>
      <c r="Z15" s="12"/>
      <c r="AA15" s="12"/>
      <c r="AB15" s="12"/>
    </row>
    <row r="16" spans="1:29" s="10" customFormat="1" ht="15" hidden="1">
      <c r="A16" s="9">
        <v>2</v>
      </c>
      <c r="B16" s="137">
        <v>1</v>
      </c>
      <c r="C16" s="142" t="s">
        <v>1547</v>
      </c>
      <c r="D16" s="82" t="str">
        <f>IFERROR(VLOOKUP($C16,Code!$H:$K,2,FALSE),"")</f>
        <v/>
      </c>
      <c r="E16" s="83" t="str">
        <f>IFERROR(VLOOKUP($C16,Code!$H:$K,3,FALSE),"")</f>
        <v>商業物聯網</v>
      </c>
      <c r="F16" s="84" t="str">
        <f>IFERROR(VLOOKUP($C16,Code!$H:$K,4,FALSE),"")</f>
        <v>Jason</v>
      </c>
      <c r="G16" s="128">
        <f>_xlfn.IFNA(((VLOOKUP($C16,Code!$H:$Q,9,FALSE))+(VLOOKUP($C16,Code!$H:$Q,10,FALSE)))/2*0.5/(((VLOOKUP($C16,Code!$H:$Q,7,FALSE))+(VLOOKUP($C16,Code!$H:$Q,8,FALSE)))/2),0)</f>
        <v>0.51889836367826681</v>
      </c>
      <c r="H16" s="87" t="str">
        <f t="shared" si="8"/>
        <v>M</v>
      </c>
      <c r="I16" s="128">
        <f>_xlfn.IFNA((VLOOKUP($C16,Code!$H:$Q,5,FALSE))/(((VLOOKUP($C16,Code!$H:$Q,7,FALSE))+(VLOOKUP($C16,Code!$H:$Q,8,FALSE)))/2)-G16,0)</f>
        <v>0.54171468080202823</v>
      </c>
      <c r="J16" s="55" t="str">
        <f>IFERROR(POWER((VLOOKUP(C16,Code!H:W,12,FALSE))/(VLOOKUP(C16,Code!H:W,15,FALSE)),1/(P16-1))-1,"")</f>
        <v/>
      </c>
      <c r="K16" s="55" t="str">
        <f>IFERROR(POWER((VLOOKUP(C16,Code!H:W,13,FALSE))/(VLOOKUP(C16,Code!H:W,16,FALSE)),1/(P16-1))-1,"")</f>
        <v/>
      </c>
      <c r="L16" s="75" t="str">
        <f>IFERROR(VLOOKUP(C16,Code!H:W,13,FALSE)*4/VLOOKUP(C16,Code!H:W,12,FALSE),"")</f>
        <v/>
      </c>
      <c r="M16" s="55" t="str">
        <f t="shared" si="9"/>
        <v/>
      </c>
      <c r="N16" s="55" t="str">
        <f t="shared" si="10"/>
        <v/>
      </c>
      <c r="O16" s="55" t="str">
        <f t="shared" si="11"/>
        <v/>
      </c>
      <c r="P16" s="196">
        <f>IFERROR(YEARFRAC(VLOOKUP(C16,Code!H:W,11,FALSE),VLOOKUP(C16,Code!H:W,14,FALSE),3),"")</f>
        <v>0</v>
      </c>
      <c r="Q16" s="2">
        <v>44428</v>
      </c>
      <c r="R16" s="85" t="str">
        <f t="shared" ca="1" si="12"/>
        <v/>
      </c>
      <c r="S16" s="86">
        <f>IFERROR(VLOOKUP($C16,Code!$H:$Q,5,FALSE),"")</f>
        <v>0.4602</v>
      </c>
      <c r="T16" s="88" t="str">
        <f t="shared" ca="1" si="13"/>
        <v/>
      </c>
      <c r="U16" s="89" t="str">
        <f t="shared" ca="1" si="14"/>
        <v/>
      </c>
      <c r="V16" s="90">
        <f>IFERROR(VLOOKUP($C16,Code!$H:$Q,6,FALSE),"")</f>
        <v>156.26</v>
      </c>
      <c r="W16" s="91" t="str">
        <f t="shared" ca="1" si="15"/>
        <v/>
      </c>
      <c r="X16" s="14"/>
      <c r="Y16" s="12"/>
      <c r="Z16" s="12"/>
      <c r="AA16" s="12"/>
      <c r="AB16" s="12"/>
    </row>
    <row r="17" spans="1:29" s="10" customFormat="1" ht="15" hidden="1">
      <c r="A17" s="9">
        <v>2</v>
      </c>
      <c r="B17" s="137">
        <v>1</v>
      </c>
      <c r="C17" s="142" t="s">
        <v>641</v>
      </c>
      <c r="D17" s="82" t="str">
        <f>IFERROR(VLOOKUP($C17,Code!$H:$K,2,FALSE),"")</f>
        <v>XLV</v>
      </c>
      <c r="E17" s="83" t="str">
        <f>IFERROR(VLOOKUP($C17,Code!$H:$K,3,FALSE),"")</f>
        <v>生物技術</v>
      </c>
      <c r="F17" s="84" t="str">
        <f>IFERROR(VLOOKUP($C17,Code!$H:$K,4,FALSE),"")</f>
        <v>.SPX</v>
      </c>
      <c r="G17" s="128">
        <f>_xlfn.IFNA(((VLOOKUP($C17,Code!$H:$Q,9,FALSE))+(VLOOKUP($C17,Code!$H:$Q,10,FALSE)))/2*0.5/(((VLOOKUP($C17,Code!$H:$Q,7,FALSE))+(VLOOKUP($C17,Code!$H:$Q,8,FALSE)))/2),0)</f>
        <v>0.58887236518815467</v>
      </c>
      <c r="H17" s="87" t="str">
        <f t="shared" si="8"/>
        <v>M</v>
      </c>
      <c r="I17" s="128">
        <f>_xlfn.IFNA((VLOOKUP($C17,Code!$H:$Q,5,FALSE))/(((VLOOKUP($C17,Code!$H:$Q,7,FALSE))+(VLOOKUP($C17,Code!$H:$Q,8,FALSE)))/2)-G17,0)</f>
        <v>0.18262640631061688</v>
      </c>
      <c r="J17" s="55" t="str">
        <f>IFERROR(POWER((VLOOKUP(C17,Code!H:W,12,FALSE))/(VLOOKUP(C17,Code!H:W,15,FALSE)),1/(P17-1))-1,"")</f>
        <v/>
      </c>
      <c r="K17" s="55" t="str">
        <f>IFERROR(POWER((VLOOKUP(C17,Code!H:W,13,FALSE))/(VLOOKUP(C17,Code!H:W,16,FALSE)),1/(P17-1))-1,"")</f>
        <v/>
      </c>
      <c r="L17" s="75" t="str">
        <f>IFERROR(VLOOKUP(C17,Code!H:W,13,FALSE)*4/VLOOKUP(C17,Code!H:W,12,FALSE),"")</f>
        <v/>
      </c>
      <c r="M17" s="55" t="str">
        <f t="shared" si="9"/>
        <v/>
      </c>
      <c r="N17" s="55" t="str">
        <f t="shared" si="10"/>
        <v/>
      </c>
      <c r="O17" s="55" t="str">
        <f t="shared" si="11"/>
        <v/>
      </c>
      <c r="P17" s="70">
        <f>IFERROR(YEARFRAC(VLOOKUP(C17,Code!H:W,11,FALSE),VLOOKUP(C17,Code!H:W,14,FALSE),3),"")</f>
        <v>0</v>
      </c>
      <c r="Q17" s="2">
        <v>44428</v>
      </c>
      <c r="R17" s="85" t="str">
        <f t="shared" ca="1" si="12"/>
        <v/>
      </c>
      <c r="S17" s="86">
        <f>IFERROR(VLOOKUP($C17,Code!$H:$Q,5,FALSE),"")</f>
        <v>0.59660000000000002</v>
      </c>
      <c r="T17" s="88" t="str">
        <f t="shared" ca="1" si="13"/>
        <v/>
      </c>
      <c r="U17" s="89" t="str">
        <f t="shared" ca="1" si="14"/>
        <v/>
      </c>
      <c r="V17" s="90">
        <f>IFERROR(VLOOKUP($C17,Code!$H:$Q,6,FALSE),"")</f>
        <v>440.65</v>
      </c>
      <c r="W17" s="91" t="str">
        <f t="shared" ca="1" si="15"/>
        <v/>
      </c>
      <c r="X17" s="12"/>
      <c r="Y17" s="12"/>
      <c r="Z17" s="12"/>
      <c r="AA17" s="12"/>
      <c r="AB17" s="12"/>
    </row>
    <row r="18" spans="1:29" s="10" customFormat="1" ht="15" hidden="1">
      <c r="A18" s="9">
        <v>2</v>
      </c>
      <c r="B18" s="137">
        <v>2</v>
      </c>
      <c r="C18" s="142" t="s">
        <v>782</v>
      </c>
      <c r="D18" s="82" t="str">
        <f>IFERROR(VLOOKUP($C18,Code!$H:$K,2,FALSE),"")</f>
        <v/>
      </c>
      <c r="E18" s="83" t="str">
        <f>IFERROR(VLOOKUP($C18,Code!$H:$K,3,FALSE),"")</f>
        <v>工業務聯網</v>
      </c>
      <c r="F18" s="84" t="str">
        <f>IFERROR(VLOOKUP($C18,Code!$H:$K,4,FALSE),"")</f>
        <v>JIT</v>
      </c>
      <c r="G18" s="128">
        <f>_xlfn.IFNA(((VLOOKUP($C18,Code!$H:$Q,9,FALSE))+(VLOOKUP($C18,Code!$H:$Q,10,FALSE)))/2*0.5/(((VLOOKUP($C18,Code!$H:$Q,7,FALSE))+(VLOOKUP($C18,Code!$H:$Q,8,FALSE)))/2),0)</f>
        <v>0.42090562109646074</v>
      </c>
      <c r="H18" s="87" t="str">
        <f t="shared" si="8"/>
        <v>S</v>
      </c>
      <c r="I18" s="128">
        <f>_xlfn.IFNA((VLOOKUP($C18,Code!$H:$Q,5,FALSE))/(((VLOOKUP($C18,Code!$H:$Q,7,FALSE))+(VLOOKUP($C18,Code!$H:$Q,8,FALSE)))/2)-G18,0)</f>
        <v>1.8442054129077068E-2</v>
      </c>
      <c r="J18" s="55" t="str">
        <f>IFERROR(POWER((VLOOKUP(C18,Code!H:W,12,FALSE))/(VLOOKUP(C18,Code!H:W,15,FALSE)),1/(P18-1))-1,"")</f>
        <v/>
      </c>
      <c r="K18" s="55" t="str">
        <f>IFERROR(POWER((VLOOKUP(C18,Code!H:W,13,FALSE))/(VLOOKUP(C18,Code!H:W,16,FALSE)),1/(P18-1))-1,"")</f>
        <v/>
      </c>
      <c r="L18" s="75" t="str">
        <f>IFERROR(VLOOKUP(C18,Code!H:W,13,FALSE)*4/VLOOKUP(C18,Code!H:W,12,FALSE),"")</f>
        <v/>
      </c>
      <c r="M18" s="55" t="str">
        <f t="shared" si="9"/>
        <v/>
      </c>
      <c r="N18" s="55" t="str">
        <f t="shared" si="10"/>
        <v/>
      </c>
      <c r="O18" s="55" t="str">
        <f t="shared" si="11"/>
        <v/>
      </c>
      <c r="P18" s="70">
        <f>IFERROR(YEARFRAC(VLOOKUP(C18,Code!H:W,11,FALSE),VLOOKUP(C18,Code!H:W,14,FALSE),3),"")</f>
        <v>0</v>
      </c>
      <c r="Q18" s="2">
        <v>44428</v>
      </c>
      <c r="R18" s="85" t="str">
        <f t="shared" ca="1" si="12"/>
        <v/>
      </c>
      <c r="S18" s="86">
        <f>IFERROR(VLOOKUP($C18,Code!$H:$Q,5,FALSE),"")</f>
        <v>0.6331</v>
      </c>
      <c r="T18" s="88" t="str">
        <f t="shared" ca="1" si="13"/>
        <v/>
      </c>
      <c r="U18" s="89" t="str">
        <f t="shared" ca="1" si="14"/>
        <v/>
      </c>
      <c r="V18" s="90">
        <f>IFERROR(VLOOKUP($C18,Code!$H:$Q,6,FALSE),"")</f>
        <v>30.63</v>
      </c>
      <c r="W18" s="91" t="str">
        <f t="shared" ca="1" si="15"/>
        <v/>
      </c>
      <c r="X18" s="12"/>
      <c r="Y18" s="12"/>
      <c r="Z18" s="12"/>
      <c r="AA18" s="12"/>
      <c r="AB18" s="12"/>
    </row>
    <row r="19" spans="1:29" s="10" customFormat="1" ht="15" hidden="1">
      <c r="A19" s="9">
        <v>2</v>
      </c>
      <c r="B19" s="137">
        <v>1</v>
      </c>
      <c r="C19" s="142" t="s">
        <v>386</v>
      </c>
      <c r="D19" s="82" t="str">
        <f>IFERROR(VLOOKUP($C19,Code!$H:$K,2,FALSE),"")</f>
        <v>XLY</v>
      </c>
      <c r="E19" s="83" t="str">
        <f>IFERROR(VLOOKUP($C19,Code!$H:$K,3,FALSE),"")</f>
        <v>度假村和賭場</v>
      </c>
      <c r="F19" s="84" t="str">
        <f>IFERROR(VLOOKUP($C19,Code!$H:$K,4,FALSE),"")</f>
        <v>.SPX</v>
      </c>
      <c r="G19" s="128">
        <f>_xlfn.IFNA(((VLOOKUP($C19,Code!$H:$Q,9,FALSE))+(VLOOKUP($C19,Code!$H:$Q,10,FALSE)))/2*0.5/(((VLOOKUP($C19,Code!$H:$Q,7,FALSE))+(VLOOKUP($C19,Code!$H:$Q,8,FALSE)))/2),0)</f>
        <v>0.62636992075535325</v>
      </c>
      <c r="H19" s="87" t="str">
        <f t="shared" si="8"/>
        <v>L</v>
      </c>
      <c r="I19" s="128">
        <f>_xlfn.IFNA((VLOOKUP($C19,Code!$H:$Q,5,FALSE))/(((VLOOKUP($C19,Code!$H:$Q,7,FALSE))+(VLOOKUP($C19,Code!$H:$Q,8,FALSE)))/2)-G19,0)</f>
        <v>0.27061203844208404</v>
      </c>
      <c r="J19" s="55" t="str">
        <f>IFERROR(POWER((VLOOKUP(C19,Code!H:W,12,FALSE))/(VLOOKUP(C19,Code!H:W,15,FALSE)),1/(P19-1))-1,"")</f>
        <v/>
      </c>
      <c r="K19" s="55" t="str">
        <f>IFERROR(POWER((VLOOKUP(C19,Code!H:W,13,FALSE))/(VLOOKUP(C19,Code!H:W,16,FALSE)),1/(P19-1))-1,"")</f>
        <v/>
      </c>
      <c r="L19" s="75" t="str">
        <f>IFERROR(VLOOKUP(C19,Code!H:W,13,FALSE)*4/VLOOKUP(C19,Code!H:W,12,FALSE),"")</f>
        <v/>
      </c>
      <c r="M19" s="55" t="str">
        <f t="shared" si="9"/>
        <v/>
      </c>
      <c r="N19" s="55" t="str">
        <f t="shared" si="10"/>
        <v/>
      </c>
      <c r="O19" s="55" t="str">
        <f t="shared" si="11"/>
        <v/>
      </c>
      <c r="P19" s="70">
        <f>IFERROR(YEARFRAC(VLOOKUP(C19,Code!H:W,11,FALSE),VLOOKUP(C19,Code!H:W,14,FALSE),3),"")</f>
        <v>0</v>
      </c>
      <c r="Q19" s="2">
        <v>44428</v>
      </c>
      <c r="R19" s="85" t="str">
        <f t="shared" ca="1" si="12"/>
        <v/>
      </c>
      <c r="S19" s="86">
        <f>IFERROR(VLOOKUP($C19,Code!$H:$Q,5,FALSE),"")</f>
        <v>0.53200000000000003</v>
      </c>
      <c r="T19" s="88" t="str">
        <f t="shared" ca="1" si="13"/>
        <v/>
      </c>
      <c r="U19" s="89" t="str">
        <f t="shared" ca="1" si="14"/>
        <v/>
      </c>
      <c r="V19" s="90">
        <f>IFERROR(VLOOKUP($C19,Code!$H:$Q,6,FALSE),"")</f>
        <v>76.069999999999993</v>
      </c>
      <c r="W19" s="91" t="str">
        <f t="shared" ca="1" si="15"/>
        <v/>
      </c>
      <c r="X19" s="12"/>
      <c r="Y19" s="12"/>
      <c r="Z19" s="12"/>
      <c r="AA19" s="12"/>
      <c r="AB19" s="12"/>
    </row>
    <row r="20" spans="1:29" s="10" customFormat="1" ht="15" hidden="1">
      <c r="A20" s="9">
        <v>2</v>
      </c>
      <c r="B20" s="137">
        <v>3</v>
      </c>
      <c r="C20" s="142" t="s">
        <v>1566</v>
      </c>
      <c r="D20" s="82" t="str">
        <f>IFERROR(VLOOKUP($C20,Code!$H:$K,2,FALSE),"")</f>
        <v/>
      </c>
      <c r="E20" s="83" t="str">
        <f>IFERROR(VLOOKUP($C20,Code!$H:$K,3,FALSE),"")</f>
        <v/>
      </c>
      <c r="F20" s="84" t="str">
        <f>IFERROR(VLOOKUP($C20,Code!$H:$K,4,FALSE),"")</f>
        <v>Reina</v>
      </c>
      <c r="G20" s="128">
        <f>_xlfn.IFNA(((VLOOKUP($C20,Code!$H:$Q,9,FALSE))+(VLOOKUP($C20,Code!$H:$Q,10,FALSE)))/2*0.5/(((VLOOKUP($C20,Code!$H:$Q,7,FALSE))+(VLOOKUP($C20,Code!$H:$Q,8,FALSE)))/2),0)</f>
        <v>0.58221763281583816</v>
      </c>
      <c r="H20" s="87" t="str">
        <f t="shared" si="8"/>
        <v>M</v>
      </c>
      <c r="I20" s="128">
        <f>_xlfn.IFNA((VLOOKUP($C20,Code!$H:$Q,5,FALSE))/(((VLOOKUP($C20,Code!$H:$Q,7,FALSE))+(VLOOKUP($C20,Code!$H:$Q,8,FALSE)))/2)-G20,0)</f>
        <v>5.5583250249252147E-2</v>
      </c>
      <c r="J20" s="55" t="str">
        <f>IFERROR(POWER((VLOOKUP(C20,Code!H:W,12,FALSE))/(VLOOKUP(C20,Code!H:W,15,FALSE)),1/(P20-1))-1,"")</f>
        <v/>
      </c>
      <c r="K20" s="55" t="str">
        <f>IFERROR(POWER((VLOOKUP(C20,Code!H:W,13,FALSE))/(VLOOKUP(C20,Code!H:W,16,FALSE)),1/(P20-1))-1,"")</f>
        <v/>
      </c>
      <c r="L20" s="75" t="str">
        <f>IFERROR(VLOOKUP(C20,Code!H:W,13,FALSE)*4/VLOOKUP(C20,Code!H:W,12,FALSE),"")</f>
        <v/>
      </c>
      <c r="M20" s="55" t="str">
        <f t="shared" si="9"/>
        <v/>
      </c>
      <c r="N20" s="55" t="str">
        <f t="shared" si="10"/>
        <v/>
      </c>
      <c r="O20" s="55" t="str">
        <f t="shared" si="11"/>
        <v/>
      </c>
      <c r="P20" s="196">
        <f>IFERROR(YEARFRAC(VLOOKUP(C20,Code!H:W,11,FALSE),VLOOKUP(C20,Code!H:W,14,FALSE),3),"")</f>
        <v>0</v>
      </c>
      <c r="Q20" s="2">
        <v>44428</v>
      </c>
      <c r="R20" s="85" t="str">
        <f t="shared" ca="1" si="12"/>
        <v/>
      </c>
      <c r="S20" s="86">
        <f>IFERROR(VLOOKUP($C20,Code!$H:$Q,5,FALSE),"")</f>
        <v>0.44779999999999998</v>
      </c>
      <c r="T20" s="88" t="str">
        <f t="shared" ca="1" si="13"/>
        <v/>
      </c>
      <c r="U20" s="89" t="str">
        <f t="shared" ca="1" si="14"/>
        <v/>
      </c>
      <c r="V20" s="90">
        <f>IFERROR(VLOOKUP($C20,Code!$H:$Q,6,FALSE),"")</f>
        <v>134.44</v>
      </c>
      <c r="W20" s="91" t="str">
        <f t="shared" ca="1" si="15"/>
        <v/>
      </c>
      <c r="X20" s="12"/>
      <c r="Y20" s="12"/>
      <c r="Z20" s="12"/>
      <c r="AA20" s="12"/>
      <c r="AB20" s="12"/>
    </row>
    <row r="21" spans="1:29" s="10" customFormat="1" ht="15" hidden="1">
      <c r="A21" s="9">
        <v>2</v>
      </c>
      <c r="B21" s="137">
        <v>2</v>
      </c>
      <c r="C21" s="142" t="s">
        <v>888</v>
      </c>
      <c r="D21" s="82" t="str">
        <f>IFERROR(VLOOKUP($C21,Code!$H:$K,2,FALSE),"")</f>
        <v/>
      </c>
      <c r="E21" s="83" t="str">
        <f>IFERROR(VLOOKUP($C21,Code!$H:$K,3,FALSE),"")</f>
        <v/>
      </c>
      <c r="F21" s="84" t="str">
        <f>IFERROR(VLOOKUP($C21,Code!$H:$K,4,FALSE),"")</f>
        <v>Galloway</v>
      </c>
      <c r="G21" s="128">
        <f>_xlfn.IFNA(((VLOOKUP($C21,Code!$H:$Q,9,FALSE))+(VLOOKUP($C21,Code!$H:$Q,10,FALSE)))/2*0.5/(((VLOOKUP($C21,Code!$H:$Q,7,FALSE))+(VLOOKUP($C21,Code!$H:$Q,8,FALSE)))/2),0)</f>
        <v>0.51882541067015553</v>
      </c>
      <c r="H21" s="87" t="str">
        <f t="shared" si="8"/>
        <v>M</v>
      </c>
      <c r="I21" s="128">
        <f>_xlfn.IFNA((VLOOKUP($C21,Code!$H:$Q,5,FALSE))/(((VLOOKUP($C21,Code!$H:$Q,7,FALSE))+(VLOOKUP($C21,Code!$H:$Q,8,FALSE)))/2)-G21,0)</f>
        <v>0.24029655473179234</v>
      </c>
      <c r="J21" s="55" t="str">
        <f>IFERROR(POWER((VLOOKUP(C21,Code!H:W,12,FALSE))/(VLOOKUP(C21,Code!H:W,15,FALSE)),1/(P21-1))-1,"")</f>
        <v/>
      </c>
      <c r="K21" s="55" t="str">
        <f>IFERROR(POWER((VLOOKUP(C21,Code!H:W,13,FALSE))/(VLOOKUP(C21,Code!H:W,16,FALSE)),1/(P21-1))-1,"")</f>
        <v/>
      </c>
      <c r="L21" s="75" t="str">
        <f>IFERROR(VLOOKUP(C21,Code!H:W,13,FALSE)*4/VLOOKUP(C21,Code!H:W,12,FALSE),"")</f>
        <v/>
      </c>
      <c r="M21" s="55" t="str">
        <f t="shared" si="9"/>
        <v/>
      </c>
      <c r="N21" s="55" t="str">
        <f t="shared" si="10"/>
        <v/>
      </c>
      <c r="O21" s="55" t="str">
        <f t="shared" si="11"/>
        <v/>
      </c>
      <c r="P21" s="70">
        <f>IFERROR(YEARFRAC(VLOOKUP(C21,Code!H:W,11,FALSE),VLOOKUP(C21,Code!H:W,14,FALSE),3),"")</f>
        <v>0</v>
      </c>
      <c r="Q21" s="2">
        <v>44428</v>
      </c>
      <c r="R21" s="85" t="str">
        <f t="shared" ca="1" si="12"/>
        <v/>
      </c>
      <c r="S21" s="86">
        <f>IFERROR(VLOOKUP($C21,Code!$H:$Q,5,FALSE),"")</f>
        <v>0.5222</v>
      </c>
      <c r="T21" s="88" t="str">
        <f t="shared" ca="1" si="13"/>
        <v/>
      </c>
      <c r="U21" s="89" t="str">
        <f t="shared" ca="1" si="14"/>
        <v/>
      </c>
      <c r="V21" s="90">
        <f>IFERROR(VLOOKUP($C21,Code!$H:$Q,6,FALSE),"")</f>
        <v>104.92</v>
      </c>
      <c r="W21" s="91" t="str">
        <f t="shared" ca="1" si="15"/>
        <v/>
      </c>
      <c r="X21" s="12"/>
      <c r="Y21" s="12"/>
      <c r="Z21" s="12"/>
      <c r="AA21" s="12"/>
      <c r="AB21" s="12"/>
      <c r="AC21" s="10" t="s">
        <v>556</v>
      </c>
    </row>
    <row r="22" spans="1:29" s="10" customFormat="1" ht="15" hidden="1">
      <c r="A22" s="9">
        <v>2</v>
      </c>
      <c r="B22" s="137">
        <v>2</v>
      </c>
      <c r="C22" s="142" t="s">
        <v>58</v>
      </c>
      <c r="D22" s="82" t="str">
        <f>IFERROR(VLOOKUP($C22,Code!$H:$K,2,FALSE),"")</f>
        <v>XLV</v>
      </c>
      <c r="E22" s="83" t="str">
        <f>IFERROR(VLOOKUP($C22,Code!$H:$K,3,FALSE),"")</f>
        <v>藥品製造商— 常規</v>
      </c>
      <c r="F22" s="84" t="str">
        <f>IFERROR(VLOOKUP($C22,Code!$H:$K,4,FALSE),"")</f>
        <v>.SPX</v>
      </c>
      <c r="G22" s="128">
        <f>_xlfn.IFNA(((VLOOKUP($C22,Code!$H:$Q,9,FALSE))+(VLOOKUP($C22,Code!$H:$Q,10,FALSE)))/2*0.5/(((VLOOKUP($C22,Code!$H:$Q,7,FALSE))+(VLOOKUP($C22,Code!$H:$Q,8,FALSE)))/2),0)</f>
        <v>0.68225155848918229</v>
      </c>
      <c r="H22" s="87" t="str">
        <f t="shared" si="8"/>
        <v>L</v>
      </c>
      <c r="I22" s="128">
        <f>_xlfn.IFNA((VLOOKUP($C22,Code!$H:$Q,5,FALSE))/(((VLOOKUP($C22,Code!$H:$Q,7,FALSE))+(VLOOKUP($C22,Code!$H:$Q,8,FALSE)))/2)-G22,0)</f>
        <v>0.18133480014668124</v>
      </c>
      <c r="J22" s="55">
        <f>IFERROR(POWER((VLOOKUP(C22,Code!H:W,12,FALSE))/(VLOOKUP(C22,Code!H:W,15,FALSE)),1/(P22-1))-1,"")</f>
        <v>0.1709281426997098</v>
      </c>
      <c r="K22" s="55">
        <f>IFERROR(POWER((VLOOKUP(C22,Code!H:W,13,FALSE))/(VLOOKUP(C22,Code!H:W,16,FALSE)),1/(P22-1))-1,"")</f>
        <v>8.8271878465092879E-2</v>
      </c>
      <c r="L22" s="75">
        <f>IFERROR(VLOOKUP(C22,Code!H:W,13,FALSE)*4/VLOOKUP(C22,Code!H:W,12,FALSE),"")</f>
        <v>3.6457115368602841E-2</v>
      </c>
      <c r="M22" s="55">
        <f t="shared" si="9"/>
        <v>0.25920002116480267</v>
      </c>
      <c r="N22" s="55" t="str">
        <f t="shared" si="10"/>
        <v>Venture</v>
      </c>
      <c r="O22" s="55" t="str">
        <f t="shared" si="11"/>
        <v>-</v>
      </c>
      <c r="P22" s="196">
        <f>IFERROR(YEARFRAC(VLOOKUP(C22,Code!H:W,11,FALSE),VLOOKUP(C22,Code!H:W,14,FALSE),3),"")</f>
        <v>4.7232876712328764</v>
      </c>
      <c r="Q22" s="2">
        <v>44428</v>
      </c>
      <c r="R22" s="85" t="str">
        <f t="shared" ca="1" si="12"/>
        <v/>
      </c>
      <c r="S22" s="86">
        <f>IFERROR(VLOOKUP($C22,Code!$H:$Q,5,FALSE),"")</f>
        <v>0.23549999999999999</v>
      </c>
      <c r="T22" s="88" t="str">
        <f t="shared" ca="1" si="13"/>
        <v/>
      </c>
      <c r="U22" s="89" t="str">
        <f t="shared" ca="1" si="14"/>
        <v/>
      </c>
      <c r="V22" s="90">
        <f>IFERROR(VLOOKUP($C22,Code!$H:$Q,6,FALSE),"")</f>
        <v>44.47</v>
      </c>
      <c r="W22" s="91" t="str">
        <f t="shared" ca="1" si="15"/>
        <v/>
      </c>
      <c r="X22" s="12"/>
      <c r="Y22" s="12"/>
      <c r="Z22" s="12"/>
      <c r="AA22" s="12"/>
      <c r="AB22" s="12"/>
    </row>
    <row r="23" spans="1:29" s="10" customFormat="1" ht="15" hidden="1">
      <c r="A23" s="9">
        <v>2</v>
      </c>
      <c r="B23" s="137">
        <v>5</v>
      </c>
      <c r="C23" s="142" t="s">
        <v>1554</v>
      </c>
      <c r="D23" s="82" t="str">
        <f>IFERROR(VLOOKUP($C23,Code!$H:$K,2,FALSE),"")</f>
        <v/>
      </c>
      <c r="E23" s="83" t="str">
        <f>IFERROR(VLOOKUP($C23,Code!$H:$K,3,FALSE),"")</f>
        <v/>
      </c>
      <c r="F23" s="84" t="str">
        <f>IFERROR(VLOOKUP($C23,Code!$H:$K,4,FALSE),"")</f>
        <v>展</v>
      </c>
      <c r="G23" s="128">
        <f>_xlfn.IFNA(((VLOOKUP($C23,Code!$H:$Q,9,FALSE))+(VLOOKUP($C23,Code!$H:$Q,10,FALSE)))/2*0.5/(((VLOOKUP($C23,Code!$H:$Q,7,FALSE))+(VLOOKUP($C23,Code!$H:$Q,8,FALSE)))/2),0)</f>
        <v>0.17059036580948933</v>
      </c>
      <c r="H23" s="87" t="str">
        <f t="shared" si="8"/>
        <v>S</v>
      </c>
      <c r="I23" s="128">
        <f>_xlfn.IFNA((VLOOKUP($C23,Code!$H:$Q,5,FALSE))/(((VLOOKUP($C23,Code!$H:$Q,7,FALSE))+(VLOOKUP($C23,Code!$H:$Q,8,FALSE)))/2)-G23,0)</f>
        <v>0.28506579741639504</v>
      </c>
      <c r="J23" s="55">
        <f>IFERROR(POWER((VLOOKUP(C23,Code!H:W,12,FALSE))/(VLOOKUP(C23,Code!H:W,15,FALSE)),1/(P23-1))-1,"")</f>
        <v>-0.78678365906367753</v>
      </c>
      <c r="K23" s="55" t="str">
        <f>IFERROR(POWER((VLOOKUP(C23,Code!H:W,13,FALSE))/(VLOOKUP(C23,Code!H:W,16,FALSE)),1/(P23-1))-1,"")</f>
        <v/>
      </c>
      <c r="L23" s="75">
        <f>IFERROR(VLOOKUP(C23,Code!H:W,13,FALSE)*4/VLOOKUP(C23,Code!H:W,12,FALSE),"")</f>
        <v>0</v>
      </c>
      <c r="M23" s="55">
        <f t="shared" si="9"/>
        <v>-0.78678365906367753</v>
      </c>
      <c r="N23" s="55" t="str">
        <f t="shared" si="10"/>
        <v>-</v>
      </c>
      <c r="O23" s="55" t="str">
        <f t="shared" si="11"/>
        <v/>
      </c>
      <c r="P23" s="196">
        <f>IFERROR(YEARFRAC(VLOOKUP(C23,Code!H:W,11,FALSE),VLOOKUP(C23,Code!H:W,14,FALSE),3),"")</f>
        <v>4.5479452054794525</v>
      </c>
      <c r="Q23" s="2">
        <v>44428</v>
      </c>
      <c r="R23" s="85" t="str">
        <f t="shared" ca="1" si="12"/>
        <v/>
      </c>
      <c r="S23" s="86">
        <f>IFERROR(VLOOKUP($C23,Code!$H:$Q,5,FALSE),"")</f>
        <v>1.8871</v>
      </c>
      <c r="T23" s="88" t="str">
        <f t="shared" ca="1" si="13"/>
        <v/>
      </c>
      <c r="U23" s="89" t="str">
        <f t="shared" ca="1" si="14"/>
        <v/>
      </c>
      <c r="V23" s="90">
        <f>IFERROR(VLOOKUP($C23,Code!$H:$Q,6,FALSE),"")</f>
        <v>4.6900000000000004</v>
      </c>
      <c r="W23" s="91" t="str">
        <f t="shared" ca="1" si="15"/>
        <v/>
      </c>
      <c r="X23" s="12"/>
      <c r="Y23" s="12"/>
      <c r="Z23" s="12"/>
      <c r="AA23" s="12"/>
      <c r="AB23" s="12"/>
    </row>
    <row r="24" spans="1:29" s="10" customFormat="1" ht="15" hidden="1">
      <c r="A24" s="9">
        <v>2</v>
      </c>
      <c r="B24" s="137">
        <v>3</v>
      </c>
      <c r="C24" s="142" t="s">
        <v>1556</v>
      </c>
      <c r="D24" s="82" t="str">
        <f>IFERROR(VLOOKUP($C24,Code!$H:$K,2,FALSE),"")</f>
        <v/>
      </c>
      <c r="E24" s="83" t="str">
        <f>IFERROR(VLOOKUP($C24,Code!$H:$K,3,FALSE),"")</f>
        <v/>
      </c>
      <c r="F24" s="84" t="str">
        <f>IFERROR(VLOOKUP($C24,Code!$H:$K,4,FALSE),"")</f>
        <v>ARK</v>
      </c>
      <c r="G24" s="128">
        <f>_xlfn.IFNA(((VLOOKUP($C24,Code!$H:$Q,9,FALSE))+(VLOOKUP($C24,Code!$H:$Q,10,FALSE)))/2*0.5/(((VLOOKUP($C24,Code!$H:$Q,7,FALSE))+(VLOOKUP($C24,Code!$H:$Q,8,FALSE)))/2),0)</f>
        <v>0.45175046221745091</v>
      </c>
      <c r="H24" s="87" t="str">
        <f t="shared" si="8"/>
        <v>S</v>
      </c>
      <c r="I24" s="128">
        <f>_xlfn.IFNA((VLOOKUP($C24,Code!$H:$Q,5,FALSE))/(((VLOOKUP($C24,Code!$H:$Q,7,FALSE))+(VLOOKUP($C24,Code!$H:$Q,8,FALSE)))/2)-G24,0)</f>
        <v>0.13511659807956106</v>
      </c>
      <c r="J24" s="55">
        <f>IFERROR(POWER((VLOOKUP(C24,Code!H:W,12,FALSE))/(VLOOKUP(C24,Code!H:W,15,FALSE)),1/(P24-1))-1,"")</f>
        <v>-0.52200685943086289</v>
      </c>
      <c r="K24" s="55">
        <f>IFERROR(POWER((VLOOKUP(C24,Code!H:W,13,FALSE))/(VLOOKUP(C24,Code!H:W,16,FALSE)),1/(P24-1))-1,"")</f>
        <v>3.0103662735407211E-2</v>
      </c>
      <c r="L24" s="75">
        <f>IFERROR(VLOOKUP(C24,Code!H:W,13,FALSE)*4/VLOOKUP(C24,Code!H:W,12,FALSE),"")</f>
        <v>0.14659686120062762</v>
      </c>
      <c r="M24" s="55">
        <f t="shared" si="9"/>
        <v>-0.49190319669545568</v>
      </c>
      <c r="N24" s="55" t="str">
        <f t="shared" si="10"/>
        <v>Venture</v>
      </c>
      <c r="O24" s="55" t="str">
        <f t="shared" si="11"/>
        <v>-</v>
      </c>
      <c r="P24" s="196">
        <f>IFERROR(YEARFRAC(VLOOKUP(C24,Code!H:W,11,FALSE),VLOOKUP(C24,Code!H:W,14,FALSE),3),"")</f>
        <v>3.4986301369863013</v>
      </c>
      <c r="Q24" s="2">
        <v>44428</v>
      </c>
      <c r="R24" s="85" t="str">
        <f t="shared" ca="1" si="12"/>
        <v/>
      </c>
      <c r="S24" s="86">
        <f>IFERROR(VLOOKUP($C24,Code!$H:$Q,5,FALSE),"")</f>
        <v>0.49199999999999999</v>
      </c>
      <c r="T24" s="88" t="str">
        <f t="shared" ca="1" si="13"/>
        <v/>
      </c>
      <c r="U24" s="89" t="str">
        <f t="shared" ca="1" si="14"/>
        <v/>
      </c>
      <c r="V24" s="90">
        <f>IFERROR(VLOOKUP($C24,Code!$H:$Q,6,FALSE),"")</f>
        <v>11.22</v>
      </c>
      <c r="W24" s="91" t="str">
        <f t="shared" ca="1" si="15"/>
        <v/>
      </c>
      <c r="X24" s="12"/>
      <c r="Y24" s="12"/>
      <c r="Z24" s="12"/>
      <c r="AA24" s="12"/>
      <c r="AB24" s="12"/>
    </row>
    <row r="25" spans="1:29" s="10" customFormat="1" ht="15" hidden="1">
      <c r="A25" s="9">
        <v>2</v>
      </c>
      <c r="B25" s="137">
        <v>3</v>
      </c>
      <c r="C25" s="142" t="s">
        <v>635</v>
      </c>
      <c r="D25" s="82" t="str">
        <f>IFERROR(VLOOKUP($C25,Code!$H:$K,2,FALSE),"")</f>
        <v/>
      </c>
      <c r="E25" s="83" t="str">
        <f>IFERROR(VLOOKUP($C25,Code!$H:$K,3,FALSE),"")</f>
        <v/>
      </c>
      <c r="F25" s="84" t="str">
        <f>IFERROR(VLOOKUP($C25,Code!$H:$K,4,FALSE),"")</f>
        <v>Galloway</v>
      </c>
      <c r="G25" s="128">
        <f>_xlfn.IFNA(((VLOOKUP($C25,Code!$H:$Q,9,FALSE))+(VLOOKUP($C25,Code!$H:$Q,10,FALSE)))/2*0.5/(((VLOOKUP($C25,Code!$H:$Q,7,FALSE))+(VLOOKUP($C25,Code!$H:$Q,8,FALSE)))/2),0)</f>
        <v>0.53553053843410936</v>
      </c>
      <c r="H25" s="87" t="str">
        <f t="shared" si="8"/>
        <v>M</v>
      </c>
      <c r="I25" s="128">
        <f>_xlfn.IFNA((VLOOKUP($C25,Code!$H:$Q,5,FALSE))/(((VLOOKUP($C25,Code!$H:$Q,7,FALSE))+(VLOOKUP($C25,Code!$H:$Q,8,FALSE)))/2)-G25,0)</f>
        <v>7.717385767408691E-2</v>
      </c>
      <c r="J25" s="55" t="str">
        <f>IFERROR(POWER((VLOOKUP(C25,Code!H:W,12,FALSE))/(VLOOKUP(C25,Code!H:W,15,FALSE)),1/(P25-1))-1,"")</f>
        <v/>
      </c>
      <c r="K25" s="55" t="str">
        <f>IFERROR(POWER((VLOOKUP(C25,Code!H:W,13,FALSE))/(VLOOKUP(C25,Code!H:W,16,FALSE)),1/(P25-1))-1,"")</f>
        <v/>
      </c>
      <c r="L25" s="75" t="str">
        <f>IFERROR(VLOOKUP(C25,Code!H:W,13,FALSE)*4/VLOOKUP(C25,Code!H:W,12,FALSE),"")</f>
        <v/>
      </c>
      <c r="M25" s="55" t="str">
        <f t="shared" si="9"/>
        <v/>
      </c>
      <c r="N25" s="55" t="str">
        <f t="shared" si="10"/>
        <v/>
      </c>
      <c r="O25" s="55" t="str">
        <f t="shared" si="11"/>
        <v/>
      </c>
      <c r="P25" s="70">
        <f>IFERROR(YEARFRAC(VLOOKUP(C25,Code!H:W,11,FALSE),VLOOKUP(C25,Code!H:W,14,FALSE),3),"")</f>
        <v>0</v>
      </c>
      <c r="Q25" s="2">
        <v>44428</v>
      </c>
      <c r="R25" s="85" t="str">
        <f t="shared" ca="1" si="12"/>
        <v/>
      </c>
      <c r="S25" s="86">
        <f>IFERROR(VLOOKUP($C25,Code!$H:$Q,5,FALSE),"")</f>
        <v>0.60140000000000005</v>
      </c>
      <c r="T25" s="88" t="str">
        <f t="shared" ca="1" si="13"/>
        <v/>
      </c>
      <c r="U25" s="89" t="str">
        <f t="shared" ca="1" si="14"/>
        <v/>
      </c>
      <c r="V25" s="90">
        <f>IFERROR(VLOOKUP($C25,Code!$H:$Q,6,FALSE),"")</f>
        <v>72.28</v>
      </c>
      <c r="W25" s="91" t="str">
        <f t="shared" ca="1" si="15"/>
        <v/>
      </c>
      <c r="X25" s="12"/>
      <c r="Y25" s="12"/>
      <c r="Z25" s="12"/>
      <c r="AA25" s="12"/>
      <c r="AB25" s="12"/>
    </row>
    <row r="26" spans="1:29" s="10" customFormat="1" ht="15" hidden="1">
      <c r="A26" s="9">
        <v>2</v>
      </c>
      <c r="B26" s="137">
        <v>1</v>
      </c>
      <c r="C26" s="142" t="s">
        <v>639</v>
      </c>
      <c r="D26" s="82" t="str">
        <f>IFERROR(VLOOKUP($C26,Code!$H:$K,2,FALSE),"")</f>
        <v/>
      </c>
      <c r="E26" s="83" t="str">
        <f>IFERROR(VLOOKUP($C26,Code!$H:$K,3,FALSE),"")</f>
        <v/>
      </c>
      <c r="F26" s="84" t="str">
        <f>IFERROR(VLOOKUP($C26,Code!$H:$K,4,FALSE),"")</f>
        <v>JIT</v>
      </c>
      <c r="G26" s="128">
        <f>_xlfn.IFNA(((VLOOKUP($C26,Code!$H:$Q,9,FALSE))+(VLOOKUP($C26,Code!$H:$Q,10,FALSE)))/2*0.5/(((VLOOKUP($C26,Code!$H:$Q,7,FALSE))+(VLOOKUP($C26,Code!$H:$Q,8,FALSE)))/2),0)</f>
        <v>0.48449098621421</v>
      </c>
      <c r="H26" s="87" t="str">
        <f t="shared" si="8"/>
        <v>S</v>
      </c>
      <c r="I26" s="128">
        <f>_xlfn.IFNA((VLOOKUP($C26,Code!$H:$Q,5,FALSE))/(((VLOOKUP($C26,Code!$H:$Q,7,FALSE))+(VLOOKUP($C26,Code!$H:$Q,8,FALSE)))/2)-G26,0)</f>
        <v>0.22547720042417813</v>
      </c>
      <c r="J26" s="55">
        <f>IFERROR(POWER((VLOOKUP(C26,Code!H:W,12,FALSE))/(VLOOKUP(C26,Code!H:W,15,FALSE)),1/(P26-1))-1,"")</f>
        <v>0.50854195884657716</v>
      </c>
      <c r="K26" s="55">
        <f>IFERROR(POWER((VLOOKUP(C26,Code!H:W,13,FALSE))/(VLOOKUP(C26,Code!H:W,16,FALSE)),1/(P26-1))-1,"")</f>
        <v>-0.230761868027344</v>
      </c>
      <c r="L26" s="75">
        <f>IFERROR(VLOOKUP(C26,Code!H:W,13,FALSE)*4/VLOOKUP(C26,Code!H:W,12,FALSE),"")</f>
        <v>1.6458315961022991E-2</v>
      </c>
      <c r="M26" s="55">
        <f t="shared" si="9"/>
        <v>0.27778009081923316</v>
      </c>
      <c r="N26" s="55" t="str">
        <f t="shared" si="10"/>
        <v>-</v>
      </c>
      <c r="O26" s="55" t="str">
        <f t="shared" si="11"/>
        <v>-</v>
      </c>
      <c r="P26" s="70">
        <f>IFERROR(YEARFRAC(VLOOKUP(C26,Code!H:W,11,FALSE),VLOOKUP(C26,Code!H:W,14,FALSE),3),"")</f>
        <v>4.2273972602739729</v>
      </c>
      <c r="Q26" s="2">
        <v>44428</v>
      </c>
      <c r="R26" s="85" t="str">
        <f t="shared" ca="1" si="12"/>
        <v/>
      </c>
      <c r="S26" s="86">
        <f>IFERROR(VLOOKUP($C26,Code!$H:$Q,5,FALSE),"")</f>
        <v>0.26779999999999998</v>
      </c>
      <c r="T26" s="88" t="str">
        <f t="shared" ca="1" si="13"/>
        <v/>
      </c>
      <c r="U26" s="89" t="str">
        <f t="shared" ca="1" si="14"/>
        <v/>
      </c>
      <c r="V26" s="90">
        <f>IFERROR(VLOOKUP($C26,Code!$H:$Q,6,FALSE),"")</f>
        <v>120.79</v>
      </c>
      <c r="W26" s="91" t="str">
        <f t="shared" ca="1" si="15"/>
        <v/>
      </c>
      <c r="X26" s="12"/>
      <c r="Y26" s="12"/>
      <c r="Z26" s="12"/>
      <c r="AA26" s="12"/>
      <c r="AB26" s="12"/>
    </row>
    <row r="27" spans="1:29" s="10" customFormat="1" ht="15" hidden="1">
      <c r="A27" s="9">
        <v>2</v>
      </c>
      <c r="B27" s="137">
        <v>4</v>
      </c>
      <c r="C27" s="142" t="s">
        <v>553</v>
      </c>
      <c r="D27" s="82" t="str">
        <f>IFERROR(VLOOKUP($C27,Code!$H:$K,2,FALSE),"")</f>
        <v/>
      </c>
      <c r="E27" s="83" t="str">
        <f>IFERROR(VLOOKUP($C27,Code!$H:$K,3,FALSE),"")</f>
        <v>精密醫學</v>
      </c>
      <c r="F27" s="84" t="str">
        <f>IFERROR(VLOOKUP($C27,Code!$H:$K,4,FALSE),"")</f>
        <v>Jason</v>
      </c>
      <c r="G27" s="128">
        <f>_xlfn.IFNA(((VLOOKUP($C27,Code!$H:$Q,9,FALSE))+(VLOOKUP($C27,Code!$H:$Q,10,FALSE)))/2*0.5/(((VLOOKUP($C27,Code!$H:$Q,7,FALSE))+(VLOOKUP($C27,Code!$H:$Q,8,FALSE)))/2),0)</f>
        <v>0.62780313554276634</v>
      </c>
      <c r="H27" s="87" t="str">
        <f t="shared" si="8"/>
        <v>L</v>
      </c>
      <c r="I27" s="128">
        <f>_xlfn.IFNA((VLOOKUP($C27,Code!$H:$Q,5,FALSE))/(((VLOOKUP($C27,Code!$H:$Q,7,FALSE))+(VLOOKUP($C27,Code!$H:$Q,8,FALSE)))/2)-G27,0)</f>
        <v>6.8300588741152413E-2</v>
      </c>
      <c r="J27" s="55" t="str">
        <f>IFERROR(POWER((VLOOKUP(C27,Code!H:W,12,FALSE))/(VLOOKUP(C27,Code!H:W,15,FALSE)),1/(P27-1))-1,"")</f>
        <v/>
      </c>
      <c r="K27" s="55" t="str">
        <f>IFERROR(POWER((VLOOKUP(C27,Code!H:W,13,FALSE))/(VLOOKUP(C27,Code!H:W,16,FALSE)),1/(P27-1))-1,"")</f>
        <v/>
      </c>
      <c r="L27" s="75" t="str">
        <f>IFERROR(VLOOKUP(C27,Code!H:W,13,FALSE)*4/VLOOKUP(C27,Code!H:W,12,FALSE),"")</f>
        <v/>
      </c>
      <c r="M27" s="55" t="str">
        <f t="shared" si="9"/>
        <v/>
      </c>
      <c r="N27" s="55" t="str">
        <f t="shared" si="10"/>
        <v/>
      </c>
      <c r="O27" s="55" t="str">
        <f t="shared" si="11"/>
        <v/>
      </c>
      <c r="P27" s="70">
        <f>IFERROR(YEARFRAC(VLOOKUP(C27,Code!H:W,11,FALSE),VLOOKUP(C27,Code!H:W,14,FALSE),3),"")</f>
        <v>0</v>
      </c>
      <c r="Q27" s="2">
        <v>44428</v>
      </c>
      <c r="R27" s="85" t="str">
        <f t="shared" ca="1" si="12"/>
        <v/>
      </c>
      <c r="S27" s="86">
        <f>IFERROR(VLOOKUP($C27,Code!$H:$Q,5,FALSE),"")</f>
        <v>1.0523</v>
      </c>
      <c r="T27" s="88" t="str">
        <f t="shared" ca="1" si="13"/>
        <v/>
      </c>
      <c r="U27" s="89" t="str">
        <f t="shared" ca="1" si="14"/>
        <v/>
      </c>
      <c r="V27" s="90">
        <f>IFERROR(VLOOKUP($C27,Code!$H:$Q,6,FALSE),"")</f>
        <v>3.82</v>
      </c>
      <c r="W27" s="91" t="str">
        <f t="shared" ca="1" si="15"/>
        <v/>
      </c>
      <c r="X27" s="12"/>
      <c r="Y27" s="12"/>
      <c r="Z27" s="12"/>
      <c r="AA27" s="12"/>
      <c r="AB27" s="12"/>
    </row>
    <row r="28" spans="1:29" s="10" customFormat="1" ht="15" hidden="1">
      <c r="A28" s="9">
        <v>2</v>
      </c>
      <c r="B28" s="137">
        <v>1</v>
      </c>
      <c r="C28" s="142" t="s">
        <v>1142</v>
      </c>
      <c r="D28" s="82" t="str">
        <f>IFERROR(VLOOKUP($C28,Code!$H:$K,2,FALSE),"")</f>
        <v>XLC</v>
      </c>
      <c r="E28" s="83" t="str">
        <f>IFERROR(VLOOKUP($C28,Code!$H:$K,3,FALSE),"")</f>
        <v>娛樂</v>
      </c>
      <c r="F28" s="84" t="str">
        <f>IFERROR(VLOOKUP($C28,Code!$H:$K,4,FALSE),"")</f>
        <v>.SPX</v>
      </c>
      <c r="G28" s="128">
        <f>_xlfn.IFNA(((VLOOKUP($C28,Code!$H:$Q,9,FALSE))+(VLOOKUP($C28,Code!$H:$Q,10,FALSE)))/2*0.5/(((VLOOKUP($C28,Code!$H:$Q,7,FALSE))+(VLOOKUP($C28,Code!$H:$Q,8,FALSE)))/2),0)</f>
        <v>0.48128612716763008</v>
      </c>
      <c r="H28" s="87" t="str">
        <f t="shared" si="8"/>
        <v>S</v>
      </c>
      <c r="I28" s="128">
        <f>_xlfn.IFNA((VLOOKUP($C28,Code!$H:$Q,5,FALSE))/(((VLOOKUP($C28,Code!$H:$Q,7,FALSE))+(VLOOKUP($C28,Code!$H:$Q,8,FALSE)))/2)-G28,0)</f>
        <v>0.13489884393063589</v>
      </c>
      <c r="J28" s="55">
        <f>IFERROR(POWER((VLOOKUP(C28,Code!H:W,12,FALSE))/(VLOOKUP(C28,Code!H:W,15,FALSE)),1/(P28-1))-1,"")</f>
        <v>0.21436217477137109</v>
      </c>
      <c r="K28" s="55">
        <f>IFERROR(POWER((VLOOKUP(C28,Code!H:W,13,FALSE))/(VLOOKUP(C28,Code!H:W,16,FALSE)),1/(P28-1))-1,"")</f>
        <v>6.1734290893085131E-2</v>
      </c>
      <c r="L28" s="75">
        <f>IFERROR(VLOOKUP(C28,Code!H:W,13,FALSE)*4/VLOOKUP(C28,Code!H:W,12,FALSE),"")</f>
        <v>2.4047000154276674E-2</v>
      </c>
      <c r="M28" s="55">
        <f t="shared" si="9"/>
        <v>0.27609646566445623</v>
      </c>
      <c r="N28" s="55" t="str">
        <f t="shared" si="10"/>
        <v>-</v>
      </c>
      <c r="O28" s="55" t="str">
        <f t="shared" si="11"/>
        <v>-</v>
      </c>
      <c r="P28" s="196">
        <f>IFERROR(YEARFRAC(VLOOKUP(C28,Code!H:W,11,FALSE),VLOOKUP(C28,Code!H:W,14,FALSE),3),"")</f>
        <v>3.0136986301369864</v>
      </c>
      <c r="Q28" s="2">
        <v>44428</v>
      </c>
      <c r="R28" s="85" t="str">
        <f t="shared" ca="1" si="12"/>
        <v/>
      </c>
      <c r="S28" s="86">
        <f>IFERROR(VLOOKUP($C28,Code!$H:$Q,5,FALSE),"")</f>
        <v>0.2132</v>
      </c>
      <c r="T28" s="88" t="str">
        <f t="shared" ca="1" si="13"/>
        <v/>
      </c>
      <c r="U28" s="89" t="str">
        <f t="shared" ca="1" si="14"/>
        <v/>
      </c>
      <c r="V28" s="90">
        <f>IFERROR(VLOOKUP($C28,Code!$H:$Q,6,FALSE),"")</f>
        <v>183.34</v>
      </c>
      <c r="W28" s="91" t="str">
        <f t="shared" ca="1" si="15"/>
        <v/>
      </c>
      <c r="X28" s="12"/>
      <c r="Y28" s="12"/>
      <c r="Z28" s="12"/>
      <c r="AA28" s="12"/>
      <c r="AB28" s="12"/>
    </row>
    <row r="29" spans="1:29" s="10" customFormat="1" ht="15" hidden="1">
      <c r="A29" s="9">
        <v>2</v>
      </c>
      <c r="B29" s="137" t="s">
        <v>878</v>
      </c>
      <c r="C29" s="142" t="s">
        <v>762</v>
      </c>
      <c r="D29" s="82" t="str">
        <f>IFERROR(VLOOKUP($C29,Code!$H:$K,2,FALSE),"")</f>
        <v/>
      </c>
      <c r="E29" s="83" t="str">
        <f>IFERROR(VLOOKUP($C29,Code!$H:$K,3,FALSE),"")</f>
        <v>精密科技</v>
      </c>
      <c r="F29" s="84" t="str">
        <f>IFERROR(VLOOKUP($C29,Code!$H:$K,4,FALSE),"")</f>
        <v>JIT</v>
      </c>
      <c r="G29" s="128">
        <f>_xlfn.IFNA(((VLOOKUP($C29,Code!$H:$Q,9,FALSE))+(VLOOKUP($C29,Code!$H:$Q,10,FALSE)))/2*0.5/(((VLOOKUP($C29,Code!$H:$Q,7,FALSE))+(VLOOKUP($C29,Code!$H:$Q,8,FALSE)))/2),0)</f>
        <v>0.62181158598798325</v>
      </c>
      <c r="H29" s="87" t="str">
        <f t="shared" si="8"/>
        <v>L</v>
      </c>
      <c r="I29" s="128">
        <f>_xlfn.IFNA((VLOOKUP($C29,Code!$H:$Q,5,FALSE))/(((VLOOKUP($C29,Code!$H:$Q,7,FALSE))+(VLOOKUP($C29,Code!$H:$Q,8,FALSE)))/2)-G29,0)</f>
        <v>0.27355175150209721</v>
      </c>
      <c r="J29" s="55" t="str">
        <f>IFERROR(POWER((VLOOKUP(C29,Code!H:W,12,FALSE))/(VLOOKUP(C29,Code!H:W,15,FALSE)),1/(P29-1))-1,"")</f>
        <v/>
      </c>
      <c r="K29" s="55" t="str">
        <f>IFERROR(POWER((VLOOKUP(C29,Code!H:W,13,FALSE))/(VLOOKUP(C29,Code!H:W,16,FALSE)),1/(P29-1))-1,"")</f>
        <v/>
      </c>
      <c r="L29" s="75" t="str">
        <f>IFERROR(VLOOKUP(C29,Code!H:W,13,FALSE)*4/VLOOKUP(C29,Code!H:W,12,FALSE),"")</f>
        <v/>
      </c>
      <c r="M29" s="55" t="str">
        <f t="shared" si="9"/>
        <v/>
      </c>
      <c r="N29" s="55" t="str">
        <f t="shared" si="10"/>
        <v/>
      </c>
      <c r="O29" s="55" t="str">
        <f t="shared" si="11"/>
        <v/>
      </c>
      <c r="P29" s="70">
        <f>IFERROR(YEARFRAC(VLOOKUP(C29,Code!H:W,11,FALSE),VLOOKUP(C29,Code!H:W,14,FALSE),3),"")</f>
        <v>0</v>
      </c>
      <c r="Q29" s="2">
        <v>44428</v>
      </c>
      <c r="R29" s="85" t="str">
        <f t="shared" ca="1" si="12"/>
        <v/>
      </c>
      <c r="S29" s="86">
        <f>IFERROR(VLOOKUP($C29,Code!$H:$Q,5,FALSE),"")</f>
        <v>0.39489999999999997</v>
      </c>
      <c r="T29" s="88" t="str">
        <f t="shared" ca="1" si="13"/>
        <v/>
      </c>
      <c r="U29" s="89" t="str">
        <f t="shared" ca="1" si="14"/>
        <v/>
      </c>
      <c r="V29" s="90">
        <f>IFERROR(VLOOKUP($C29,Code!$H:$Q,6,FALSE),"")</f>
        <v>42.05</v>
      </c>
      <c r="W29" s="91" t="str">
        <f t="shared" ca="1" si="15"/>
        <v/>
      </c>
      <c r="X29" s="12"/>
      <c r="Y29" s="12"/>
      <c r="Z29" s="12"/>
      <c r="AA29" s="12"/>
      <c r="AB29" s="12"/>
    </row>
    <row r="30" spans="1:29" s="10" customFormat="1" ht="15" hidden="1">
      <c r="A30" s="9"/>
      <c r="B30" s="137"/>
      <c r="C30" s="142"/>
      <c r="D30" s="82" t="str">
        <f>IFERROR(VLOOKUP($C30,Code!$H:$K,2,FALSE),"")</f>
        <v/>
      </c>
      <c r="E30" s="83" t="str">
        <f>IFERROR(VLOOKUP($C30,Code!$H:$K,3,FALSE),"")</f>
        <v/>
      </c>
      <c r="F30" s="84" t="str">
        <f>IFERROR(VLOOKUP($C30,Code!$H:$K,4,FALSE),"")</f>
        <v/>
      </c>
      <c r="G30" s="128">
        <f>_xlfn.IFNA(((VLOOKUP($C30,Code!$H:$Q,9,FALSE))+(VLOOKUP($C30,Code!$H:$Q,10,FALSE)))/2*0.5/(((VLOOKUP($C30,Code!$H:$Q,7,FALSE))+(VLOOKUP($C30,Code!$H:$Q,8,FALSE)))/2),0)</f>
        <v>0</v>
      </c>
      <c r="H30" s="87" t="str">
        <f t="shared" si="8"/>
        <v/>
      </c>
      <c r="I30" s="128">
        <f>_xlfn.IFNA((VLOOKUP($C30,Code!$H:$Q,5,FALSE))/(((VLOOKUP($C30,Code!$H:$Q,7,FALSE))+(VLOOKUP($C30,Code!$H:$Q,8,FALSE)))/2)-G30,0)</f>
        <v>0</v>
      </c>
      <c r="J30" s="55" t="str">
        <f>IFERROR(POWER((VLOOKUP(C30,Code!H:W,12,FALSE))/(VLOOKUP(C30,Code!H:W,15,FALSE)),1/(P30-1))-1,"")</f>
        <v/>
      </c>
      <c r="K30" s="55" t="str">
        <f>IFERROR(POWER((VLOOKUP(C30,Code!H:W,13,FALSE))/(VLOOKUP(C30,Code!H:W,16,FALSE)),1/(P30-1))-1,"")</f>
        <v/>
      </c>
      <c r="L30" s="75" t="str">
        <f>IFERROR(VLOOKUP(C30,Code!H:W,13,FALSE)*4/VLOOKUP(C30,Code!H:W,12,FALSE),"")</f>
        <v/>
      </c>
      <c r="M30" s="55" t="str">
        <f t="shared" si="9"/>
        <v/>
      </c>
      <c r="N30" s="55" t="str">
        <f t="shared" si="10"/>
        <v/>
      </c>
      <c r="O30" s="55" t="str">
        <f t="shared" si="11"/>
        <v/>
      </c>
      <c r="P30" s="196" t="str">
        <f>IFERROR(YEARFRAC(VLOOKUP(C30,Code!H:W,11,FALSE),VLOOKUP(C30,Code!H:W,14,FALSE),3),"")</f>
        <v/>
      </c>
      <c r="Q30" s="2"/>
      <c r="R30" s="85" t="str">
        <f t="shared" ca="1" si="12"/>
        <v/>
      </c>
      <c r="S30" s="86" t="str">
        <f>IFERROR(VLOOKUP($C30,Code!$H:$Q,5,FALSE),"")</f>
        <v/>
      </c>
      <c r="T30" s="88" t="str">
        <f t="shared" ca="1" si="13"/>
        <v/>
      </c>
      <c r="U30" s="89" t="str">
        <f t="shared" ca="1" si="14"/>
        <v/>
      </c>
      <c r="V30" s="90" t="str">
        <f>IFERROR(VLOOKUP($C30,Code!$H:$Q,6,FALSE),"")</f>
        <v/>
      </c>
      <c r="W30" s="91" t="str">
        <f t="shared" ca="1" si="15"/>
        <v/>
      </c>
      <c r="X30" s="12"/>
      <c r="Y30" s="12"/>
      <c r="Z30" s="12"/>
      <c r="AA30" s="12"/>
      <c r="AB30" s="12"/>
    </row>
    <row r="31" spans="1:29" s="10" customFormat="1" ht="15" hidden="1">
      <c r="A31" s="9"/>
      <c r="B31" s="137"/>
      <c r="C31" s="142"/>
      <c r="D31" s="82" t="str">
        <f>IFERROR(VLOOKUP($C31,Code!$H:$K,2,FALSE),"")</f>
        <v/>
      </c>
      <c r="E31" s="83" t="str">
        <f>IFERROR(VLOOKUP($C31,Code!$H:$K,3,FALSE),"")</f>
        <v/>
      </c>
      <c r="F31" s="84" t="str">
        <f>IFERROR(VLOOKUP($C31,Code!$H:$K,4,FALSE),"")</f>
        <v/>
      </c>
      <c r="G31" s="128">
        <f>_xlfn.IFNA(((VLOOKUP($C31,Code!$H:$Q,9,FALSE))+(VLOOKUP($C31,Code!$H:$Q,10,FALSE)))/2*0.5/(((VLOOKUP($C31,Code!$H:$Q,7,FALSE))+(VLOOKUP($C31,Code!$H:$Q,8,FALSE)))/2),0)</f>
        <v>0</v>
      </c>
      <c r="H31" s="87" t="str">
        <f t="shared" si="8"/>
        <v/>
      </c>
      <c r="I31" s="128">
        <f>_xlfn.IFNA((VLOOKUP($C31,Code!$H:$Q,5,FALSE))/(((VLOOKUP($C31,Code!$H:$Q,7,FALSE))+(VLOOKUP($C31,Code!$H:$Q,8,FALSE)))/2)-G31,0)</f>
        <v>0</v>
      </c>
      <c r="J31" s="55" t="str">
        <f>IFERROR(POWER((VLOOKUP(C31,Code!H:W,12,FALSE))/(VLOOKUP(C31,Code!H:W,15,FALSE)),1/(P31-1))-1,"")</f>
        <v/>
      </c>
      <c r="K31" s="55" t="str">
        <f>IFERROR(POWER((VLOOKUP(C31,Code!H:W,13,FALSE))/(VLOOKUP(C31,Code!H:W,16,FALSE)),1/(P31-1))-1,"")</f>
        <v/>
      </c>
      <c r="L31" s="75" t="str">
        <f>IFERROR(VLOOKUP(C31,Code!H:W,13,FALSE)*4/VLOOKUP(C31,Code!H:W,12,FALSE),"")</f>
        <v/>
      </c>
      <c r="M31" s="55" t="str">
        <f t="shared" si="9"/>
        <v/>
      </c>
      <c r="N31" s="55" t="str">
        <f t="shared" si="10"/>
        <v/>
      </c>
      <c r="O31" s="55" t="str">
        <f t="shared" si="11"/>
        <v/>
      </c>
      <c r="P31" s="196" t="str">
        <f>IFERROR(YEARFRAC(VLOOKUP(C31,Code!H:W,11,FALSE),VLOOKUP(C31,Code!H:W,14,FALSE),3),"")</f>
        <v/>
      </c>
      <c r="Q31" s="2"/>
      <c r="R31" s="85" t="str">
        <f t="shared" ca="1" si="12"/>
        <v/>
      </c>
      <c r="S31" s="86" t="str">
        <f>IFERROR(VLOOKUP($C31,Code!$H:$Q,5,FALSE),"")</f>
        <v/>
      </c>
      <c r="T31" s="88" t="str">
        <f t="shared" ca="1" si="13"/>
        <v/>
      </c>
      <c r="U31" s="89" t="str">
        <f t="shared" ca="1" si="14"/>
        <v/>
      </c>
      <c r="V31" s="90" t="str">
        <f>IFERROR(VLOOKUP($C31,Code!$H:$Q,6,FALSE),"")</f>
        <v/>
      </c>
      <c r="W31" s="91" t="str">
        <f t="shared" ca="1" si="15"/>
        <v/>
      </c>
      <c r="X31" s="12"/>
      <c r="Y31" s="12"/>
      <c r="Z31" s="12"/>
      <c r="AA31" s="12"/>
      <c r="AB31" s="12"/>
    </row>
    <row r="32" spans="1:29" s="10" customFormat="1" ht="15" hidden="1">
      <c r="A32" s="9"/>
      <c r="B32" s="137"/>
      <c r="C32" s="142" t="s">
        <v>745</v>
      </c>
      <c r="D32" s="82" t="str">
        <f>IFERROR(VLOOKUP($C32,Code!$H:$K,2,FALSE),"")</f>
        <v/>
      </c>
      <c r="E32" s="83" t="str">
        <f>IFERROR(VLOOKUP($C32,Code!$H:$K,3,FALSE),"")</f>
        <v/>
      </c>
      <c r="F32" s="84" t="str">
        <f>IFERROR(VLOOKUP($C32,Code!$H:$K,4,FALSE),"")</f>
        <v>JIT</v>
      </c>
      <c r="G32" s="128" t="e">
        <f>_xlfn.IFNA(((VLOOKUP($C32,Code!$H:$Q,9,FALSE))+(VLOOKUP($C32,Code!$H:$Q,10,FALSE)))/2*0.5/(((VLOOKUP($C32,Code!$H:$Q,7,FALSE))+(VLOOKUP($C32,Code!$H:$Q,8,FALSE)))/2),0)</f>
        <v>#DIV/0!</v>
      </c>
      <c r="H32" s="87" t="str">
        <f t="shared" si="8"/>
        <v/>
      </c>
      <c r="I32" s="128" t="e">
        <f>_xlfn.IFNA((VLOOKUP($C32,Code!$H:$Q,5,FALSE))/(((VLOOKUP($C32,Code!$H:$Q,7,FALSE))+(VLOOKUP($C32,Code!$H:$Q,8,FALSE)))/2)-G32,0)</f>
        <v>#DIV/0!</v>
      </c>
      <c r="J32" s="55" t="str">
        <f>IFERROR(POWER((VLOOKUP(C32,Code!H:W,12,FALSE))/(VLOOKUP(C32,Code!H:W,15,FALSE)),1/(P32-1))-1,"")</f>
        <v/>
      </c>
      <c r="K32" s="55" t="str">
        <f>IFERROR(POWER((VLOOKUP(C32,Code!H:W,13,FALSE))/(VLOOKUP(C32,Code!H:W,16,FALSE)),1/(P32-1))-1,"")</f>
        <v/>
      </c>
      <c r="L32" s="75" t="str">
        <f>IFERROR(VLOOKUP(C32,Code!H:W,13,FALSE)*4/VLOOKUP(C32,Code!H:W,12,FALSE),"")</f>
        <v/>
      </c>
      <c r="M32" s="55" t="str">
        <f t="shared" si="9"/>
        <v/>
      </c>
      <c r="N32" s="55" t="str">
        <f t="shared" si="10"/>
        <v/>
      </c>
      <c r="O32" s="55" t="str">
        <f t="shared" si="11"/>
        <v/>
      </c>
      <c r="P32" s="70">
        <f>IFERROR(YEARFRAC(VLOOKUP(C32,Code!H:W,11,FALSE),VLOOKUP(C32,Code!H:W,14,FALSE),3),"")</f>
        <v>0</v>
      </c>
      <c r="Q32" s="2"/>
      <c r="R32" s="85" t="str">
        <f t="shared" ca="1" si="12"/>
        <v/>
      </c>
      <c r="S32" s="86">
        <f>IFERROR(VLOOKUP($C32,Code!$H:$Q,5,FALSE),"")</f>
        <v>0</v>
      </c>
      <c r="T32" s="88" t="str">
        <f t="shared" ca="1" si="13"/>
        <v/>
      </c>
      <c r="U32" s="89" t="str">
        <f t="shared" ca="1" si="14"/>
        <v/>
      </c>
      <c r="V32" s="90">
        <f>IFERROR(VLOOKUP($C32,Code!$H:$Q,6,FALSE),"")</f>
        <v>0</v>
      </c>
      <c r="W32" s="91" t="str">
        <f t="shared" ca="1" si="15"/>
        <v/>
      </c>
      <c r="X32" s="12"/>
      <c r="Y32" s="12"/>
      <c r="Z32" s="12"/>
      <c r="AA32" s="12"/>
      <c r="AB32" s="12"/>
    </row>
    <row r="33" spans="1:28" s="10" customFormat="1" ht="15" hidden="1">
      <c r="A33" s="9"/>
      <c r="B33" s="137"/>
      <c r="C33" s="142" t="s">
        <v>776</v>
      </c>
      <c r="D33" s="82" t="str">
        <f>IFERROR(VLOOKUP($C33,Code!$H:$K,2,FALSE),"")</f>
        <v/>
      </c>
      <c r="E33" s="83" t="str">
        <f>IFERROR(VLOOKUP($C33,Code!$H:$K,3,FALSE),"")</f>
        <v>5G</v>
      </c>
      <c r="F33" s="84" t="str">
        <f>IFERROR(VLOOKUP($C33,Code!$H:$K,4,FALSE),"")</f>
        <v>JIT</v>
      </c>
      <c r="G33" s="128" t="e">
        <f>_xlfn.IFNA(((VLOOKUP($C33,Code!$H:$Q,9,FALSE))+(VLOOKUP($C33,Code!$H:$Q,10,FALSE)))/2*0.5/(((VLOOKUP($C33,Code!$H:$Q,7,FALSE))+(VLOOKUP($C33,Code!$H:$Q,8,FALSE)))/2),0)</f>
        <v>#DIV/0!</v>
      </c>
      <c r="H33" s="87" t="str">
        <f t="shared" si="8"/>
        <v/>
      </c>
      <c r="I33" s="128" t="e">
        <f>_xlfn.IFNA((VLOOKUP($C33,Code!$H:$Q,5,FALSE))/(((VLOOKUP($C33,Code!$H:$Q,7,FALSE))+(VLOOKUP($C33,Code!$H:$Q,8,FALSE)))/2)-G33,0)</f>
        <v>#DIV/0!</v>
      </c>
      <c r="J33" s="55" t="str">
        <f>IFERROR(POWER((VLOOKUP(C33,Code!H:W,12,FALSE))/(VLOOKUP(C33,Code!H:W,15,FALSE)),1/(P33-1))-1,"")</f>
        <v/>
      </c>
      <c r="K33" s="55" t="str">
        <f>IFERROR(POWER((VLOOKUP(C33,Code!H:W,13,FALSE))/(VLOOKUP(C33,Code!H:W,16,FALSE)),1/(P33-1))-1,"")</f>
        <v/>
      </c>
      <c r="L33" s="75" t="str">
        <f>IFERROR(VLOOKUP(C33,Code!H:W,13,FALSE)*4/VLOOKUP(C33,Code!H:W,12,FALSE),"")</f>
        <v/>
      </c>
      <c r="M33" s="55" t="str">
        <f t="shared" si="9"/>
        <v/>
      </c>
      <c r="N33" s="55" t="str">
        <f t="shared" si="10"/>
        <v/>
      </c>
      <c r="O33" s="55" t="str">
        <f t="shared" si="11"/>
        <v/>
      </c>
      <c r="P33" s="70">
        <f>IFERROR(YEARFRAC(VLOOKUP(C33,Code!H:W,11,FALSE),VLOOKUP(C33,Code!H:W,14,FALSE),3),"")</f>
        <v>0</v>
      </c>
      <c r="Q33" s="2"/>
      <c r="R33" s="85" t="str">
        <f t="shared" ca="1" si="12"/>
        <v/>
      </c>
      <c r="S33" s="86">
        <f>IFERROR(VLOOKUP($C33,Code!$H:$Q,5,FALSE),"")</f>
        <v>0</v>
      </c>
      <c r="T33" s="88" t="str">
        <f t="shared" ca="1" si="13"/>
        <v/>
      </c>
      <c r="U33" s="89" t="str">
        <f t="shared" ca="1" si="14"/>
        <v/>
      </c>
      <c r="V33" s="90">
        <f>IFERROR(VLOOKUP($C33,Code!$H:$Q,6,FALSE),"")</f>
        <v>0</v>
      </c>
      <c r="W33" s="91" t="str">
        <f t="shared" ca="1" si="15"/>
        <v/>
      </c>
      <c r="X33" s="12"/>
      <c r="Y33" s="12"/>
      <c r="Z33" s="12"/>
      <c r="AA33" s="12"/>
      <c r="AB33" s="12"/>
    </row>
    <row r="34" spans="1:28" s="10" customFormat="1" ht="15" hidden="1">
      <c r="A34" s="9"/>
      <c r="B34" s="137"/>
      <c r="C34" s="142" t="s">
        <v>677</v>
      </c>
      <c r="D34" s="82" t="str">
        <f>IFERROR(VLOOKUP($C34,Code!$H:$K,2,FALSE),"")</f>
        <v/>
      </c>
      <c r="E34" s="83" t="str">
        <f>IFERROR(VLOOKUP($C34,Code!$H:$K,3,FALSE),"")</f>
        <v/>
      </c>
      <c r="F34" s="84" t="str">
        <f>IFERROR(VLOOKUP($C34,Code!$H:$K,4,FALSE),"")</f>
        <v>JIT</v>
      </c>
      <c r="G34" s="128">
        <f>_xlfn.IFNA(((VLOOKUP($C34,Code!$H:$Q,9,FALSE))+(VLOOKUP($C34,Code!$H:$Q,10,FALSE)))/2*0.5/(((VLOOKUP($C34,Code!$H:$Q,7,FALSE))+(VLOOKUP($C34,Code!$H:$Q,8,FALSE)))/2),0)</f>
        <v>0.77595385980479159</v>
      </c>
      <c r="H34" s="87" t="str">
        <f t="shared" si="8"/>
        <v>XL</v>
      </c>
      <c r="I34" s="128">
        <f>_xlfn.IFNA((VLOOKUP($C34,Code!$H:$Q,5,FALSE))/(((VLOOKUP($C34,Code!$H:$Q,7,FALSE))+(VLOOKUP($C34,Code!$H:$Q,8,FALSE)))/2)-G34,0)</f>
        <v>0.17450458444247252</v>
      </c>
      <c r="J34" s="55">
        <f>IFERROR(POWER((VLOOKUP(C34,Code!H:W,12,FALSE))/(VLOOKUP(C34,Code!H:W,15,FALSE)),1/(P34-1))-1,"")</f>
        <v>-7.2698672685376331E-2</v>
      </c>
      <c r="K34" s="55">
        <f>IFERROR(POWER((VLOOKUP(C34,Code!H:W,13,FALSE))/(VLOOKUP(C34,Code!H:W,16,FALSE)),1/(P34-1))-1,"")</f>
        <v>-0.26962455244850769</v>
      </c>
      <c r="L34" s="75">
        <f>IFERROR(VLOOKUP(C34,Code!H:W,13,FALSE)*4/VLOOKUP(C34,Code!H:W,12,FALSE),"")</f>
        <v>3.1766201224314387E-2</v>
      </c>
      <c r="M34" s="55">
        <f t="shared" si="9"/>
        <v>-0.34232322513388402</v>
      </c>
      <c r="N34" s="55" t="str">
        <f t="shared" si="10"/>
        <v>-</v>
      </c>
      <c r="O34" s="55" t="str">
        <f t="shared" si="11"/>
        <v>-</v>
      </c>
      <c r="P34" s="196">
        <f>IFERROR(YEARFRAC(VLOOKUP(C34,Code!H:W,11,FALSE),VLOOKUP(C34,Code!H:W,14,FALSE),3),"")</f>
        <v>2.495890410958904</v>
      </c>
      <c r="Q34" s="2"/>
      <c r="R34" s="85" t="str">
        <f t="shared" ca="1" si="12"/>
        <v/>
      </c>
      <c r="S34" s="86">
        <f>IFERROR(VLOOKUP($C34,Code!$H:$Q,5,FALSE),"")</f>
        <v>0.64270000000000005</v>
      </c>
      <c r="T34" s="88" t="str">
        <f t="shared" ca="1" si="13"/>
        <v/>
      </c>
      <c r="U34" s="89" t="str">
        <f t="shared" ca="1" si="14"/>
        <v/>
      </c>
      <c r="V34" s="90">
        <f>IFERROR(VLOOKUP($C34,Code!$H:$Q,6,FALSE),"")</f>
        <v>20.91</v>
      </c>
      <c r="W34" s="91" t="str">
        <f t="shared" ca="1" si="15"/>
        <v/>
      </c>
      <c r="X34" s="12"/>
      <c r="Y34" s="12"/>
      <c r="Z34" s="12"/>
      <c r="AA34" s="12"/>
      <c r="AB34" s="12"/>
    </row>
    <row r="35" spans="1:28" s="10" customFormat="1" ht="15" hidden="1">
      <c r="A35" s="9"/>
      <c r="B35" s="137"/>
      <c r="C35" s="142" t="s">
        <v>811</v>
      </c>
      <c r="D35" s="82" t="str">
        <f>IFERROR(VLOOKUP($C35,Code!$H:$K,2,FALSE),"")</f>
        <v/>
      </c>
      <c r="E35" s="83" t="str">
        <f>IFERROR(VLOOKUP($C35,Code!$H:$K,3,FALSE),"")</f>
        <v>精密科技</v>
      </c>
      <c r="F35" s="84" t="str">
        <f>IFERROR(VLOOKUP($C35,Code!$H:$K,4,FALSE),"")</f>
        <v>JIT</v>
      </c>
      <c r="G35" s="128">
        <f>_xlfn.IFNA(((VLOOKUP($C35,Code!$H:$Q,9,FALSE))+(VLOOKUP($C35,Code!$H:$Q,10,FALSE)))/2*0.5/(((VLOOKUP($C35,Code!$H:$Q,7,FALSE))+(VLOOKUP($C35,Code!$H:$Q,8,FALSE)))/2),0)</f>
        <v>0.68417968749999991</v>
      </c>
      <c r="H35" s="87" t="str">
        <f t="shared" si="8"/>
        <v>L</v>
      </c>
      <c r="I35" s="128">
        <f>_xlfn.IFNA((VLOOKUP($C35,Code!$H:$Q,5,FALSE))/(((VLOOKUP($C35,Code!$H:$Q,7,FALSE))+(VLOOKUP($C35,Code!$H:$Q,8,FALSE)))/2)-G35,0)</f>
        <v>0.16660156250000002</v>
      </c>
      <c r="J35" s="55">
        <f>IFERROR(POWER((VLOOKUP(C35,Code!H:W,12,FALSE))/(VLOOKUP(C35,Code!H:W,15,FALSE)),1/(P35-1))-1,"")</f>
        <v>0.5059166265956947</v>
      </c>
      <c r="K35" s="55">
        <f>IFERROR(POWER((VLOOKUP(C35,Code!H:W,13,FALSE))/(VLOOKUP(C35,Code!H:W,16,FALSE)),1/(P35-1))-1,"")</f>
        <v>9.7190299378974832E-2</v>
      </c>
      <c r="L35" s="75">
        <f>IFERROR(VLOOKUP(C35,Code!H:W,13,FALSE)*4/VLOOKUP(C35,Code!H:W,12,FALSE),"")</f>
        <v>2.4055373494497427E-3</v>
      </c>
      <c r="M35" s="55">
        <f t="shared" si="9"/>
        <v>0.60310692597466953</v>
      </c>
      <c r="N35" s="55" t="str">
        <f t="shared" si="10"/>
        <v>-</v>
      </c>
      <c r="O35" s="55" t="str">
        <f t="shared" si="11"/>
        <v>-</v>
      </c>
      <c r="P35" s="196">
        <f>IFERROR(YEARFRAC(VLOOKUP(C35,Code!H:W,11,FALSE),VLOOKUP(C35,Code!H:W,14,FALSE),3),"")</f>
        <v>4.7534246575342465</v>
      </c>
      <c r="Q35" s="2"/>
      <c r="R35" s="85" t="str">
        <f t="shared" ca="1" si="12"/>
        <v/>
      </c>
      <c r="S35" s="86">
        <f>IFERROR(VLOOKUP($C35,Code!$H:$Q,5,FALSE),"")</f>
        <v>0.32669999999999999</v>
      </c>
      <c r="T35" s="88" t="str">
        <f t="shared" ca="1" si="13"/>
        <v/>
      </c>
      <c r="U35" s="89" t="str">
        <f t="shared" ca="1" si="14"/>
        <v/>
      </c>
      <c r="V35" s="90">
        <f>IFERROR(VLOOKUP($C35,Code!$H:$Q,6,FALSE),"")</f>
        <v>85.21</v>
      </c>
      <c r="W35" s="91" t="str">
        <f t="shared" ca="1" si="15"/>
        <v/>
      </c>
      <c r="X35" s="12"/>
      <c r="Y35" s="12"/>
      <c r="Z35" s="12"/>
      <c r="AA35" s="12"/>
      <c r="AB35" s="12"/>
    </row>
    <row r="36" spans="1:28" s="10" customFormat="1" ht="15" hidden="1">
      <c r="A36" s="9"/>
      <c r="B36" s="137"/>
      <c r="C36" s="142" t="s">
        <v>695</v>
      </c>
      <c r="D36" s="82" t="str">
        <f>IFERROR(VLOOKUP($C36,Code!$H:$K,2,FALSE),"")</f>
        <v/>
      </c>
      <c r="E36" s="83" t="str">
        <f>IFERROR(VLOOKUP($C36,Code!$H:$K,3,FALSE),"")</f>
        <v/>
      </c>
      <c r="F36" s="84" t="str">
        <f>IFERROR(VLOOKUP($C36,Code!$H:$K,4,FALSE),"")</f>
        <v>JIT</v>
      </c>
      <c r="G36" s="128">
        <f>_xlfn.IFNA(((VLOOKUP($C36,Code!$H:$Q,9,FALSE))+(VLOOKUP($C36,Code!$H:$Q,10,FALSE)))/2*0.5/(((VLOOKUP($C36,Code!$H:$Q,7,FALSE))+(VLOOKUP($C36,Code!$H:$Q,8,FALSE)))/2),0)</f>
        <v>0.6913899888313535</v>
      </c>
      <c r="H36" s="87" t="str">
        <f t="shared" si="8"/>
        <v>L</v>
      </c>
      <c r="I36" s="128">
        <f>_xlfn.IFNA((VLOOKUP($C36,Code!$H:$Q,5,FALSE))/(((VLOOKUP($C36,Code!$H:$Q,7,FALSE))+(VLOOKUP($C36,Code!$H:$Q,8,FALSE)))/2)-G36,0)</f>
        <v>0.42750533049040507</v>
      </c>
      <c r="J36" s="55" t="str">
        <f>IFERROR(POWER((VLOOKUP(C36,Code!H:W,12,FALSE))/(VLOOKUP(C36,Code!H:W,15,FALSE)),1/(P36-1))-1,"")</f>
        <v/>
      </c>
      <c r="K36" s="55" t="str">
        <f>IFERROR(POWER((VLOOKUP(C36,Code!H:W,13,FALSE))/(VLOOKUP(C36,Code!H:W,16,FALSE)),1/(P36-1))-1,"")</f>
        <v/>
      </c>
      <c r="L36" s="75" t="str">
        <f>IFERROR(VLOOKUP(C36,Code!H:W,13,FALSE)*4/VLOOKUP(C36,Code!H:W,12,FALSE),"")</f>
        <v/>
      </c>
      <c r="M36" s="55" t="str">
        <f t="shared" si="9"/>
        <v/>
      </c>
      <c r="N36" s="55" t="str">
        <f t="shared" si="10"/>
        <v/>
      </c>
      <c r="O36" s="55" t="str">
        <f t="shared" si="11"/>
        <v/>
      </c>
      <c r="P36" s="70">
        <f>IFERROR(YEARFRAC(VLOOKUP(C36,Code!H:W,11,FALSE),VLOOKUP(C36,Code!H:W,14,FALSE),3),"")</f>
        <v>0</v>
      </c>
      <c r="Q36" s="2"/>
      <c r="R36" s="85" t="str">
        <f t="shared" ca="1" si="12"/>
        <v/>
      </c>
      <c r="S36" s="86">
        <f>IFERROR(VLOOKUP($C36,Code!$H:$Q,5,FALSE),"")</f>
        <v>0.55100000000000005</v>
      </c>
      <c r="T36" s="88" t="str">
        <f t="shared" ca="1" si="13"/>
        <v/>
      </c>
      <c r="U36" s="89" t="str">
        <f t="shared" ca="1" si="14"/>
        <v/>
      </c>
      <c r="V36" s="90">
        <f>IFERROR(VLOOKUP($C36,Code!$H:$Q,6,FALSE),"")</f>
        <v>17.239999999999998</v>
      </c>
      <c r="W36" s="91" t="str">
        <f t="shared" ca="1" si="15"/>
        <v/>
      </c>
      <c r="X36" s="12"/>
      <c r="Y36" s="12"/>
      <c r="Z36" s="12"/>
      <c r="AA36" s="12"/>
      <c r="AB36" s="12"/>
    </row>
    <row r="37" spans="1:28" s="10" customFormat="1" ht="15" hidden="1">
      <c r="A37" s="9"/>
      <c r="B37" s="137" t="s">
        <v>832</v>
      </c>
      <c r="C37" s="142" t="s">
        <v>118</v>
      </c>
      <c r="D37" s="82" t="str">
        <f>IFERROR(VLOOKUP($C37,Code!$H:$K,2,FALSE),"")</f>
        <v>XLC</v>
      </c>
      <c r="E37" s="83" t="str">
        <f>IFERROR(VLOOKUP($C37,Code!$H:$K,3,FALSE),"")</f>
        <v>互聯網內容與信息</v>
      </c>
      <c r="F37" s="84" t="str">
        <f>IFERROR(VLOOKUP($C37,Code!$H:$K,4,FALSE),"")</f>
        <v>.SPX</v>
      </c>
      <c r="G37" s="128">
        <f>_xlfn.IFNA(((VLOOKUP($C37,Code!$H:$Q,9,FALSE))+(VLOOKUP($C37,Code!$H:$Q,10,FALSE)))/2*0.5/(((VLOOKUP($C37,Code!$H:$Q,7,FALSE))+(VLOOKUP($C37,Code!$H:$Q,8,FALSE)))/2),0)</f>
        <v>0.70397957012130241</v>
      </c>
      <c r="H37" s="87" t="str">
        <f t="shared" si="8"/>
        <v>XL</v>
      </c>
      <c r="I37" s="128">
        <f>_xlfn.IFNA((VLOOKUP($C37,Code!$H:$Q,5,FALSE))/(((VLOOKUP($C37,Code!$H:$Q,7,FALSE))+(VLOOKUP($C37,Code!$H:$Q,8,FALSE)))/2)-G37,0)</f>
        <v>0.10597999574377526</v>
      </c>
      <c r="J37" s="55" t="str">
        <f>IFERROR(POWER((VLOOKUP(C37,Code!H:W,12,FALSE))/(VLOOKUP(C37,Code!H:W,15,FALSE)),1/(P37-1))-1,"")</f>
        <v/>
      </c>
      <c r="K37" s="55" t="str">
        <f>IFERROR(POWER((VLOOKUP(C37,Code!H:W,13,FALSE))/(VLOOKUP(C37,Code!H:W,16,FALSE)),1/(P37-1))-1,"")</f>
        <v/>
      </c>
      <c r="L37" s="75" t="str">
        <f>IFERROR(VLOOKUP(C37,Code!H:W,13,FALSE)*4/VLOOKUP(C37,Code!H:W,12,FALSE),"")</f>
        <v/>
      </c>
      <c r="M37" s="55" t="str">
        <f t="shared" si="9"/>
        <v/>
      </c>
      <c r="N37" s="55" t="str">
        <f t="shared" si="10"/>
        <v/>
      </c>
      <c r="O37" s="55" t="str">
        <f t="shared" si="11"/>
        <v/>
      </c>
      <c r="P37" s="70">
        <f>IFERROR(YEARFRAC(VLOOKUP(C37,Code!H:W,11,FALSE),VLOOKUP(C37,Code!H:W,14,FALSE),3),"")</f>
        <v>0</v>
      </c>
      <c r="Q37" s="2"/>
      <c r="R37" s="85" t="str">
        <f t="shared" ca="1" si="12"/>
        <v/>
      </c>
      <c r="S37" s="86">
        <f>IFERROR(VLOOKUP($C37,Code!$H:$Q,5,FALSE),"")</f>
        <v>0.1903</v>
      </c>
      <c r="T37" s="88" t="str">
        <f t="shared" ca="1" si="13"/>
        <v/>
      </c>
      <c r="U37" s="89" t="str">
        <f t="shared" ca="1" si="14"/>
        <v/>
      </c>
      <c r="V37" s="90">
        <f>IFERROR(VLOOKUP($C37,Code!$H:$Q,6,FALSE),"")</f>
        <v>2738.8</v>
      </c>
      <c r="W37" s="91" t="str">
        <f t="shared" ca="1" si="15"/>
        <v/>
      </c>
      <c r="X37" s="12"/>
      <c r="Y37" s="12"/>
      <c r="Z37" s="12"/>
      <c r="AA37" s="12"/>
      <c r="AB37" s="12"/>
    </row>
    <row r="38" spans="1:28" s="10" customFormat="1" ht="15" hidden="1">
      <c r="A38" s="9"/>
      <c r="B38" s="137" t="s">
        <v>878</v>
      </c>
      <c r="C38" s="142" t="s">
        <v>155</v>
      </c>
      <c r="D38" s="82" t="str">
        <f>IFERROR(VLOOKUP($C38,Code!$H:$K,2,FALSE),"")</f>
        <v>XLP</v>
      </c>
      <c r="E38" s="83" t="str">
        <f>IFERROR(VLOOKUP($C38,Code!$H:$K,3,FALSE),"")</f>
        <v>糖果店</v>
      </c>
      <c r="F38" s="84" t="str">
        <f>IFERROR(VLOOKUP($C38,Code!$H:$K,4,FALSE),"")</f>
        <v>.SPX</v>
      </c>
      <c r="G38" s="128">
        <f>_xlfn.IFNA(((VLOOKUP($C38,Code!$H:$Q,9,FALSE))+(VLOOKUP($C38,Code!$H:$Q,10,FALSE)))/2*0.5/(((VLOOKUP($C38,Code!$H:$Q,7,FALSE))+(VLOOKUP($C38,Code!$H:$Q,8,FALSE)))/2),0)</f>
        <v>0.73474526066350709</v>
      </c>
      <c r="H38" s="87" t="str">
        <f t="shared" si="8"/>
        <v>XL</v>
      </c>
      <c r="I38" s="128">
        <f>_xlfn.IFNA((VLOOKUP($C38,Code!$H:$Q,5,FALSE))/(((VLOOKUP($C38,Code!$H:$Q,7,FALSE))+(VLOOKUP($C38,Code!$H:$Q,8,FALSE)))/2)-G38,0)</f>
        <v>0.13433056872037907</v>
      </c>
      <c r="J38" s="55">
        <f>IFERROR(POWER((VLOOKUP(C38,Code!H:W,12,FALSE))/(VLOOKUP(C38,Code!H:W,15,FALSE)),1/(P38-1))-1,"")</f>
        <v>0.15427630906516865</v>
      </c>
      <c r="K38" s="55">
        <f>IFERROR(POWER((VLOOKUP(C38,Code!H:W,13,FALSE))/(VLOOKUP(C38,Code!H:W,16,FALSE)),1/(P38-1))-1,"")</f>
        <v>7.2834416463204876E-2</v>
      </c>
      <c r="L38" s="75">
        <f>IFERROR(VLOOKUP(C38,Code!H:W,13,FALSE)*4/VLOOKUP(C38,Code!H:W,12,FALSE),"")</f>
        <v>1.857992990953693E-2</v>
      </c>
      <c r="M38" s="55">
        <f t="shared" si="9"/>
        <v>0.22711072552837352</v>
      </c>
      <c r="N38" s="55" t="str">
        <f t="shared" si="10"/>
        <v>-</v>
      </c>
      <c r="O38" s="55" t="str">
        <f t="shared" si="11"/>
        <v>-</v>
      </c>
      <c r="P38" s="196">
        <f>IFERROR(YEARFRAC(VLOOKUP(C38,Code!H:W,11,FALSE),VLOOKUP(C38,Code!H:W,14,FALSE),3),"")</f>
        <v>4.7424657534246579</v>
      </c>
      <c r="Q38" s="2"/>
      <c r="R38" s="85" t="str">
        <f t="shared" ca="1" si="12"/>
        <v/>
      </c>
      <c r="S38" s="86">
        <f>IFERROR(VLOOKUP($C38,Code!$H:$Q,5,FALSE),"")</f>
        <v>0.1467</v>
      </c>
      <c r="T38" s="88" t="str">
        <f t="shared" ca="1" si="13"/>
        <v/>
      </c>
      <c r="U38" s="89" t="str">
        <f t="shared" ca="1" si="14"/>
        <v/>
      </c>
      <c r="V38" s="90">
        <f>IFERROR(VLOOKUP($C38,Code!$H:$Q,6,FALSE),"")</f>
        <v>179.17</v>
      </c>
      <c r="W38" s="91" t="str">
        <f t="shared" ca="1" si="15"/>
        <v/>
      </c>
      <c r="X38" s="12"/>
      <c r="Y38" s="12"/>
      <c r="Z38" s="12"/>
      <c r="AA38" s="12"/>
      <c r="AB38" s="12"/>
    </row>
    <row r="39" spans="1:28" s="10" customFormat="1" ht="15" hidden="1">
      <c r="A39" s="9"/>
      <c r="B39" s="137" t="s">
        <v>879</v>
      </c>
      <c r="C39" s="142" t="s">
        <v>253</v>
      </c>
      <c r="D39" s="82" t="str">
        <f>IFERROR(VLOOKUP($C39,Code!$H:$K,2,FALSE),"")</f>
        <v>XLY</v>
      </c>
      <c r="E39" s="83" t="str">
        <f>IFERROR(VLOOKUP($C39,Code!$H:$K,3,FALSE),"")</f>
        <v>科技儀器</v>
      </c>
      <c r="F39" s="84" t="str">
        <f>IFERROR(VLOOKUP($C39,Code!$H:$K,4,FALSE),"")</f>
        <v>.SPX</v>
      </c>
      <c r="G39" s="128">
        <f>_xlfn.IFNA(((VLOOKUP($C39,Code!$H:$Q,9,FALSE))+(VLOOKUP($C39,Code!$H:$Q,10,FALSE)))/2*0.5/(((VLOOKUP($C39,Code!$H:$Q,7,FALSE))+(VLOOKUP($C39,Code!$H:$Q,8,FALSE)))/2),0)</f>
        <v>0.65923492137995787</v>
      </c>
      <c r="H39" s="87" t="str">
        <f t="shared" si="8"/>
        <v>L</v>
      </c>
      <c r="I39" s="128">
        <f>_xlfn.IFNA((VLOOKUP($C39,Code!$H:$Q,5,FALSE))/(((VLOOKUP($C39,Code!$H:$Q,7,FALSE))+(VLOOKUP($C39,Code!$H:$Q,8,FALSE)))/2)-G39,0)</f>
        <v>0.25041070171321278</v>
      </c>
      <c r="J39" s="55">
        <f>IFERROR(POWER((VLOOKUP(C39,Code!H:W,12,FALSE))/(VLOOKUP(C39,Code!H:W,15,FALSE)),1/(P39-1))-1,"")</f>
        <v>0.39656017159963786</v>
      </c>
      <c r="K39" s="55">
        <f>IFERROR(POWER((VLOOKUP(C39,Code!H:W,13,FALSE))/(VLOOKUP(C39,Code!H:W,16,FALSE)),1/(P39-1))-1,"")</f>
        <v>7.5405864591604699E-2</v>
      </c>
      <c r="L39" s="75">
        <f>IFERROR(VLOOKUP(C39,Code!H:W,13,FALSE)*4/VLOOKUP(C39,Code!H:W,12,FALSE),"")</f>
        <v>1.8783292245394913E-2</v>
      </c>
      <c r="M39" s="55">
        <f t="shared" si="9"/>
        <v>0.47196603619124256</v>
      </c>
      <c r="N39" s="55" t="str">
        <f t="shared" si="10"/>
        <v>-</v>
      </c>
      <c r="O39" s="55" t="str">
        <f t="shared" si="11"/>
        <v>-</v>
      </c>
      <c r="P39" s="196">
        <f>IFERROR(YEARFRAC(VLOOKUP(C39,Code!H:W,11,FALSE),VLOOKUP(C39,Code!H:W,14,FALSE),3),"")</f>
        <v>4.7534246575342465</v>
      </c>
      <c r="Q39" s="2"/>
      <c r="R39" s="85" t="str">
        <f t="shared" ca="1" si="12"/>
        <v/>
      </c>
      <c r="S39" s="86">
        <f>IFERROR(VLOOKUP($C39,Code!$H:$Q,5,FALSE),"")</f>
        <v>0.1938</v>
      </c>
      <c r="T39" s="88" t="str">
        <f t="shared" ca="1" si="13"/>
        <v/>
      </c>
      <c r="U39" s="89" t="str">
        <f t="shared" ca="1" si="14"/>
        <v/>
      </c>
      <c r="V39" s="90">
        <f>IFERROR(VLOOKUP($C39,Code!$H:$Q,6,FALSE),"")</f>
        <v>163.89</v>
      </c>
      <c r="W39" s="91" t="str">
        <f t="shared" ca="1" si="15"/>
        <v/>
      </c>
      <c r="X39" s="12"/>
      <c r="Y39" s="12"/>
      <c r="Z39" s="12"/>
      <c r="AA39" s="12"/>
      <c r="AB39" s="12"/>
    </row>
    <row r="40" spans="1:28" s="10" customFormat="1" ht="15" hidden="1">
      <c r="A40" s="9"/>
      <c r="B40" s="137"/>
      <c r="C40" s="142" t="s">
        <v>149</v>
      </c>
      <c r="D40" s="82" t="str">
        <f>IFERROR(VLOOKUP($C40,Code!$H:$K,2,FALSE),"")</f>
        <v>XLV</v>
      </c>
      <c r="E40" s="83" t="str">
        <f>IFERROR(VLOOKUP($C40,Code!$H:$K,3,FALSE),"")</f>
        <v>藥品製造商— 常規</v>
      </c>
      <c r="F40" s="84" t="str">
        <f>IFERROR(VLOOKUP($C40,Code!$H:$K,4,FALSE),"")</f>
        <v>.SPX</v>
      </c>
      <c r="G40" s="128">
        <f>_xlfn.IFNA(((VLOOKUP($C40,Code!$H:$Q,9,FALSE))+(VLOOKUP($C40,Code!$H:$Q,10,FALSE)))/2*0.5/(((VLOOKUP($C40,Code!$H:$Q,7,FALSE))+(VLOOKUP($C40,Code!$H:$Q,8,FALSE)))/2),0)</f>
        <v>0.68043426953032815</v>
      </c>
      <c r="H40" s="87" t="str">
        <f t="shared" si="8"/>
        <v>L</v>
      </c>
      <c r="I40" s="128">
        <f>_xlfn.IFNA((VLOOKUP($C40,Code!$H:$Q,5,FALSE))/(((VLOOKUP($C40,Code!$H:$Q,7,FALSE))+(VLOOKUP($C40,Code!$H:$Q,8,FALSE)))/2)-G40,0)</f>
        <v>0.16355912202029732</v>
      </c>
      <c r="J40" s="55">
        <f>IFERROR(POWER((VLOOKUP(C40,Code!H:W,12,FALSE))/(VLOOKUP(C40,Code!H:W,15,FALSE)),1/(P40-1))-1,"")</f>
        <v>9.5079937251822955E-3</v>
      </c>
      <c r="K40" s="55">
        <f>IFERROR(POWER((VLOOKUP(C40,Code!H:W,13,FALSE))/(VLOOKUP(C40,Code!H:W,16,FALSE)),1/(P40-1))-1,"")</f>
        <v>0.11626525290083434</v>
      </c>
      <c r="L40" s="75">
        <f>IFERROR(VLOOKUP(C40,Code!H:W,13,FALSE)*4/VLOOKUP(C40,Code!H:W,12,FALSE),"")</f>
        <v>4.1672779697907329E-2</v>
      </c>
      <c r="M40" s="55">
        <f t="shared" si="9"/>
        <v>0.12577324662601663</v>
      </c>
      <c r="N40" s="55" t="str">
        <f t="shared" si="10"/>
        <v>Venture</v>
      </c>
      <c r="O40" s="55" t="str">
        <f t="shared" si="11"/>
        <v>-</v>
      </c>
      <c r="P40" s="196">
        <f>IFERROR(YEARFRAC(VLOOKUP(C40,Code!H:W,11,FALSE),VLOOKUP(C40,Code!H:W,14,FALSE),3),"")</f>
        <v>4.7506849315068491</v>
      </c>
      <c r="Q40" s="2"/>
      <c r="R40" s="85" t="str">
        <f t="shared" ca="1" si="12"/>
        <v/>
      </c>
      <c r="S40" s="86">
        <f>IFERROR(VLOOKUP($C40,Code!$H:$Q,5,FALSE),"")</f>
        <v>0.17879999999999999</v>
      </c>
      <c r="T40" s="88" t="str">
        <f t="shared" ca="1" si="13"/>
        <v/>
      </c>
      <c r="U40" s="89" t="str">
        <f t="shared" ca="1" si="14"/>
        <v/>
      </c>
      <c r="V40" s="90">
        <f>IFERROR(VLOOKUP($C40,Code!$H:$Q,6,FALSE),"")</f>
        <v>68.88</v>
      </c>
      <c r="W40" s="91" t="str">
        <f t="shared" ca="1" si="15"/>
        <v/>
      </c>
      <c r="X40" s="12"/>
      <c r="Y40" s="12"/>
      <c r="Z40" s="12"/>
      <c r="AA40" s="12"/>
      <c r="AB40" s="12"/>
    </row>
    <row r="41" spans="1:28" s="10" customFormat="1" ht="15" hidden="1">
      <c r="A41" s="9"/>
      <c r="B41" s="137" t="s">
        <v>659</v>
      </c>
      <c r="C41" s="142" t="s">
        <v>901</v>
      </c>
      <c r="D41" s="82" t="str">
        <f>IFERROR(VLOOKUP($C41,Code!$H:$K,2,FALSE),"")</f>
        <v/>
      </c>
      <c r="E41" s="83" t="str">
        <f>IFERROR(VLOOKUP($C41,Code!$H:$K,3,FALSE),"")</f>
        <v/>
      </c>
      <c r="F41" s="84" t="str">
        <f>IFERROR(VLOOKUP($C41,Code!$H:$K,4,FALSE),"")</f>
        <v>JIT</v>
      </c>
      <c r="G41" s="128">
        <f>_xlfn.IFNA(((VLOOKUP($C41,Code!$H:$Q,9,FALSE))+(VLOOKUP($C41,Code!$H:$Q,10,FALSE)))/2*0.5/(((VLOOKUP($C41,Code!$H:$Q,7,FALSE))+(VLOOKUP($C41,Code!$H:$Q,8,FALSE)))/2),0)</f>
        <v>0.45872814626985187</v>
      </c>
      <c r="H41" s="87" t="str">
        <f t="shared" si="8"/>
        <v>S</v>
      </c>
      <c r="I41" s="128">
        <f>_xlfn.IFNA((VLOOKUP($C41,Code!$H:$Q,5,FALSE))/(((VLOOKUP($C41,Code!$H:$Q,7,FALSE))+(VLOOKUP($C41,Code!$H:$Q,8,FALSE)))/2)-G41,0)</f>
        <v>0.41675563859602299</v>
      </c>
      <c r="J41" s="55" t="str">
        <f>IFERROR(POWER((VLOOKUP(C41,Code!H:W,12,FALSE))/(VLOOKUP(C41,Code!H:W,15,FALSE)),1/(P41-1))-1,"")</f>
        <v/>
      </c>
      <c r="K41" s="55" t="str">
        <f>IFERROR(POWER((VLOOKUP(C41,Code!H:W,13,FALSE))/(VLOOKUP(C41,Code!H:W,16,FALSE)),1/(P41-1))-1,"")</f>
        <v/>
      </c>
      <c r="L41" s="75" t="str">
        <f>IFERROR(VLOOKUP(C41,Code!H:W,13,FALSE)*4/VLOOKUP(C41,Code!H:W,12,FALSE),"")</f>
        <v/>
      </c>
      <c r="M41" s="55" t="str">
        <f t="shared" si="9"/>
        <v/>
      </c>
      <c r="N41" s="55" t="str">
        <f t="shared" si="10"/>
        <v/>
      </c>
      <c r="O41" s="55" t="str">
        <f t="shared" si="11"/>
        <v/>
      </c>
      <c r="P41" s="70">
        <f>IFERROR(YEARFRAC(VLOOKUP(C41,Code!H:W,11,FALSE),VLOOKUP(C41,Code!H:W,14,FALSE),3),"")</f>
        <v>0</v>
      </c>
      <c r="Q41" s="2"/>
      <c r="R41" s="85" t="str">
        <f t="shared" ca="1" si="12"/>
        <v/>
      </c>
      <c r="S41" s="86">
        <f>IFERROR(VLOOKUP($C41,Code!$H:$Q,5,FALSE),"")</f>
        <v>0.65600000000000003</v>
      </c>
      <c r="T41" s="88" t="str">
        <f t="shared" ca="1" si="13"/>
        <v/>
      </c>
      <c r="U41" s="89" t="str">
        <f t="shared" ca="1" si="14"/>
        <v/>
      </c>
      <c r="V41" s="90">
        <f>IFERROR(VLOOKUP($C41,Code!$H:$Q,6,FALSE),"")</f>
        <v>259.33</v>
      </c>
      <c r="W41" s="91" t="str">
        <f t="shared" ca="1" si="15"/>
        <v/>
      </c>
      <c r="X41" s="12"/>
      <c r="Y41" s="12"/>
      <c r="Z41" s="12"/>
      <c r="AA41" s="12"/>
      <c r="AB41" s="12"/>
    </row>
    <row r="42" spans="1:28" s="10" customFormat="1" ht="15" hidden="1">
      <c r="A42" s="9"/>
      <c r="B42" s="137" t="s">
        <v>659</v>
      </c>
      <c r="C42" s="142" t="s">
        <v>902</v>
      </c>
      <c r="D42" s="82" t="str">
        <f>IFERROR(VLOOKUP($C42,Code!$H:$K,2,FALSE),"")</f>
        <v/>
      </c>
      <c r="E42" s="83" t="str">
        <f>IFERROR(VLOOKUP($C42,Code!$H:$K,3,FALSE),"")</f>
        <v/>
      </c>
      <c r="F42" s="84" t="str">
        <f>IFERROR(VLOOKUP($C42,Code!$H:$K,4,FALSE),"")</f>
        <v>JIT</v>
      </c>
      <c r="G42" s="128">
        <f>_xlfn.IFNA(((VLOOKUP($C42,Code!$H:$Q,9,FALSE))+(VLOOKUP($C42,Code!$H:$Q,10,FALSE)))/2*0.5/(((VLOOKUP($C42,Code!$H:$Q,7,FALSE))+(VLOOKUP($C42,Code!$H:$Q,8,FALSE)))/2),0)</f>
        <v>0.63546056592414202</v>
      </c>
      <c r="H42" s="87" t="str">
        <f t="shared" si="8"/>
        <v>L</v>
      </c>
      <c r="I42" s="128">
        <f>_xlfn.IFNA((VLOOKUP($C42,Code!$H:$Q,5,FALSE))/(((VLOOKUP($C42,Code!$H:$Q,7,FALSE))+(VLOOKUP($C42,Code!$H:$Q,8,FALSE)))/2)-G42,0)</f>
        <v>0.44942805538832042</v>
      </c>
      <c r="J42" s="55" t="str">
        <f>IFERROR(POWER((VLOOKUP(C42,Code!H:W,12,FALSE))/(VLOOKUP(C42,Code!H:W,15,FALSE)),1/(P42-1))-1,"")</f>
        <v/>
      </c>
      <c r="K42" s="55" t="str">
        <f>IFERROR(POWER((VLOOKUP(C42,Code!H:W,13,FALSE))/(VLOOKUP(C42,Code!H:W,16,FALSE)),1/(P42-1))-1,"")</f>
        <v/>
      </c>
      <c r="L42" s="75" t="str">
        <f>IFERROR(VLOOKUP(C42,Code!H:W,13,FALSE)*4/VLOOKUP(C42,Code!H:W,12,FALSE),"")</f>
        <v/>
      </c>
      <c r="M42" s="55" t="str">
        <f t="shared" si="9"/>
        <v/>
      </c>
      <c r="N42" s="55" t="str">
        <f t="shared" si="10"/>
        <v/>
      </c>
      <c r="O42" s="55" t="str">
        <f t="shared" si="11"/>
        <v/>
      </c>
      <c r="P42" s="70">
        <f>IFERROR(YEARFRAC(VLOOKUP(C42,Code!H:W,11,FALSE),VLOOKUP(C42,Code!H:W,14,FALSE),3),"")</f>
        <v>0</v>
      </c>
      <c r="Q42" s="2"/>
      <c r="R42" s="85" t="str">
        <f t="shared" ca="1" si="12"/>
        <v/>
      </c>
      <c r="S42" s="86">
        <f>IFERROR(VLOOKUP($C42,Code!$H:$Q,5,FALSE),"")</f>
        <v>0.45050000000000001</v>
      </c>
      <c r="T42" s="88" t="str">
        <f t="shared" ca="1" si="13"/>
        <v/>
      </c>
      <c r="U42" s="89" t="str">
        <f t="shared" ca="1" si="14"/>
        <v/>
      </c>
      <c r="V42" s="90">
        <f>IFERROR(VLOOKUP($C42,Code!$H:$Q,6,FALSE),"")</f>
        <v>46.26</v>
      </c>
      <c r="W42" s="91" t="str">
        <f t="shared" ca="1" si="15"/>
        <v/>
      </c>
      <c r="X42" s="12"/>
      <c r="Y42" s="12"/>
      <c r="Z42" s="12"/>
      <c r="AA42" s="12"/>
      <c r="AB42" s="12"/>
    </row>
    <row r="43" spans="1:28" s="10" customFormat="1" ht="15" hidden="1">
      <c r="A43" s="9"/>
      <c r="B43" s="151" t="s">
        <v>925</v>
      </c>
      <c r="C43" s="142" t="s">
        <v>827</v>
      </c>
      <c r="D43" s="82" t="str">
        <f>IFERROR(VLOOKUP($C43,Code!$H:$K,2,FALSE),"")</f>
        <v/>
      </c>
      <c r="E43" s="83" t="str">
        <f>IFERROR(VLOOKUP($C43,Code!$H:$K,3,FALSE),"")</f>
        <v/>
      </c>
      <c r="F43" s="84" t="str">
        <f>IFERROR(VLOOKUP($C43,Code!$H:$K,4,FALSE),"")</f>
        <v>JIT</v>
      </c>
      <c r="G43" s="128">
        <f>_xlfn.IFNA(((VLOOKUP($C43,Code!$H:$Q,9,FALSE))+(VLOOKUP($C43,Code!$H:$Q,10,FALSE)))/2*0.5/(((VLOOKUP($C43,Code!$H:$Q,7,FALSE))+(VLOOKUP($C43,Code!$H:$Q,8,FALSE)))/2),0)</f>
        <v>0.61465863453815262</v>
      </c>
      <c r="H43" s="87" t="str">
        <f t="shared" si="8"/>
        <v>L</v>
      </c>
      <c r="I43" s="128">
        <f>_xlfn.IFNA((VLOOKUP($C43,Code!$H:$Q,5,FALSE))/(((VLOOKUP($C43,Code!$H:$Q,7,FALSE))+(VLOOKUP($C43,Code!$H:$Q,8,FALSE)))/2)-G43,0)</f>
        <v>0.4106425702811245</v>
      </c>
      <c r="J43" s="55">
        <f>IFERROR(POWER((VLOOKUP(C43,Code!H:W,12,FALSE))/(VLOOKUP(C43,Code!H:W,15,FALSE)),1/(P43-1))-1,"")</f>
        <v>0.63039018385821288</v>
      </c>
      <c r="K43" s="55">
        <f>IFERROR(POWER((VLOOKUP(C43,Code!H:W,13,FALSE))/(VLOOKUP(C43,Code!H:W,16,FALSE)),1/(P43-1))-1,"")</f>
        <v>0.15377371946000928</v>
      </c>
      <c r="L43" s="75">
        <f>IFERROR(VLOOKUP(C43,Code!H:W,13,FALSE)*4/VLOOKUP(C43,Code!H:W,12,FALSE),"")</f>
        <v>2.4290796230958617E-2</v>
      </c>
      <c r="M43" s="55">
        <f t="shared" si="9"/>
        <v>0.78416390331822217</v>
      </c>
      <c r="N43" s="55" t="str">
        <f t="shared" si="10"/>
        <v>-</v>
      </c>
      <c r="O43" s="55" t="str">
        <f t="shared" si="11"/>
        <v>Value</v>
      </c>
      <c r="P43" s="196">
        <f>IFERROR(YEARFRAC(VLOOKUP(C43,Code!H:W,11,FALSE),VLOOKUP(C43,Code!H:W,14,FALSE),3),"")</f>
        <v>4.7397260273972606</v>
      </c>
      <c r="Q43" s="2"/>
      <c r="R43" s="85" t="str">
        <f t="shared" ca="1" si="12"/>
        <v/>
      </c>
      <c r="S43" s="86">
        <f>IFERROR(VLOOKUP($C43,Code!$H:$Q,5,FALSE),"")</f>
        <v>0.25530000000000003</v>
      </c>
      <c r="T43" s="88" t="str">
        <f t="shared" ca="1" si="13"/>
        <v/>
      </c>
      <c r="U43" s="89" t="str">
        <f t="shared" ca="1" si="14"/>
        <v/>
      </c>
      <c r="V43" s="90">
        <f>IFERROR(VLOOKUP($C43,Code!$H:$Q,6,FALSE),"")</f>
        <v>115.67</v>
      </c>
      <c r="W43" s="91" t="str">
        <f t="shared" ca="1" si="15"/>
        <v/>
      </c>
      <c r="X43" s="12"/>
      <c r="Y43" s="12"/>
      <c r="Z43" s="12"/>
      <c r="AA43" s="12"/>
      <c r="AB43" s="12"/>
    </row>
    <row r="44" spans="1:28" s="10" customFormat="1" ht="15" hidden="1">
      <c r="A44" s="9"/>
      <c r="B44" s="137"/>
      <c r="C44" s="142" t="s">
        <v>679</v>
      </c>
      <c r="D44" s="82" t="str">
        <f>IFERROR(VLOOKUP($C44,Code!$H:$K,2,FALSE),"")</f>
        <v/>
      </c>
      <c r="E44" s="83" t="str">
        <f>IFERROR(VLOOKUP($C44,Code!$H:$K,3,FALSE),"")</f>
        <v/>
      </c>
      <c r="F44" s="84" t="str">
        <f>IFERROR(VLOOKUP($C44,Code!$H:$K,4,FALSE),"")</f>
        <v>JIT</v>
      </c>
      <c r="G44" s="128">
        <f>_xlfn.IFNA(((VLOOKUP($C44,Code!$H:$Q,9,FALSE))+(VLOOKUP($C44,Code!$H:$Q,10,FALSE)))/2*0.5/(((VLOOKUP($C44,Code!$H:$Q,7,FALSE))+(VLOOKUP($C44,Code!$H:$Q,8,FALSE)))/2),0)</f>
        <v>0.94681264576315105</v>
      </c>
      <c r="H44" s="87" t="str">
        <f t="shared" si="8"/>
        <v>XL</v>
      </c>
      <c r="I44" s="128">
        <f>_xlfn.IFNA((VLOOKUP($C44,Code!$H:$Q,5,FALSE))/(((VLOOKUP($C44,Code!$H:$Q,7,FALSE))+(VLOOKUP($C44,Code!$H:$Q,8,FALSE)))/2)-G44,0)</f>
        <v>-0.76386369525783882</v>
      </c>
      <c r="J44" s="55" t="str">
        <f>IFERROR(POWER((VLOOKUP(C44,Code!H:W,12,FALSE))/(VLOOKUP(C44,Code!H:W,15,FALSE)),1/(P44-1))-1,"")</f>
        <v/>
      </c>
      <c r="K44" s="55" t="str">
        <f>IFERROR(POWER((VLOOKUP(C44,Code!H:W,13,FALSE))/(VLOOKUP(C44,Code!H:W,16,FALSE)),1/(P44-1))-1,"")</f>
        <v/>
      </c>
      <c r="L44" s="75" t="str">
        <f>IFERROR(VLOOKUP(C44,Code!H:W,13,FALSE)*4/VLOOKUP(C44,Code!H:W,12,FALSE),"")</f>
        <v/>
      </c>
      <c r="M44" s="55" t="str">
        <f t="shared" si="9"/>
        <v/>
      </c>
      <c r="N44" s="55" t="str">
        <f t="shared" si="10"/>
        <v/>
      </c>
      <c r="O44" s="55" t="str">
        <f t="shared" si="11"/>
        <v/>
      </c>
      <c r="P44" s="70">
        <f>IFERROR(YEARFRAC(VLOOKUP(C44,Code!H:W,11,FALSE),VLOOKUP(C44,Code!H:W,14,FALSE),3),"")</f>
        <v>0</v>
      </c>
      <c r="Q44" s="2"/>
      <c r="R44" s="85" t="str">
        <f t="shared" ca="1" si="12"/>
        <v/>
      </c>
      <c r="S44" s="86">
        <f>IFERROR(VLOOKUP($C44,Code!$H:$Q,5,FALSE),"")</f>
        <v>7.0599999999999996E-2</v>
      </c>
      <c r="T44" s="88" t="str">
        <f t="shared" ca="1" si="13"/>
        <v/>
      </c>
      <c r="U44" s="89" t="str">
        <f t="shared" ca="1" si="14"/>
        <v/>
      </c>
      <c r="V44" s="90">
        <f>IFERROR(VLOOKUP($C44,Code!$H:$Q,6,FALSE),"")</f>
        <v>15.86</v>
      </c>
      <c r="W44" s="91" t="str">
        <f t="shared" ca="1" si="15"/>
        <v/>
      </c>
      <c r="X44" s="12"/>
      <c r="Y44" s="12"/>
      <c r="Z44" s="12"/>
      <c r="AA44" s="12"/>
      <c r="AB44" s="12"/>
    </row>
    <row r="45" spans="1:28" s="10" customFormat="1" ht="15" hidden="1">
      <c r="A45" s="9"/>
      <c r="B45" s="137"/>
      <c r="C45" s="142" t="s">
        <v>713</v>
      </c>
      <c r="D45" s="82" t="str">
        <f>IFERROR(VLOOKUP($C45,Code!$H:$K,2,FALSE),"")</f>
        <v/>
      </c>
      <c r="E45" s="83" t="str">
        <f>IFERROR(VLOOKUP($C45,Code!$H:$K,3,FALSE),"")</f>
        <v/>
      </c>
      <c r="F45" s="84" t="str">
        <f>IFERROR(VLOOKUP($C45,Code!$H:$K,4,FALSE),"")</f>
        <v>JIT</v>
      </c>
      <c r="G45" s="128" t="e">
        <f>_xlfn.IFNA(((VLOOKUP($C45,Code!$H:$Q,9,FALSE))+(VLOOKUP($C45,Code!$H:$Q,10,FALSE)))/2*0.5/(((VLOOKUP($C45,Code!$H:$Q,7,FALSE))+(VLOOKUP($C45,Code!$H:$Q,8,FALSE)))/2),0)</f>
        <v>#DIV/0!</v>
      </c>
      <c r="H45" s="87" t="str">
        <f t="shared" si="8"/>
        <v/>
      </c>
      <c r="I45" s="128" t="e">
        <f>_xlfn.IFNA((VLOOKUP($C45,Code!$H:$Q,5,FALSE))/(((VLOOKUP($C45,Code!$H:$Q,7,FALSE))+(VLOOKUP($C45,Code!$H:$Q,8,FALSE)))/2)-G45,0)</f>
        <v>#DIV/0!</v>
      </c>
      <c r="J45" s="55" t="str">
        <f>IFERROR(POWER((VLOOKUP(C45,Code!H:W,12,FALSE))/(VLOOKUP(C45,Code!H:W,15,FALSE)),1/(P45-1))-1,"")</f>
        <v/>
      </c>
      <c r="K45" s="55" t="str">
        <f>IFERROR(POWER((VLOOKUP(C45,Code!H:W,13,FALSE))/(VLOOKUP(C45,Code!H:W,16,FALSE)),1/(P45-1))-1,"")</f>
        <v/>
      </c>
      <c r="L45" s="75" t="str">
        <f>IFERROR(VLOOKUP(C45,Code!H:W,13,FALSE)*4/VLOOKUP(C45,Code!H:W,12,FALSE),"")</f>
        <v/>
      </c>
      <c r="M45" s="55" t="str">
        <f t="shared" si="9"/>
        <v/>
      </c>
      <c r="N45" s="55" t="str">
        <f t="shared" si="10"/>
        <v/>
      </c>
      <c r="O45" s="55" t="str">
        <f t="shared" si="11"/>
        <v/>
      </c>
      <c r="P45" s="70">
        <f>IFERROR(YEARFRAC(VLOOKUP(C45,Code!H:W,11,FALSE),VLOOKUP(C45,Code!H:W,14,FALSE),3),"")</f>
        <v>0</v>
      </c>
      <c r="Q45" s="2"/>
      <c r="R45" s="85" t="str">
        <f t="shared" ca="1" si="12"/>
        <v/>
      </c>
      <c r="S45" s="86">
        <f>IFERROR(VLOOKUP($C45,Code!$H:$Q,5,FALSE),"")</f>
        <v>0</v>
      </c>
      <c r="T45" s="88" t="str">
        <f t="shared" ca="1" si="13"/>
        <v/>
      </c>
      <c r="U45" s="89" t="str">
        <f t="shared" ca="1" si="14"/>
        <v/>
      </c>
      <c r="V45" s="90">
        <f>IFERROR(VLOOKUP($C45,Code!$H:$Q,6,FALSE),"")</f>
        <v>0</v>
      </c>
      <c r="W45" s="91" t="str">
        <f t="shared" ca="1" si="15"/>
        <v/>
      </c>
      <c r="X45" s="12"/>
      <c r="Y45" s="12"/>
      <c r="Z45" s="12"/>
      <c r="AA45" s="12"/>
      <c r="AB45" s="12"/>
    </row>
    <row r="46" spans="1:28" s="10" customFormat="1" ht="15" hidden="1">
      <c r="A46" s="9"/>
      <c r="B46" s="137"/>
      <c r="C46" s="142" t="s">
        <v>819</v>
      </c>
      <c r="D46" s="82" t="str">
        <f>IFERROR(VLOOKUP($C46,Code!$H:$K,2,FALSE),"")</f>
        <v/>
      </c>
      <c r="E46" s="83" t="str">
        <f>IFERROR(VLOOKUP($C46,Code!$H:$K,3,FALSE),"")</f>
        <v>新副經濟</v>
      </c>
      <c r="F46" s="84" t="str">
        <f>IFERROR(VLOOKUP($C46,Code!$H:$K,4,FALSE),"")</f>
        <v>JIT</v>
      </c>
      <c r="G46" s="128">
        <f>_xlfn.IFNA(((VLOOKUP($C46,Code!$H:$Q,9,FALSE))+(VLOOKUP($C46,Code!$H:$Q,10,FALSE)))/2*0.5/(((VLOOKUP($C46,Code!$H:$Q,7,FALSE))+(VLOOKUP($C46,Code!$H:$Q,8,FALSE)))/2),0)</f>
        <v>0.66602496016994162</v>
      </c>
      <c r="H46" s="87" t="str">
        <f t="shared" si="8"/>
        <v>L</v>
      </c>
      <c r="I46" s="128">
        <f>_xlfn.IFNA((VLOOKUP($C46,Code!$H:$Q,5,FALSE))/(((VLOOKUP($C46,Code!$H:$Q,7,FALSE))+(VLOOKUP($C46,Code!$H:$Q,8,FALSE)))/2)-G46,0)</f>
        <v>0.21740573552841214</v>
      </c>
      <c r="J46" s="55" t="str">
        <f>IFERROR(POWER((VLOOKUP(C46,Code!H:W,12,FALSE))/(VLOOKUP(C46,Code!H:W,15,FALSE)),1/(P46-1))-1,"")</f>
        <v/>
      </c>
      <c r="K46" s="55" t="str">
        <f>IFERROR(POWER((VLOOKUP(C46,Code!H:W,13,FALSE))/(VLOOKUP(C46,Code!H:W,16,FALSE)),1/(P46-1))-1,"")</f>
        <v/>
      </c>
      <c r="L46" s="75" t="str">
        <f>IFERROR(VLOOKUP(C46,Code!H:W,13,FALSE)*4/VLOOKUP(C46,Code!H:W,12,FALSE),"")</f>
        <v/>
      </c>
      <c r="M46" s="55" t="str">
        <f t="shared" si="9"/>
        <v/>
      </c>
      <c r="N46" s="55" t="str">
        <f t="shared" si="10"/>
        <v/>
      </c>
      <c r="O46" s="55" t="str">
        <f t="shared" si="11"/>
        <v/>
      </c>
      <c r="P46" s="70">
        <f>IFERROR(YEARFRAC(VLOOKUP(C46,Code!H:W,11,FALSE),VLOOKUP(C46,Code!H:W,14,FALSE),3),"")</f>
        <v>0</v>
      </c>
      <c r="Q46" s="2"/>
      <c r="R46" s="85" t="str">
        <f t="shared" ca="1" si="12"/>
        <v/>
      </c>
      <c r="S46" s="86">
        <f>IFERROR(VLOOKUP($C46,Code!$H:$Q,5,FALSE),"")</f>
        <v>0.66539999999999999</v>
      </c>
      <c r="T46" s="88" t="str">
        <f t="shared" ca="1" si="13"/>
        <v/>
      </c>
      <c r="U46" s="89" t="str">
        <f t="shared" ca="1" si="14"/>
        <v/>
      </c>
      <c r="V46" s="90">
        <f>IFERROR(VLOOKUP($C46,Code!$H:$Q,6,FALSE),"")</f>
        <v>7.45</v>
      </c>
      <c r="W46" s="91" t="str">
        <f t="shared" ca="1" si="15"/>
        <v/>
      </c>
      <c r="X46" s="12"/>
      <c r="Y46" s="12"/>
      <c r="Z46" s="12"/>
      <c r="AA46" s="12"/>
      <c r="AB46" s="12"/>
    </row>
    <row r="47" spans="1:28" s="10" customFormat="1" ht="15" hidden="1">
      <c r="A47" s="9"/>
      <c r="B47" s="137"/>
      <c r="C47" s="142" t="s">
        <v>715</v>
      </c>
      <c r="D47" s="82" t="str">
        <f>IFERROR(VLOOKUP($C47,Code!$H:$K,2,FALSE),"")</f>
        <v/>
      </c>
      <c r="E47" s="83" t="str">
        <f>IFERROR(VLOOKUP($C47,Code!$H:$K,3,FALSE),"")</f>
        <v/>
      </c>
      <c r="F47" s="84" t="str">
        <f>IFERROR(VLOOKUP($C47,Code!$H:$K,4,FALSE),"")</f>
        <v>JIT</v>
      </c>
      <c r="G47" s="128">
        <f>_xlfn.IFNA(((VLOOKUP($C47,Code!$H:$Q,9,FALSE))+(VLOOKUP($C47,Code!$H:$Q,10,FALSE)))/2*0.5/(((VLOOKUP($C47,Code!$H:$Q,7,FALSE))+(VLOOKUP($C47,Code!$H:$Q,8,FALSE)))/2),0)</f>
        <v>0.548806285886975</v>
      </c>
      <c r="H47" s="87" t="str">
        <f t="shared" si="8"/>
        <v>M</v>
      </c>
      <c r="I47" s="128">
        <f>_xlfn.IFNA((VLOOKUP($C47,Code!$H:$Q,5,FALSE))/(((VLOOKUP($C47,Code!$H:$Q,7,FALSE))+(VLOOKUP($C47,Code!$H:$Q,8,FALSE)))/2)-G47,0)</f>
        <v>0.27455424599576916</v>
      </c>
      <c r="J47" s="55" t="str">
        <f>IFERROR(POWER((VLOOKUP(C47,Code!H:W,12,FALSE))/(VLOOKUP(C47,Code!H:W,15,FALSE)),1/(P47-1))-1,"")</f>
        <v/>
      </c>
      <c r="K47" s="55" t="str">
        <f>IFERROR(POWER((VLOOKUP(C47,Code!H:W,13,FALSE))/(VLOOKUP(C47,Code!H:W,16,FALSE)),1/(P47-1))-1,"")</f>
        <v/>
      </c>
      <c r="L47" s="75" t="str">
        <f>IFERROR(VLOOKUP(C47,Code!H:W,13,FALSE)*4/VLOOKUP(C47,Code!H:W,12,FALSE),"")</f>
        <v/>
      </c>
      <c r="M47" s="55" t="str">
        <f t="shared" si="9"/>
        <v/>
      </c>
      <c r="N47" s="55" t="str">
        <f t="shared" si="10"/>
        <v/>
      </c>
      <c r="O47" s="55" t="str">
        <f t="shared" si="11"/>
        <v/>
      </c>
      <c r="P47" s="70">
        <f>IFERROR(YEARFRAC(VLOOKUP(C47,Code!H:W,11,FALSE),VLOOKUP(C47,Code!H:W,14,FALSE),3),"")</f>
        <v>0</v>
      </c>
      <c r="Q47" s="2"/>
      <c r="R47" s="85" t="str">
        <f t="shared" ca="1" si="12"/>
        <v/>
      </c>
      <c r="S47" s="86">
        <f>IFERROR(VLOOKUP($C47,Code!$H:$Q,5,FALSE),"")</f>
        <v>0.54490000000000005</v>
      </c>
      <c r="T47" s="88" t="str">
        <f t="shared" ca="1" si="13"/>
        <v/>
      </c>
      <c r="U47" s="89" t="str">
        <f t="shared" ca="1" si="14"/>
        <v/>
      </c>
      <c r="V47" s="90">
        <f>IFERROR(VLOOKUP($C47,Code!$H:$Q,6,FALSE),"")</f>
        <v>336.05</v>
      </c>
      <c r="W47" s="91" t="str">
        <f t="shared" ca="1" si="15"/>
        <v/>
      </c>
      <c r="X47" s="12"/>
      <c r="Y47" s="12"/>
      <c r="Z47" s="12"/>
      <c r="AA47" s="12"/>
      <c r="AB47" s="12"/>
    </row>
    <row r="48" spans="1:28" s="10" customFormat="1" ht="15" hidden="1">
      <c r="A48" s="9"/>
      <c r="B48" s="137"/>
      <c r="C48" s="142" t="s">
        <v>670</v>
      </c>
      <c r="D48" s="82" t="str">
        <f>IFERROR(VLOOKUP($C48,Code!$H:$K,2,FALSE),"")</f>
        <v/>
      </c>
      <c r="E48" s="83" t="str">
        <f>IFERROR(VLOOKUP($C48,Code!$H:$K,3,FALSE),"")</f>
        <v/>
      </c>
      <c r="F48" s="84" t="str">
        <f>IFERROR(VLOOKUP($C48,Code!$H:$K,4,FALSE),"")</f>
        <v>JIT</v>
      </c>
      <c r="G48" s="128" t="e">
        <f>_xlfn.IFNA(((VLOOKUP($C48,Code!$H:$Q,9,FALSE))+(VLOOKUP($C48,Code!$H:$Q,10,FALSE)))/2*0.5/(((VLOOKUP($C48,Code!$H:$Q,7,FALSE))+(VLOOKUP($C48,Code!$H:$Q,8,FALSE)))/2),0)</f>
        <v>#DIV/0!</v>
      </c>
      <c r="H48" s="87" t="str">
        <f t="shared" si="8"/>
        <v/>
      </c>
      <c r="I48" s="128" t="e">
        <f>_xlfn.IFNA((VLOOKUP($C48,Code!$H:$Q,5,FALSE))/(((VLOOKUP($C48,Code!$H:$Q,7,FALSE))+(VLOOKUP($C48,Code!$H:$Q,8,FALSE)))/2)-G48,0)</f>
        <v>#DIV/0!</v>
      </c>
      <c r="J48" s="55" t="str">
        <f>IFERROR(POWER((VLOOKUP(C48,Code!H:W,12,FALSE))/(VLOOKUP(C48,Code!H:W,15,FALSE)),1/(P48-1))-1,"")</f>
        <v/>
      </c>
      <c r="K48" s="55" t="str">
        <f>IFERROR(POWER((VLOOKUP(C48,Code!H:W,13,FALSE))/(VLOOKUP(C48,Code!H:W,16,FALSE)),1/(P48-1))-1,"")</f>
        <v/>
      </c>
      <c r="L48" s="75" t="str">
        <f>IFERROR(VLOOKUP(C48,Code!H:W,13,FALSE)*4/VLOOKUP(C48,Code!H:W,12,FALSE),"")</f>
        <v/>
      </c>
      <c r="M48" s="55" t="str">
        <f t="shared" si="9"/>
        <v/>
      </c>
      <c r="N48" s="55" t="str">
        <f t="shared" si="10"/>
        <v/>
      </c>
      <c r="O48" s="55" t="str">
        <f t="shared" si="11"/>
        <v/>
      </c>
      <c r="P48" s="70">
        <f>IFERROR(YEARFRAC(VLOOKUP(C48,Code!H:W,11,FALSE),VLOOKUP(C48,Code!H:W,14,FALSE),3),"")</f>
        <v>0</v>
      </c>
      <c r="Q48" s="2"/>
      <c r="R48" s="85" t="str">
        <f t="shared" ca="1" si="12"/>
        <v/>
      </c>
      <c r="S48" s="86">
        <f>IFERROR(VLOOKUP($C48,Code!$H:$Q,5,FALSE),"")</f>
        <v>0</v>
      </c>
      <c r="T48" s="88" t="str">
        <f t="shared" ca="1" si="13"/>
        <v/>
      </c>
      <c r="U48" s="89" t="str">
        <f t="shared" ca="1" si="14"/>
        <v/>
      </c>
      <c r="V48" s="90">
        <f>IFERROR(VLOOKUP($C48,Code!$H:$Q,6,FALSE),"")</f>
        <v>0</v>
      </c>
      <c r="W48" s="91" t="str">
        <f t="shared" ca="1" si="15"/>
        <v/>
      </c>
      <c r="X48" s="12"/>
      <c r="Y48" s="12"/>
      <c r="Z48" s="12"/>
      <c r="AA48" s="12"/>
      <c r="AB48" s="12"/>
    </row>
    <row r="49" spans="1:28" s="10" customFormat="1" ht="15" hidden="1">
      <c r="A49" s="9"/>
      <c r="B49" s="137"/>
      <c r="C49" s="142" t="s">
        <v>808</v>
      </c>
      <c r="D49" s="82" t="str">
        <f>IFERROR(VLOOKUP($C49,Code!$H:$K,2,FALSE),"")</f>
        <v/>
      </c>
      <c r="E49" s="83" t="str">
        <f>IFERROR(VLOOKUP($C49,Code!$H:$K,3,FALSE),"")</f>
        <v>新能源</v>
      </c>
      <c r="F49" s="84" t="str">
        <f>IFERROR(VLOOKUP($C49,Code!$H:$K,4,FALSE),"")</f>
        <v>JIT</v>
      </c>
      <c r="G49" s="128">
        <f>_xlfn.IFNA(((VLOOKUP($C49,Code!$H:$Q,9,FALSE))+(VLOOKUP($C49,Code!$H:$Q,10,FALSE)))/2*0.5/(((VLOOKUP($C49,Code!$H:$Q,7,FALSE))+(VLOOKUP($C49,Code!$H:$Q,8,FALSE)))/2),0)</f>
        <v>0.4880148941121713</v>
      </c>
      <c r="H49" s="87" t="str">
        <f t="shared" si="8"/>
        <v>S</v>
      </c>
      <c r="I49" s="128">
        <f>_xlfn.IFNA((VLOOKUP($C49,Code!$H:$Q,5,FALSE))/(((VLOOKUP($C49,Code!$H:$Q,7,FALSE))+(VLOOKUP($C49,Code!$H:$Q,8,FALSE)))/2)-G49,0)</f>
        <v>0.26623225506167097</v>
      </c>
      <c r="J49" s="55">
        <f>IFERROR(POWER((VLOOKUP(C49,Code!H:W,12,FALSE))/(VLOOKUP(C49,Code!H:W,15,FALSE)),1/(P49-1))-1,"")</f>
        <v>0.60254665254481532</v>
      </c>
      <c r="K49" s="55">
        <f>IFERROR(POWER((VLOOKUP(C49,Code!H:W,13,FALSE))/(VLOOKUP(C49,Code!H:W,16,FALSE)),1/(P49-1))-1,"")</f>
        <v>4.9946235221992374E-2</v>
      </c>
      <c r="L49" s="75">
        <f>IFERROR(VLOOKUP(C49,Code!H:W,13,FALSE)*4/VLOOKUP(C49,Code!H:W,12,FALSE),"")</f>
        <v>2.7481964384278319E-3</v>
      </c>
      <c r="M49" s="55">
        <f t="shared" si="9"/>
        <v>0.65249288776680769</v>
      </c>
      <c r="N49" s="55" t="str">
        <f t="shared" si="10"/>
        <v>-</v>
      </c>
      <c r="O49" s="55" t="str">
        <f t="shared" si="11"/>
        <v>-</v>
      </c>
      <c r="P49" s="196">
        <f>IFERROR(YEARFRAC(VLOOKUP(C49,Code!H:W,11,FALSE),VLOOKUP(C49,Code!H:W,14,FALSE),3),"")</f>
        <v>3.7397260273972601</v>
      </c>
      <c r="Q49" s="2"/>
      <c r="R49" s="85" t="str">
        <f t="shared" ca="1" si="12"/>
        <v/>
      </c>
      <c r="S49" s="86">
        <f>IFERROR(VLOOKUP($C49,Code!$H:$Q,5,FALSE),"")</f>
        <v>0.3241</v>
      </c>
      <c r="T49" s="88" t="str">
        <f t="shared" ca="1" si="13"/>
        <v/>
      </c>
      <c r="U49" s="89" t="str">
        <f t="shared" ca="1" si="14"/>
        <v/>
      </c>
      <c r="V49" s="90">
        <f>IFERROR(VLOOKUP($C49,Code!$H:$Q,6,FALSE),"")</f>
        <v>121.91</v>
      </c>
      <c r="W49" s="91" t="str">
        <f t="shared" ca="1" si="15"/>
        <v/>
      </c>
      <c r="X49" s="12"/>
      <c r="Y49" s="12"/>
      <c r="Z49" s="12"/>
      <c r="AA49" s="12"/>
      <c r="AB49" s="12"/>
    </row>
    <row r="50" spans="1:28" s="10" customFormat="1" ht="15" hidden="1">
      <c r="A50" s="9"/>
      <c r="B50" s="137"/>
      <c r="C50" s="142" t="s">
        <v>700</v>
      </c>
      <c r="D50" s="82" t="str">
        <f>IFERROR(VLOOKUP($C50,Code!$H:$K,2,FALSE),"")</f>
        <v/>
      </c>
      <c r="E50" s="83" t="str">
        <f>IFERROR(VLOOKUP($C50,Code!$H:$K,3,FALSE),"")</f>
        <v/>
      </c>
      <c r="F50" s="84" t="str">
        <f>IFERROR(VLOOKUP($C50,Code!$H:$K,4,FALSE),"")</f>
        <v>JIT</v>
      </c>
      <c r="G50" s="128" t="e">
        <f>_xlfn.IFNA(((VLOOKUP($C50,Code!$H:$Q,9,FALSE))+(VLOOKUP($C50,Code!$H:$Q,10,FALSE)))/2*0.5/(((VLOOKUP($C50,Code!$H:$Q,7,FALSE))+(VLOOKUP($C50,Code!$H:$Q,8,FALSE)))/2),0)</f>
        <v>#DIV/0!</v>
      </c>
      <c r="H50" s="87" t="str">
        <f t="shared" si="8"/>
        <v/>
      </c>
      <c r="I50" s="128" t="e">
        <f>_xlfn.IFNA((VLOOKUP($C50,Code!$H:$Q,5,FALSE))/(((VLOOKUP($C50,Code!$H:$Q,7,FALSE))+(VLOOKUP($C50,Code!$H:$Q,8,FALSE)))/2)-G50,0)</f>
        <v>#DIV/0!</v>
      </c>
      <c r="J50" s="55" t="str">
        <f>IFERROR(POWER((VLOOKUP(C50,Code!H:W,12,FALSE))/(VLOOKUP(C50,Code!H:W,15,FALSE)),1/(P50-1))-1,"")</f>
        <v/>
      </c>
      <c r="K50" s="55" t="str">
        <f>IFERROR(POWER((VLOOKUP(C50,Code!H:W,13,FALSE))/(VLOOKUP(C50,Code!H:W,16,FALSE)),1/(P50-1))-1,"")</f>
        <v/>
      </c>
      <c r="L50" s="75" t="str">
        <f>IFERROR(VLOOKUP(C50,Code!H:W,13,FALSE)*4/VLOOKUP(C50,Code!H:W,12,FALSE),"")</f>
        <v/>
      </c>
      <c r="M50" s="55" t="str">
        <f t="shared" si="9"/>
        <v/>
      </c>
      <c r="N50" s="55" t="str">
        <f t="shared" si="10"/>
        <v/>
      </c>
      <c r="O50" s="55" t="str">
        <f t="shared" si="11"/>
        <v/>
      </c>
      <c r="P50" s="70">
        <f>IFERROR(YEARFRAC(VLOOKUP(C50,Code!H:W,11,FALSE),VLOOKUP(C50,Code!H:W,14,FALSE),3),"")</f>
        <v>0</v>
      </c>
      <c r="Q50" s="2"/>
      <c r="R50" s="85" t="str">
        <f t="shared" ca="1" si="12"/>
        <v/>
      </c>
      <c r="S50" s="86">
        <f>IFERROR(VLOOKUP($C50,Code!$H:$Q,5,FALSE),"")</f>
        <v>0</v>
      </c>
      <c r="T50" s="88" t="str">
        <f t="shared" ca="1" si="13"/>
        <v/>
      </c>
      <c r="U50" s="89" t="str">
        <f t="shared" ca="1" si="14"/>
        <v/>
      </c>
      <c r="V50" s="90">
        <f>IFERROR(VLOOKUP($C50,Code!$H:$Q,6,FALSE),"")</f>
        <v>0</v>
      </c>
      <c r="W50" s="91" t="str">
        <f t="shared" ca="1" si="15"/>
        <v/>
      </c>
      <c r="X50" s="12"/>
      <c r="Y50" s="12"/>
      <c r="Z50" s="12"/>
      <c r="AA50" s="12"/>
      <c r="AB50" s="12"/>
    </row>
    <row r="51" spans="1:28" s="10" customFormat="1" ht="15" hidden="1">
      <c r="A51" s="9"/>
      <c r="B51" s="137"/>
      <c r="C51" s="142" t="s">
        <v>672</v>
      </c>
      <c r="D51" s="82" t="str">
        <f>IFERROR(VLOOKUP($C51,Code!$H:$K,2,FALSE),"")</f>
        <v/>
      </c>
      <c r="E51" s="83" t="str">
        <f>IFERROR(VLOOKUP($C51,Code!$H:$K,3,FALSE),"")</f>
        <v/>
      </c>
      <c r="F51" s="84" t="str">
        <f>IFERROR(VLOOKUP($C51,Code!$H:$K,4,FALSE),"")</f>
        <v>JIT</v>
      </c>
      <c r="G51" s="128">
        <f>_xlfn.IFNA(((VLOOKUP($C51,Code!$H:$Q,9,FALSE))+(VLOOKUP($C51,Code!$H:$Q,10,FALSE)))/2*0.5/(((VLOOKUP($C51,Code!$H:$Q,7,FALSE))+(VLOOKUP($C51,Code!$H:$Q,8,FALSE)))/2),0)</f>
        <v>0.40930688588883019</v>
      </c>
      <c r="H51" s="87" t="str">
        <f t="shared" si="8"/>
        <v>S</v>
      </c>
      <c r="I51" s="128">
        <f>_xlfn.IFNA((VLOOKUP($C51,Code!$H:$Q,5,FALSE))/(((VLOOKUP($C51,Code!$H:$Q,7,FALSE))+(VLOOKUP($C51,Code!$H:$Q,8,FALSE)))/2)-G51,0)</f>
        <v>0.31940568670337127</v>
      </c>
      <c r="J51" s="55" t="str">
        <f>IFERROR(POWER((VLOOKUP(C51,Code!H:W,12,FALSE))/(VLOOKUP(C51,Code!H:W,15,FALSE)),1/(P51-1))-1,"")</f>
        <v/>
      </c>
      <c r="K51" s="55" t="str">
        <f>IFERROR(POWER((VLOOKUP(C51,Code!H:W,13,FALSE))/(VLOOKUP(C51,Code!H:W,16,FALSE)),1/(P51-1))-1,"")</f>
        <v/>
      </c>
      <c r="L51" s="75" t="str">
        <f>IFERROR(VLOOKUP(C51,Code!H:W,13,FALSE)*4/VLOOKUP(C51,Code!H:W,12,FALSE),"")</f>
        <v/>
      </c>
      <c r="M51" s="55" t="str">
        <f t="shared" si="9"/>
        <v/>
      </c>
      <c r="N51" s="55" t="str">
        <f t="shared" si="10"/>
        <v/>
      </c>
      <c r="O51" s="55" t="str">
        <f t="shared" si="11"/>
        <v/>
      </c>
      <c r="P51" s="70">
        <f>IFERROR(YEARFRAC(VLOOKUP(C51,Code!H:W,11,FALSE),VLOOKUP(C51,Code!H:W,14,FALSE),3),"")</f>
        <v>0</v>
      </c>
      <c r="Q51" s="2"/>
      <c r="R51" s="85" t="str">
        <f t="shared" ca="1" si="12"/>
        <v/>
      </c>
      <c r="S51" s="86">
        <f>IFERROR(VLOOKUP($C51,Code!$H:$Q,5,FALSE),"")</f>
        <v>0.48309999999999997</v>
      </c>
      <c r="T51" s="88" t="str">
        <f t="shared" ca="1" si="13"/>
        <v/>
      </c>
      <c r="U51" s="89" t="str">
        <f t="shared" ca="1" si="14"/>
        <v/>
      </c>
      <c r="V51" s="90">
        <f>IFERROR(VLOOKUP($C51,Code!$H:$Q,6,FALSE),"")</f>
        <v>109.58</v>
      </c>
      <c r="W51" s="91" t="str">
        <f t="shared" ca="1" si="15"/>
        <v/>
      </c>
      <c r="X51" s="12"/>
      <c r="Y51" s="12"/>
      <c r="Z51" s="12"/>
      <c r="AA51" s="12"/>
      <c r="AB51" s="12"/>
    </row>
    <row r="52" spans="1:28" s="10" customFormat="1" ht="15" hidden="1">
      <c r="A52" s="9"/>
      <c r="B52" s="137"/>
      <c r="C52" s="142" t="s">
        <v>815</v>
      </c>
      <c r="D52" s="82" t="str">
        <f>IFERROR(VLOOKUP($C52,Code!$H:$K,2,FALSE),"")</f>
        <v/>
      </c>
      <c r="E52" s="83" t="str">
        <f>IFERROR(VLOOKUP($C52,Code!$H:$K,3,FALSE),"")</f>
        <v>精密科技</v>
      </c>
      <c r="F52" s="84" t="str">
        <f>IFERROR(VLOOKUP($C52,Code!$H:$K,4,FALSE),"")</f>
        <v>JIT</v>
      </c>
      <c r="G52" s="128">
        <f>_xlfn.IFNA(((VLOOKUP($C52,Code!$H:$Q,9,FALSE))+(VLOOKUP($C52,Code!$H:$Q,10,FALSE)))/2*0.5/(((VLOOKUP($C52,Code!$H:$Q,7,FALSE))+(VLOOKUP($C52,Code!$H:$Q,8,FALSE)))/2),0)</f>
        <v>0.44193534720162697</v>
      </c>
      <c r="H52" s="87" t="str">
        <f t="shared" si="8"/>
        <v>S</v>
      </c>
      <c r="I52" s="128">
        <f>_xlfn.IFNA((VLOOKUP($C52,Code!$H:$Q,5,FALSE))/(((VLOOKUP($C52,Code!$H:$Q,7,FALSE))+(VLOOKUP($C52,Code!$H:$Q,8,FALSE)))/2)-G52,0)</f>
        <v>0.25983985086641526</v>
      </c>
      <c r="J52" s="55" t="str">
        <f>IFERROR(POWER((VLOOKUP(C52,Code!H:W,12,FALSE))/(VLOOKUP(C52,Code!H:W,15,FALSE)),1/(P52-1))-1,"")</f>
        <v/>
      </c>
      <c r="K52" s="55" t="str">
        <f>IFERROR(POWER((VLOOKUP(C52,Code!H:W,13,FALSE))/(VLOOKUP(C52,Code!H:W,16,FALSE)),1/(P52-1))-1,"")</f>
        <v/>
      </c>
      <c r="L52" s="75" t="str">
        <f>IFERROR(VLOOKUP(C52,Code!H:W,13,FALSE)*4/VLOOKUP(C52,Code!H:W,12,FALSE),"")</f>
        <v/>
      </c>
      <c r="M52" s="55" t="str">
        <f t="shared" si="9"/>
        <v/>
      </c>
      <c r="N52" s="55" t="str">
        <f t="shared" si="10"/>
        <v/>
      </c>
      <c r="O52" s="55" t="str">
        <f t="shared" si="11"/>
        <v/>
      </c>
      <c r="P52" s="70">
        <f>IFERROR(YEARFRAC(VLOOKUP(C52,Code!H:W,11,FALSE),VLOOKUP(C52,Code!H:W,14,FALSE),3),"")</f>
        <v>0</v>
      </c>
      <c r="Q52" s="2"/>
      <c r="R52" s="85" t="str">
        <f t="shared" ca="1" si="12"/>
        <v/>
      </c>
      <c r="S52" s="86">
        <f>IFERROR(VLOOKUP($C52,Code!$H:$Q,5,FALSE),"")</f>
        <v>0.82820000000000005</v>
      </c>
      <c r="T52" s="88" t="str">
        <f t="shared" ca="1" si="13"/>
        <v/>
      </c>
      <c r="U52" s="89" t="str">
        <f t="shared" ca="1" si="14"/>
        <v/>
      </c>
      <c r="V52" s="90">
        <f>IFERROR(VLOOKUP($C52,Code!$H:$Q,6,FALSE),"")</f>
        <v>92.19</v>
      </c>
      <c r="W52" s="91" t="str">
        <f t="shared" ca="1" si="15"/>
        <v/>
      </c>
      <c r="X52" s="12"/>
      <c r="Y52" s="12"/>
      <c r="Z52" s="12"/>
      <c r="AA52" s="12"/>
      <c r="AB52" s="12"/>
    </row>
    <row r="53" spans="1:28" s="10" customFormat="1" ht="15" hidden="1">
      <c r="A53" s="9"/>
      <c r="B53" s="137"/>
      <c r="C53" s="142" t="s">
        <v>795</v>
      </c>
      <c r="D53" s="82" t="str">
        <f>IFERROR(VLOOKUP($C53,Code!$H:$K,2,FALSE),"")</f>
        <v/>
      </c>
      <c r="E53" s="83" t="str">
        <f>IFERROR(VLOOKUP($C53,Code!$H:$K,3,FALSE),"")</f>
        <v>EV&amp;人工智慧</v>
      </c>
      <c r="F53" s="84" t="str">
        <f>IFERROR(VLOOKUP($C53,Code!$H:$K,4,FALSE),"")</f>
        <v>JIT</v>
      </c>
      <c r="G53" s="128" t="e">
        <f>_xlfn.IFNA(((VLOOKUP($C53,Code!$H:$Q,9,FALSE))+(VLOOKUP($C53,Code!$H:$Q,10,FALSE)))/2*0.5/(((VLOOKUP($C53,Code!$H:$Q,7,FALSE))+(VLOOKUP($C53,Code!$H:$Q,8,FALSE)))/2),0)</f>
        <v>#DIV/0!</v>
      </c>
      <c r="H53" s="87" t="str">
        <f t="shared" si="8"/>
        <v/>
      </c>
      <c r="I53" s="128" t="e">
        <f>_xlfn.IFNA((VLOOKUP($C53,Code!$H:$Q,5,FALSE))/(((VLOOKUP($C53,Code!$H:$Q,7,FALSE))+(VLOOKUP($C53,Code!$H:$Q,8,FALSE)))/2)-G53,0)</f>
        <v>#DIV/0!</v>
      </c>
      <c r="J53" s="55" t="str">
        <f>IFERROR(POWER((VLOOKUP(C53,Code!H:W,12,FALSE))/(VLOOKUP(C53,Code!H:W,15,FALSE)),1/(P53-1))-1,"")</f>
        <v/>
      </c>
      <c r="K53" s="55" t="str">
        <f>IFERROR(POWER((VLOOKUP(C53,Code!H:W,13,FALSE))/(VLOOKUP(C53,Code!H:W,16,FALSE)),1/(P53-1))-1,"")</f>
        <v/>
      </c>
      <c r="L53" s="75" t="str">
        <f>IFERROR(VLOOKUP(C53,Code!H:W,13,FALSE)*4/VLOOKUP(C53,Code!H:W,12,FALSE),"")</f>
        <v/>
      </c>
      <c r="M53" s="55" t="str">
        <f t="shared" si="9"/>
        <v/>
      </c>
      <c r="N53" s="55" t="str">
        <f t="shared" si="10"/>
        <v/>
      </c>
      <c r="O53" s="55" t="str">
        <f t="shared" si="11"/>
        <v/>
      </c>
      <c r="P53" s="70">
        <f>IFERROR(YEARFRAC(VLOOKUP(C53,Code!H:W,11,FALSE),VLOOKUP(C53,Code!H:W,14,FALSE),3),"")</f>
        <v>0</v>
      </c>
      <c r="Q53" s="2"/>
      <c r="R53" s="85" t="str">
        <f t="shared" ca="1" si="12"/>
        <v/>
      </c>
      <c r="S53" s="86">
        <f>IFERROR(VLOOKUP($C53,Code!$H:$Q,5,FALSE),"")</f>
        <v>0</v>
      </c>
      <c r="T53" s="88" t="str">
        <f t="shared" ca="1" si="13"/>
        <v/>
      </c>
      <c r="U53" s="89" t="str">
        <f t="shared" ca="1" si="14"/>
        <v/>
      </c>
      <c r="V53" s="90">
        <f>IFERROR(VLOOKUP($C53,Code!$H:$Q,6,FALSE),"")</f>
        <v>0</v>
      </c>
      <c r="W53" s="91" t="str">
        <f t="shared" ca="1" si="15"/>
        <v/>
      </c>
      <c r="X53" s="12"/>
      <c r="Y53" s="12"/>
      <c r="Z53" s="12"/>
      <c r="AA53" s="12"/>
      <c r="AB53" s="12"/>
    </row>
    <row r="54" spans="1:28" s="10" customFormat="1" ht="15" hidden="1">
      <c r="A54" s="9"/>
      <c r="B54" s="137"/>
      <c r="C54" s="142" t="s">
        <v>682</v>
      </c>
      <c r="D54" s="82" t="str">
        <f>IFERROR(VLOOKUP($C54,Code!$H:$K,2,FALSE),"")</f>
        <v/>
      </c>
      <c r="E54" s="83" t="str">
        <f>IFERROR(VLOOKUP($C54,Code!$H:$K,3,FALSE),"")</f>
        <v/>
      </c>
      <c r="F54" s="84" t="str">
        <f>IFERROR(VLOOKUP($C54,Code!$H:$K,4,FALSE),"")</f>
        <v>JIT</v>
      </c>
      <c r="G54" s="128">
        <f>_xlfn.IFNA(((VLOOKUP($C54,Code!$H:$Q,9,FALSE))+(VLOOKUP($C54,Code!$H:$Q,10,FALSE)))/2*0.5/(((VLOOKUP($C54,Code!$H:$Q,7,FALSE))+(VLOOKUP($C54,Code!$H:$Q,8,FALSE)))/2),0)</f>
        <v>0.52443500096581031</v>
      </c>
      <c r="H54" s="87" t="str">
        <f t="shared" si="8"/>
        <v>M</v>
      </c>
      <c r="I54" s="128">
        <f>_xlfn.IFNA((VLOOKUP($C54,Code!$H:$Q,5,FALSE))/(((VLOOKUP($C54,Code!$H:$Q,7,FALSE))+(VLOOKUP($C54,Code!$H:$Q,8,FALSE)))/2)-G54,0)</f>
        <v>0.20494494881205327</v>
      </c>
      <c r="J54" s="55" t="str">
        <f>IFERROR(POWER((VLOOKUP(C54,Code!H:W,12,FALSE))/(VLOOKUP(C54,Code!H:W,15,FALSE)),1/(P54-1))-1,"")</f>
        <v/>
      </c>
      <c r="K54" s="55" t="str">
        <f>IFERROR(POWER((VLOOKUP(C54,Code!H:W,13,FALSE))/(VLOOKUP(C54,Code!H:W,16,FALSE)),1/(P54-1))-1,"")</f>
        <v/>
      </c>
      <c r="L54" s="75" t="str">
        <f>IFERROR(VLOOKUP(C54,Code!H:W,13,FALSE)*4/VLOOKUP(C54,Code!H:W,12,FALSE),"")</f>
        <v/>
      </c>
      <c r="M54" s="55" t="str">
        <f t="shared" si="9"/>
        <v/>
      </c>
      <c r="N54" s="55" t="str">
        <f t="shared" si="10"/>
        <v/>
      </c>
      <c r="O54" s="55" t="str">
        <f t="shared" si="11"/>
        <v/>
      </c>
      <c r="P54" s="70">
        <f>IFERROR(YEARFRAC(VLOOKUP(C54,Code!H:W,11,FALSE),VLOOKUP(C54,Code!H:W,14,FALSE),3),"")</f>
        <v>0</v>
      </c>
      <c r="Q54" s="2"/>
      <c r="R54" s="85" t="str">
        <f t="shared" ca="1" si="12"/>
        <v/>
      </c>
      <c r="S54" s="86">
        <f>IFERROR(VLOOKUP($C54,Code!$H:$Q,5,FALSE),"")</f>
        <v>0.37759999999999999</v>
      </c>
      <c r="T54" s="88" t="str">
        <f t="shared" ca="1" si="13"/>
        <v/>
      </c>
      <c r="U54" s="89" t="str">
        <f t="shared" ca="1" si="14"/>
        <v/>
      </c>
      <c r="V54" s="90">
        <f>IFERROR(VLOOKUP($C54,Code!$H:$Q,6,FALSE),"")</f>
        <v>87.58</v>
      </c>
      <c r="W54" s="91" t="str">
        <f t="shared" ca="1" si="15"/>
        <v/>
      </c>
      <c r="X54" s="12"/>
      <c r="Y54" s="12"/>
      <c r="Z54" s="12"/>
      <c r="AA54" s="12"/>
      <c r="AB54" s="12"/>
    </row>
    <row r="55" spans="1:28" s="10" customFormat="1" ht="15" hidden="1">
      <c r="A55" s="9"/>
      <c r="B55" s="137"/>
      <c r="C55" s="142" t="s">
        <v>687</v>
      </c>
      <c r="D55" s="82" t="str">
        <f>IFERROR(VLOOKUP($C55,Code!$H:$K,2,FALSE),"")</f>
        <v/>
      </c>
      <c r="E55" s="83" t="str">
        <f>IFERROR(VLOOKUP($C55,Code!$H:$K,3,FALSE),"")</f>
        <v/>
      </c>
      <c r="F55" s="84" t="str">
        <f>IFERROR(VLOOKUP($C55,Code!$H:$K,4,FALSE),"")</f>
        <v>JIT</v>
      </c>
      <c r="G55" s="128">
        <f>_xlfn.IFNA(((VLOOKUP($C55,Code!$H:$Q,9,FALSE))+(VLOOKUP($C55,Code!$H:$Q,10,FALSE)))/2*0.5/(((VLOOKUP($C55,Code!$H:$Q,7,FALSE))+(VLOOKUP($C55,Code!$H:$Q,8,FALSE)))/2),0)</f>
        <v>0.55171482581690523</v>
      </c>
      <c r="H55" s="87" t="str">
        <f t="shared" si="8"/>
        <v>M</v>
      </c>
      <c r="I55" s="128">
        <f>_xlfn.IFNA((VLOOKUP($C55,Code!$H:$Q,5,FALSE))/(((VLOOKUP($C55,Code!$H:$Q,7,FALSE))+(VLOOKUP($C55,Code!$H:$Q,8,FALSE)))/2)-G55,0)</f>
        <v>0.67611846250787655</v>
      </c>
      <c r="J55" s="55" t="str">
        <f>IFERROR(POWER((VLOOKUP(C55,Code!H:W,12,FALSE))/(VLOOKUP(C55,Code!H:W,15,FALSE)),1/(P55-1))-1,"")</f>
        <v/>
      </c>
      <c r="K55" s="55" t="str">
        <f>IFERROR(POWER((VLOOKUP(C55,Code!H:W,13,FALSE))/(VLOOKUP(C55,Code!H:W,16,FALSE)),1/(P55-1))-1,"")</f>
        <v/>
      </c>
      <c r="L55" s="75" t="str">
        <f>IFERROR(VLOOKUP(C55,Code!H:W,13,FALSE)*4/VLOOKUP(C55,Code!H:W,12,FALSE),"")</f>
        <v/>
      </c>
      <c r="M55" s="55" t="str">
        <f t="shared" si="9"/>
        <v/>
      </c>
      <c r="N55" s="55" t="str">
        <f t="shared" si="10"/>
        <v/>
      </c>
      <c r="O55" s="55" t="str">
        <f t="shared" si="11"/>
        <v/>
      </c>
      <c r="P55" s="70">
        <f>IFERROR(YEARFRAC(VLOOKUP(C55,Code!H:W,11,FALSE),VLOOKUP(C55,Code!H:W,14,FALSE),3),"")</f>
        <v>0</v>
      </c>
      <c r="Q55" s="2"/>
      <c r="R55" s="85" t="str">
        <f t="shared" ca="1" si="12"/>
        <v/>
      </c>
      <c r="S55" s="86">
        <f>IFERROR(VLOOKUP($C55,Code!$H:$Q,5,FALSE),"")</f>
        <v>0.68200000000000005</v>
      </c>
      <c r="T55" s="88" t="str">
        <f t="shared" ca="1" si="13"/>
        <v/>
      </c>
      <c r="U55" s="89" t="str">
        <f t="shared" ca="1" si="14"/>
        <v/>
      </c>
      <c r="V55" s="90">
        <f>IFERROR(VLOOKUP($C55,Code!$H:$Q,6,FALSE),"")</f>
        <v>59.52</v>
      </c>
      <c r="W55" s="91" t="str">
        <f t="shared" ca="1" si="15"/>
        <v/>
      </c>
      <c r="X55" s="12"/>
      <c r="Y55" s="12"/>
      <c r="Z55" s="12"/>
      <c r="AA55" s="12"/>
      <c r="AB55" s="12"/>
    </row>
    <row r="56" spans="1:28" s="10" customFormat="1" ht="15" hidden="1">
      <c r="A56" s="9"/>
      <c r="B56" s="137"/>
      <c r="C56" s="142" t="s">
        <v>817</v>
      </c>
      <c r="D56" s="82" t="str">
        <f>IFERROR(VLOOKUP($C56,Code!$H:$K,2,FALSE),"")</f>
        <v/>
      </c>
      <c r="E56" s="83" t="str">
        <f>IFERROR(VLOOKUP($C56,Code!$H:$K,3,FALSE),"")</f>
        <v>新副經濟</v>
      </c>
      <c r="F56" s="84" t="str">
        <f>IFERROR(VLOOKUP($C56,Code!$H:$K,4,FALSE),"")</f>
        <v>JIT</v>
      </c>
      <c r="G56" s="128">
        <f>_xlfn.IFNA(((VLOOKUP($C56,Code!$H:$Q,9,FALSE))+(VLOOKUP($C56,Code!$H:$Q,10,FALSE)))/2*0.5/(((VLOOKUP($C56,Code!$H:$Q,7,FALSE))+(VLOOKUP($C56,Code!$H:$Q,8,FALSE)))/2),0)</f>
        <v>0.33918393782383416</v>
      </c>
      <c r="H56" s="87" t="str">
        <f t="shared" si="8"/>
        <v>S</v>
      </c>
      <c r="I56" s="128">
        <f>_xlfn.IFNA((VLOOKUP($C56,Code!$H:$Q,5,FALSE))/(((VLOOKUP($C56,Code!$H:$Q,7,FALSE))+(VLOOKUP($C56,Code!$H:$Q,8,FALSE)))/2)-G56,0)</f>
        <v>-2.0142487046632129E-2</v>
      </c>
      <c r="J56" s="55">
        <f>IFERROR(POWER((VLOOKUP(C56,Code!H:W,12,FALSE))/(VLOOKUP(C56,Code!H:W,15,FALSE)),1/(P56-1))-1,"")</f>
        <v>0</v>
      </c>
      <c r="K56" s="55" t="str">
        <f>IFERROR(POWER((VLOOKUP(C56,Code!H:W,13,FALSE))/(VLOOKUP(C56,Code!H:W,16,FALSE)),1/(P56-1))-1,"")</f>
        <v/>
      </c>
      <c r="L56" s="75">
        <f>IFERROR(VLOOKUP(C56,Code!H:W,13,FALSE)*4/VLOOKUP(C56,Code!H:W,12,FALSE),"")</f>
        <v>0</v>
      </c>
      <c r="M56" s="55" t="str">
        <f t="shared" si="9"/>
        <v/>
      </c>
      <c r="N56" s="55" t="str">
        <f t="shared" si="10"/>
        <v>-</v>
      </c>
      <c r="O56" s="55" t="str">
        <f t="shared" si="11"/>
        <v/>
      </c>
      <c r="P56" s="70">
        <f>IFERROR(YEARFRAC(VLOOKUP(C56,Code!H:W,11,FALSE),VLOOKUP(C56,Code!H:W,14,FALSE),3),"")</f>
        <v>0</v>
      </c>
      <c r="Q56" s="2"/>
      <c r="R56" s="85" t="str">
        <f t="shared" ca="1" si="12"/>
        <v/>
      </c>
      <c r="S56" s="86">
        <f>IFERROR(VLOOKUP($C56,Code!$H:$Q,5,FALSE),"")</f>
        <v>0.7389</v>
      </c>
      <c r="T56" s="88" t="str">
        <f t="shared" ca="1" si="13"/>
        <v/>
      </c>
      <c r="U56" s="89" t="str">
        <f t="shared" ca="1" si="14"/>
        <v/>
      </c>
      <c r="V56" s="90">
        <f>IFERROR(VLOOKUP($C56,Code!$H:$Q,6,FALSE),"")</f>
        <v>4</v>
      </c>
      <c r="W56" s="91" t="str">
        <f t="shared" ca="1" si="15"/>
        <v/>
      </c>
      <c r="X56" s="12"/>
      <c r="Y56" s="12"/>
      <c r="Z56" s="12"/>
      <c r="AA56" s="12"/>
      <c r="AB56" s="12"/>
    </row>
    <row r="57" spans="1:28" s="10" customFormat="1" ht="15" hidden="1">
      <c r="A57" s="9"/>
      <c r="B57" s="137"/>
      <c r="C57" s="142" t="s">
        <v>726</v>
      </c>
      <c r="D57" s="82" t="str">
        <f>IFERROR(VLOOKUP($C57,Code!$H:$K,2,FALSE),"")</f>
        <v/>
      </c>
      <c r="E57" s="83" t="str">
        <f>IFERROR(VLOOKUP($C57,Code!$H:$K,3,FALSE),"")</f>
        <v/>
      </c>
      <c r="F57" s="84" t="str">
        <f>IFERROR(VLOOKUP($C57,Code!$H:$K,4,FALSE),"")</f>
        <v>JIT</v>
      </c>
      <c r="G57" s="128">
        <f>_xlfn.IFNA(((VLOOKUP($C57,Code!$H:$Q,9,FALSE))+(VLOOKUP($C57,Code!$H:$Q,10,FALSE)))/2*0.5/(((VLOOKUP($C57,Code!$H:$Q,7,FALSE))+(VLOOKUP($C57,Code!$H:$Q,8,FALSE)))/2),0)</f>
        <v>0.51366217175301632</v>
      </c>
      <c r="H57" s="87" t="str">
        <f t="shared" si="8"/>
        <v>M</v>
      </c>
      <c r="I57" s="128">
        <f>_xlfn.IFNA((VLOOKUP($C57,Code!$H:$Q,5,FALSE))/(((VLOOKUP($C57,Code!$H:$Q,7,FALSE))+(VLOOKUP($C57,Code!$H:$Q,8,FALSE)))/2)-G57,0)</f>
        <v>0.44040859778971908</v>
      </c>
      <c r="J57" s="55" t="str">
        <f>IFERROR(POWER((VLOOKUP(C57,Code!H:W,12,FALSE))/(VLOOKUP(C57,Code!H:W,15,FALSE)),1/(P57-1))-1,"")</f>
        <v/>
      </c>
      <c r="K57" s="55" t="str">
        <f>IFERROR(POWER((VLOOKUP(C57,Code!H:W,13,FALSE))/(VLOOKUP(C57,Code!H:W,16,FALSE)),1/(P57-1))-1,"")</f>
        <v/>
      </c>
      <c r="L57" s="75" t="str">
        <f>IFERROR(VLOOKUP(C57,Code!H:W,13,FALSE)*4/VLOOKUP(C57,Code!H:W,12,FALSE),"")</f>
        <v/>
      </c>
      <c r="M57" s="55" t="str">
        <f t="shared" si="9"/>
        <v/>
      </c>
      <c r="N57" s="55" t="str">
        <f t="shared" si="10"/>
        <v/>
      </c>
      <c r="O57" s="55" t="str">
        <f t="shared" si="11"/>
        <v/>
      </c>
      <c r="P57" s="70">
        <f>IFERROR(YEARFRAC(VLOOKUP(C57,Code!H:W,11,FALSE),VLOOKUP(C57,Code!H:W,14,FALSE),3),"")</f>
        <v>0</v>
      </c>
      <c r="Q57" s="2"/>
      <c r="R57" s="85" t="str">
        <f t="shared" ca="1" si="12"/>
        <v/>
      </c>
      <c r="S57" s="86">
        <f>IFERROR(VLOOKUP($C57,Code!$H:$Q,5,FALSE),"")</f>
        <v>0.94099999999999995</v>
      </c>
      <c r="T57" s="88" t="str">
        <f t="shared" ca="1" si="13"/>
        <v/>
      </c>
      <c r="U57" s="89" t="str">
        <f t="shared" ca="1" si="14"/>
        <v/>
      </c>
      <c r="V57" s="90">
        <f>IFERROR(VLOOKUP($C57,Code!$H:$Q,6,FALSE),"")</f>
        <v>17.25</v>
      </c>
      <c r="W57" s="91" t="str">
        <f t="shared" ca="1" si="15"/>
        <v/>
      </c>
      <c r="X57" s="12"/>
      <c r="Y57" s="12"/>
      <c r="Z57" s="12"/>
      <c r="AA57" s="12"/>
      <c r="AB57" s="12"/>
    </row>
    <row r="58" spans="1:28" s="10" customFormat="1" ht="15" hidden="1">
      <c r="A58" s="9"/>
      <c r="B58" s="137"/>
      <c r="C58" s="142" t="s">
        <v>717</v>
      </c>
      <c r="D58" s="82" t="str">
        <f>IFERROR(VLOOKUP($C58,Code!$H:$K,2,FALSE),"")</f>
        <v/>
      </c>
      <c r="E58" s="83" t="str">
        <f>IFERROR(VLOOKUP($C58,Code!$H:$K,3,FALSE),"")</f>
        <v/>
      </c>
      <c r="F58" s="84" t="str">
        <f>IFERROR(VLOOKUP($C58,Code!$H:$K,4,FALSE),"")</f>
        <v>JIT</v>
      </c>
      <c r="G58" s="128">
        <f>_xlfn.IFNA(((VLOOKUP($C58,Code!$H:$Q,9,FALSE))+(VLOOKUP($C58,Code!$H:$Q,10,FALSE)))/2*0.5/(((VLOOKUP($C58,Code!$H:$Q,7,FALSE))+(VLOOKUP($C58,Code!$H:$Q,8,FALSE)))/2),0)</f>
        <v>0.57500127336627105</v>
      </c>
      <c r="H58" s="87" t="str">
        <f t="shared" si="8"/>
        <v>M</v>
      </c>
      <c r="I58" s="128">
        <f>_xlfn.IFNA((VLOOKUP($C58,Code!$H:$Q,5,FALSE))/(((VLOOKUP($C58,Code!$H:$Q,7,FALSE))+(VLOOKUP($C58,Code!$H:$Q,8,FALSE)))/2)-G58,0)</f>
        <v>0.23862883919930722</v>
      </c>
      <c r="J58" s="55" t="str">
        <f>IFERROR(POWER((VLOOKUP(C58,Code!H:W,12,FALSE))/(VLOOKUP(C58,Code!H:W,15,FALSE)),1/(P58-1))-1,"")</f>
        <v/>
      </c>
      <c r="K58" s="55" t="str">
        <f>IFERROR(POWER((VLOOKUP(C58,Code!H:W,13,FALSE))/(VLOOKUP(C58,Code!H:W,16,FALSE)),1/(P58-1))-1,"")</f>
        <v/>
      </c>
      <c r="L58" s="75" t="str">
        <f>IFERROR(VLOOKUP(C58,Code!H:W,13,FALSE)*4/VLOOKUP(C58,Code!H:W,12,FALSE),"")</f>
        <v/>
      </c>
      <c r="M58" s="55" t="str">
        <f t="shared" si="9"/>
        <v/>
      </c>
      <c r="N58" s="55" t="str">
        <f t="shared" si="10"/>
        <v/>
      </c>
      <c r="O58" s="55" t="str">
        <f t="shared" si="11"/>
        <v/>
      </c>
      <c r="P58" s="70">
        <f>IFERROR(YEARFRAC(VLOOKUP(C58,Code!H:W,11,FALSE),VLOOKUP(C58,Code!H:W,14,FALSE),3),"")</f>
        <v>0</v>
      </c>
      <c r="Q58" s="2"/>
      <c r="R58" s="85" t="str">
        <f t="shared" ca="1" si="12"/>
        <v/>
      </c>
      <c r="S58" s="86">
        <f>IFERROR(VLOOKUP($C58,Code!$H:$Q,5,FALSE),"")</f>
        <v>0.79869999999999997</v>
      </c>
      <c r="T58" s="88" t="str">
        <f t="shared" ca="1" si="13"/>
        <v/>
      </c>
      <c r="U58" s="89" t="str">
        <f t="shared" ca="1" si="14"/>
        <v/>
      </c>
      <c r="V58" s="90">
        <f>IFERROR(VLOOKUP($C58,Code!$H:$Q,6,FALSE),"")</f>
        <v>51.43</v>
      </c>
      <c r="W58" s="91" t="str">
        <f t="shared" ca="1" si="15"/>
        <v/>
      </c>
      <c r="X58" s="12"/>
      <c r="Y58" s="12"/>
      <c r="Z58" s="12"/>
      <c r="AA58" s="12"/>
      <c r="AB58" s="12"/>
    </row>
    <row r="59" spans="1:28" s="10" customFormat="1" ht="15" hidden="1">
      <c r="A59" s="9"/>
      <c r="B59" s="137"/>
      <c r="C59" s="142" t="s">
        <v>804</v>
      </c>
      <c r="D59" s="82" t="str">
        <f>IFERROR(VLOOKUP($C59,Code!$H:$K,2,FALSE),"")</f>
        <v/>
      </c>
      <c r="E59" s="83" t="str">
        <f>IFERROR(VLOOKUP($C59,Code!$H:$K,3,FALSE),"")</f>
        <v>新能源</v>
      </c>
      <c r="F59" s="84" t="str">
        <f>IFERROR(VLOOKUP($C59,Code!$H:$K,4,FALSE),"")</f>
        <v>JIT</v>
      </c>
      <c r="G59" s="128">
        <f>_xlfn.IFNA(((VLOOKUP($C59,Code!$H:$Q,9,FALSE))+(VLOOKUP($C59,Code!$H:$Q,10,FALSE)))/2*0.5/(((VLOOKUP($C59,Code!$H:$Q,7,FALSE))+(VLOOKUP($C59,Code!$H:$Q,8,FALSE)))/2),0)</f>
        <v>0.42441587688843008</v>
      </c>
      <c r="H59" s="87" t="str">
        <f t="shared" si="8"/>
        <v>S</v>
      </c>
      <c r="I59" s="128">
        <f>_xlfn.IFNA((VLOOKUP($C59,Code!$H:$Q,5,FALSE))/(((VLOOKUP($C59,Code!$H:$Q,7,FALSE))+(VLOOKUP($C59,Code!$H:$Q,8,FALSE)))/2)-G59,0)</f>
        <v>0.41146664164398994</v>
      </c>
      <c r="J59" s="55" t="str">
        <f>IFERROR(POWER((VLOOKUP(C59,Code!H:W,12,FALSE))/(VLOOKUP(C59,Code!H:W,15,FALSE)),1/(P59-1))-1,"")</f>
        <v/>
      </c>
      <c r="K59" s="55" t="str">
        <f>IFERROR(POWER((VLOOKUP(C59,Code!H:W,13,FALSE))/(VLOOKUP(C59,Code!H:W,16,FALSE)),1/(P59-1))-1,"")</f>
        <v/>
      </c>
      <c r="L59" s="75" t="str">
        <f>IFERROR(VLOOKUP(C59,Code!H:W,13,FALSE)*4/VLOOKUP(C59,Code!H:W,12,FALSE),"")</f>
        <v/>
      </c>
      <c r="M59" s="55" t="str">
        <f t="shared" si="9"/>
        <v/>
      </c>
      <c r="N59" s="55" t="str">
        <f t="shared" si="10"/>
        <v/>
      </c>
      <c r="O59" s="55" t="str">
        <f t="shared" si="11"/>
        <v/>
      </c>
      <c r="P59" s="70">
        <f>IFERROR(YEARFRAC(VLOOKUP(C59,Code!H:W,11,FALSE),VLOOKUP(C59,Code!H:W,14,FALSE),3),"")</f>
        <v>0</v>
      </c>
      <c r="Q59" s="2"/>
      <c r="R59" s="85" t="str">
        <f t="shared" ca="1" si="12"/>
        <v/>
      </c>
      <c r="S59" s="86">
        <f>IFERROR(VLOOKUP($C59,Code!$H:$Q,5,FALSE),"")</f>
        <v>0.44540000000000002</v>
      </c>
      <c r="T59" s="88" t="str">
        <f t="shared" ca="1" si="13"/>
        <v/>
      </c>
      <c r="U59" s="89" t="str">
        <f t="shared" ca="1" si="14"/>
        <v/>
      </c>
      <c r="V59" s="90">
        <f>IFERROR(VLOOKUP($C59,Code!$H:$Q,6,FALSE),"")</f>
        <v>97.9</v>
      </c>
      <c r="W59" s="91" t="str">
        <f t="shared" ca="1" si="15"/>
        <v/>
      </c>
      <c r="X59" s="12"/>
      <c r="Y59" s="12"/>
      <c r="Z59" s="12"/>
      <c r="AA59" s="12"/>
      <c r="AB59" s="12"/>
    </row>
    <row r="60" spans="1:28" s="10" customFormat="1" ht="15" hidden="1">
      <c r="A60" s="9"/>
      <c r="B60" s="137"/>
      <c r="C60" s="142" t="s">
        <v>903</v>
      </c>
      <c r="D60" s="82" t="str">
        <f>IFERROR(VLOOKUP($C60,Code!$H:$K,2,FALSE),"")</f>
        <v/>
      </c>
      <c r="E60" s="83" t="str">
        <f>IFERROR(VLOOKUP($C60,Code!$H:$K,3,FALSE),"")</f>
        <v/>
      </c>
      <c r="F60" s="84" t="str">
        <f>IFERROR(VLOOKUP($C60,Code!$H:$K,4,FALSE),"")</f>
        <v>JIT</v>
      </c>
      <c r="G60" s="128">
        <f>_xlfn.IFNA(((VLOOKUP($C60,Code!$H:$Q,9,FALSE))+(VLOOKUP($C60,Code!$H:$Q,10,FALSE)))/2*0.5/(((VLOOKUP($C60,Code!$H:$Q,7,FALSE))+(VLOOKUP($C60,Code!$H:$Q,8,FALSE)))/2),0)</f>
        <v>0.53996685364609887</v>
      </c>
      <c r="H60" s="87" t="str">
        <f t="shared" si="8"/>
        <v>M</v>
      </c>
      <c r="I60" s="128">
        <f>_xlfn.IFNA((VLOOKUP($C60,Code!$H:$Q,5,FALSE))/(((VLOOKUP($C60,Code!$H:$Q,7,FALSE))+(VLOOKUP($C60,Code!$H:$Q,8,FALSE)))/2)-G60,0)</f>
        <v>0.41158847526772058</v>
      </c>
      <c r="J60" s="55">
        <f>IFERROR(POWER((VLOOKUP(C60,Code!H:W,12,FALSE))/(VLOOKUP(C60,Code!H:W,15,FALSE)),1/(P60-1))-1,"")</f>
        <v>0.34243135670215974</v>
      </c>
      <c r="K60" s="55">
        <f>IFERROR(POWER((VLOOKUP(C60,Code!H:W,13,FALSE))/(VLOOKUP(C60,Code!H:W,16,FALSE)),1/(P60-1))-1,"")</f>
        <v>0.10767365885331559</v>
      </c>
      <c r="L60" s="75">
        <f>IFERROR(VLOOKUP(C60,Code!H:W,13,FALSE)*4/VLOOKUP(C60,Code!H:W,12,FALSE),"")</f>
        <v>6.9006079510378612E-2</v>
      </c>
      <c r="M60" s="55">
        <f t="shared" si="9"/>
        <v>0.45010501555547533</v>
      </c>
      <c r="N60" s="55" t="str">
        <f t="shared" si="10"/>
        <v>Venture</v>
      </c>
      <c r="O60" s="55" t="str">
        <f t="shared" si="11"/>
        <v>-</v>
      </c>
      <c r="P60" s="196">
        <f>IFERROR(YEARFRAC(VLOOKUP(C60,Code!H:W,11,FALSE),VLOOKUP(C60,Code!H:W,14,FALSE),3),"")</f>
        <v>4.7452054794520544</v>
      </c>
      <c r="Q60" s="2"/>
      <c r="R60" s="85" t="str">
        <f t="shared" ca="1" si="12"/>
        <v/>
      </c>
      <c r="S60" s="86">
        <f>IFERROR(VLOOKUP($C60,Code!$H:$Q,5,FALSE),"")</f>
        <v>0.37319999999999998</v>
      </c>
      <c r="T60" s="88" t="str">
        <f t="shared" ca="1" si="13"/>
        <v/>
      </c>
      <c r="U60" s="89" t="str">
        <f t="shared" ca="1" si="14"/>
        <v/>
      </c>
      <c r="V60" s="90">
        <f>IFERROR(VLOOKUP($C60,Code!$H:$Q,6,FALSE),"")</f>
        <v>48.79</v>
      </c>
      <c r="W60" s="91" t="str">
        <f t="shared" ca="1" si="15"/>
        <v/>
      </c>
      <c r="X60" s="12"/>
      <c r="Y60" s="12"/>
      <c r="Z60" s="12"/>
      <c r="AA60" s="12"/>
      <c r="AB60" s="12"/>
    </row>
    <row r="61" spans="1:28" s="10" customFormat="1" ht="15" hidden="1">
      <c r="A61" s="9"/>
      <c r="B61" s="137"/>
      <c r="C61" s="142" t="s">
        <v>702</v>
      </c>
      <c r="D61" s="82" t="str">
        <f>IFERROR(VLOOKUP($C61,Code!$H:$K,2,FALSE),"")</f>
        <v/>
      </c>
      <c r="E61" s="83" t="str">
        <f>IFERROR(VLOOKUP($C61,Code!$H:$K,3,FALSE),"")</f>
        <v/>
      </c>
      <c r="F61" s="84" t="str">
        <f>IFERROR(VLOOKUP($C61,Code!$H:$K,4,FALSE),"")</f>
        <v>JIT</v>
      </c>
      <c r="G61" s="128">
        <f>_xlfn.IFNA(((VLOOKUP($C61,Code!$H:$Q,9,FALSE))+(VLOOKUP($C61,Code!$H:$Q,10,FALSE)))/2*0.5/(((VLOOKUP($C61,Code!$H:$Q,7,FALSE))+(VLOOKUP($C61,Code!$H:$Q,8,FALSE)))/2),0)</f>
        <v>0.47300771208226222</v>
      </c>
      <c r="H61" s="87" t="str">
        <f t="shared" si="8"/>
        <v>S</v>
      </c>
      <c r="I61" s="128">
        <f>_xlfn.IFNA((VLOOKUP($C61,Code!$H:$Q,5,FALSE))/(((VLOOKUP($C61,Code!$H:$Q,7,FALSE))+(VLOOKUP($C61,Code!$H:$Q,8,FALSE)))/2)-G61,0)</f>
        <v>0.61161953727506435</v>
      </c>
      <c r="J61" s="55">
        <f>IFERROR(POWER((VLOOKUP(C61,Code!H:W,12,FALSE))/(VLOOKUP(C61,Code!H:W,15,FALSE)),1/(P61-1))-1,"")</f>
        <v>0.58901735744167594</v>
      </c>
      <c r="K61" s="55">
        <f>IFERROR(POWER((VLOOKUP(C61,Code!H:W,13,FALSE))/(VLOOKUP(C61,Code!H:W,16,FALSE)),1/(P61-1))-1,"")</f>
        <v>8.0467043087967927E-2</v>
      </c>
      <c r="L61" s="75">
        <f>IFERROR(VLOOKUP(C61,Code!H:W,13,FALSE)*4/VLOOKUP(C61,Code!H:W,12,FALSE),"")</f>
        <v>1.0090090090090091E-2</v>
      </c>
      <c r="M61" s="55">
        <f t="shared" si="9"/>
        <v>0.66948440052964386</v>
      </c>
      <c r="N61" s="55" t="str">
        <f t="shared" si="10"/>
        <v>-</v>
      </c>
      <c r="O61" s="55" t="str">
        <f t="shared" si="11"/>
        <v>-</v>
      </c>
      <c r="P61" s="196">
        <f>IFERROR(YEARFRAC(VLOOKUP(C61,Code!H:W,11,FALSE),VLOOKUP(C61,Code!H:W,14,FALSE),3),"")</f>
        <v>2.9917808219178084</v>
      </c>
      <c r="Q61" s="2"/>
      <c r="R61" s="85" t="str">
        <f t="shared" ca="1" si="12"/>
        <v/>
      </c>
      <c r="S61" s="86">
        <f>IFERROR(VLOOKUP($C61,Code!$H:$Q,5,FALSE),"")</f>
        <v>0.52739999999999998</v>
      </c>
      <c r="T61" s="88" t="str">
        <f t="shared" ca="1" si="13"/>
        <v/>
      </c>
      <c r="U61" s="89" t="str">
        <f t="shared" ca="1" si="14"/>
        <v/>
      </c>
      <c r="V61" s="90">
        <f>IFERROR(VLOOKUP($C61,Code!$H:$Q,6,FALSE),"")</f>
        <v>55</v>
      </c>
      <c r="W61" s="91" t="str">
        <f t="shared" ca="1" si="15"/>
        <v/>
      </c>
      <c r="X61" s="12"/>
      <c r="Y61" s="12"/>
      <c r="Z61" s="12"/>
      <c r="AA61" s="12"/>
      <c r="AB61" s="12"/>
    </row>
    <row r="62" spans="1:28" s="10" customFormat="1" ht="15" hidden="1">
      <c r="A62" s="9"/>
      <c r="B62" s="137"/>
      <c r="C62" s="142" t="s">
        <v>797</v>
      </c>
      <c r="D62" s="82" t="str">
        <f>IFERROR(VLOOKUP($C62,Code!$H:$K,2,FALSE),"")</f>
        <v/>
      </c>
      <c r="E62" s="83" t="str">
        <f>IFERROR(VLOOKUP($C62,Code!$H:$K,3,FALSE),"")</f>
        <v>千禧代</v>
      </c>
      <c r="F62" s="84" t="str">
        <f>IFERROR(VLOOKUP($C62,Code!$H:$K,4,FALSE),"")</f>
        <v>JIT</v>
      </c>
      <c r="G62" s="128">
        <f>_xlfn.IFNA(((VLOOKUP($C62,Code!$H:$Q,9,FALSE))+(VLOOKUP($C62,Code!$H:$Q,10,FALSE)))/2*0.5/(((VLOOKUP($C62,Code!$H:$Q,7,FALSE))+(VLOOKUP($C62,Code!$H:$Q,8,FALSE)))/2),0)</f>
        <v>0.65746233040158175</v>
      </c>
      <c r="H62" s="87" t="str">
        <f t="shared" si="8"/>
        <v>L</v>
      </c>
      <c r="I62" s="128">
        <f>_xlfn.IFNA((VLOOKUP($C62,Code!$H:$Q,5,FALSE))/(((VLOOKUP($C62,Code!$H:$Q,7,FALSE))+(VLOOKUP($C62,Code!$H:$Q,8,FALSE)))/2)-G62,0)</f>
        <v>0.35542374036953717</v>
      </c>
      <c r="J62" s="55" t="str">
        <f>IFERROR(POWER((VLOOKUP(C62,Code!H:W,12,FALSE))/(VLOOKUP(C62,Code!H:W,15,FALSE)),1/(P62-1))-1,"")</f>
        <v/>
      </c>
      <c r="K62" s="55" t="str">
        <f>IFERROR(POWER((VLOOKUP(C62,Code!H:W,13,FALSE))/(VLOOKUP(C62,Code!H:W,16,FALSE)),1/(P62-1))-1,"")</f>
        <v/>
      </c>
      <c r="L62" s="75" t="str">
        <f>IFERROR(VLOOKUP(C62,Code!H:W,13,FALSE)*4/VLOOKUP(C62,Code!H:W,12,FALSE),"")</f>
        <v/>
      </c>
      <c r="M62" s="55" t="str">
        <f t="shared" si="9"/>
        <v/>
      </c>
      <c r="N62" s="55" t="str">
        <f t="shared" si="10"/>
        <v/>
      </c>
      <c r="O62" s="55" t="str">
        <f t="shared" si="11"/>
        <v/>
      </c>
      <c r="P62" s="70">
        <f>IFERROR(YEARFRAC(VLOOKUP(C62,Code!H:W,11,FALSE),VLOOKUP(C62,Code!H:W,14,FALSE),3),"")</f>
        <v>0</v>
      </c>
      <c r="Q62" s="2"/>
      <c r="R62" s="85" t="str">
        <f t="shared" ca="1" si="12"/>
        <v/>
      </c>
      <c r="S62" s="86">
        <f>IFERROR(VLOOKUP($C62,Code!$H:$Q,5,FALSE),"")</f>
        <v>0.74280000000000002</v>
      </c>
      <c r="T62" s="88" t="str">
        <f t="shared" ca="1" si="13"/>
        <v/>
      </c>
      <c r="U62" s="89" t="str">
        <f t="shared" ca="1" si="14"/>
        <v/>
      </c>
      <c r="V62" s="90">
        <f>IFERROR(VLOOKUP($C62,Code!$H:$Q,6,FALSE),"")</f>
        <v>60.99</v>
      </c>
      <c r="W62" s="91" t="str">
        <f t="shared" ca="1" si="15"/>
        <v/>
      </c>
      <c r="X62" s="12"/>
      <c r="Y62" s="12"/>
      <c r="Z62" s="12"/>
      <c r="AA62" s="12"/>
      <c r="AB62" s="12"/>
    </row>
    <row r="63" spans="1:28" s="10" customFormat="1" ht="15" hidden="1">
      <c r="A63" s="9"/>
      <c r="B63" s="137"/>
      <c r="C63" s="142" t="s">
        <v>689</v>
      </c>
      <c r="D63" s="82" t="str">
        <f>IFERROR(VLOOKUP($C63,Code!$H:$K,2,FALSE),"")</f>
        <v/>
      </c>
      <c r="E63" s="83" t="str">
        <f>IFERROR(VLOOKUP($C63,Code!$H:$K,3,FALSE),"")</f>
        <v/>
      </c>
      <c r="F63" s="84" t="str">
        <f>IFERROR(VLOOKUP($C63,Code!$H:$K,4,FALSE),"")</f>
        <v>JIT</v>
      </c>
      <c r="G63" s="128" t="e">
        <f>_xlfn.IFNA(((VLOOKUP($C63,Code!$H:$Q,9,FALSE))+(VLOOKUP($C63,Code!$H:$Q,10,FALSE)))/2*0.5/(((VLOOKUP($C63,Code!$H:$Q,7,FALSE))+(VLOOKUP($C63,Code!$H:$Q,8,FALSE)))/2),0)</f>
        <v>#DIV/0!</v>
      </c>
      <c r="H63" s="87" t="str">
        <f t="shared" si="8"/>
        <v/>
      </c>
      <c r="I63" s="128" t="e">
        <f>_xlfn.IFNA((VLOOKUP($C63,Code!$H:$Q,5,FALSE))/(((VLOOKUP($C63,Code!$H:$Q,7,FALSE))+(VLOOKUP($C63,Code!$H:$Q,8,FALSE)))/2)-G63,0)</f>
        <v>#DIV/0!</v>
      </c>
      <c r="J63" s="55" t="str">
        <f>IFERROR(POWER((VLOOKUP(C63,Code!H:W,12,FALSE))/(VLOOKUP(C63,Code!H:W,15,FALSE)),1/(P63-1))-1,"")</f>
        <v/>
      </c>
      <c r="K63" s="55" t="str">
        <f>IFERROR(POWER((VLOOKUP(C63,Code!H:W,13,FALSE))/(VLOOKUP(C63,Code!H:W,16,FALSE)),1/(P63-1))-1,"")</f>
        <v/>
      </c>
      <c r="L63" s="75" t="str">
        <f>IFERROR(VLOOKUP(C63,Code!H:W,13,FALSE)*4/VLOOKUP(C63,Code!H:W,12,FALSE),"")</f>
        <v/>
      </c>
      <c r="M63" s="55" t="str">
        <f t="shared" si="9"/>
        <v/>
      </c>
      <c r="N63" s="55" t="str">
        <f t="shared" si="10"/>
        <v/>
      </c>
      <c r="O63" s="55" t="str">
        <f t="shared" si="11"/>
        <v/>
      </c>
      <c r="P63" s="70">
        <f>IFERROR(YEARFRAC(VLOOKUP(C63,Code!H:W,11,FALSE),VLOOKUP(C63,Code!H:W,14,FALSE),3),"")</f>
        <v>0</v>
      </c>
      <c r="Q63" s="2"/>
      <c r="R63" s="85" t="str">
        <f t="shared" ca="1" si="12"/>
        <v/>
      </c>
      <c r="S63" s="86">
        <f>IFERROR(VLOOKUP($C63,Code!$H:$Q,5,FALSE),"")</f>
        <v>0</v>
      </c>
      <c r="T63" s="88" t="str">
        <f t="shared" ca="1" si="13"/>
        <v/>
      </c>
      <c r="U63" s="89" t="str">
        <f t="shared" ca="1" si="14"/>
        <v/>
      </c>
      <c r="V63" s="90">
        <f>IFERROR(VLOOKUP($C63,Code!$H:$Q,6,FALSE),"")</f>
        <v>0</v>
      </c>
      <c r="W63" s="91" t="str">
        <f t="shared" ca="1" si="15"/>
        <v/>
      </c>
      <c r="X63" s="12"/>
      <c r="Y63" s="12"/>
      <c r="Z63" s="12"/>
      <c r="AA63" s="12"/>
      <c r="AB63" s="12"/>
    </row>
    <row r="64" spans="1:28" s="10" customFormat="1" ht="15" hidden="1">
      <c r="A64" s="9"/>
      <c r="B64" s="137"/>
      <c r="C64" s="142" t="s">
        <v>780</v>
      </c>
      <c r="D64" s="82" t="str">
        <f>IFERROR(VLOOKUP($C64,Code!$H:$K,2,FALSE),"")</f>
        <v/>
      </c>
      <c r="E64" s="83" t="str">
        <f>IFERROR(VLOOKUP($C64,Code!$H:$K,3,FALSE),"")</f>
        <v>工業務聯網</v>
      </c>
      <c r="F64" s="84" t="str">
        <f>IFERROR(VLOOKUP($C64,Code!$H:$K,4,FALSE),"")</f>
        <v>JIT</v>
      </c>
      <c r="G64" s="128">
        <f>_xlfn.IFNA(((VLOOKUP($C64,Code!$H:$Q,9,FALSE))+(VLOOKUP($C64,Code!$H:$Q,10,FALSE)))/2*0.5/(((VLOOKUP($C64,Code!$H:$Q,7,FALSE))+(VLOOKUP($C64,Code!$H:$Q,8,FALSE)))/2),0)</f>
        <v>0.56474246941503037</v>
      </c>
      <c r="H64" s="87" t="str">
        <f t="shared" si="8"/>
        <v>M</v>
      </c>
      <c r="I64" s="128">
        <f>_xlfn.IFNA((VLOOKUP($C64,Code!$H:$Q,5,FALSE))/(((VLOOKUP($C64,Code!$H:$Q,7,FALSE))+(VLOOKUP($C64,Code!$H:$Q,8,FALSE)))/2)-G64,0)</f>
        <v>0.24115863061581166</v>
      </c>
      <c r="J64" s="55" t="str">
        <f>IFERROR(POWER((VLOOKUP(C64,Code!H:W,12,FALSE))/(VLOOKUP(C64,Code!H:W,15,FALSE)),1/(P64-1))-1,"")</f>
        <v/>
      </c>
      <c r="K64" s="55" t="str">
        <f>IFERROR(POWER((VLOOKUP(C64,Code!H:W,13,FALSE))/(VLOOKUP(C64,Code!H:W,16,FALSE)),1/(P64-1))-1,"")</f>
        <v/>
      </c>
      <c r="L64" s="75" t="str">
        <f>IFERROR(VLOOKUP(C64,Code!H:W,13,FALSE)*4/VLOOKUP(C64,Code!H:W,12,FALSE),"")</f>
        <v/>
      </c>
      <c r="M64" s="55" t="str">
        <f t="shared" si="9"/>
        <v/>
      </c>
      <c r="N64" s="55" t="str">
        <f t="shared" si="10"/>
        <v/>
      </c>
      <c r="O64" s="55" t="str">
        <f t="shared" si="11"/>
        <v/>
      </c>
      <c r="P64" s="70">
        <f>IFERROR(YEARFRAC(VLOOKUP(C64,Code!H:W,11,FALSE),VLOOKUP(C64,Code!H:W,14,FALSE),3),"")</f>
        <v>0</v>
      </c>
      <c r="Q64" s="2"/>
      <c r="R64" s="85" t="str">
        <f t="shared" ca="1" si="12"/>
        <v/>
      </c>
      <c r="S64" s="86">
        <f>IFERROR(VLOOKUP($C64,Code!$H:$Q,5,FALSE),"")</f>
        <v>0.78390000000000004</v>
      </c>
      <c r="T64" s="88" t="str">
        <f t="shared" ca="1" si="13"/>
        <v/>
      </c>
      <c r="U64" s="89" t="str">
        <f t="shared" ca="1" si="14"/>
        <v/>
      </c>
      <c r="V64" s="90">
        <f>IFERROR(VLOOKUP($C64,Code!$H:$Q,6,FALSE),"")</f>
        <v>22.44</v>
      </c>
      <c r="W64" s="91" t="str">
        <f t="shared" ca="1" si="15"/>
        <v/>
      </c>
      <c r="X64" s="12"/>
      <c r="Y64" s="12"/>
      <c r="Z64" s="12"/>
      <c r="AA64" s="12"/>
      <c r="AB64" s="12"/>
    </row>
    <row r="65" spans="1:28" s="10" customFormat="1" ht="15" hidden="1">
      <c r="A65" s="9"/>
      <c r="B65" s="137"/>
      <c r="C65" s="142" t="s">
        <v>691</v>
      </c>
      <c r="D65" s="82" t="str">
        <f>IFERROR(VLOOKUP($C65,Code!$H:$K,2,FALSE),"")</f>
        <v/>
      </c>
      <c r="E65" s="83" t="str">
        <f>IFERROR(VLOOKUP($C65,Code!$H:$K,3,FALSE),"")</f>
        <v/>
      </c>
      <c r="F65" s="84" t="str">
        <f>IFERROR(VLOOKUP($C65,Code!$H:$K,4,FALSE),"")</f>
        <v>JIT</v>
      </c>
      <c r="G65" s="128">
        <f>_xlfn.IFNA(((VLOOKUP($C65,Code!$H:$Q,9,FALSE))+(VLOOKUP($C65,Code!$H:$Q,10,FALSE)))/2*0.5/(((VLOOKUP($C65,Code!$H:$Q,7,FALSE))+(VLOOKUP($C65,Code!$H:$Q,8,FALSE)))/2),0)</f>
        <v>0.58634202183867556</v>
      </c>
      <c r="H65" s="87" t="str">
        <f t="shared" si="8"/>
        <v>M</v>
      </c>
      <c r="I65" s="128">
        <f>_xlfn.IFNA((VLOOKUP($C65,Code!$H:$Q,5,FALSE))/(((VLOOKUP($C65,Code!$H:$Q,7,FALSE))+(VLOOKUP($C65,Code!$H:$Q,8,FALSE)))/2)-G65,0)</f>
        <v>0.4816396618527653</v>
      </c>
      <c r="J65" s="55" t="str">
        <f>IFERROR(POWER((VLOOKUP(C65,Code!H:W,12,FALSE))/(VLOOKUP(C65,Code!H:W,15,FALSE)),1/(P65-1))-1,"")</f>
        <v/>
      </c>
      <c r="K65" s="55" t="str">
        <f>IFERROR(POWER((VLOOKUP(C65,Code!H:W,13,FALSE))/(VLOOKUP(C65,Code!H:W,16,FALSE)),1/(P65-1))-1,"")</f>
        <v/>
      </c>
      <c r="L65" s="75" t="str">
        <f>IFERROR(VLOOKUP(C65,Code!H:W,13,FALSE)*4/VLOOKUP(C65,Code!H:W,12,FALSE),"")</f>
        <v/>
      </c>
      <c r="M65" s="55" t="str">
        <f t="shared" si="9"/>
        <v/>
      </c>
      <c r="N65" s="55" t="str">
        <f t="shared" si="10"/>
        <v/>
      </c>
      <c r="O65" s="55" t="str">
        <f t="shared" si="11"/>
        <v/>
      </c>
      <c r="P65" s="70">
        <f>IFERROR(YEARFRAC(VLOOKUP(C65,Code!H:W,11,FALSE),VLOOKUP(C65,Code!H:W,14,FALSE),3),"")</f>
        <v>0</v>
      </c>
      <c r="Q65" s="2"/>
      <c r="R65" s="85" t="str">
        <f t="shared" ca="1" si="12"/>
        <v/>
      </c>
      <c r="S65" s="86">
        <f>IFERROR(VLOOKUP($C65,Code!$H:$Q,5,FALSE),"")</f>
        <v>0.60640000000000005</v>
      </c>
      <c r="T65" s="88" t="str">
        <f t="shared" ca="1" si="13"/>
        <v/>
      </c>
      <c r="U65" s="89" t="str">
        <f t="shared" ca="1" si="14"/>
        <v/>
      </c>
      <c r="V65" s="90">
        <f>IFERROR(VLOOKUP($C65,Code!$H:$Q,6,FALSE),"")</f>
        <v>69</v>
      </c>
      <c r="W65" s="91" t="str">
        <f t="shared" ca="1" si="15"/>
        <v/>
      </c>
      <c r="X65" s="12"/>
      <c r="Y65" s="12"/>
      <c r="Z65" s="12"/>
      <c r="AA65" s="12"/>
      <c r="AB65" s="12"/>
    </row>
    <row r="66" spans="1:28" s="10" customFormat="1" ht="15" hidden="1">
      <c r="A66" s="9"/>
      <c r="B66" s="137"/>
      <c r="C66" s="142" t="s">
        <v>662</v>
      </c>
      <c r="D66" s="82" t="str">
        <f>IFERROR(VLOOKUP($C66,Code!$H:$K,2,FALSE),"")</f>
        <v/>
      </c>
      <c r="E66" s="83" t="str">
        <f>IFERROR(VLOOKUP($C66,Code!$H:$K,3,FALSE),"")</f>
        <v/>
      </c>
      <c r="F66" s="84" t="str">
        <f>IFERROR(VLOOKUP($C66,Code!$H:$K,4,FALSE),"")</f>
        <v>JIT</v>
      </c>
      <c r="G66" s="128">
        <f>_xlfn.IFNA(((VLOOKUP($C66,Code!$H:$Q,9,FALSE))+(VLOOKUP($C66,Code!$H:$Q,10,FALSE)))/2*0.5/(((VLOOKUP($C66,Code!$H:$Q,7,FALSE))+(VLOOKUP($C66,Code!$H:$Q,8,FALSE)))/2),0)</f>
        <v>0.52555582902617115</v>
      </c>
      <c r="H66" s="87" t="str">
        <f t="shared" si="8"/>
        <v>M</v>
      </c>
      <c r="I66" s="128">
        <f>_xlfn.IFNA((VLOOKUP($C66,Code!$H:$Q,5,FALSE))/(((VLOOKUP($C66,Code!$H:$Q,7,FALSE))+(VLOOKUP($C66,Code!$H:$Q,8,FALSE)))/2)-G66,0)</f>
        <v>0.3275084092214291</v>
      </c>
      <c r="J66" s="55" t="str">
        <f>IFERROR(POWER((VLOOKUP(C66,Code!H:W,12,FALSE))/(VLOOKUP(C66,Code!H:W,15,FALSE)),1/(P66-1))-1,"")</f>
        <v/>
      </c>
      <c r="K66" s="55" t="str">
        <f>IFERROR(POWER((VLOOKUP(C66,Code!H:W,13,FALSE))/(VLOOKUP(C66,Code!H:W,16,FALSE)),1/(P66-1))-1,"")</f>
        <v/>
      </c>
      <c r="L66" s="75" t="str">
        <f>IFERROR(VLOOKUP(C66,Code!H:W,13,FALSE)*4/VLOOKUP(C66,Code!H:W,12,FALSE),"")</f>
        <v/>
      </c>
      <c r="M66" s="55" t="str">
        <f t="shared" si="9"/>
        <v/>
      </c>
      <c r="N66" s="55" t="str">
        <f t="shared" si="10"/>
        <v/>
      </c>
      <c r="O66" s="55" t="str">
        <f t="shared" si="11"/>
        <v/>
      </c>
      <c r="P66" s="70">
        <f>IFERROR(YEARFRAC(VLOOKUP(C66,Code!H:W,11,FALSE),VLOOKUP(C66,Code!H:W,14,FALSE),3),"")</f>
        <v>0</v>
      </c>
      <c r="Q66" s="2"/>
      <c r="R66" s="85" t="str">
        <f t="shared" ca="1" si="12"/>
        <v/>
      </c>
      <c r="S66" s="86">
        <f>IFERROR(VLOOKUP($C66,Code!$H:$Q,5,FALSE),"")</f>
        <v>0.51990000000000003</v>
      </c>
      <c r="T66" s="88" t="str">
        <f t="shared" ca="1" si="13"/>
        <v/>
      </c>
      <c r="U66" s="89" t="str">
        <f t="shared" ca="1" si="14"/>
        <v/>
      </c>
      <c r="V66" s="90">
        <f>IFERROR(VLOOKUP($C66,Code!$H:$Q,6,FALSE),"")</f>
        <v>36.15</v>
      </c>
      <c r="W66" s="91" t="str">
        <f t="shared" ca="1" si="15"/>
        <v/>
      </c>
      <c r="X66" s="12"/>
      <c r="Y66" s="12"/>
      <c r="Z66" s="12"/>
      <c r="AA66" s="12"/>
      <c r="AB66" s="12"/>
    </row>
    <row r="67" spans="1:28" s="10" customFormat="1" ht="15" hidden="1">
      <c r="A67" s="9"/>
      <c r="B67" s="137"/>
      <c r="C67" s="142" t="s">
        <v>813</v>
      </c>
      <c r="D67" s="82" t="str">
        <f>IFERROR(VLOOKUP($C67,Code!$H:$K,2,FALSE),"")</f>
        <v/>
      </c>
      <c r="E67" s="83" t="str">
        <f>IFERROR(VLOOKUP($C67,Code!$H:$K,3,FALSE),"")</f>
        <v>精密科技</v>
      </c>
      <c r="F67" s="84" t="str">
        <f>IFERROR(VLOOKUP($C67,Code!$H:$K,4,FALSE),"")</f>
        <v>JIT</v>
      </c>
      <c r="G67" s="128">
        <f>_xlfn.IFNA(((VLOOKUP($C67,Code!$H:$Q,9,FALSE))+(VLOOKUP($C67,Code!$H:$Q,10,FALSE)))/2*0.5/(((VLOOKUP($C67,Code!$H:$Q,7,FALSE))+(VLOOKUP($C67,Code!$H:$Q,8,FALSE)))/2),0)</f>
        <v>0.5475695046529101</v>
      </c>
      <c r="H67" s="87" t="str">
        <f t="shared" si="8"/>
        <v>M</v>
      </c>
      <c r="I67" s="128">
        <f>_xlfn.IFNA((VLOOKUP($C67,Code!$H:$Q,5,FALSE))/(((VLOOKUP($C67,Code!$H:$Q,7,FALSE))+(VLOOKUP($C67,Code!$H:$Q,8,FALSE)))/2)-G67,0)</f>
        <v>0.30486677070689561</v>
      </c>
      <c r="J67" s="55" t="str">
        <f>IFERROR(POWER((VLOOKUP(C67,Code!H:W,12,FALSE))/(VLOOKUP(C67,Code!H:W,15,FALSE)),1/(P67-1))-1,"")</f>
        <v/>
      </c>
      <c r="K67" s="55" t="str">
        <f>IFERROR(POWER((VLOOKUP(C67,Code!H:W,13,FALSE))/(VLOOKUP(C67,Code!H:W,16,FALSE)),1/(P67-1))-1,"")</f>
        <v/>
      </c>
      <c r="L67" s="75" t="str">
        <f>IFERROR(VLOOKUP(C67,Code!H:W,13,FALSE)*4/VLOOKUP(C67,Code!H:W,12,FALSE),"")</f>
        <v/>
      </c>
      <c r="M67" s="55" t="str">
        <f t="shared" si="9"/>
        <v/>
      </c>
      <c r="N67" s="55" t="str">
        <f t="shared" si="10"/>
        <v/>
      </c>
      <c r="O67" s="55" t="str">
        <f t="shared" si="11"/>
        <v/>
      </c>
      <c r="P67" s="70">
        <f>IFERROR(YEARFRAC(VLOOKUP(C67,Code!H:W,11,FALSE),VLOOKUP(C67,Code!H:W,14,FALSE),3),"")</f>
        <v>0</v>
      </c>
      <c r="Q67" s="2"/>
      <c r="R67" s="85" t="str">
        <f t="shared" ca="1" si="12"/>
        <v/>
      </c>
      <c r="S67" s="86">
        <f>IFERROR(VLOOKUP($C67,Code!$H:$Q,5,FALSE),"")</f>
        <v>0.73740000000000006</v>
      </c>
      <c r="T67" s="88" t="str">
        <f t="shared" ca="1" si="13"/>
        <v/>
      </c>
      <c r="U67" s="89" t="str">
        <f t="shared" ca="1" si="14"/>
        <v/>
      </c>
      <c r="V67" s="90">
        <f>IFERROR(VLOOKUP($C67,Code!$H:$Q,6,FALSE),"")</f>
        <v>31.48</v>
      </c>
      <c r="W67" s="91" t="str">
        <f t="shared" ca="1" si="15"/>
        <v/>
      </c>
      <c r="X67" s="12"/>
      <c r="Y67" s="12"/>
      <c r="Z67" s="12"/>
      <c r="AA67" s="12"/>
      <c r="AB67" s="12"/>
    </row>
    <row r="68" spans="1:28" s="10" customFormat="1" ht="15" hidden="1">
      <c r="A68" s="9"/>
      <c r="B68" s="137"/>
      <c r="C68" s="142" t="s">
        <v>789</v>
      </c>
      <c r="D68" s="82" t="str">
        <f>IFERROR(VLOOKUP($C68,Code!$H:$K,2,FALSE),"")</f>
        <v/>
      </c>
      <c r="E68" s="83" t="str">
        <f>IFERROR(VLOOKUP($C68,Code!$H:$K,3,FALSE),"")</f>
        <v>商業務聯網</v>
      </c>
      <c r="F68" s="84" t="str">
        <f>IFERROR(VLOOKUP($C68,Code!$H:$K,4,FALSE),"")</f>
        <v>JIT</v>
      </c>
      <c r="G68" s="128">
        <f>_xlfn.IFNA(((VLOOKUP($C68,Code!$H:$Q,9,FALSE))+(VLOOKUP($C68,Code!$H:$Q,10,FALSE)))/2*0.5/(((VLOOKUP($C68,Code!$H:$Q,7,FALSE))+(VLOOKUP($C68,Code!$H:$Q,8,FALSE)))/2),0)</f>
        <v>0.7567750677506776</v>
      </c>
      <c r="H68" s="87" t="str">
        <f t="shared" ref="H68:H131" si="16">IFERROR(IF(G68&gt;9E+306,"",IF(G68&gt;70%,"XL",IF(G68&gt;60%,"L",IF(G68&gt;50%,"M",IF(G68&gt;0%,"S",""))))),"")</f>
        <v>XL</v>
      </c>
      <c r="I68" s="128">
        <f>_xlfn.IFNA((VLOOKUP($C68,Code!$H:$Q,5,FALSE))/(((VLOOKUP($C68,Code!$H:$Q,7,FALSE))+(VLOOKUP($C68,Code!$H:$Q,8,FALSE)))/2)-G68,0)</f>
        <v>0.30159474671669784</v>
      </c>
      <c r="J68" s="55" t="str">
        <f>IFERROR(POWER((VLOOKUP(C68,Code!H:W,12,FALSE))/(VLOOKUP(C68,Code!H:W,15,FALSE)),1/(P68-1))-1,"")</f>
        <v/>
      </c>
      <c r="K68" s="55" t="str">
        <f>IFERROR(POWER((VLOOKUP(C68,Code!H:W,13,FALSE))/(VLOOKUP(C68,Code!H:W,16,FALSE)),1/(P68-1))-1,"")</f>
        <v/>
      </c>
      <c r="L68" s="75" t="str">
        <f>IFERROR(VLOOKUP(C68,Code!H:W,13,FALSE)*4/VLOOKUP(C68,Code!H:W,12,FALSE),"")</f>
        <v/>
      </c>
      <c r="M68" s="55" t="str">
        <f t="shared" ref="M68:M131" si="17">IF(SUM(J68:K68)=0,"",SUM(J68:K68))</f>
        <v/>
      </c>
      <c r="N68" s="55" t="str">
        <f t="shared" ref="N68:N131" si="18">IFERROR(IF(L68&gt;3%,IF((K68+L68)&gt;12%,"Venture","-"),"-"),"")</f>
        <v/>
      </c>
      <c r="O68" s="55" t="str">
        <f t="shared" ref="O68:O131" si="19">IFERROR(IF(OR(L68&lt;3%,L68=""),IF((K68+L68)&gt;15%,"Value","-"),"-"),"")</f>
        <v/>
      </c>
      <c r="P68" s="70">
        <f>IFERROR(YEARFRAC(VLOOKUP(C68,Code!H:W,11,FALSE),VLOOKUP(C68,Code!H:W,14,FALSE),3),"")</f>
        <v>0</v>
      </c>
      <c r="Q68" s="2"/>
      <c r="R68" s="85" t="str">
        <f t="shared" ref="R68:R131" ca="1" si="20">IFERROR(IF(OR(_xlfn.DAYS(Q68,TODAY())+1&lt;0,C68=0),"",_xlfn.DAYS(Q68,TODAY())+1),"")</f>
        <v/>
      </c>
      <c r="S68" s="86">
        <f>IFERROR(VLOOKUP($C68,Code!$H:$Q,5,FALSE),"")</f>
        <v>0.50770000000000004</v>
      </c>
      <c r="T68" s="88" t="str">
        <f t="shared" ref="T68:T131" ca="1" si="21">IFERROR(IF(V68*S68*SQRT(R68/365)=0,"",V68*S68*SQRT(R68/365)),"")</f>
        <v/>
      </c>
      <c r="U68" s="89" t="str">
        <f t="shared" ref="U68:U131" ca="1" si="22">IFERROR(V68-T68,"")</f>
        <v/>
      </c>
      <c r="V68" s="90">
        <f>IFERROR(VLOOKUP($C68,Code!$H:$Q,6,FALSE),"")</f>
        <v>68</v>
      </c>
      <c r="W68" s="91" t="str">
        <f t="shared" ref="W68:W131" ca="1" si="23">IFERROR(V68+T68,"")</f>
        <v/>
      </c>
      <c r="X68" s="12"/>
      <c r="Y68" s="12"/>
      <c r="Z68" s="12"/>
      <c r="AA68" s="12"/>
      <c r="AB68" s="12"/>
    </row>
    <row r="69" spans="1:28" s="10" customFormat="1" ht="15" hidden="1">
      <c r="A69" s="9"/>
      <c r="B69" s="137"/>
      <c r="C69" s="142" t="s">
        <v>784</v>
      </c>
      <c r="D69" s="82" t="str">
        <f>IFERROR(VLOOKUP($C69,Code!$H:$K,2,FALSE),"")</f>
        <v/>
      </c>
      <c r="E69" s="83" t="str">
        <f>IFERROR(VLOOKUP($C69,Code!$H:$K,3,FALSE),"")</f>
        <v>工業務聯網</v>
      </c>
      <c r="F69" s="84" t="str">
        <f>IFERROR(VLOOKUP($C69,Code!$H:$K,4,FALSE),"")</f>
        <v>JIT</v>
      </c>
      <c r="G69" s="128">
        <f>_xlfn.IFNA(((VLOOKUP($C69,Code!$H:$Q,9,FALSE))+(VLOOKUP($C69,Code!$H:$Q,10,FALSE)))/2*0.5/(((VLOOKUP($C69,Code!$H:$Q,7,FALSE))+(VLOOKUP($C69,Code!$H:$Q,8,FALSE)))/2),0)</f>
        <v>0.66052672832732406</v>
      </c>
      <c r="H69" s="87" t="str">
        <f t="shared" si="16"/>
        <v>L</v>
      </c>
      <c r="I69" s="128">
        <f>_xlfn.IFNA((VLOOKUP($C69,Code!$H:$Q,5,FALSE))/(((VLOOKUP($C69,Code!$H:$Q,7,FALSE))+(VLOOKUP($C69,Code!$H:$Q,8,FALSE)))/2)-G69,0)</f>
        <v>8.143909703715313E-2</v>
      </c>
      <c r="J69" s="55" t="str">
        <f>IFERROR(POWER((VLOOKUP(C69,Code!H:W,12,FALSE))/(VLOOKUP(C69,Code!H:W,15,FALSE)),1/(P69-1))-1,"")</f>
        <v/>
      </c>
      <c r="K69" s="55" t="str">
        <f>IFERROR(POWER((VLOOKUP(C69,Code!H:W,13,FALSE))/(VLOOKUP(C69,Code!H:W,16,FALSE)),1/(P69-1))-1,"")</f>
        <v/>
      </c>
      <c r="L69" s="75" t="str">
        <f>IFERROR(VLOOKUP(C69,Code!H:W,13,FALSE)*4/VLOOKUP(C69,Code!H:W,12,FALSE),"")</f>
        <v/>
      </c>
      <c r="M69" s="55" t="str">
        <f t="shared" si="17"/>
        <v/>
      </c>
      <c r="N69" s="55" t="str">
        <f t="shared" si="18"/>
        <v/>
      </c>
      <c r="O69" s="55" t="str">
        <f t="shared" si="19"/>
        <v/>
      </c>
      <c r="P69" s="70">
        <f>IFERROR(YEARFRAC(VLOOKUP(C69,Code!H:W,11,FALSE),VLOOKUP(C69,Code!H:W,14,FALSE),3),"")</f>
        <v>0</v>
      </c>
      <c r="Q69" s="2"/>
      <c r="R69" s="85" t="str">
        <f t="shared" ca="1" si="20"/>
        <v/>
      </c>
      <c r="S69" s="86">
        <f>IFERROR(VLOOKUP($C69,Code!$H:$Q,5,FALSE),"")</f>
        <v>0.4733</v>
      </c>
      <c r="T69" s="88" t="str">
        <f t="shared" ca="1" si="21"/>
        <v/>
      </c>
      <c r="U69" s="89" t="str">
        <f t="shared" ca="1" si="22"/>
        <v/>
      </c>
      <c r="V69" s="90">
        <f>IFERROR(VLOOKUP($C69,Code!$H:$Q,6,FALSE),"")</f>
        <v>78.64</v>
      </c>
      <c r="W69" s="91" t="str">
        <f t="shared" ca="1" si="23"/>
        <v/>
      </c>
      <c r="X69" s="12"/>
      <c r="Y69" s="12"/>
      <c r="Z69" s="12"/>
      <c r="AA69" s="12"/>
      <c r="AB69" s="12"/>
    </row>
    <row r="70" spans="1:28" s="10" customFormat="1" ht="15" hidden="1">
      <c r="A70" s="9"/>
      <c r="B70" s="137"/>
      <c r="C70" s="142" t="s">
        <v>774</v>
      </c>
      <c r="D70" s="82" t="str">
        <f>IFERROR(VLOOKUP($C70,Code!$H:$K,2,FALSE),"")</f>
        <v/>
      </c>
      <c r="E70" s="83" t="str">
        <f>IFERROR(VLOOKUP($C70,Code!$H:$K,3,FALSE),"")</f>
        <v>5G</v>
      </c>
      <c r="F70" s="84" t="str">
        <f>IFERROR(VLOOKUP($C70,Code!$H:$K,4,FALSE),"")</f>
        <v>JIT</v>
      </c>
      <c r="G70" s="128">
        <f>_xlfn.IFNA(((VLOOKUP($C70,Code!$H:$Q,9,FALSE))+(VLOOKUP($C70,Code!$H:$Q,10,FALSE)))/2*0.5/(((VLOOKUP($C70,Code!$H:$Q,7,FALSE))+(VLOOKUP($C70,Code!$H:$Q,8,FALSE)))/2),0)</f>
        <v>0.5123425436814304</v>
      </c>
      <c r="H70" s="87" t="str">
        <f t="shared" si="16"/>
        <v>M</v>
      </c>
      <c r="I70" s="128">
        <f>_xlfn.IFNA((VLOOKUP($C70,Code!$H:$Q,5,FALSE))/(((VLOOKUP($C70,Code!$H:$Q,7,FALSE))+(VLOOKUP($C70,Code!$H:$Q,8,FALSE)))/2)-G70,0)</f>
        <v>0.36819382364892306</v>
      </c>
      <c r="J70" s="55" t="str">
        <f>IFERROR(POWER((VLOOKUP(C70,Code!H:W,12,FALSE))/(VLOOKUP(C70,Code!H:W,15,FALSE)),1/(P70-1))-1,"")</f>
        <v/>
      </c>
      <c r="K70" s="55" t="str">
        <f>IFERROR(POWER((VLOOKUP(C70,Code!H:W,13,FALSE))/(VLOOKUP(C70,Code!H:W,16,FALSE)),1/(P70-1))-1,"")</f>
        <v/>
      </c>
      <c r="L70" s="75" t="str">
        <f>IFERROR(VLOOKUP(C70,Code!H:W,13,FALSE)*4/VLOOKUP(C70,Code!H:W,12,FALSE),"")</f>
        <v/>
      </c>
      <c r="M70" s="55" t="str">
        <f t="shared" si="17"/>
        <v/>
      </c>
      <c r="N70" s="55" t="str">
        <f t="shared" si="18"/>
        <v/>
      </c>
      <c r="O70" s="55" t="str">
        <f t="shared" si="19"/>
        <v/>
      </c>
      <c r="P70" s="70">
        <f>IFERROR(YEARFRAC(VLOOKUP(C70,Code!H:W,11,FALSE),VLOOKUP(C70,Code!H:W,14,FALSE),3),"")</f>
        <v>0</v>
      </c>
      <c r="Q70" s="2"/>
      <c r="R70" s="85" t="str">
        <f t="shared" ca="1" si="20"/>
        <v/>
      </c>
      <c r="S70" s="86">
        <f>IFERROR(VLOOKUP($C70,Code!$H:$Q,5,FALSE),"")</f>
        <v>0.43340000000000001</v>
      </c>
      <c r="T70" s="88" t="str">
        <f t="shared" ca="1" si="21"/>
        <v/>
      </c>
      <c r="U70" s="89" t="str">
        <f t="shared" ca="1" si="22"/>
        <v/>
      </c>
      <c r="V70" s="90">
        <f>IFERROR(VLOOKUP($C70,Code!$H:$Q,6,FALSE),"")</f>
        <v>103.12</v>
      </c>
      <c r="W70" s="91" t="str">
        <f t="shared" ca="1" si="23"/>
        <v/>
      </c>
      <c r="X70" s="12"/>
      <c r="Y70" s="12"/>
      <c r="Z70" s="12"/>
      <c r="AA70" s="12"/>
      <c r="AB70" s="12"/>
    </row>
    <row r="71" spans="1:28" s="10" customFormat="1" ht="15" hidden="1">
      <c r="A71" s="9"/>
      <c r="B71" s="137"/>
      <c r="C71" s="142" t="s">
        <v>693</v>
      </c>
      <c r="D71" s="82" t="str">
        <f>IFERROR(VLOOKUP($C71,Code!$H:$K,2,FALSE),"")</f>
        <v/>
      </c>
      <c r="E71" s="83" t="str">
        <f>IFERROR(VLOOKUP($C71,Code!$H:$K,3,FALSE),"")</f>
        <v/>
      </c>
      <c r="F71" s="84" t="str">
        <f>IFERROR(VLOOKUP($C71,Code!$H:$K,4,FALSE),"")</f>
        <v>JIT</v>
      </c>
      <c r="G71" s="128">
        <f>_xlfn.IFNA(((VLOOKUP($C71,Code!$H:$Q,9,FALSE))+(VLOOKUP($C71,Code!$H:$Q,10,FALSE)))/2*0.5/(((VLOOKUP($C71,Code!$H:$Q,7,FALSE))+(VLOOKUP($C71,Code!$H:$Q,8,FALSE)))/2),0)</f>
        <v>0.61167114695340508</v>
      </c>
      <c r="H71" s="87" t="str">
        <f t="shared" si="16"/>
        <v>L</v>
      </c>
      <c r="I71" s="128">
        <f>_xlfn.IFNA((VLOOKUP($C71,Code!$H:$Q,5,FALSE))/(((VLOOKUP($C71,Code!$H:$Q,7,FALSE))+(VLOOKUP($C71,Code!$H:$Q,8,FALSE)))/2)-G71,0)</f>
        <v>0.15714605734767018</v>
      </c>
      <c r="J71" s="55">
        <f>IFERROR(POWER((VLOOKUP(C71,Code!H:W,12,FALSE))/(VLOOKUP(C71,Code!H:W,15,FALSE)),1/(P71-1))-1,"")</f>
        <v>0.34430123418542169</v>
      </c>
      <c r="K71" s="55">
        <f>IFERROR(POWER((VLOOKUP(C71,Code!H:W,13,FALSE))/(VLOOKUP(C71,Code!H:W,16,FALSE)),1/(P71-1))-1,"")</f>
        <v>8.3058550828227551E-2</v>
      </c>
      <c r="L71" s="75">
        <f>IFERROR(VLOOKUP(C71,Code!H:W,13,FALSE)*4/VLOOKUP(C71,Code!H:W,12,FALSE),"")</f>
        <v>4.6114533266075862E-3</v>
      </c>
      <c r="M71" s="55">
        <f t="shared" si="17"/>
        <v>0.42735978501364924</v>
      </c>
      <c r="N71" s="55" t="str">
        <f t="shared" si="18"/>
        <v>-</v>
      </c>
      <c r="O71" s="55" t="str">
        <f t="shared" si="19"/>
        <v>-</v>
      </c>
      <c r="P71" s="196">
        <f>IFERROR(YEARFRAC(VLOOKUP(C71,Code!H:W,11,FALSE),VLOOKUP(C71,Code!H:W,14,FALSE),3),"")</f>
        <v>4.7643835616438359</v>
      </c>
      <c r="Q71" s="2"/>
      <c r="R71" s="85" t="str">
        <f t="shared" ca="1" si="20"/>
        <v/>
      </c>
      <c r="S71" s="86">
        <f>IFERROR(VLOOKUP($C71,Code!$H:$Q,5,FALSE),"")</f>
        <v>0.1716</v>
      </c>
      <c r="T71" s="88" t="str">
        <f t="shared" ca="1" si="21"/>
        <v/>
      </c>
      <c r="U71" s="89" t="str">
        <f t="shared" ca="1" si="22"/>
        <v/>
      </c>
      <c r="V71" s="90">
        <f>IFERROR(VLOOKUP($C71,Code!$H:$Q,6,FALSE),"")</f>
        <v>365.7</v>
      </c>
      <c r="W71" s="91" t="str">
        <f t="shared" ca="1" si="23"/>
        <v/>
      </c>
      <c r="X71" s="12"/>
      <c r="Y71" s="12"/>
      <c r="Z71" s="12"/>
      <c r="AA71" s="12"/>
      <c r="AB71" s="12"/>
    </row>
    <row r="72" spans="1:28" s="10" customFormat="1" ht="15" hidden="1">
      <c r="A72" s="9"/>
      <c r="B72" s="137"/>
      <c r="C72" s="142" t="s">
        <v>737</v>
      </c>
      <c r="D72" s="82" t="str">
        <f>IFERROR(VLOOKUP($C72,Code!$H:$K,2,FALSE),"")</f>
        <v/>
      </c>
      <c r="E72" s="83" t="str">
        <f>IFERROR(VLOOKUP($C72,Code!$H:$K,3,FALSE),"")</f>
        <v/>
      </c>
      <c r="F72" s="84" t="str">
        <f>IFERROR(VLOOKUP($C72,Code!$H:$K,4,FALSE),"")</f>
        <v>JIT</v>
      </c>
      <c r="G72" s="128">
        <f>_xlfn.IFNA(((VLOOKUP($C72,Code!$H:$Q,9,FALSE))+(VLOOKUP($C72,Code!$H:$Q,10,FALSE)))/2*0.5/(((VLOOKUP($C72,Code!$H:$Q,7,FALSE))+(VLOOKUP($C72,Code!$H:$Q,8,FALSE)))/2),0)</f>
        <v>0.50472466601498855</v>
      </c>
      <c r="H72" s="87" t="str">
        <f t="shared" si="16"/>
        <v>M</v>
      </c>
      <c r="I72" s="128">
        <f>_xlfn.IFNA((VLOOKUP($C72,Code!$H:$Q,5,FALSE))/(((VLOOKUP($C72,Code!$H:$Q,7,FALSE))+(VLOOKUP($C72,Code!$H:$Q,8,FALSE)))/2)-G72,0)</f>
        <v>0.19843597262952106</v>
      </c>
      <c r="J72" s="55">
        <f>IFERROR(POWER((VLOOKUP(C72,Code!H:W,12,FALSE))/(VLOOKUP(C72,Code!H:W,15,FALSE)),1/(P72-1))-1,"")</f>
        <v>0.13960132191423136</v>
      </c>
      <c r="K72" s="55">
        <f>IFERROR(POWER((VLOOKUP(C72,Code!H:W,13,FALSE))/(VLOOKUP(C72,Code!H:W,16,FALSE)),1/(P72-1))-1,"")</f>
        <v>0.14823145421833228</v>
      </c>
      <c r="L72" s="75">
        <f>IFERROR(VLOOKUP(C72,Code!H:W,13,FALSE)*4/VLOOKUP(C72,Code!H:W,12,FALSE),"")</f>
        <v>4.0490239318999519E-2</v>
      </c>
      <c r="M72" s="55">
        <f t="shared" si="17"/>
        <v>0.28783277613256364</v>
      </c>
      <c r="N72" s="55" t="str">
        <f t="shared" si="18"/>
        <v>Venture</v>
      </c>
      <c r="O72" s="55" t="str">
        <f t="shared" si="19"/>
        <v>-</v>
      </c>
      <c r="P72" s="196">
        <f>IFERROR(YEARFRAC(VLOOKUP(C72,Code!H:W,11,FALSE),VLOOKUP(C72,Code!H:W,14,FALSE),3),"")</f>
        <v>4.904109589041096</v>
      </c>
      <c r="Q72" s="2"/>
      <c r="R72" s="85" t="str">
        <f t="shared" ca="1" si="20"/>
        <v/>
      </c>
      <c r="S72" s="86">
        <f>IFERROR(VLOOKUP($C72,Code!$H:$Q,5,FALSE),"")</f>
        <v>0.1079</v>
      </c>
      <c r="T72" s="88" t="str">
        <f t="shared" ca="1" si="21"/>
        <v/>
      </c>
      <c r="U72" s="89" t="str">
        <f t="shared" ca="1" si="22"/>
        <v/>
      </c>
      <c r="V72" s="90">
        <f>IFERROR(VLOOKUP($C72,Code!$H:$Q,6,FALSE),"")</f>
        <v>22.53</v>
      </c>
      <c r="W72" s="91" t="str">
        <f t="shared" ca="1" si="23"/>
        <v/>
      </c>
      <c r="X72" s="12"/>
      <c r="Y72" s="12"/>
      <c r="Z72" s="12"/>
      <c r="AA72" s="12"/>
      <c r="AB72" s="12"/>
    </row>
    <row r="73" spans="1:28" s="10" customFormat="1" ht="15" hidden="1">
      <c r="A73" s="9"/>
      <c r="B73" s="137"/>
      <c r="C73" s="142" t="s">
        <v>719</v>
      </c>
      <c r="D73" s="82" t="str">
        <f>IFERROR(VLOOKUP($C73,Code!$H:$K,2,FALSE),"")</f>
        <v/>
      </c>
      <c r="E73" s="83" t="str">
        <f>IFERROR(VLOOKUP($C73,Code!$H:$K,3,FALSE),"")</f>
        <v/>
      </c>
      <c r="F73" s="84" t="str">
        <f>IFERROR(VLOOKUP($C73,Code!$H:$K,4,FALSE),"")</f>
        <v>JIT</v>
      </c>
      <c r="G73" s="128">
        <f>_xlfn.IFNA(((VLOOKUP($C73,Code!$H:$Q,9,FALSE))+(VLOOKUP($C73,Code!$H:$Q,10,FALSE)))/2*0.5/(((VLOOKUP($C73,Code!$H:$Q,7,FALSE))+(VLOOKUP($C73,Code!$H:$Q,8,FALSE)))/2),0)</f>
        <v>0.50124289772727271</v>
      </c>
      <c r="H73" s="87" t="str">
        <f t="shared" si="16"/>
        <v>M</v>
      </c>
      <c r="I73" s="128">
        <f>_xlfn.IFNA((VLOOKUP($C73,Code!$H:$Q,5,FALSE))/(((VLOOKUP($C73,Code!$H:$Q,7,FALSE))+(VLOOKUP($C73,Code!$H:$Q,8,FALSE)))/2)-G73,0)</f>
        <v>0.35884232954545459</v>
      </c>
      <c r="J73" s="55" t="str">
        <f>IFERROR(POWER((VLOOKUP(C73,Code!H:W,12,FALSE))/(VLOOKUP(C73,Code!H:W,15,FALSE)),1/(P73-1))-1,"")</f>
        <v/>
      </c>
      <c r="K73" s="55" t="str">
        <f>IFERROR(POWER((VLOOKUP(C73,Code!H:W,13,FALSE))/(VLOOKUP(C73,Code!H:W,16,FALSE)),1/(P73-1))-1,"")</f>
        <v/>
      </c>
      <c r="L73" s="75" t="str">
        <f>IFERROR(VLOOKUP(C73,Code!H:W,13,FALSE)*4/VLOOKUP(C73,Code!H:W,12,FALSE),"")</f>
        <v/>
      </c>
      <c r="M73" s="55" t="str">
        <f t="shared" si="17"/>
        <v/>
      </c>
      <c r="N73" s="55" t="str">
        <f t="shared" si="18"/>
        <v/>
      </c>
      <c r="O73" s="55" t="str">
        <f t="shared" si="19"/>
        <v/>
      </c>
      <c r="P73" s="70">
        <f>IFERROR(YEARFRAC(VLOOKUP(C73,Code!H:W,11,FALSE),VLOOKUP(C73,Code!H:W,14,FALSE),3),"")</f>
        <v>0</v>
      </c>
      <c r="Q73" s="2"/>
      <c r="R73" s="85" t="str">
        <f t="shared" ca="1" si="20"/>
        <v/>
      </c>
      <c r="S73" s="86">
        <f>IFERROR(VLOOKUP($C73,Code!$H:$Q,5,FALSE),"")</f>
        <v>0.72660000000000002</v>
      </c>
      <c r="T73" s="88" t="str">
        <f t="shared" ca="1" si="21"/>
        <v/>
      </c>
      <c r="U73" s="89" t="str">
        <f t="shared" ca="1" si="22"/>
        <v/>
      </c>
      <c r="V73" s="90">
        <f>IFERROR(VLOOKUP($C73,Code!$H:$Q,6,FALSE),"")</f>
        <v>52</v>
      </c>
      <c r="W73" s="91" t="str">
        <f t="shared" ca="1" si="23"/>
        <v/>
      </c>
      <c r="X73" s="12"/>
      <c r="Y73" s="12"/>
      <c r="Z73" s="12"/>
      <c r="AA73" s="12"/>
      <c r="AB73" s="12"/>
    </row>
    <row r="74" spans="1:28" s="10" customFormat="1" ht="15" hidden="1">
      <c r="A74" s="9"/>
      <c r="B74" s="137"/>
      <c r="C74" s="142" t="s">
        <v>729</v>
      </c>
      <c r="D74" s="82" t="str">
        <f>IFERROR(VLOOKUP($C74,Code!$H:$K,2,FALSE),"")</f>
        <v/>
      </c>
      <c r="E74" s="83" t="str">
        <f>IFERROR(VLOOKUP($C74,Code!$H:$K,3,FALSE),"")</f>
        <v/>
      </c>
      <c r="F74" s="84" t="str">
        <f>IFERROR(VLOOKUP($C74,Code!$H:$K,4,FALSE),"")</f>
        <v>JIT</v>
      </c>
      <c r="G74" s="128">
        <f>_xlfn.IFNA(((VLOOKUP($C74,Code!$H:$Q,9,FALSE))+(VLOOKUP($C74,Code!$H:$Q,10,FALSE)))/2*0.5/(((VLOOKUP($C74,Code!$H:$Q,7,FALSE))+(VLOOKUP($C74,Code!$H:$Q,8,FALSE)))/2),0)</f>
        <v>0.50600000000000001</v>
      </c>
      <c r="H74" s="87" t="str">
        <f t="shared" si="16"/>
        <v>M</v>
      </c>
      <c r="I74" s="128">
        <f>_xlfn.IFNA((VLOOKUP($C74,Code!$H:$Q,5,FALSE))/(((VLOOKUP($C74,Code!$H:$Q,7,FALSE))+(VLOOKUP($C74,Code!$H:$Q,8,FALSE)))/2)-G74,0)</f>
        <v>0.12566197183098593</v>
      </c>
      <c r="J74" s="55" t="str">
        <f>IFERROR(POWER((VLOOKUP(C74,Code!H:W,12,FALSE))/(VLOOKUP(C74,Code!H:W,15,FALSE)),1/(P74-1))-1,"")</f>
        <v/>
      </c>
      <c r="K74" s="55" t="str">
        <f>IFERROR(POWER((VLOOKUP(C74,Code!H:W,13,FALSE))/(VLOOKUP(C74,Code!H:W,16,FALSE)),1/(P74-1))-1,"")</f>
        <v/>
      </c>
      <c r="L74" s="75" t="str">
        <f>IFERROR(VLOOKUP(C74,Code!H:W,13,FALSE)*4/VLOOKUP(C74,Code!H:W,12,FALSE),"")</f>
        <v/>
      </c>
      <c r="M74" s="55" t="str">
        <f t="shared" si="17"/>
        <v/>
      </c>
      <c r="N74" s="55" t="str">
        <f t="shared" si="18"/>
        <v/>
      </c>
      <c r="O74" s="55" t="str">
        <f t="shared" si="19"/>
        <v/>
      </c>
      <c r="P74" s="70">
        <f>IFERROR(YEARFRAC(VLOOKUP(C74,Code!H:W,11,FALSE),VLOOKUP(C74,Code!H:W,14,FALSE),3),"")</f>
        <v>0</v>
      </c>
      <c r="Q74" s="2"/>
      <c r="R74" s="85" t="str">
        <f t="shared" ca="1" si="20"/>
        <v/>
      </c>
      <c r="S74" s="86">
        <f>IFERROR(VLOOKUP($C74,Code!$H:$Q,5,FALSE),"")</f>
        <v>0.56059999999999999</v>
      </c>
      <c r="T74" s="88" t="str">
        <f t="shared" ca="1" si="21"/>
        <v/>
      </c>
      <c r="U74" s="89" t="str">
        <f t="shared" ca="1" si="22"/>
        <v/>
      </c>
      <c r="V74" s="90">
        <f>IFERROR(VLOOKUP($C74,Code!$H:$Q,6,FALSE),"")</f>
        <v>56.07</v>
      </c>
      <c r="W74" s="91" t="str">
        <f t="shared" ca="1" si="23"/>
        <v/>
      </c>
      <c r="X74" s="12"/>
      <c r="Y74" s="12"/>
      <c r="Z74" s="12"/>
      <c r="AA74" s="12"/>
      <c r="AB74" s="12"/>
    </row>
    <row r="75" spans="1:28" s="10" customFormat="1" ht="15" hidden="1">
      <c r="A75" s="9"/>
      <c r="B75" s="137"/>
      <c r="C75" s="142" t="s">
        <v>721</v>
      </c>
      <c r="D75" s="82" t="str">
        <f>IFERROR(VLOOKUP($C75,Code!$H:$K,2,FALSE),"")</f>
        <v/>
      </c>
      <c r="E75" s="83" t="str">
        <f>IFERROR(VLOOKUP($C75,Code!$H:$K,3,FALSE),"")</f>
        <v/>
      </c>
      <c r="F75" s="84" t="str">
        <f>IFERROR(VLOOKUP($C75,Code!$H:$K,4,FALSE),"")</f>
        <v>JIT</v>
      </c>
      <c r="G75" s="128">
        <f>_xlfn.IFNA(((VLOOKUP($C75,Code!$H:$Q,9,FALSE))+(VLOOKUP($C75,Code!$H:$Q,10,FALSE)))/2*0.5/(((VLOOKUP($C75,Code!$H:$Q,7,FALSE))+(VLOOKUP($C75,Code!$H:$Q,8,FALSE)))/2),0)</f>
        <v>0.41008306822198659</v>
      </c>
      <c r="H75" s="87" t="str">
        <f t="shared" si="16"/>
        <v>S</v>
      </c>
      <c r="I75" s="128">
        <f>_xlfn.IFNA((VLOOKUP($C75,Code!$H:$Q,5,FALSE))/(((VLOOKUP($C75,Code!$H:$Q,7,FALSE))+(VLOOKUP($C75,Code!$H:$Q,8,FALSE)))/2)-G75,0)</f>
        <v>0.22512371862849068</v>
      </c>
      <c r="J75" s="55" t="str">
        <f>IFERROR(POWER((VLOOKUP(C75,Code!H:W,12,FALSE))/(VLOOKUP(C75,Code!H:W,15,FALSE)),1/(P75-1))-1,"")</f>
        <v/>
      </c>
      <c r="K75" s="55" t="str">
        <f>IFERROR(POWER((VLOOKUP(C75,Code!H:W,13,FALSE))/(VLOOKUP(C75,Code!H:W,16,FALSE)),1/(P75-1))-1,"")</f>
        <v/>
      </c>
      <c r="L75" s="75" t="str">
        <f>IFERROR(VLOOKUP(C75,Code!H:W,13,FALSE)*4/VLOOKUP(C75,Code!H:W,12,FALSE),"")</f>
        <v/>
      </c>
      <c r="M75" s="55" t="str">
        <f t="shared" si="17"/>
        <v/>
      </c>
      <c r="N75" s="55" t="str">
        <f t="shared" si="18"/>
        <v/>
      </c>
      <c r="O75" s="55" t="str">
        <f t="shared" si="19"/>
        <v/>
      </c>
      <c r="P75" s="70">
        <f>IFERROR(YEARFRAC(VLOOKUP(C75,Code!H:W,11,FALSE),VLOOKUP(C75,Code!H:W,14,FALSE),3),"")</f>
        <v>0</v>
      </c>
      <c r="Q75" s="2"/>
      <c r="R75" s="85" t="str">
        <f t="shared" ca="1" si="20"/>
        <v/>
      </c>
      <c r="S75" s="86">
        <f>IFERROR(VLOOKUP($C75,Code!$H:$Q,5,FALSE),"")</f>
        <v>0.3594</v>
      </c>
      <c r="T75" s="88" t="str">
        <f t="shared" ca="1" si="21"/>
        <v/>
      </c>
      <c r="U75" s="89" t="str">
        <f t="shared" ca="1" si="22"/>
        <v/>
      </c>
      <c r="V75" s="90">
        <f>IFERROR(VLOOKUP($C75,Code!$H:$Q,6,FALSE),"")</f>
        <v>143.57</v>
      </c>
      <c r="W75" s="91" t="str">
        <f t="shared" ca="1" si="23"/>
        <v/>
      </c>
      <c r="X75" s="12"/>
      <c r="Y75" s="12"/>
      <c r="Z75" s="12"/>
      <c r="AA75" s="12"/>
      <c r="AB75" s="12"/>
    </row>
    <row r="76" spans="1:28" s="10" customFormat="1" ht="15" hidden="1">
      <c r="A76" s="9"/>
      <c r="B76" s="137"/>
      <c r="C76" s="142" t="s">
        <v>706</v>
      </c>
      <c r="D76" s="82" t="str">
        <f>IFERROR(VLOOKUP($C76,Code!$H:$K,2,FALSE),"")</f>
        <v/>
      </c>
      <c r="E76" s="83" t="str">
        <f>IFERROR(VLOOKUP($C76,Code!$H:$K,3,FALSE),"")</f>
        <v>商業務聯網</v>
      </c>
      <c r="F76" s="84" t="str">
        <f>IFERROR(VLOOKUP($C76,Code!$H:$K,4,FALSE),"")</f>
        <v>JIT</v>
      </c>
      <c r="G76" s="128">
        <f>_xlfn.IFNA(((VLOOKUP($C76,Code!$H:$Q,9,FALSE))+(VLOOKUP($C76,Code!$H:$Q,10,FALSE)))/2*0.5/(((VLOOKUP($C76,Code!$H:$Q,7,FALSE))+(VLOOKUP($C76,Code!$H:$Q,8,FALSE)))/2),0)</f>
        <v>0.4794066317626528</v>
      </c>
      <c r="H76" s="87" t="str">
        <f t="shared" si="16"/>
        <v>S</v>
      </c>
      <c r="I76" s="128">
        <f>_xlfn.IFNA((VLOOKUP($C76,Code!$H:$Q,5,FALSE))/(((VLOOKUP($C76,Code!$H:$Q,7,FALSE))+(VLOOKUP($C76,Code!$H:$Q,8,FALSE)))/2)-G76,0)</f>
        <v>0.20401396160558466</v>
      </c>
      <c r="J76" s="55">
        <f>IFERROR(POWER((VLOOKUP(C76,Code!H:W,12,FALSE))/(VLOOKUP(C76,Code!H:W,15,FALSE)),1/(P76-1))-1,"")</f>
        <v>0.53159702394986907</v>
      </c>
      <c r="K76" s="55">
        <f>IFERROR(POWER((VLOOKUP(C76,Code!H:W,13,FALSE))/(VLOOKUP(C76,Code!H:W,16,FALSE)),1/(P76-1))-1,"")</f>
        <v>0</v>
      </c>
      <c r="L76" s="75">
        <f>IFERROR(VLOOKUP(C76,Code!H:W,13,FALSE)*4/VLOOKUP(C76,Code!H:W,12,FALSE),"")</f>
        <v>6.6463582371471966E-3</v>
      </c>
      <c r="M76" s="55">
        <f t="shared" si="17"/>
        <v>0.53159702394986907</v>
      </c>
      <c r="N76" s="55" t="str">
        <f t="shared" si="18"/>
        <v>-</v>
      </c>
      <c r="O76" s="55" t="str">
        <f t="shared" si="19"/>
        <v>-</v>
      </c>
      <c r="P76" s="196">
        <f>IFERROR(YEARFRAC(VLOOKUP(C76,Code!H:W,11,FALSE),VLOOKUP(C76,Code!H:W,14,FALSE),3),"")</f>
        <v>4.7643835616438359</v>
      </c>
      <c r="Q76" s="2"/>
      <c r="R76" s="85" t="str">
        <f t="shared" ca="1" si="20"/>
        <v/>
      </c>
      <c r="S76" s="86">
        <f>IFERROR(VLOOKUP($C76,Code!$H:$Q,5,FALSE),"")</f>
        <v>0.29370000000000002</v>
      </c>
      <c r="T76" s="88" t="str">
        <f t="shared" ca="1" si="21"/>
        <v/>
      </c>
      <c r="U76" s="89" t="str">
        <f t="shared" ca="1" si="22"/>
        <v/>
      </c>
      <c r="V76" s="90">
        <f>IFERROR(VLOOKUP($C76,Code!$H:$Q,6,FALSE),"")</f>
        <v>41.32</v>
      </c>
      <c r="W76" s="91" t="str">
        <f t="shared" ca="1" si="23"/>
        <v/>
      </c>
      <c r="X76" s="12"/>
      <c r="Y76" s="12"/>
      <c r="Z76" s="12"/>
      <c r="AA76" s="12"/>
      <c r="AB76" s="12"/>
    </row>
    <row r="77" spans="1:28" s="10" customFormat="1" ht="15" hidden="1">
      <c r="A77" s="9"/>
      <c r="B77" s="137"/>
      <c r="C77" s="142" t="s">
        <v>778</v>
      </c>
      <c r="D77" s="82" t="str">
        <f>IFERROR(VLOOKUP($C77,Code!$H:$K,2,FALSE),"")</f>
        <v/>
      </c>
      <c r="E77" s="83" t="str">
        <f>IFERROR(VLOOKUP($C77,Code!$H:$K,3,FALSE),"")</f>
        <v>5G</v>
      </c>
      <c r="F77" s="84" t="str">
        <f>IFERROR(VLOOKUP($C77,Code!$H:$K,4,FALSE),"")</f>
        <v>JIT</v>
      </c>
      <c r="G77" s="128">
        <f>_xlfn.IFNA(((VLOOKUP($C77,Code!$H:$Q,9,FALSE))+(VLOOKUP($C77,Code!$H:$Q,10,FALSE)))/2*0.5/(((VLOOKUP($C77,Code!$H:$Q,7,FALSE))+(VLOOKUP($C77,Code!$H:$Q,8,FALSE)))/2),0)</f>
        <v>0.54397260273972603</v>
      </c>
      <c r="H77" s="87" t="str">
        <f t="shared" si="16"/>
        <v>M</v>
      </c>
      <c r="I77" s="128">
        <f>_xlfn.IFNA((VLOOKUP($C77,Code!$H:$Q,5,FALSE))/(((VLOOKUP($C77,Code!$H:$Q,7,FALSE))+(VLOOKUP($C77,Code!$H:$Q,8,FALSE)))/2)-G77,0)</f>
        <v>0.45356164383561637</v>
      </c>
      <c r="J77" s="55">
        <f>IFERROR(POWER((VLOOKUP(C77,Code!H:W,12,FALSE))/(VLOOKUP(C77,Code!H:W,15,FALSE)),1/(P77-1))-1,"")</f>
        <v>5.6843990161526969E-2</v>
      </c>
      <c r="K77" s="55">
        <f>IFERROR(POWER((VLOOKUP(C77,Code!H:W,13,FALSE))/(VLOOKUP(C77,Code!H:W,16,FALSE)),1/(P77-1))-1,"")</f>
        <v>0.68450715630143244</v>
      </c>
      <c r="L77" s="75">
        <f>IFERROR(VLOOKUP(C77,Code!H:W,13,FALSE)*4/VLOOKUP(C77,Code!H:W,12,FALSE),"")</f>
        <v>1.0531859000029063E-2</v>
      </c>
      <c r="M77" s="55">
        <f t="shared" si="17"/>
        <v>0.74135114646295941</v>
      </c>
      <c r="N77" s="55" t="str">
        <f t="shared" si="18"/>
        <v>-</v>
      </c>
      <c r="O77" s="55" t="str">
        <f t="shared" si="19"/>
        <v>Value</v>
      </c>
      <c r="P77" s="196">
        <f>IFERROR(YEARFRAC(VLOOKUP(C77,Code!H:W,11,FALSE),VLOOKUP(C77,Code!H:W,14,FALSE),3),"")</f>
        <v>3.441095890410959</v>
      </c>
      <c r="Q77" s="2"/>
      <c r="R77" s="85" t="str">
        <f t="shared" ca="1" si="20"/>
        <v/>
      </c>
      <c r="S77" s="86">
        <f>IFERROR(VLOOKUP($C77,Code!$H:$Q,5,FALSE),"")</f>
        <v>0.36409999999999998</v>
      </c>
      <c r="T77" s="88" t="str">
        <f t="shared" ca="1" si="21"/>
        <v/>
      </c>
      <c r="U77" s="89" t="str">
        <f t="shared" ca="1" si="22"/>
        <v/>
      </c>
      <c r="V77" s="90">
        <f>IFERROR(VLOOKUP($C77,Code!$H:$Q,6,FALSE),"")</f>
        <v>20.82</v>
      </c>
      <c r="W77" s="91" t="str">
        <f t="shared" ca="1" si="23"/>
        <v/>
      </c>
      <c r="X77" s="12"/>
      <c r="Y77" s="12"/>
      <c r="Z77" s="12"/>
      <c r="AA77" s="12"/>
      <c r="AB77" s="12"/>
    </row>
    <row r="78" spans="1:28" s="10" customFormat="1" ht="15" hidden="1">
      <c r="A78" s="9"/>
      <c r="B78" s="137"/>
      <c r="C78" s="142" t="s">
        <v>802</v>
      </c>
      <c r="D78" s="82" t="str">
        <f>IFERROR(VLOOKUP($C78,Code!$H:$K,2,FALSE),"")</f>
        <v/>
      </c>
      <c r="E78" s="83" t="str">
        <f>IFERROR(VLOOKUP($C78,Code!$H:$K,3,FALSE),"")</f>
        <v>千禧代</v>
      </c>
      <c r="F78" s="84" t="str">
        <f>IFERROR(VLOOKUP($C78,Code!$H:$K,4,FALSE),"")</f>
        <v>JIT</v>
      </c>
      <c r="G78" s="128">
        <f>_xlfn.IFNA(((VLOOKUP($C78,Code!$H:$Q,9,FALSE))+(VLOOKUP($C78,Code!$H:$Q,10,FALSE)))/2*0.5/(((VLOOKUP($C78,Code!$H:$Q,7,FALSE))+(VLOOKUP($C78,Code!$H:$Q,8,FALSE)))/2),0)</f>
        <v>0.76828706749111952</v>
      </c>
      <c r="H78" s="87" t="str">
        <f t="shared" si="16"/>
        <v>XL</v>
      </c>
      <c r="I78" s="128">
        <f>_xlfn.IFNA((VLOOKUP($C78,Code!$H:$Q,5,FALSE))/(((VLOOKUP($C78,Code!$H:$Q,7,FALSE))+(VLOOKUP($C78,Code!$H:$Q,8,FALSE)))/2)-G78,0)</f>
        <v>0.27223391658992258</v>
      </c>
      <c r="J78" s="55">
        <f>IFERROR(POWER((VLOOKUP(C78,Code!H:W,12,FALSE))/(VLOOKUP(C78,Code!H:W,15,FALSE)),1/(P78-1))-1,"")</f>
        <v>0</v>
      </c>
      <c r="K78" s="55">
        <f>IFERROR(POWER((VLOOKUP(C78,Code!H:W,13,FALSE))/(VLOOKUP(C78,Code!H:W,16,FALSE)),1/(P78-1))-1,"")</f>
        <v>0</v>
      </c>
      <c r="L78" s="75">
        <f>IFERROR(VLOOKUP(C78,Code!H:W,13,FALSE)*4/VLOOKUP(C78,Code!H:W,12,FALSE),"")</f>
        <v>0.25149701245094669</v>
      </c>
      <c r="M78" s="55" t="str">
        <f t="shared" si="17"/>
        <v/>
      </c>
      <c r="N78" s="55" t="str">
        <f t="shared" si="18"/>
        <v>Venture</v>
      </c>
      <c r="O78" s="55" t="str">
        <f t="shared" si="19"/>
        <v>-</v>
      </c>
      <c r="P78" s="70">
        <f>IFERROR(YEARFRAC(VLOOKUP(C78,Code!H:W,11,FALSE),VLOOKUP(C78,Code!H:W,14,FALSE),3),"")</f>
        <v>0</v>
      </c>
      <c r="Q78" s="2"/>
      <c r="R78" s="85" t="str">
        <f t="shared" ca="1" si="20"/>
        <v/>
      </c>
      <c r="S78" s="86">
        <f>IFERROR(VLOOKUP($C78,Code!$H:$Q,5,FALSE),"")</f>
        <v>0.79090000000000005</v>
      </c>
      <c r="T78" s="88" t="str">
        <f t="shared" ca="1" si="21"/>
        <v/>
      </c>
      <c r="U78" s="89" t="str">
        <f t="shared" ca="1" si="22"/>
        <v/>
      </c>
      <c r="V78" s="90">
        <f>IFERROR(VLOOKUP($C78,Code!$H:$Q,6,FALSE),"")</f>
        <v>10.75</v>
      </c>
      <c r="W78" s="91" t="str">
        <f t="shared" ca="1" si="23"/>
        <v/>
      </c>
      <c r="X78" s="12"/>
      <c r="Y78" s="12"/>
      <c r="Z78" s="12"/>
      <c r="AA78" s="12"/>
      <c r="AB78" s="12"/>
    </row>
    <row r="79" spans="1:28" s="10" customFormat="1" ht="15" hidden="1">
      <c r="A79" s="9"/>
      <c r="B79" s="137"/>
      <c r="C79" s="142" t="s">
        <v>648</v>
      </c>
      <c r="D79" s="82" t="str">
        <f>IFERROR(VLOOKUP($C79,Code!$H:$K,2,FALSE),"")</f>
        <v/>
      </c>
      <c r="E79" s="83" t="str">
        <f>IFERROR(VLOOKUP($C79,Code!$H:$K,3,FALSE),"")</f>
        <v>商業務聯網</v>
      </c>
      <c r="F79" s="84" t="str">
        <f>IFERROR(VLOOKUP($C79,Code!$H:$K,4,FALSE),"")</f>
        <v>JIT</v>
      </c>
      <c r="G79" s="128">
        <f>_xlfn.IFNA(((VLOOKUP($C79,Code!$H:$Q,9,FALSE))+(VLOOKUP($C79,Code!$H:$Q,10,FALSE)))/2*0.5/(((VLOOKUP($C79,Code!$H:$Q,7,FALSE))+(VLOOKUP($C79,Code!$H:$Q,8,FALSE)))/2),0)</f>
        <v>0.49947772657450074</v>
      </c>
      <c r="H79" s="87" t="str">
        <f t="shared" si="16"/>
        <v>S</v>
      </c>
      <c r="I79" s="128">
        <f>_xlfn.IFNA((VLOOKUP($C79,Code!$H:$Q,5,FALSE))/(((VLOOKUP($C79,Code!$H:$Q,7,FALSE))+(VLOOKUP($C79,Code!$H:$Q,8,FALSE)))/2)-G79,0)</f>
        <v>0.25456221198156692</v>
      </c>
      <c r="J79" s="55" t="str">
        <f>IFERROR(POWER((VLOOKUP(C79,Code!H:W,12,FALSE))/(VLOOKUP(C79,Code!H:W,15,FALSE)),1/(P79-1))-1,"")</f>
        <v/>
      </c>
      <c r="K79" s="55" t="str">
        <f>IFERROR(POWER((VLOOKUP(C79,Code!H:W,13,FALSE))/(VLOOKUP(C79,Code!H:W,16,FALSE)),1/(P79-1))-1,"")</f>
        <v/>
      </c>
      <c r="L79" s="75" t="str">
        <f>IFERROR(VLOOKUP(C79,Code!H:W,13,FALSE)*4/VLOOKUP(C79,Code!H:W,12,FALSE),"")</f>
        <v/>
      </c>
      <c r="M79" s="55" t="str">
        <f t="shared" si="17"/>
        <v/>
      </c>
      <c r="N79" s="55" t="str">
        <f t="shared" si="18"/>
        <v/>
      </c>
      <c r="O79" s="55" t="str">
        <f t="shared" si="19"/>
        <v/>
      </c>
      <c r="P79" s="70">
        <f>IFERROR(YEARFRAC(VLOOKUP(C79,Code!H:W,11,FALSE),VLOOKUP(C79,Code!H:W,14,FALSE),3),"")</f>
        <v>0</v>
      </c>
      <c r="Q79" s="2"/>
      <c r="R79" s="85" t="str">
        <f t="shared" ca="1" si="20"/>
        <v/>
      </c>
      <c r="S79" s="86">
        <f>IFERROR(VLOOKUP($C79,Code!$H:$Q,5,FALSE),"")</f>
        <v>0.61360000000000003</v>
      </c>
      <c r="T79" s="88" t="str">
        <f t="shared" ca="1" si="21"/>
        <v/>
      </c>
      <c r="U79" s="89" t="str">
        <f t="shared" ca="1" si="22"/>
        <v/>
      </c>
      <c r="V79" s="90">
        <f>IFERROR(VLOOKUP($C79,Code!$H:$Q,6,FALSE),"")</f>
        <v>52.96</v>
      </c>
      <c r="W79" s="91" t="str">
        <f t="shared" ca="1" si="23"/>
        <v/>
      </c>
      <c r="X79" s="12"/>
      <c r="Y79" s="12"/>
      <c r="Z79" s="12"/>
      <c r="AA79" s="12"/>
      <c r="AB79" s="12"/>
    </row>
    <row r="80" spans="1:28" s="10" customFormat="1" ht="15" hidden="1">
      <c r="A80" s="9"/>
      <c r="B80" s="137"/>
      <c r="C80" s="142" t="s">
        <v>792</v>
      </c>
      <c r="D80" s="82" t="str">
        <f>IFERROR(VLOOKUP($C80,Code!$H:$K,2,FALSE),"")</f>
        <v/>
      </c>
      <c r="E80" s="83" t="str">
        <f>IFERROR(VLOOKUP($C80,Code!$H:$K,3,FALSE),"")</f>
        <v>EV&amp;人工智慧</v>
      </c>
      <c r="F80" s="84" t="str">
        <f>IFERROR(VLOOKUP($C80,Code!$H:$K,4,FALSE),"")</f>
        <v>JIT</v>
      </c>
      <c r="G80" s="128">
        <f>_xlfn.IFNA(((VLOOKUP($C80,Code!$H:$Q,9,FALSE))+(VLOOKUP($C80,Code!$H:$Q,10,FALSE)))/2*0.5/(((VLOOKUP($C80,Code!$H:$Q,7,FALSE))+(VLOOKUP($C80,Code!$H:$Q,8,FALSE)))/2),0)</f>
        <v>0.60862926446208865</v>
      </c>
      <c r="H80" s="87" t="str">
        <f t="shared" si="16"/>
        <v>L</v>
      </c>
      <c r="I80" s="128">
        <f>_xlfn.IFNA((VLOOKUP($C80,Code!$H:$Q,5,FALSE))/(((VLOOKUP($C80,Code!$H:$Q,7,FALSE))+(VLOOKUP($C80,Code!$H:$Q,8,FALSE)))/2)-G80,0)</f>
        <v>0.12673414187243703</v>
      </c>
      <c r="J80" s="55" t="str">
        <f>IFERROR(POWER((VLOOKUP(C80,Code!H:W,12,FALSE))/(VLOOKUP(C80,Code!H:W,15,FALSE)),1/(P80-1))-1,"")</f>
        <v/>
      </c>
      <c r="K80" s="55" t="str">
        <f>IFERROR(POWER((VLOOKUP(C80,Code!H:W,13,FALSE))/(VLOOKUP(C80,Code!H:W,16,FALSE)),1/(P80-1))-1,"")</f>
        <v/>
      </c>
      <c r="L80" s="75" t="str">
        <f>IFERROR(VLOOKUP(C80,Code!H:W,13,FALSE)*4/VLOOKUP(C80,Code!H:W,12,FALSE),"")</f>
        <v/>
      </c>
      <c r="M80" s="55" t="str">
        <f t="shared" si="17"/>
        <v/>
      </c>
      <c r="N80" s="55" t="str">
        <f t="shared" si="18"/>
        <v/>
      </c>
      <c r="O80" s="55" t="str">
        <f t="shared" si="19"/>
        <v/>
      </c>
      <c r="P80" s="70">
        <f>IFERROR(YEARFRAC(VLOOKUP(C80,Code!H:W,11,FALSE),VLOOKUP(C80,Code!H:W,14,FALSE),3),"")</f>
        <v>0</v>
      </c>
      <c r="Q80" s="2"/>
      <c r="R80" s="85" t="str">
        <f t="shared" ca="1" si="20"/>
        <v/>
      </c>
      <c r="S80" s="86">
        <f>IFERROR(VLOOKUP($C80,Code!$H:$Q,5,FALSE),"")</f>
        <v>0.4214</v>
      </c>
      <c r="T80" s="88" t="str">
        <f t="shared" ca="1" si="21"/>
        <v/>
      </c>
      <c r="U80" s="89" t="str">
        <f t="shared" ca="1" si="22"/>
        <v/>
      </c>
      <c r="V80" s="90">
        <f>IFERROR(VLOOKUP($C80,Code!$H:$Q,6,FALSE),"")</f>
        <v>42.65</v>
      </c>
      <c r="W80" s="91" t="str">
        <f t="shared" ca="1" si="23"/>
        <v/>
      </c>
      <c r="X80" s="12"/>
      <c r="Y80" s="12"/>
      <c r="Z80" s="12"/>
      <c r="AA80" s="12"/>
      <c r="AB80" s="12"/>
    </row>
    <row r="81" spans="1:28" s="10" customFormat="1" ht="15" hidden="1">
      <c r="A81" s="9"/>
      <c r="B81" s="137" t="s">
        <v>535</v>
      </c>
      <c r="C81" s="142" t="s">
        <v>111</v>
      </c>
      <c r="D81" s="82" t="str">
        <f>IFERROR(VLOOKUP($C81,Code!$H:$K,2,FALSE),"")</f>
        <v>XLV</v>
      </c>
      <c r="E81" s="83" t="str">
        <f>IFERROR(VLOOKUP($C81,Code!$H:$K,3,FALSE),"")</f>
        <v>衛生信息服務</v>
      </c>
      <c r="F81" s="84" t="str">
        <f>IFERROR(VLOOKUP($C81,Code!$H:$K,4,FALSE),"")</f>
        <v>.SPX</v>
      </c>
      <c r="G81" s="128">
        <f>_xlfn.IFNA(((VLOOKUP($C81,Code!$H:$Q,9,FALSE))+(VLOOKUP($C81,Code!$H:$Q,10,FALSE)))/2*0.5/(((VLOOKUP($C81,Code!$H:$Q,7,FALSE))+(VLOOKUP($C81,Code!$H:$Q,8,FALSE)))/2),0)</f>
        <v>0.76302826030593729</v>
      </c>
      <c r="H81" s="87" t="str">
        <f t="shared" si="16"/>
        <v>XL</v>
      </c>
      <c r="I81" s="128">
        <f>_xlfn.IFNA((VLOOKUP($C81,Code!$H:$Q,5,FALSE))/(((VLOOKUP($C81,Code!$H:$Q,7,FALSE))+(VLOOKUP($C81,Code!$H:$Q,8,FALSE)))/2)-G81,0)</f>
        <v>0.40782991962665283</v>
      </c>
      <c r="J81" s="55">
        <f>IFERROR(POWER((VLOOKUP(C81,Code!H:W,12,FALSE))/(VLOOKUP(C81,Code!H:W,15,FALSE)),1/(P81-1))-1,"")</f>
        <v>0.11864714623176398</v>
      </c>
      <c r="K81" s="55">
        <f>IFERROR(POWER((VLOOKUP(C81,Code!H:W,13,FALSE))/(VLOOKUP(C81,Code!H:W,16,FALSE)),1/(P81-1))-1,"")</f>
        <v>0.21633437052672599</v>
      </c>
      <c r="L81" s="75">
        <f>IFERROR(VLOOKUP(C81,Code!H:W,13,FALSE)*4/VLOOKUP(C81,Code!H:W,12,FALSE),"")</f>
        <v>1.1217336319089799E-2</v>
      </c>
      <c r="M81" s="55">
        <f t="shared" si="17"/>
        <v>0.33498151675848997</v>
      </c>
      <c r="N81" s="55" t="str">
        <f t="shared" si="18"/>
        <v>-</v>
      </c>
      <c r="O81" s="55" t="str">
        <f t="shared" si="19"/>
        <v>Value</v>
      </c>
      <c r="P81" s="196">
        <f>IFERROR(YEARFRAC(VLOOKUP(C81,Code!H:W,11,FALSE),VLOOKUP(C81,Code!H:W,14,FALSE),3),"")</f>
        <v>2.0246575342465754</v>
      </c>
      <c r="Q81" s="2"/>
      <c r="R81" s="85" t="str">
        <f t="shared" ca="1" si="20"/>
        <v/>
      </c>
      <c r="S81" s="86">
        <f>IFERROR(VLOOKUP($C81,Code!$H:$Q,5,FALSE),"")</f>
        <v>0.2258</v>
      </c>
      <c r="T81" s="88" t="str">
        <f t="shared" ca="1" si="21"/>
        <v/>
      </c>
      <c r="U81" s="89" t="str">
        <f t="shared" ca="1" si="22"/>
        <v/>
      </c>
      <c r="V81" s="90">
        <f>IFERROR(VLOOKUP($C81,Code!$H:$Q,6,FALSE),"")</f>
        <v>79.900000000000006</v>
      </c>
      <c r="W81" s="91" t="str">
        <f t="shared" ca="1" si="23"/>
        <v/>
      </c>
      <c r="X81" s="12"/>
      <c r="Y81" s="12"/>
      <c r="Z81" s="12"/>
      <c r="AA81" s="12"/>
      <c r="AB81" s="12"/>
    </row>
    <row r="82" spans="1:28" s="10" customFormat="1" ht="15" hidden="1">
      <c r="A82" s="9"/>
      <c r="B82" s="137" t="s">
        <v>878</v>
      </c>
      <c r="C82" s="142" t="s">
        <v>91</v>
      </c>
      <c r="D82" s="82" t="str">
        <f>IFERROR(VLOOKUP($C82,Code!$H:$K,2,FALSE),"")</f>
        <v>XLK</v>
      </c>
      <c r="E82" s="83" t="str">
        <f>IFERROR(VLOOKUP($C82,Code!$H:$K,3,FALSE),"")</f>
        <v>軟件基礎設施</v>
      </c>
      <c r="F82" s="84" t="str">
        <f>IFERROR(VLOOKUP($C82,Code!$H:$K,4,FALSE),"")</f>
        <v>.SPX</v>
      </c>
      <c r="G82" s="128">
        <f>_xlfn.IFNA(((VLOOKUP($C82,Code!$H:$Q,9,FALSE))+(VLOOKUP($C82,Code!$H:$Q,10,FALSE)))/2*0.5/(((VLOOKUP($C82,Code!$H:$Q,7,FALSE))+(VLOOKUP($C82,Code!$H:$Q,8,FALSE)))/2),0)</f>
        <v>0.60858294930875567</v>
      </c>
      <c r="H82" s="87" t="str">
        <f t="shared" si="16"/>
        <v>L</v>
      </c>
      <c r="I82" s="128">
        <f>_xlfn.IFNA((VLOOKUP($C82,Code!$H:$Q,5,FALSE))/(((VLOOKUP($C82,Code!$H:$Q,7,FALSE))+(VLOOKUP($C82,Code!$H:$Q,8,FALSE)))/2)-G82,0)</f>
        <v>0.27908986175115202</v>
      </c>
      <c r="J82" s="55" t="str">
        <f>IFERROR(POWER((VLOOKUP(C82,Code!H:W,12,FALSE))/(VLOOKUP(C82,Code!H:W,15,FALSE)),1/(P82-1))-1,"")</f>
        <v/>
      </c>
      <c r="K82" s="55" t="str">
        <f>IFERROR(POWER((VLOOKUP(C82,Code!H:W,13,FALSE))/(VLOOKUP(C82,Code!H:W,16,FALSE)),1/(P82-1))-1,"")</f>
        <v/>
      </c>
      <c r="L82" s="75" t="str">
        <f>IFERROR(VLOOKUP(C82,Code!H:W,13,FALSE)*4/VLOOKUP(C82,Code!H:W,12,FALSE),"")</f>
        <v/>
      </c>
      <c r="M82" s="55" t="str">
        <f t="shared" si="17"/>
        <v/>
      </c>
      <c r="N82" s="55" t="str">
        <f t="shared" si="18"/>
        <v/>
      </c>
      <c r="O82" s="55" t="str">
        <f t="shared" si="19"/>
        <v/>
      </c>
      <c r="P82" s="70">
        <f>IFERROR(YEARFRAC(VLOOKUP(C82,Code!H:W,11,FALSE),VLOOKUP(C82,Code!H:W,14,FALSE),3),"")</f>
        <v>0</v>
      </c>
      <c r="Q82" s="2"/>
      <c r="R82" s="85" t="str">
        <f t="shared" ca="1" si="20"/>
        <v/>
      </c>
      <c r="S82" s="86">
        <f>IFERROR(VLOOKUP($C82,Code!$H:$Q,5,FALSE),"")</f>
        <v>0.30819999999999997</v>
      </c>
      <c r="T82" s="88" t="str">
        <f t="shared" ca="1" si="21"/>
        <v/>
      </c>
      <c r="U82" s="89" t="str">
        <f t="shared" ca="1" si="22"/>
        <v/>
      </c>
      <c r="V82" s="90">
        <f>IFERROR(VLOOKUP($C82,Code!$H:$Q,6,FALSE),"")</f>
        <v>300.02</v>
      </c>
      <c r="W82" s="91" t="str">
        <f t="shared" ca="1" si="23"/>
        <v/>
      </c>
      <c r="X82" s="12"/>
      <c r="Y82" s="12"/>
      <c r="Z82" s="12"/>
      <c r="AA82" s="12"/>
      <c r="AB82" s="12"/>
    </row>
    <row r="83" spans="1:28" s="10" customFormat="1" ht="15" hidden="1">
      <c r="A83" s="9"/>
      <c r="B83" s="144" t="s">
        <v>880</v>
      </c>
      <c r="C83" s="142" t="s">
        <v>142</v>
      </c>
      <c r="D83" s="82" t="str">
        <f>IFERROR(VLOOKUP($C83,Code!$H:$K,2,FALSE),"")</f>
        <v>XLK</v>
      </c>
      <c r="E83" s="83" t="str">
        <f>IFERROR(VLOOKUP($C83,Code!$H:$K,3,FALSE),"")</f>
        <v>半導體設備與材料</v>
      </c>
      <c r="F83" s="84" t="str">
        <f>IFERROR(VLOOKUP($C83,Code!$H:$K,4,FALSE),"")</f>
        <v>.SPX</v>
      </c>
      <c r="G83" s="128">
        <f>_xlfn.IFNA(((VLOOKUP($C83,Code!$H:$Q,9,FALSE))+(VLOOKUP($C83,Code!$H:$Q,10,FALSE)))/2*0.5/(((VLOOKUP($C83,Code!$H:$Q,7,FALSE))+(VLOOKUP($C83,Code!$H:$Q,8,FALSE)))/2),0)</f>
        <v>0.52666129218012203</v>
      </c>
      <c r="H83" s="87" t="str">
        <f t="shared" si="16"/>
        <v>M</v>
      </c>
      <c r="I83" s="128">
        <f>_xlfn.IFNA((VLOOKUP($C83,Code!$H:$Q,5,FALSE))/(((VLOOKUP($C83,Code!$H:$Q,7,FALSE))+(VLOOKUP($C83,Code!$H:$Q,8,FALSE)))/2)-G83,0)</f>
        <v>0.28918576528849482</v>
      </c>
      <c r="J83" s="55" t="str">
        <f>IFERROR(POWER((VLOOKUP(C83,Code!H:W,12,FALSE))/(VLOOKUP(C83,Code!H:W,15,FALSE)),1/(P83-1))-1,"")</f>
        <v/>
      </c>
      <c r="K83" s="55" t="str">
        <f>IFERROR(POWER((VLOOKUP(C83,Code!H:W,13,FALSE))/(VLOOKUP(C83,Code!H:W,16,FALSE)),1/(P83-1))-1,"")</f>
        <v/>
      </c>
      <c r="L83" s="75" t="str">
        <f>IFERROR(VLOOKUP(C83,Code!H:W,13,FALSE)*4/VLOOKUP(C83,Code!H:W,12,FALSE),"")</f>
        <v/>
      </c>
      <c r="M83" s="55" t="str">
        <f t="shared" si="17"/>
        <v/>
      </c>
      <c r="N83" s="55" t="str">
        <f t="shared" si="18"/>
        <v/>
      </c>
      <c r="O83" s="55" t="str">
        <f t="shared" si="19"/>
        <v/>
      </c>
      <c r="P83" s="70">
        <f>IFERROR(YEARFRAC(VLOOKUP(C83,Code!H:W,11,FALSE),VLOOKUP(C83,Code!H:W,14,FALSE),3),"")</f>
        <v>0</v>
      </c>
      <c r="Q83" s="2"/>
      <c r="R83" s="85" t="str">
        <f t="shared" ca="1" si="20"/>
        <v/>
      </c>
      <c r="S83" s="86">
        <f>IFERROR(VLOOKUP($C83,Code!$H:$Q,5,FALSE),"")</f>
        <v>0.35420000000000001</v>
      </c>
      <c r="T83" s="88" t="str">
        <f t="shared" ca="1" si="21"/>
        <v/>
      </c>
      <c r="U83" s="89" t="str">
        <f t="shared" ca="1" si="22"/>
        <v/>
      </c>
      <c r="V83" s="90">
        <f>IFERROR(VLOOKUP($C83,Code!$H:$Q,6,FALSE),"")</f>
        <v>183.62</v>
      </c>
      <c r="W83" s="91" t="str">
        <f t="shared" ca="1" si="23"/>
        <v/>
      </c>
      <c r="X83" s="12"/>
      <c r="Y83" s="12"/>
      <c r="Z83" s="12"/>
      <c r="AA83" s="12"/>
      <c r="AB83" s="12"/>
    </row>
    <row r="84" spans="1:28" s="10" customFormat="1" ht="15" hidden="1">
      <c r="A84" s="9"/>
      <c r="B84" s="137">
        <v>1</v>
      </c>
      <c r="C84" s="142" t="s">
        <v>1549</v>
      </c>
      <c r="D84" s="82" t="str">
        <f>IFERROR(VLOOKUP($C84,Code!$H:$K,2,FALSE),"")</f>
        <v/>
      </c>
      <c r="E84" s="83" t="str">
        <f>IFERROR(VLOOKUP($C84,Code!$H:$K,3,FALSE),"")</f>
        <v/>
      </c>
      <c r="F84" s="84" t="str">
        <f>IFERROR(VLOOKUP($C84,Code!$H:$K,4,FALSE),"")</f>
        <v>乘風破浪</v>
      </c>
      <c r="G84" s="128">
        <f>_xlfn.IFNA(((VLOOKUP($C84,Code!$H:$Q,9,FALSE))+(VLOOKUP($C84,Code!$H:$Q,10,FALSE)))/2*0.5/(((VLOOKUP($C84,Code!$H:$Q,7,FALSE))+(VLOOKUP($C84,Code!$H:$Q,8,FALSE)))/2),0)</f>
        <v>0.44723053892215575</v>
      </c>
      <c r="H84" s="87" t="str">
        <f t="shared" si="16"/>
        <v>S</v>
      </c>
      <c r="I84" s="128">
        <f>_xlfn.IFNA((VLOOKUP($C84,Code!$H:$Q,5,FALSE))/(((VLOOKUP($C84,Code!$H:$Q,7,FALSE))+(VLOOKUP($C84,Code!$H:$Q,8,FALSE)))/2)-G84,0)</f>
        <v>0.26908682634730535</v>
      </c>
      <c r="J84" s="55">
        <f>IFERROR(POWER((VLOOKUP(C84,Code!H:W,12,FALSE))/(VLOOKUP(C84,Code!H:W,15,FALSE)),1/(P84-1))-1,"")</f>
        <v>0.72161946620629625</v>
      </c>
      <c r="K84" s="55">
        <f>IFERROR(POWER((VLOOKUP(C84,Code!H:W,13,FALSE))/(VLOOKUP(C84,Code!H:W,16,FALSE)),1/(P84-1))-1,"")</f>
        <v>0.12927415429977573</v>
      </c>
      <c r="L84" s="75">
        <f>IFERROR(VLOOKUP(C84,Code!H:W,13,FALSE)*4/VLOOKUP(C84,Code!H:W,12,FALSE),"")</f>
        <v>1.1527589023166092E-2</v>
      </c>
      <c r="M84" s="55">
        <f t="shared" si="17"/>
        <v>0.85089362050607198</v>
      </c>
      <c r="N84" s="55" t="str">
        <f t="shared" si="18"/>
        <v>-</v>
      </c>
      <c r="O84" s="55" t="str">
        <f t="shared" si="19"/>
        <v>-</v>
      </c>
      <c r="P84" s="196">
        <f>IFERROR(YEARFRAC(VLOOKUP(C84,Code!H:W,11,FALSE),VLOOKUP(C84,Code!H:W,14,FALSE),3),"")</f>
        <v>4.0164383561643833</v>
      </c>
      <c r="Q84" s="2"/>
      <c r="R84" s="85" t="str">
        <f t="shared" ca="1" si="20"/>
        <v/>
      </c>
      <c r="S84" s="86">
        <f>IFERROR(VLOOKUP($C84,Code!$H:$Q,5,FALSE),"")</f>
        <v>0.28710000000000002</v>
      </c>
      <c r="T84" s="88" t="str">
        <f t="shared" ca="1" si="21"/>
        <v/>
      </c>
      <c r="U84" s="89" t="str">
        <f t="shared" ca="1" si="22"/>
        <v/>
      </c>
      <c r="V84" s="90">
        <f>IFERROR(VLOOKUP($C84,Code!$H:$Q,6,FALSE),"")</f>
        <v>773.06</v>
      </c>
      <c r="W84" s="91" t="str">
        <f t="shared" ca="1" si="23"/>
        <v/>
      </c>
      <c r="X84" s="12"/>
      <c r="Y84" s="12"/>
      <c r="Z84" s="12"/>
      <c r="AA84" s="12"/>
      <c r="AB84" s="12"/>
    </row>
    <row r="85" spans="1:28" s="10" customFormat="1" ht="15" hidden="1">
      <c r="A85" s="9"/>
      <c r="B85" s="137">
        <v>1</v>
      </c>
      <c r="C85" s="142" t="s">
        <v>1106</v>
      </c>
      <c r="D85" s="82" t="str">
        <f>IFERROR(VLOOKUP($C85,Code!$H:$K,2,FALSE),"")</f>
        <v>XLK</v>
      </c>
      <c r="E85" s="83" t="str">
        <f>IFERROR(VLOOKUP($C85,Code!$H:$K,3,FALSE),"")</f>
        <v>半導體</v>
      </c>
      <c r="F85" s="84" t="str">
        <f>IFERROR(VLOOKUP($C85,Code!$H:$K,4,FALSE),"")</f>
        <v>.SPX</v>
      </c>
      <c r="G85" s="128">
        <f>_xlfn.IFNA(((VLOOKUP($C85,Code!$H:$Q,9,FALSE))+(VLOOKUP($C85,Code!$H:$Q,10,FALSE)))/2*0.5/(((VLOOKUP($C85,Code!$H:$Q,7,FALSE))+(VLOOKUP($C85,Code!$H:$Q,8,FALSE)))/2),0)</f>
        <v>0.53462624461286967</v>
      </c>
      <c r="H85" s="87" t="str">
        <f t="shared" si="16"/>
        <v>M</v>
      </c>
      <c r="I85" s="128">
        <f>_xlfn.IFNA((VLOOKUP($C85,Code!$H:$Q,5,FALSE))/(((VLOOKUP($C85,Code!$H:$Q,7,FALSE))+(VLOOKUP($C85,Code!$H:$Q,8,FALSE)))/2)-G85,0)</f>
        <v>0.23547332441670377</v>
      </c>
      <c r="J85" s="55">
        <f>IFERROR(POWER((VLOOKUP(C85,Code!H:W,12,FALSE))/(VLOOKUP(C85,Code!H:W,15,FALSE)),1/(P85-1))-1,"")</f>
        <v>0.36003869640310748</v>
      </c>
      <c r="K85" s="55">
        <f>IFERROR(POWER((VLOOKUP(C85,Code!H:W,13,FALSE))/(VLOOKUP(C85,Code!H:W,16,FALSE)),1/(P85-1))-1,"")</f>
        <v>0.67996352862108123</v>
      </c>
      <c r="L85" s="75">
        <f>IFERROR(VLOOKUP(C85,Code!H:W,13,FALSE)*4/VLOOKUP(C85,Code!H:W,12,FALSE),"")</f>
        <v>3.0993737659563602E-2</v>
      </c>
      <c r="M85" s="55">
        <f t="shared" si="17"/>
        <v>1.0400022250241887</v>
      </c>
      <c r="N85" s="55" t="str">
        <f t="shared" si="18"/>
        <v>Venture</v>
      </c>
      <c r="O85" s="55" t="str">
        <f t="shared" si="19"/>
        <v>-</v>
      </c>
      <c r="P85" s="196">
        <f>IFERROR(YEARFRAC(VLOOKUP(C85,Code!H:W,11,FALSE),VLOOKUP(C85,Code!H:W,14,FALSE),3),"")</f>
        <v>4.7671232876712333</v>
      </c>
      <c r="Q85" s="2"/>
      <c r="R85" s="85" t="str">
        <f t="shared" ca="1" si="20"/>
        <v/>
      </c>
      <c r="S85" s="86">
        <f>IFERROR(VLOOKUP($C85,Code!$H:$Q,5,FALSE),"")</f>
        <v>0.2591</v>
      </c>
      <c r="T85" s="88" t="str">
        <f t="shared" ca="1" si="21"/>
        <v/>
      </c>
      <c r="U85" s="89" t="str">
        <f t="shared" ca="1" si="22"/>
        <v/>
      </c>
      <c r="V85" s="90">
        <f>IFERROR(VLOOKUP($C85,Code!$H:$Q,6,FALSE),"")</f>
        <v>487.67</v>
      </c>
      <c r="W85" s="91" t="str">
        <f t="shared" ca="1" si="23"/>
        <v/>
      </c>
      <c r="X85" s="12"/>
      <c r="Y85" s="12"/>
      <c r="Z85" s="12"/>
      <c r="AA85" s="12"/>
      <c r="AB85" s="12"/>
    </row>
    <row r="86" spans="1:28" s="10" customFormat="1" ht="15" hidden="1">
      <c r="A86" s="9"/>
      <c r="B86" s="137" t="s">
        <v>878</v>
      </c>
      <c r="C86" s="142" t="s">
        <v>51</v>
      </c>
      <c r="D86" s="82" t="str">
        <f>IFERROR(VLOOKUP($C86,Code!$H:$K,2,FALSE),"")</f>
        <v>XLV</v>
      </c>
      <c r="E86" s="83" t="str">
        <f>IFERROR(VLOOKUP($C86,Code!$H:$K,3,FALSE),"")</f>
        <v>診斷與研究</v>
      </c>
      <c r="F86" s="84" t="str">
        <f>IFERROR(VLOOKUP($C86,Code!$H:$K,4,FALSE),"")</f>
        <v>.SPX</v>
      </c>
      <c r="G86" s="128">
        <f>_xlfn.IFNA(((VLOOKUP($C86,Code!$H:$Q,9,FALSE))+(VLOOKUP($C86,Code!$H:$Q,10,FALSE)))/2*0.5/(((VLOOKUP($C86,Code!$H:$Q,7,FALSE))+(VLOOKUP($C86,Code!$H:$Q,8,FALSE)))/2),0)</f>
        <v>0.59502446982055468</v>
      </c>
      <c r="H86" s="87" t="str">
        <f t="shared" si="16"/>
        <v>M</v>
      </c>
      <c r="I86" s="128">
        <f>_xlfn.IFNA((VLOOKUP($C86,Code!$H:$Q,5,FALSE))/(((VLOOKUP($C86,Code!$H:$Q,7,FALSE))+(VLOOKUP($C86,Code!$H:$Q,8,FALSE)))/2)-G86,0)</f>
        <v>0.28181076672104399</v>
      </c>
      <c r="J86" s="55">
        <f>IFERROR(POWER((VLOOKUP(C86,Code!H:W,12,FALSE))/(VLOOKUP(C86,Code!H:W,15,FALSE)),1/(P86-1))-1,"")</f>
        <v>0.40130091624242237</v>
      </c>
      <c r="K86" s="55">
        <f>IFERROR(POWER((VLOOKUP(C86,Code!H:W,13,FALSE))/(VLOOKUP(C86,Code!H:W,16,FALSE)),1/(P86-1))-1,"")</f>
        <v>0.14880822656176274</v>
      </c>
      <c r="L86" s="75">
        <f>IFERROR(VLOOKUP(C86,Code!H:W,13,FALSE)*4/VLOOKUP(C86,Code!H:W,12,FALSE),"")</f>
        <v>3.1419486845822671E-3</v>
      </c>
      <c r="M86" s="55">
        <f t="shared" si="17"/>
        <v>0.5501091428041851</v>
      </c>
      <c r="N86" s="55" t="str">
        <f t="shared" si="18"/>
        <v>-</v>
      </c>
      <c r="O86" s="55" t="str">
        <f t="shared" si="19"/>
        <v>Value</v>
      </c>
      <c r="P86" s="196">
        <f>IFERROR(YEARFRAC(VLOOKUP(C86,Code!H:W,11,FALSE),VLOOKUP(C86,Code!H:W,14,FALSE),3),"")</f>
        <v>4.7397260273972606</v>
      </c>
      <c r="Q86" s="2"/>
      <c r="R86" s="85" t="str">
        <f t="shared" ca="1" si="20"/>
        <v/>
      </c>
      <c r="S86" s="86">
        <f>IFERROR(VLOOKUP($C86,Code!$H:$Q,5,FALSE),"")</f>
        <v>0.215</v>
      </c>
      <c r="T86" s="88" t="str">
        <f t="shared" ca="1" si="21"/>
        <v/>
      </c>
      <c r="U86" s="89" t="str">
        <f t="shared" ca="1" si="22"/>
        <v/>
      </c>
      <c r="V86" s="90">
        <f>IFERROR(VLOOKUP($C86,Code!$H:$Q,6,FALSE),"")</f>
        <v>307.14</v>
      </c>
      <c r="W86" s="91" t="str">
        <f t="shared" ca="1" si="23"/>
        <v/>
      </c>
      <c r="X86" s="12"/>
      <c r="Y86" s="12"/>
      <c r="Z86" s="12"/>
      <c r="AA86" s="12"/>
      <c r="AB86" s="12"/>
    </row>
    <row r="87" spans="1:28" s="10" customFormat="1" ht="15" hidden="1">
      <c r="A87" s="9"/>
      <c r="B87" s="137" t="s">
        <v>832</v>
      </c>
      <c r="C87" s="142" t="s">
        <v>255</v>
      </c>
      <c r="D87" s="82" t="str">
        <f>IFERROR(VLOOKUP($C87,Code!$H:$K,2,FALSE),"")</f>
        <v>XLC</v>
      </c>
      <c r="E87" s="83" t="str">
        <f>IFERROR(VLOOKUP($C87,Code!$H:$K,3,FALSE),"")</f>
        <v>娛樂</v>
      </c>
      <c r="F87" s="84" t="str">
        <f>IFERROR(VLOOKUP($C87,Code!$H:$K,4,FALSE),"")</f>
        <v>.SPX</v>
      </c>
      <c r="G87" s="128">
        <f>_xlfn.IFNA(((VLOOKUP($C87,Code!$H:$Q,9,FALSE))+(VLOOKUP($C87,Code!$H:$Q,10,FALSE)))/2*0.5/(((VLOOKUP($C87,Code!$H:$Q,7,FALSE))+(VLOOKUP($C87,Code!$H:$Q,8,FALSE)))/2),0)</f>
        <v>0.56365571371557799</v>
      </c>
      <c r="H87" s="87" t="str">
        <f t="shared" si="16"/>
        <v>M</v>
      </c>
      <c r="I87" s="128">
        <f>_xlfn.IFNA((VLOOKUP($C87,Code!$H:$Q,5,FALSE))/(((VLOOKUP($C87,Code!$H:$Q,7,FALSE))+(VLOOKUP($C87,Code!$H:$Q,8,FALSE)))/2)-G87,0)</f>
        <v>2.7803645071172056E-2</v>
      </c>
      <c r="J87" s="55" t="str">
        <f>IFERROR(POWER((VLOOKUP(C87,Code!H:W,12,FALSE))/(VLOOKUP(C87,Code!H:W,15,FALSE)),1/(P87-1))-1,"")</f>
        <v/>
      </c>
      <c r="K87" s="55" t="str">
        <f>IFERROR(POWER((VLOOKUP(C87,Code!H:W,13,FALSE))/(VLOOKUP(C87,Code!H:W,16,FALSE)),1/(P87-1))-1,"")</f>
        <v/>
      </c>
      <c r="L87" s="75" t="str">
        <f>IFERROR(VLOOKUP(C87,Code!H:W,13,FALSE)*4/VLOOKUP(C87,Code!H:W,12,FALSE),"")</f>
        <v/>
      </c>
      <c r="M87" s="55" t="str">
        <f t="shared" si="17"/>
        <v/>
      </c>
      <c r="N87" s="55" t="str">
        <f t="shared" si="18"/>
        <v/>
      </c>
      <c r="O87" s="55" t="str">
        <f t="shared" si="19"/>
        <v/>
      </c>
      <c r="P87" s="70">
        <f>IFERROR(YEARFRAC(VLOOKUP(C87,Code!H:W,11,FALSE),VLOOKUP(C87,Code!H:W,14,FALSE),3),"")</f>
        <v>0</v>
      </c>
      <c r="Q87" s="2"/>
      <c r="R87" s="85" t="str">
        <f t="shared" ca="1" si="20"/>
        <v/>
      </c>
      <c r="S87" s="86">
        <f>IFERROR(VLOOKUP($C87,Code!$H:$Q,5,FALSE),"")</f>
        <v>0.2223</v>
      </c>
      <c r="T87" s="88" t="str">
        <f t="shared" ca="1" si="21"/>
        <v/>
      </c>
      <c r="U87" s="89" t="str">
        <f t="shared" ca="1" si="22"/>
        <v/>
      </c>
      <c r="V87" s="90">
        <f>IFERROR(VLOOKUP($C87,Code!$H:$Q,6,FALSE),"")</f>
        <v>524.89</v>
      </c>
      <c r="W87" s="91" t="str">
        <f t="shared" ca="1" si="23"/>
        <v/>
      </c>
      <c r="X87" s="12"/>
      <c r="Y87" s="12"/>
      <c r="Z87" s="12"/>
      <c r="AA87" s="12"/>
      <c r="AB87" s="12"/>
    </row>
    <row r="88" spans="1:28" s="10" customFormat="1" ht="15" hidden="1">
      <c r="A88" s="9"/>
      <c r="B88" s="137" t="s">
        <v>878</v>
      </c>
      <c r="C88" s="142" t="s">
        <v>99</v>
      </c>
      <c r="D88" s="82" t="str">
        <f>IFERROR(VLOOKUP($C88,Code!$H:$K,2,FALSE),"")</f>
        <v>XLK</v>
      </c>
      <c r="E88" s="83" t="str">
        <f>IFERROR(VLOOKUP($C88,Code!$H:$K,3,FALSE),"")</f>
        <v>軟件基礎設施</v>
      </c>
      <c r="F88" s="84" t="str">
        <f>IFERROR(VLOOKUP($C88,Code!$H:$K,4,FALSE),"")</f>
        <v>.SPX</v>
      </c>
      <c r="G88" s="128">
        <f>_xlfn.IFNA(((VLOOKUP($C88,Code!$H:$Q,9,FALSE))+(VLOOKUP($C88,Code!$H:$Q,10,FALSE)))/2*0.5/(((VLOOKUP($C88,Code!$H:$Q,7,FALSE))+(VLOOKUP($C88,Code!$H:$Q,8,FALSE)))/2),0)</f>
        <v>0.60941043083900226</v>
      </c>
      <c r="H88" s="87" t="str">
        <f t="shared" si="16"/>
        <v>L</v>
      </c>
      <c r="I88" s="128">
        <f>_xlfn.IFNA((VLOOKUP($C88,Code!$H:$Q,5,FALSE))/(((VLOOKUP($C88,Code!$H:$Q,7,FALSE))+(VLOOKUP($C88,Code!$H:$Q,8,FALSE)))/2)-G88,0)</f>
        <v>3.0801209372637972E-2</v>
      </c>
      <c r="J88" s="55">
        <f>IFERROR(POWER((VLOOKUP(C88,Code!H:W,12,FALSE))/(VLOOKUP(C88,Code!H:W,15,FALSE)),1/(P88-1))-1,"")</f>
        <v>0.49781144142454181</v>
      </c>
      <c r="K88" s="55">
        <f>IFERROR(POWER((VLOOKUP(C88,Code!H:W,13,FALSE))/(VLOOKUP(C88,Code!H:W,16,FALSE)),1/(P88-1))-1,"")</f>
        <v>0.12472995834007916</v>
      </c>
      <c r="L88" s="75">
        <f>IFERROR(VLOOKUP(C88,Code!H:W,13,FALSE)*4/VLOOKUP(C88,Code!H:W,12,FALSE),"")</f>
        <v>9.2135572761931454E-3</v>
      </c>
      <c r="M88" s="55">
        <f t="shared" si="17"/>
        <v>0.62254139976462097</v>
      </c>
      <c r="N88" s="55" t="str">
        <f t="shared" si="18"/>
        <v>-</v>
      </c>
      <c r="O88" s="55" t="str">
        <f t="shared" si="19"/>
        <v>-</v>
      </c>
      <c r="P88" s="196">
        <f>IFERROR(YEARFRAC(VLOOKUP(C88,Code!H:W,11,FALSE),VLOOKUP(C88,Code!H:W,14,FALSE),3),"")</f>
        <v>4.7589041095890412</v>
      </c>
      <c r="Q88" s="2"/>
      <c r="R88" s="85" t="str">
        <f t="shared" ca="1" si="20"/>
        <v/>
      </c>
      <c r="S88" s="86">
        <f>IFERROR(VLOOKUP($C88,Code!$H:$Q,5,FALSE),"")</f>
        <v>0.1694</v>
      </c>
      <c r="T88" s="88" t="str">
        <f t="shared" ca="1" si="21"/>
        <v/>
      </c>
      <c r="U88" s="89" t="str">
        <f t="shared" ca="1" si="22"/>
        <v/>
      </c>
      <c r="V88" s="90">
        <f>IFERROR(VLOOKUP($C88,Code!$H:$Q,6,FALSE),"")</f>
        <v>289.52</v>
      </c>
      <c r="W88" s="91" t="str">
        <f t="shared" ca="1" si="23"/>
        <v/>
      </c>
      <c r="X88" s="12"/>
      <c r="Y88" s="12"/>
      <c r="Z88" s="12"/>
      <c r="AA88" s="12"/>
      <c r="AB88" s="12"/>
    </row>
    <row r="89" spans="1:28" s="10" customFormat="1" ht="15" hidden="1">
      <c r="A89" s="9"/>
      <c r="B89" s="137" t="s">
        <v>878</v>
      </c>
      <c r="C89" s="142" t="s">
        <v>150</v>
      </c>
      <c r="D89" s="82" t="str">
        <f>IFERROR(VLOOKUP($C89,Code!$H:$K,2,FALSE),"")</f>
        <v>XLI</v>
      </c>
      <c r="E89" s="83" t="str">
        <f>IFERROR(VLOOKUP($C89,Code!$H:$K,3,FALSE),"")</f>
        <v>專業商業服務</v>
      </c>
      <c r="F89" s="84" t="str">
        <f>IFERROR(VLOOKUP($C89,Code!$H:$K,4,FALSE),"")</f>
        <v>.SPX</v>
      </c>
      <c r="G89" s="128">
        <f>_xlfn.IFNA(((VLOOKUP($C89,Code!$H:$Q,9,FALSE))+(VLOOKUP($C89,Code!$H:$Q,10,FALSE)))/2*0.5/(((VLOOKUP($C89,Code!$H:$Q,7,FALSE))+(VLOOKUP($C89,Code!$H:$Q,8,FALSE)))/2),0)</f>
        <v>0.61913904607922388</v>
      </c>
      <c r="H89" s="87" t="str">
        <f t="shared" si="16"/>
        <v>L</v>
      </c>
      <c r="I89" s="128">
        <f>_xlfn.IFNA((VLOOKUP($C89,Code!$H:$Q,5,FALSE))/(((VLOOKUP($C89,Code!$H:$Q,7,FALSE))+(VLOOKUP($C89,Code!$H:$Q,8,FALSE)))/2)-G89,0)</f>
        <v>0.21958367016976554</v>
      </c>
      <c r="J89" s="55">
        <f>IFERROR(POWER((VLOOKUP(C89,Code!H:W,12,FALSE))/(VLOOKUP(C89,Code!H:W,15,FALSE)),1/(P89-1))-1,"")</f>
        <v>0.43857007369306089</v>
      </c>
      <c r="K89" s="55">
        <f>IFERROR(POWER((VLOOKUP(C89,Code!H:W,13,FALSE))/(VLOOKUP(C89,Code!H:W,16,FALSE)),1/(P89-1))-1,"")</f>
        <v>-0.14984812757668498</v>
      </c>
      <c r="L89" s="75">
        <f>IFERROR(VLOOKUP(C89,Code!H:W,13,FALSE)*4/VLOOKUP(C89,Code!H:W,12,FALSE),"")</f>
        <v>8.4935309662143195E-3</v>
      </c>
      <c r="M89" s="55">
        <f t="shared" si="17"/>
        <v>0.28872194611637592</v>
      </c>
      <c r="N89" s="55" t="str">
        <f t="shared" si="18"/>
        <v>-</v>
      </c>
      <c r="O89" s="55" t="str">
        <f t="shared" si="19"/>
        <v>-</v>
      </c>
      <c r="P89" s="196">
        <f>IFERROR(YEARFRAC(VLOOKUP(C89,Code!H:W,11,FALSE),VLOOKUP(C89,Code!H:W,14,FALSE),3),"")</f>
        <v>4.5287671232876709</v>
      </c>
      <c r="Q89" s="2"/>
      <c r="R89" s="85" t="str">
        <f t="shared" ca="1" si="20"/>
        <v/>
      </c>
      <c r="S89" s="86">
        <f>IFERROR(VLOOKUP($C89,Code!$H:$Q,5,FALSE),"")</f>
        <v>0.20749999999999999</v>
      </c>
      <c r="T89" s="88" t="str">
        <f t="shared" ca="1" si="21"/>
        <v/>
      </c>
      <c r="U89" s="89" t="str">
        <f t="shared" ca="1" si="22"/>
        <v/>
      </c>
      <c r="V89" s="90">
        <f>IFERROR(VLOOKUP($C89,Code!$H:$Q,6,FALSE),"")</f>
        <v>391.65</v>
      </c>
      <c r="W89" s="91" t="str">
        <f t="shared" ca="1" si="23"/>
        <v/>
      </c>
      <c r="X89" s="12"/>
      <c r="Y89" s="12"/>
      <c r="Z89" s="12"/>
      <c r="AA89" s="12"/>
      <c r="AB89" s="12"/>
    </row>
    <row r="90" spans="1:28" s="10" customFormat="1" ht="15" hidden="1">
      <c r="A90" s="9"/>
      <c r="B90" s="137">
        <v>3</v>
      </c>
      <c r="C90" s="142" t="s">
        <v>642</v>
      </c>
      <c r="D90" s="82" t="str">
        <f>IFERROR(VLOOKUP($C90,Code!$H:$K,2,FALSE),"")</f>
        <v/>
      </c>
      <c r="E90" s="83" t="str">
        <f>IFERROR(VLOOKUP($C90,Code!$H:$K,3,FALSE),"")</f>
        <v/>
      </c>
      <c r="F90" s="84" t="str">
        <f>IFERROR(VLOOKUP($C90,Code!$H:$K,4,FALSE),"")</f>
        <v>Jason</v>
      </c>
      <c r="G90" s="128">
        <f>_xlfn.IFNA(((VLOOKUP($C90,Code!$H:$Q,9,FALSE))+(VLOOKUP($C90,Code!$H:$Q,10,FALSE)))/2*0.5/(((VLOOKUP($C90,Code!$H:$Q,7,FALSE))+(VLOOKUP($C90,Code!$H:$Q,8,FALSE)))/2),0)</f>
        <v>0.59854446983159859</v>
      </c>
      <c r="H90" s="87" t="str">
        <f t="shared" si="16"/>
        <v>M</v>
      </c>
      <c r="I90" s="128">
        <f>_xlfn.IFNA((VLOOKUP($C90,Code!$H:$Q,5,FALSE))/(((VLOOKUP($C90,Code!$H:$Q,7,FALSE))+(VLOOKUP($C90,Code!$H:$Q,8,FALSE)))/2)-G90,0)</f>
        <v>0.44825251755944839</v>
      </c>
      <c r="J90" s="55" t="str">
        <f>IFERROR(POWER((VLOOKUP(C90,Code!H:W,12,FALSE))/(VLOOKUP(C90,Code!H:W,15,FALSE)),1/(P90-1))-1,"")</f>
        <v/>
      </c>
      <c r="K90" s="55" t="str">
        <f>IFERROR(POWER((VLOOKUP(C90,Code!H:W,13,FALSE))/(VLOOKUP(C90,Code!H:W,16,FALSE)),1/(P90-1))-1,"")</f>
        <v/>
      </c>
      <c r="L90" s="75" t="str">
        <f>IFERROR(VLOOKUP(C90,Code!H:W,13,FALSE)*4/VLOOKUP(C90,Code!H:W,12,FALSE),"")</f>
        <v/>
      </c>
      <c r="M90" s="55" t="str">
        <f t="shared" si="17"/>
        <v/>
      </c>
      <c r="N90" s="55" t="str">
        <f t="shared" si="18"/>
        <v/>
      </c>
      <c r="O90" s="55" t="str">
        <f t="shared" si="19"/>
        <v/>
      </c>
      <c r="P90" s="70">
        <f>IFERROR(YEARFRAC(VLOOKUP(C90,Code!H:W,11,FALSE),VLOOKUP(C90,Code!H:W,14,FALSE),3),"")</f>
        <v>0</v>
      </c>
      <c r="Q90" s="2"/>
      <c r="R90" s="85" t="str">
        <f t="shared" ca="1" si="20"/>
        <v/>
      </c>
      <c r="S90" s="86">
        <f>IFERROR(VLOOKUP($C90,Code!$H:$Q,5,FALSE),"")</f>
        <v>0.61850000000000005</v>
      </c>
      <c r="T90" s="88" t="str">
        <f t="shared" ca="1" si="21"/>
        <v/>
      </c>
      <c r="U90" s="89" t="str">
        <f t="shared" ca="1" si="22"/>
        <v/>
      </c>
      <c r="V90" s="90">
        <f>IFERROR(VLOOKUP($C90,Code!$H:$Q,6,FALSE),"")</f>
        <v>125.02</v>
      </c>
      <c r="W90" s="91" t="str">
        <f t="shared" ca="1" si="23"/>
        <v/>
      </c>
      <c r="X90" s="12"/>
      <c r="Y90" s="12"/>
      <c r="Z90" s="12"/>
      <c r="AA90" s="12"/>
      <c r="AB90" s="12"/>
    </row>
    <row r="91" spans="1:28" s="10" customFormat="1" ht="15" hidden="1">
      <c r="A91" s="9"/>
      <c r="B91" s="137">
        <v>3</v>
      </c>
      <c r="C91" s="142" t="s">
        <v>483</v>
      </c>
      <c r="D91" s="82" t="str">
        <f>IFERROR(VLOOKUP($C91,Code!$H:$K,2,FALSE),"")</f>
        <v>XLY</v>
      </c>
      <c r="E91" s="83" t="str">
        <f>IFERROR(VLOOKUP($C91,Code!$H:$K,3,FALSE),"")</f>
        <v>旅行服務</v>
      </c>
      <c r="F91" s="84" t="str">
        <f>IFERROR(VLOOKUP($C91,Code!$H:$K,4,FALSE),"")</f>
        <v>.SPX</v>
      </c>
      <c r="G91" s="128">
        <f>_xlfn.IFNA(((VLOOKUP($C91,Code!$H:$Q,9,FALSE))+(VLOOKUP($C91,Code!$H:$Q,10,FALSE)))/2*0.5/(((VLOOKUP($C91,Code!$H:$Q,7,FALSE))+(VLOOKUP($C91,Code!$H:$Q,8,FALSE)))/2),0)</f>
        <v>0.44046724108020585</v>
      </c>
      <c r="H91" s="87" t="str">
        <f t="shared" si="16"/>
        <v>S</v>
      </c>
      <c r="I91" s="128">
        <f>_xlfn.IFNA((VLOOKUP($C91,Code!$H:$Q,5,FALSE))/(((VLOOKUP($C91,Code!$H:$Q,7,FALSE))+(VLOOKUP($C91,Code!$H:$Q,8,FALSE)))/2)-G91,0)</f>
        <v>0.19285259931764298</v>
      </c>
      <c r="J91" s="55">
        <f>IFERROR(POWER((VLOOKUP(C91,Code!H:W,12,FALSE))/(VLOOKUP(C91,Code!H:W,15,FALSE)),1/(P91-1))-1,"")</f>
        <v>3.3425505670918731E-3</v>
      </c>
      <c r="K91" s="55">
        <f>IFERROR(POWER((VLOOKUP(C91,Code!H:W,13,FALSE))/(VLOOKUP(C91,Code!H:W,16,FALSE)),1/(P91-1))-1,"")</f>
        <v>0.15380125213061424</v>
      </c>
      <c r="L91" s="75">
        <f>IFERROR(VLOOKUP(C91,Code!H:W,13,FALSE)*4/VLOOKUP(C91,Code!H:W,12,FALSE),"")</f>
        <v>4.7058823529411764E-2</v>
      </c>
      <c r="M91" s="55">
        <f t="shared" si="17"/>
        <v>0.15714380269770611</v>
      </c>
      <c r="N91" s="55" t="str">
        <f t="shared" si="18"/>
        <v>Venture</v>
      </c>
      <c r="O91" s="55" t="str">
        <f t="shared" si="19"/>
        <v>-</v>
      </c>
      <c r="P91" s="70">
        <f>IFERROR(YEARFRAC(VLOOKUP(C91,Code!H:W,11,FALSE),VLOOKUP(C91,Code!H:W,14,FALSE),3),"")</f>
        <v>3.493150684931507</v>
      </c>
      <c r="Q91" s="2"/>
      <c r="R91" s="85" t="str">
        <f t="shared" ca="1" si="20"/>
        <v/>
      </c>
      <c r="S91" s="86">
        <f>IFERROR(VLOOKUP($C91,Code!$H:$Q,5,FALSE),"")</f>
        <v>0.54759999999999998</v>
      </c>
      <c r="T91" s="88" t="str">
        <f t="shared" ca="1" si="21"/>
        <v/>
      </c>
      <c r="U91" s="89" t="str">
        <f t="shared" ca="1" si="22"/>
        <v/>
      </c>
      <c r="V91" s="90">
        <f>IFERROR(VLOOKUP($C91,Code!$H:$Q,6,FALSE),"")</f>
        <v>22.67</v>
      </c>
      <c r="W91" s="91" t="str">
        <f t="shared" ca="1" si="23"/>
        <v/>
      </c>
      <c r="X91" s="12"/>
      <c r="Y91" s="12"/>
      <c r="Z91" s="12"/>
      <c r="AA91" s="12"/>
      <c r="AB91" s="12"/>
    </row>
    <row r="92" spans="1:28" s="10" customFormat="1" ht="15" hidden="1">
      <c r="A92" s="9"/>
      <c r="B92" s="137">
        <v>1</v>
      </c>
      <c r="C92" s="142" t="s">
        <v>73</v>
      </c>
      <c r="D92" s="82" t="str">
        <f>IFERROR(VLOOKUP($C92,Code!$H:$K,2,FALSE),"")</f>
        <v>XLK</v>
      </c>
      <c r="E92" s="83" t="str">
        <f>IFERROR(VLOOKUP($C92,Code!$H:$K,3,FALSE),"")</f>
        <v>通信設備</v>
      </c>
      <c r="F92" s="84" t="str">
        <f>IFERROR(VLOOKUP($C92,Code!$H:$K,4,FALSE),"")</f>
        <v>.SPX</v>
      </c>
      <c r="G92" s="128">
        <f>_xlfn.IFNA(((VLOOKUP($C92,Code!$H:$Q,9,FALSE))+(VLOOKUP($C92,Code!$H:$Q,10,FALSE)))/2*0.5/(((VLOOKUP($C92,Code!$H:$Q,7,FALSE))+(VLOOKUP($C92,Code!$H:$Q,8,FALSE)))/2),0)</f>
        <v>0.59505886894421933</v>
      </c>
      <c r="H92" s="87" t="str">
        <f t="shared" si="16"/>
        <v>M</v>
      </c>
      <c r="I92" s="128">
        <f>_xlfn.IFNA((VLOOKUP($C92,Code!$H:$Q,5,FALSE))/(((VLOOKUP($C92,Code!$H:$Q,7,FALSE))+(VLOOKUP($C92,Code!$H:$Q,8,FALSE)))/2)-G92,0)</f>
        <v>0.36151322138583275</v>
      </c>
      <c r="J92" s="55">
        <f>IFERROR(POWER((VLOOKUP(C92,Code!H:W,12,FALSE))/(VLOOKUP(C92,Code!H:W,15,FALSE)),1/(P92-1))-1,"")</f>
        <v>0.19871866805911553</v>
      </c>
      <c r="K92" s="55">
        <f>IFERROR(POWER((VLOOKUP(C92,Code!H:W,13,FALSE))/(VLOOKUP(C92,Code!H:W,16,FALSE)),1/(P92-1))-1,"")</f>
        <v>9.8710568717524705E-2</v>
      </c>
      <c r="L92" s="75">
        <f>IFERROR(VLOOKUP(C92,Code!H:W,13,FALSE)*4/VLOOKUP(C92,Code!H:W,12,FALSE),"")</f>
        <v>2.7642883352487591E-2</v>
      </c>
      <c r="M92" s="55">
        <f t="shared" si="17"/>
        <v>0.29742923677664024</v>
      </c>
      <c r="N92" s="55" t="str">
        <f t="shared" si="18"/>
        <v>-</v>
      </c>
      <c r="O92" s="55" t="str">
        <f t="shared" si="19"/>
        <v>-</v>
      </c>
      <c r="P92" s="196">
        <f>IFERROR(YEARFRAC(VLOOKUP(C92,Code!H:W,11,FALSE),VLOOKUP(C92,Code!H:W,14,FALSE),3),"")</f>
        <v>4.7479452054794518</v>
      </c>
      <c r="Q92" s="2"/>
      <c r="R92" s="85" t="str">
        <f t="shared" ca="1" si="20"/>
        <v/>
      </c>
      <c r="S92" s="86">
        <f>IFERROR(VLOOKUP($C92,Code!$H:$Q,5,FALSE),"")</f>
        <v>0.24779999999999999</v>
      </c>
      <c r="T92" s="88" t="str">
        <f t="shared" ca="1" si="21"/>
        <v/>
      </c>
      <c r="U92" s="89" t="str">
        <f t="shared" ca="1" si="22"/>
        <v/>
      </c>
      <c r="V92" s="90">
        <f>IFERROR(VLOOKUP($C92,Code!$H:$Q,6,FALSE),"")</f>
        <v>55.57</v>
      </c>
      <c r="W92" s="91" t="str">
        <f t="shared" ca="1" si="23"/>
        <v/>
      </c>
      <c r="X92" s="12"/>
      <c r="Y92" s="12"/>
      <c r="Z92" s="12"/>
      <c r="AA92" s="12"/>
      <c r="AB92" s="12"/>
    </row>
    <row r="93" spans="1:28" s="10" customFormat="1" ht="15" hidden="1">
      <c r="A93" s="9"/>
      <c r="B93" s="137" t="s">
        <v>535</v>
      </c>
      <c r="C93" s="142" t="s">
        <v>251</v>
      </c>
      <c r="D93" s="82" t="str">
        <f>IFERROR(VLOOKUP($C93,Code!$H:$K,2,FALSE),"")</f>
        <v>XLU</v>
      </c>
      <c r="E93" s="83" t="str">
        <f>IFERROR(VLOOKUP($C93,Code!$H:$K,3,FALSE),"")</f>
        <v>公用事業—受監督的電力</v>
      </c>
      <c r="F93" s="84" t="str">
        <f>IFERROR(VLOOKUP($C93,Code!$H:$K,4,FALSE),"")</f>
        <v>.SPX</v>
      </c>
      <c r="G93" s="128">
        <f>_xlfn.IFNA(((VLOOKUP($C93,Code!$H:$Q,9,FALSE))+(VLOOKUP($C93,Code!$H:$Q,10,FALSE)))/2*0.5/(((VLOOKUP($C93,Code!$H:$Q,7,FALSE))+(VLOOKUP($C93,Code!$H:$Q,8,FALSE)))/2),0)</f>
        <v>0.59515167228415866</v>
      </c>
      <c r="H93" s="87" t="str">
        <f t="shared" si="16"/>
        <v>M</v>
      </c>
      <c r="I93" s="128">
        <f>_xlfn.IFNA((VLOOKUP($C93,Code!$H:$Q,5,FALSE))/(((VLOOKUP($C93,Code!$H:$Q,7,FALSE))+(VLOOKUP($C93,Code!$H:$Q,8,FALSE)))/2)-G93,0)</f>
        <v>0.26665802437127284</v>
      </c>
      <c r="J93" s="55">
        <f>IFERROR(POWER((VLOOKUP(C93,Code!H:W,12,FALSE))/(VLOOKUP(C93,Code!H:W,15,FALSE)),1/(P93-1))-1,"")</f>
        <v>0.11536504804603465</v>
      </c>
      <c r="K93" s="55">
        <f>IFERROR(POWER((VLOOKUP(C93,Code!H:W,13,FALSE))/(VLOOKUP(C93,Code!H:W,16,FALSE)),1/(P93-1))-1,"")</f>
        <v>3.2721260095322613E-2</v>
      </c>
      <c r="L93" s="75">
        <f>IFERROR(VLOOKUP(C93,Code!H:W,13,FALSE)*4/VLOOKUP(C93,Code!H:W,12,FALSE),"")</f>
        <v>3.7475728155339803E-2</v>
      </c>
      <c r="M93" s="55">
        <f t="shared" si="17"/>
        <v>0.14808630814135726</v>
      </c>
      <c r="N93" s="55" t="str">
        <f t="shared" si="18"/>
        <v>-</v>
      </c>
      <c r="O93" s="55" t="str">
        <f t="shared" si="19"/>
        <v>-</v>
      </c>
      <c r="P93" s="196">
        <f>IFERROR(YEARFRAC(VLOOKUP(C93,Code!H:W,11,FALSE),VLOOKUP(C93,Code!H:W,14,FALSE),3),"")</f>
        <v>4.7589041095890412</v>
      </c>
      <c r="Q93" s="2"/>
      <c r="R93" s="85" t="str">
        <f t="shared" ca="1" si="20"/>
        <v/>
      </c>
      <c r="S93" s="86">
        <f>IFERROR(VLOOKUP($C93,Code!$H:$Q,5,FALSE),"")</f>
        <v>0.16619999999999999</v>
      </c>
      <c r="T93" s="88" t="str">
        <f t="shared" ca="1" si="21"/>
        <v/>
      </c>
      <c r="U93" s="89" t="str">
        <f t="shared" ca="1" si="22"/>
        <v/>
      </c>
      <c r="V93" s="90">
        <f>IFERROR(VLOOKUP($C93,Code!$H:$Q,6,FALSE),"")</f>
        <v>107.81</v>
      </c>
      <c r="W93" s="91" t="str">
        <f t="shared" ca="1" si="23"/>
        <v/>
      </c>
      <c r="X93" s="12"/>
      <c r="Y93" s="12"/>
      <c r="Z93" s="12"/>
      <c r="AA93" s="12"/>
      <c r="AB93" s="12"/>
    </row>
    <row r="94" spans="1:28" s="10" customFormat="1" ht="15" hidden="1">
      <c r="A94" s="9"/>
      <c r="B94" s="137" t="s">
        <v>878</v>
      </c>
      <c r="C94" s="142" t="s">
        <v>752</v>
      </c>
      <c r="D94" s="82" t="str">
        <f>IFERROR(VLOOKUP($C94,Code!$H:$K,2,FALSE),"")</f>
        <v/>
      </c>
      <c r="E94" s="83" t="str">
        <f>IFERROR(VLOOKUP($C94,Code!$H:$K,3,FALSE),"")</f>
        <v/>
      </c>
      <c r="F94" s="84" t="str">
        <f>IFERROR(VLOOKUP($C94,Code!$H:$K,4,FALSE),"")</f>
        <v>JIT</v>
      </c>
      <c r="G94" s="128">
        <f>_xlfn.IFNA(((VLOOKUP($C94,Code!$H:$Q,9,FALSE))+(VLOOKUP($C94,Code!$H:$Q,10,FALSE)))/2*0.5/(((VLOOKUP($C94,Code!$H:$Q,7,FALSE))+(VLOOKUP($C94,Code!$H:$Q,8,FALSE)))/2),0)</f>
        <v>0.61467841222670361</v>
      </c>
      <c r="H94" s="87" t="str">
        <f t="shared" si="16"/>
        <v>L</v>
      </c>
      <c r="I94" s="128">
        <f>_xlfn.IFNA((VLOOKUP($C94,Code!$H:$Q,5,FALSE))/(((VLOOKUP($C94,Code!$H:$Q,7,FALSE))+(VLOOKUP($C94,Code!$H:$Q,8,FALSE)))/2)-G94,0)</f>
        <v>0.27982381659944799</v>
      </c>
      <c r="J94" s="55" t="str">
        <f>IFERROR(POWER((VLOOKUP(C94,Code!H:W,12,FALSE))/(VLOOKUP(C94,Code!H:W,15,FALSE)),1/(P94-1))-1,"")</f>
        <v/>
      </c>
      <c r="K94" s="55" t="str">
        <f>IFERROR(POWER((VLOOKUP(C94,Code!H:W,13,FALSE))/(VLOOKUP(C94,Code!H:W,16,FALSE)),1/(P94-1))-1,"")</f>
        <v/>
      </c>
      <c r="L94" s="75" t="str">
        <f>IFERROR(VLOOKUP(C94,Code!H:W,13,FALSE)*4/VLOOKUP(C94,Code!H:W,12,FALSE),"")</f>
        <v/>
      </c>
      <c r="M94" s="55" t="str">
        <f t="shared" si="17"/>
        <v/>
      </c>
      <c r="N94" s="55" t="str">
        <f t="shared" si="18"/>
        <v/>
      </c>
      <c r="O94" s="55" t="str">
        <f t="shared" si="19"/>
        <v/>
      </c>
      <c r="P94" s="70">
        <f>IFERROR(YEARFRAC(VLOOKUP(C94,Code!H:W,11,FALSE),VLOOKUP(C94,Code!H:W,14,FALSE),3),"")</f>
        <v>0</v>
      </c>
      <c r="Q94" s="2"/>
      <c r="R94" s="85" t="str">
        <f t="shared" ca="1" si="20"/>
        <v/>
      </c>
      <c r="S94" s="86">
        <f>IFERROR(VLOOKUP($C94,Code!$H:$Q,5,FALSE),"")</f>
        <v>0.4214</v>
      </c>
      <c r="T94" s="88" t="str">
        <f t="shared" ca="1" si="21"/>
        <v/>
      </c>
      <c r="U94" s="89" t="str">
        <f t="shared" ca="1" si="22"/>
        <v/>
      </c>
      <c r="V94" s="90">
        <f>IFERROR(VLOOKUP($C94,Code!$H:$Q,6,FALSE),"")</f>
        <v>137.06</v>
      </c>
      <c r="W94" s="91" t="str">
        <f t="shared" ca="1" si="23"/>
        <v/>
      </c>
      <c r="X94" s="12"/>
      <c r="Y94" s="12"/>
      <c r="Z94" s="12"/>
      <c r="AA94" s="12"/>
      <c r="AB94" s="12"/>
    </row>
    <row r="95" spans="1:28" s="10" customFormat="1" ht="15" hidden="1">
      <c r="A95" s="9"/>
      <c r="B95" s="137">
        <v>3</v>
      </c>
      <c r="C95" s="142" t="s">
        <v>645</v>
      </c>
      <c r="D95" s="82" t="str">
        <f>IFERROR(VLOOKUP($C95,Code!$H:$K,2,FALSE),"")</f>
        <v/>
      </c>
      <c r="E95" s="83" t="str">
        <f>IFERROR(VLOOKUP($C95,Code!$H:$K,3,FALSE),"")</f>
        <v/>
      </c>
      <c r="F95" s="84" t="str">
        <f>IFERROR(VLOOKUP($C95,Code!$H:$K,4,FALSE),"")</f>
        <v>Livia</v>
      </c>
      <c r="G95" s="128">
        <f>_xlfn.IFNA(((VLOOKUP($C95,Code!$H:$Q,9,FALSE))+(VLOOKUP($C95,Code!$H:$Q,10,FALSE)))/2*0.5/(((VLOOKUP($C95,Code!$H:$Q,7,FALSE))+(VLOOKUP($C95,Code!$H:$Q,8,FALSE)))/2),0)</f>
        <v>0.62173069064160191</v>
      </c>
      <c r="H95" s="87" t="str">
        <f t="shared" si="16"/>
        <v>L</v>
      </c>
      <c r="I95" s="128">
        <f>_xlfn.IFNA((VLOOKUP($C95,Code!$H:$Q,5,FALSE))/(((VLOOKUP($C95,Code!$H:$Q,7,FALSE))+(VLOOKUP($C95,Code!$H:$Q,8,FALSE)))/2)-G95,0)</f>
        <v>0.42751328156926849</v>
      </c>
      <c r="J95" s="55" t="str">
        <f>IFERROR(POWER((VLOOKUP(C95,Code!H:W,12,FALSE))/(VLOOKUP(C95,Code!H:W,15,FALSE)),1/(P95-1))-1,"")</f>
        <v/>
      </c>
      <c r="K95" s="55" t="str">
        <f>IFERROR(POWER((VLOOKUP(C95,Code!H:W,13,FALSE))/(VLOOKUP(C95,Code!H:W,16,FALSE)),1/(P95-1))-1,"")</f>
        <v/>
      </c>
      <c r="L95" s="75" t="str">
        <f>IFERROR(VLOOKUP(C95,Code!H:W,13,FALSE)*4/VLOOKUP(C95,Code!H:W,12,FALSE),"")</f>
        <v/>
      </c>
      <c r="M95" s="55" t="str">
        <f t="shared" si="17"/>
        <v/>
      </c>
      <c r="N95" s="55" t="str">
        <f t="shared" si="18"/>
        <v/>
      </c>
      <c r="O95" s="55" t="str">
        <f t="shared" si="19"/>
        <v/>
      </c>
      <c r="P95" s="70">
        <f>IFERROR(YEARFRAC(VLOOKUP(C95,Code!H:W,11,FALSE),VLOOKUP(C95,Code!H:W,14,FALSE),3),"")</f>
        <v>0</v>
      </c>
      <c r="Q95" s="2"/>
      <c r="R95" s="85" t="str">
        <f t="shared" ca="1" si="20"/>
        <v/>
      </c>
      <c r="S95" s="86">
        <f>IFERROR(VLOOKUP($C95,Code!$H:$Q,5,FALSE),"")</f>
        <v>0.51349999999999996</v>
      </c>
      <c r="T95" s="88" t="str">
        <f t="shared" ca="1" si="21"/>
        <v/>
      </c>
      <c r="U95" s="89" t="str">
        <f t="shared" ca="1" si="22"/>
        <v/>
      </c>
      <c r="V95" s="90">
        <f>IFERROR(VLOOKUP($C95,Code!$H:$Q,6,FALSE),"")</f>
        <v>112.88</v>
      </c>
      <c r="W95" s="91" t="str">
        <f t="shared" ca="1" si="23"/>
        <v/>
      </c>
      <c r="X95" s="12"/>
      <c r="Y95" s="12"/>
      <c r="Z95" s="12"/>
      <c r="AA95" s="12"/>
      <c r="AB95" s="12"/>
    </row>
    <row r="96" spans="1:28" s="10" customFormat="1" ht="15" hidden="1">
      <c r="A96" s="9"/>
      <c r="B96" s="137" t="s">
        <v>878</v>
      </c>
      <c r="C96" s="142" t="s">
        <v>829</v>
      </c>
      <c r="D96" s="82" t="str">
        <f>IFERROR(VLOOKUP($C96,Code!$H:$K,2,FALSE),"")</f>
        <v/>
      </c>
      <c r="E96" s="83" t="str">
        <f>IFERROR(VLOOKUP($C96,Code!$H:$K,3,FALSE),"")</f>
        <v/>
      </c>
      <c r="F96" s="84" t="str">
        <f>IFERROR(VLOOKUP($C96,Code!$H:$K,4,FALSE),"")</f>
        <v>JIT</v>
      </c>
      <c r="G96" s="128">
        <f>_xlfn.IFNA(((VLOOKUP($C96,Code!$H:$Q,9,FALSE))+(VLOOKUP($C96,Code!$H:$Q,10,FALSE)))/2*0.5/(((VLOOKUP($C96,Code!$H:$Q,7,FALSE))+(VLOOKUP($C96,Code!$H:$Q,8,FALSE)))/2),0)</f>
        <v>0.5834968987987752</v>
      </c>
      <c r="H96" s="87" t="str">
        <f t="shared" si="16"/>
        <v>M</v>
      </c>
      <c r="I96" s="128">
        <f>_xlfn.IFNA((VLOOKUP($C96,Code!$H:$Q,5,FALSE))/(((VLOOKUP($C96,Code!$H:$Q,7,FALSE))+(VLOOKUP($C96,Code!$H:$Q,8,FALSE)))/2)-G96,0)</f>
        <v>0.26191410850278718</v>
      </c>
      <c r="J96" s="55" t="str">
        <f>IFERROR(POWER((VLOOKUP(C96,Code!H:W,12,FALSE))/(VLOOKUP(C96,Code!H:W,15,FALSE)),1/(P96-1))-1,"")</f>
        <v/>
      </c>
      <c r="K96" s="55" t="str">
        <f>IFERROR(POWER((VLOOKUP(C96,Code!H:W,13,FALSE))/(VLOOKUP(C96,Code!H:W,16,FALSE)),1/(P96-1))-1,"")</f>
        <v/>
      </c>
      <c r="L96" s="75" t="str">
        <f>IFERROR(VLOOKUP(C96,Code!H:W,13,FALSE)*4/VLOOKUP(C96,Code!H:W,12,FALSE),"")</f>
        <v/>
      </c>
      <c r="M96" s="55" t="str">
        <f t="shared" si="17"/>
        <v/>
      </c>
      <c r="N96" s="55" t="str">
        <f t="shared" si="18"/>
        <v/>
      </c>
      <c r="O96" s="55" t="str">
        <f t="shared" si="19"/>
        <v/>
      </c>
      <c r="P96" s="70">
        <f>IFERROR(YEARFRAC(VLOOKUP(C96,Code!H:W,11,FALSE),VLOOKUP(C96,Code!H:W,14,FALSE),3),"")</f>
        <v>0</v>
      </c>
      <c r="Q96" s="2"/>
      <c r="R96" s="85" t="str">
        <f t="shared" ca="1" si="20"/>
        <v/>
      </c>
      <c r="S96" s="86">
        <f>IFERROR(VLOOKUP($C96,Code!$H:$Q,5,FALSE),"")</f>
        <v>0.53839999999999999</v>
      </c>
      <c r="T96" s="88" t="str">
        <f t="shared" ca="1" si="21"/>
        <v/>
      </c>
      <c r="U96" s="89" t="str">
        <f t="shared" ca="1" si="22"/>
        <v/>
      </c>
      <c r="V96" s="90">
        <f>IFERROR(VLOOKUP($C96,Code!$H:$Q,6,FALSE),"")</f>
        <v>45.74</v>
      </c>
      <c r="W96" s="91" t="str">
        <f t="shared" ca="1" si="23"/>
        <v/>
      </c>
      <c r="X96" s="12"/>
      <c r="Y96" s="12"/>
      <c r="Z96" s="12"/>
      <c r="AA96" s="12"/>
      <c r="AB96" s="12"/>
    </row>
    <row r="97" spans="1:28" s="10" customFormat="1" ht="15" hidden="1">
      <c r="A97" s="9"/>
      <c r="B97" s="137" t="s">
        <v>535</v>
      </c>
      <c r="C97" s="142" t="s">
        <v>202</v>
      </c>
      <c r="D97" s="82" t="str">
        <f>IFERROR(VLOOKUP($C97,Code!$H:$K,2,FALSE),"")</f>
        <v>XLC</v>
      </c>
      <c r="E97" s="83" t="str">
        <f>IFERROR(VLOOKUP($C97,Code!$H:$K,3,FALSE),"")</f>
        <v>娛樂</v>
      </c>
      <c r="F97" s="84" t="str">
        <f>IFERROR(VLOOKUP($C97,Code!$H:$K,4,FALSE),"")</f>
        <v>.SPX</v>
      </c>
      <c r="G97" s="128">
        <f>_xlfn.IFNA(((VLOOKUP($C97,Code!$H:$Q,9,FALSE))+(VLOOKUP($C97,Code!$H:$Q,10,FALSE)))/2*0.5/(((VLOOKUP($C97,Code!$H:$Q,7,FALSE))+(VLOOKUP($C97,Code!$H:$Q,8,FALSE)))/2),0)</f>
        <v>0.61253681110643665</v>
      </c>
      <c r="H97" s="87" t="str">
        <f t="shared" si="16"/>
        <v>L</v>
      </c>
      <c r="I97" s="128">
        <f>_xlfn.IFNA((VLOOKUP($C97,Code!$H:$Q,5,FALSE))/(((VLOOKUP($C97,Code!$H:$Q,7,FALSE))+(VLOOKUP($C97,Code!$H:$Q,8,FALSE)))/2)-G97,0)</f>
        <v>0.29659234328986106</v>
      </c>
      <c r="J97" s="55">
        <f>IFERROR(POWER((VLOOKUP(C97,Code!H:W,12,FALSE))/(VLOOKUP(C97,Code!H:W,15,FALSE)),1/(P97-1))-1,"")</f>
        <v>0.18824962919690735</v>
      </c>
      <c r="K97" s="55">
        <f>IFERROR(POWER((VLOOKUP(C97,Code!H:W,13,FALSE))/(VLOOKUP(C97,Code!H:W,16,FALSE)),1/(P97-1))-1,"")</f>
        <v>0.17239135701299957</v>
      </c>
      <c r="L97" s="75">
        <f>IFERROR(VLOOKUP(C97,Code!H:W,13,FALSE)*4/VLOOKUP(C97,Code!H:W,12,FALSE),"")</f>
        <v>1.7343045484674625E-2</v>
      </c>
      <c r="M97" s="55">
        <f t="shared" si="17"/>
        <v>0.36064098620990692</v>
      </c>
      <c r="N97" s="55" t="str">
        <f t="shared" si="18"/>
        <v>-</v>
      </c>
      <c r="O97" s="55" t="str">
        <f t="shared" si="19"/>
        <v>Value</v>
      </c>
      <c r="P97" s="196">
        <f>IFERROR(YEARFRAC(VLOOKUP(C97,Code!H:W,11,FALSE),VLOOKUP(C97,Code!H:W,14,FALSE),3),"")</f>
        <v>4.7589041095890412</v>
      </c>
      <c r="Q97" s="2"/>
      <c r="R97" s="85" t="str">
        <f t="shared" ca="1" si="20"/>
        <v/>
      </c>
      <c r="S97" s="86">
        <f>IFERROR(VLOOKUP($C97,Code!$H:$Q,5,FALSE),"")</f>
        <v>0.21609999999999999</v>
      </c>
      <c r="T97" s="88" t="str">
        <f t="shared" ca="1" si="21"/>
        <v/>
      </c>
      <c r="U97" s="89" t="str">
        <f t="shared" ca="1" si="22"/>
        <v/>
      </c>
      <c r="V97" s="90">
        <f>IFERROR(VLOOKUP($C97,Code!$H:$Q,6,FALSE),"")</f>
        <v>58.34</v>
      </c>
      <c r="W97" s="91" t="str">
        <f t="shared" ca="1" si="23"/>
        <v/>
      </c>
      <c r="X97" s="12"/>
      <c r="Y97" s="12"/>
      <c r="Z97" s="12"/>
      <c r="AA97" s="12"/>
      <c r="AB97" s="12"/>
    </row>
    <row r="98" spans="1:28" s="10" customFormat="1" ht="15" hidden="1">
      <c r="A98" s="9"/>
      <c r="B98" s="137">
        <v>1</v>
      </c>
      <c r="C98" s="142" t="s">
        <v>22</v>
      </c>
      <c r="D98" s="82" t="str">
        <f>IFERROR(VLOOKUP($C98,Code!$H:$K,2,FALSE),"")</f>
        <v>XLK</v>
      </c>
      <c r="E98" s="83" t="str">
        <f>IFERROR(VLOOKUP($C98,Code!$H:$K,3,FALSE),"")</f>
        <v>太陽能</v>
      </c>
      <c r="F98" s="84" t="str">
        <f>IFERROR(VLOOKUP($C98,Code!$H:$K,4,FALSE),"")</f>
        <v>.SPX</v>
      </c>
      <c r="G98" s="128">
        <f>_xlfn.IFNA(((VLOOKUP($C98,Code!$H:$Q,9,FALSE))+(VLOOKUP($C98,Code!$H:$Q,10,FALSE)))/2*0.5/(((VLOOKUP($C98,Code!$H:$Q,7,FALSE))+(VLOOKUP($C98,Code!$H:$Q,8,FALSE)))/2),0)</f>
        <v>0.54581170197839202</v>
      </c>
      <c r="H98" s="87" t="str">
        <f t="shared" si="16"/>
        <v>M</v>
      </c>
      <c r="I98" s="128">
        <f>_xlfn.IFNA((VLOOKUP($C98,Code!$H:$Q,5,FALSE))/(((VLOOKUP($C98,Code!$H:$Q,7,FALSE))+(VLOOKUP($C98,Code!$H:$Q,8,FALSE)))/2)-G98,0)</f>
        <v>0.2266030587905149</v>
      </c>
      <c r="J98" s="55" t="str">
        <f>IFERROR(POWER((VLOOKUP(C98,Code!H:W,12,FALSE))/(VLOOKUP(C98,Code!H:W,15,FALSE)),1/(P98-1))-1,"")</f>
        <v/>
      </c>
      <c r="K98" s="55" t="str">
        <f>IFERROR(POWER((VLOOKUP(C98,Code!H:W,13,FALSE))/(VLOOKUP(C98,Code!H:W,16,FALSE)),1/(P98-1))-1,"")</f>
        <v/>
      </c>
      <c r="L98" s="75" t="str">
        <f>IFERROR(VLOOKUP(C98,Code!H:W,13,FALSE)*4/VLOOKUP(C98,Code!H:W,12,FALSE),"")</f>
        <v/>
      </c>
      <c r="M98" s="55" t="str">
        <f t="shared" si="17"/>
        <v/>
      </c>
      <c r="N98" s="55" t="str">
        <f t="shared" si="18"/>
        <v/>
      </c>
      <c r="O98" s="55" t="str">
        <f t="shared" si="19"/>
        <v/>
      </c>
      <c r="P98" s="70">
        <f>IFERROR(YEARFRAC(VLOOKUP(C98,Code!H:W,11,FALSE),VLOOKUP(C98,Code!H:W,14,FALSE),3),"")</f>
        <v>0</v>
      </c>
      <c r="Q98" s="2"/>
      <c r="R98" s="85" t="str">
        <f t="shared" ca="1" si="20"/>
        <v/>
      </c>
      <c r="S98" s="86">
        <f>IFERROR(VLOOKUP($C98,Code!$H:$Q,5,FALSE),"")</f>
        <v>0.55049999999999999</v>
      </c>
      <c r="T98" s="88" t="str">
        <f t="shared" ca="1" si="21"/>
        <v/>
      </c>
      <c r="U98" s="89" t="str">
        <f t="shared" ca="1" si="22"/>
        <v/>
      </c>
      <c r="V98" s="90">
        <f>IFERROR(VLOOKUP($C98,Code!$H:$Q,6,FALSE),"")</f>
        <v>183.45</v>
      </c>
      <c r="W98" s="91" t="str">
        <f t="shared" ca="1" si="23"/>
        <v/>
      </c>
      <c r="X98" s="12"/>
      <c r="Y98" s="12"/>
      <c r="Z98" s="12"/>
      <c r="AA98" s="12"/>
      <c r="AB98" s="12"/>
    </row>
    <row r="99" spans="1:28" s="10" customFormat="1" ht="15" hidden="1">
      <c r="A99" s="9"/>
      <c r="B99" s="137">
        <v>3</v>
      </c>
      <c r="C99" s="142" t="s">
        <v>548</v>
      </c>
      <c r="D99" s="82" t="str">
        <f>IFERROR(VLOOKUP($C99,Code!$H:$K,2,FALSE),"")</f>
        <v/>
      </c>
      <c r="E99" s="83" t="str">
        <f>IFERROR(VLOOKUP($C99,Code!$H:$K,3,FALSE),"")</f>
        <v>5G</v>
      </c>
      <c r="F99" s="84" t="str">
        <f>IFERROR(VLOOKUP($C99,Code!$H:$K,4,FALSE),"")</f>
        <v>JIT</v>
      </c>
      <c r="G99" s="128">
        <f>_xlfn.IFNA(((VLOOKUP($C99,Code!$H:$Q,9,FALSE))+(VLOOKUP($C99,Code!$H:$Q,10,FALSE)))/2*0.5/(((VLOOKUP($C99,Code!$H:$Q,7,FALSE))+(VLOOKUP($C99,Code!$H:$Q,8,FALSE)))/2),0)</f>
        <v>0.87746639977123253</v>
      </c>
      <c r="H99" s="87" t="str">
        <f t="shared" si="16"/>
        <v>XL</v>
      </c>
      <c r="I99" s="128">
        <f>_xlfn.IFNA((VLOOKUP($C99,Code!$H:$Q,5,FALSE))/(((VLOOKUP($C99,Code!$H:$Q,7,FALSE))+(VLOOKUP($C99,Code!$H:$Q,8,FALSE)))/2)-G99,0)</f>
        <v>-0.19459536745782102</v>
      </c>
      <c r="J99" s="55">
        <f>IFERROR(POWER((VLOOKUP(C99,Code!H:W,12,FALSE))/(VLOOKUP(C99,Code!H:W,15,FALSE)),1/(P99-1))-1,"")</f>
        <v>0.28640535627242669</v>
      </c>
      <c r="K99" s="55">
        <f>IFERROR(POWER((VLOOKUP(C99,Code!H:W,13,FALSE))/(VLOOKUP(C99,Code!H:W,16,FALSE)),1/(P99-1))-1,"")</f>
        <v>2.6050452884273545E-2</v>
      </c>
      <c r="L99" s="75">
        <f>IFERROR(VLOOKUP(C99,Code!H:W,13,FALSE)*4/VLOOKUP(C99,Code!H:W,12,FALSE),"")</f>
        <v>3.6694466671539874E-2</v>
      </c>
      <c r="M99" s="55">
        <f t="shared" si="17"/>
        <v>0.31245580915670024</v>
      </c>
      <c r="N99" s="55" t="str">
        <f t="shared" si="18"/>
        <v>-</v>
      </c>
      <c r="O99" s="55" t="str">
        <f t="shared" si="19"/>
        <v>-</v>
      </c>
      <c r="P99" s="70">
        <f>IFERROR(YEARFRAC(VLOOKUP(C99,Code!H:W,11,FALSE),VLOOKUP(C99,Code!H:W,14,FALSE),3),"")</f>
        <v>4.0054794520547947</v>
      </c>
      <c r="Q99" s="2"/>
      <c r="R99" s="85" t="str">
        <f t="shared" ca="1" si="20"/>
        <v/>
      </c>
      <c r="S99" s="86">
        <f>IFERROR(VLOOKUP($C99,Code!$H:$Q,5,FALSE),"")</f>
        <v>0.23880000000000001</v>
      </c>
      <c r="T99" s="88" t="str">
        <f t="shared" ca="1" si="21"/>
        <v/>
      </c>
      <c r="U99" s="89" t="str">
        <f t="shared" ca="1" si="22"/>
        <v/>
      </c>
      <c r="V99" s="90">
        <f>IFERROR(VLOOKUP($C99,Code!$H:$Q,6,FALSE),"")</f>
        <v>11.64</v>
      </c>
      <c r="W99" s="91" t="str">
        <f t="shared" ca="1" si="23"/>
        <v/>
      </c>
      <c r="X99" s="12"/>
      <c r="Y99" s="12"/>
      <c r="Z99" s="12"/>
      <c r="AA99" s="12"/>
      <c r="AB99" s="12"/>
    </row>
    <row r="100" spans="1:28" s="10" customFormat="1" ht="15" hidden="1">
      <c r="A100" s="9"/>
      <c r="B100" s="137">
        <v>1</v>
      </c>
      <c r="C100" s="142" t="s">
        <v>313</v>
      </c>
      <c r="D100" s="82" t="str">
        <f>IFERROR(VLOOKUP($C100,Code!$H:$K,2,FALSE),"")</f>
        <v>XLY</v>
      </c>
      <c r="E100" s="83" t="str">
        <f>IFERROR(VLOOKUP($C100,Code!$H:$K,3,FALSE),"")</f>
        <v>互聯網零售</v>
      </c>
      <c r="F100" s="84" t="str">
        <f>IFERROR(VLOOKUP($C100,Code!$H:$K,4,FALSE),"")</f>
        <v>.SPX</v>
      </c>
      <c r="G100" s="128">
        <f>_xlfn.IFNA(((VLOOKUP($C100,Code!$H:$Q,9,FALSE))+(VLOOKUP($C100,Code!$H:$Q,10,FALSE)))/2*0.5/(((VLOOKUP($C100,Code!$H:$Q,7,FALSE))+(VLOOKUP($C100,Code!$H:$Q,8,FALSE)))/2),0)</f>
        <v>0.47636205258156483</v>
      </c>
      <c r="H100" s="87" t="str">
        <f t="shared" si="16"/>
        <v>S</v>
      </c>
      <c r="I100" s="128">
        <f>_xlfn.IFNA((VLOOKUP($C100,Code!$H:$Q,5,FALSE))/(((VLOOKUP($C100,Code!$H:$Q,7,FALSE))+(VLOOKUP($C100,Code!$H:$Q,8,FALSE)))/2)-G100,0)</f>
        <v>0.26183877098511243</v>
      </c>
      <c r="J100" s="55" t="str">
        <f>IFERROR(POWER((VLOOKUP(C100,Code!H:W,12,FALSE))/(VLOOKUP(C100,Code!H:W,15,FALSE)),1/(P100-1))-1,"")</f>
        <v/>
      </c>
      <c r="K100" s="55" t="str">
        <f>IFERROR(POWER((VLOOKUP(C100,Code!H:W,13,FALSE))/(VLOOKUP(C100,Code!H:W,16,FALSE)),1/(P100-1))-1,"")</f>
        <v/>
      </c>
      <c r="L100" s="75" t="str">
        <f>IFERROR(VLOOKUP(C100,Code!H:W,13,FALSE)*4/VLOOKUP(C100,Code!H:W,12,FALSE),"")</f>
        <v/>
      </c>
      <c r="M100" s="55" t="str">
        <f t="shared" si="17"/>
        <v/>
      </c>
      <c r="N100" s="55" t="str">
        <f t="shared" si="18"/>
        <v/>
      </c>
      <c r="O100" s="55" t="str">
        <f t="shared" si="19"/>
        <v/>
      </c>
      <c r="P100" s="70">
        <f>IFERROR(YEARFRAC(VLOOKUP(C100,Code!H:W,11,FALSE),VLOOKUP(C100,Code!H:W,14,FALSE),3),"")</f>
        <v>0</v>
      </c>
      <c r="Q100" s="2"/>
      <c r="R100" s="85" t="str">
        <f t="shared" ca="1" si="20"/>
        <v/>
      </c>
      <c r="S100" s="86">
        <f>IFERROR(VLOOKUP($C100,Code!$H:$Q,5,FALSE),"")</f>
        <v>0.46610000000000001</v>
      </c>
      <c r="T100" s="88" t="str">
        <f t="shared" ca="1" si="21"/>
        <v/>
      </c>
      <c r="U100" s="89" t="str">
        <f t="shared" ca="1" si="22"/>
        <v/>
      </c>
      <c r="V100" s="90">
        <f>IFERROR(VLOOKUP($C100,Code!$H:$Q,6,FALSE),"")</f>
        <v>182.41</v>
      </c>
      <c r="W100" s="91" t="str">
        <f t="shared" ca="1" si="23"/>
        <v/>
      </c>
      <c r="X100" s="12"/>
      <c r="Y100" s="12"/>
      <c r="Z100" s="12"/>
      <c r="AA100" s="12"/>
      <c r="AB100" s="12"/>
    </row>
    <row r="101" spans="1:28" s="10" customFormat="1" ht="15" hidden="1">
      <c r="A101" s="9"/>
      <c r="B101" s="137">
        <v>4</v>
      </c>
      <c r="C101" s="142" t="s">
        <v>551</v>
      </c>
      <c r="D101" s="82" t="str">
        <f>IFERROR(VLOOKUP($C101,Code!$H:$K,2,FALSE),"")</f>
        <v/>
      </c>
      <c r="E101" s="83" t="str">
        <f>IFERROR(VLOOKUP($C101,Code!$H:$K,3,FALSE),"")</f>
        <v>商業務聯網</v>
      </c>
      <c r="F101" s="84" t="str">
        <f>IFERROR(VLOOKUP($C101,Code!$H:$K,4,FALSE),"")</f>
        <v>JIT</v>
      </c>
      <c r="G101" s="128">
        <f>_xlfn.IFNA(((VLOOKUP($C101,Code!$H:$Q,9,FALSE))+(VLOOKUP($C101,Code!$H:$Q,10,FALSE)))/2*0.5/(((VLOOKUP($C101,Code!$H:$Q,7,FALSE))+(VLOOKUP($C101,Code!$H:$Q,8,FALSE)))/2),0)</f>
        <v>0.51231186206101131</v>
      </c>
      <c r="H101" s="87" t="str">
        <f t="shared" si="16"/>
        <v>M</v>
      </c>
      <c r="I101" s="128">
        <f>_xlfn.IFNA((VLOOKUP($C101,Code!$H:$Q,5,FALSE))/(((VLOOKUP($C101,Code!$H:$Q,7,FALSE))+(VLOOKUP($C101,Code!$H:$Q,8,FALSE)))/2)-G101,0)</f>
        <v>0.35753416757972445</v>
      </c>
      <c r="J101" s="55" t="str">
        <f>IFERROR(POWER((VLOOKUP(C101,Code!H:W,12,FALSE))/(VLOOKUP(C101,Code!H:W,15,FALSE)),1/(P101-1))-1,"")</f>
        <v/>
      </c>
      <c r="K101" s="55" t="str">
        <f>IFERROR(POWER((VLOOKUP(C101,Code!H:W,13,FALSE))/(VLOOKUP(C101,Code!H:W,16,FALSE)),1/(P101-1))-1,"")</f>
        <v/>
      </c>
      <c r="L101" s="75" t="str">
        <f>IFERROR(VLOOKUP(C101,Code!H:W,13,FALSE)*4/VLOOKUP(C101,Code!H:W,12,FALSE),"")</f>
        <v/>
      </c>
      <c r="M101" s="55" t="str">
        <f t="shared" si="17"/>
        <v/>
      </c>
      <c r="N101" s="55" t="str">
        <f t="shared" si="18"/>
        <v/>
      </c>
      <c r="O101" s="55" t="str">
        <f t="shared" si="19"/>
        <v/>
      </c>
      <c r="P101" s="70">
        <f>IFERROR(YEARFRAC(VLOOKUP(C101,Code!H:W,11,FALSE),VLOOKUP(C101,Code!H:W,14,FALSE),3),"")</f>
        <v>0</v>
      </c>
      <c r="Q101" s="2"/>
      <c r="R101" s="85" t="str">
        <f t="shared" ca="1" si="20"/>
        <v/>
      </c>
      <c r="S101" s="86">
        <f>IFERROR(VLOOKUP($C101,Code!$H:$Q,5,FALSE),"")</f>
        <v>0.75419999999999998</v>
      </c>
      <c r="T101" s="88" t="str">
        <f t="shared" ca="1" si="21"/>
        <v/>
      </c>
      <c r="U101" s="89" t="str">
        <f t="shared" ca="1" si="22"/>
        <v/>
      </c>
      <c r="V101" s="90">
        <f>IFERROR(VLOOKUP($C101,Code!$H:$Q,6,FALSE),"")</f>
        <v>48.74</v>
      </c>
      <c r="W101" s="91" t="str">
        <f t="shared" ca="1" si="23"/>
        <v/>
      </c>
      <c r="X101" s="12"/>
      <c r="Y101" s="12"/>
      <c r="Z101" s="12"/>
      <c r="AA101" s="12"/>
      <c r="AB101" s="12"/>
    </row>
    <row r="102" spans="1:28" s="10" customFormat="1" ht="15" hidden="1">
      <c r="A102" s="9"/>
      <c r="B102" s="137" t="s">
        <v>878</v>
      </c>
      <c r="C102" s="142" t="s">
        <v>890</v>
      </c>
      <c r="D102" s="82" t="str">
        <f>IFERROR(VLOOKUP($C102,Code!$H:$K,2,FALSE),"")</f>
        <v/>
      </c>
      <c r="E102" s="83" t="str">
        <f>IFERROR(VLOOKUP($C102,Code!$H:$K,3,FALSE),"")</f>
        <v/>
      </c>
      <c r="F102" s="84" t="str">
        <f>IFERROR(VLOOKUP($C102,Code!$H:$K,4,FALSE),"")</f>
        <v>JIT</v>
      </c>
      <c r="G102" s="128">
        <f>_xlfn.IFNA(((VLOOKUP($C102,Code!$H:$Q,9,FALSE))+(VLOOKUP($C102,Code!$H:$Q,10,FALSE)))/2*0.5/(((VLOOKUP($C102,Code!$H:$Q,7,FALSE))+(VLOOKUP($C102,Code!$H:$Q,8,FALSE)))/2),0)</f>
        <v>0.60207451312447069</v>
      </c>
      <c r="H102" s="87" t="str">
        <f t="shared" si="16"/>
        <v>L</v>
      </c>
      <c r="I102" s="128">
        <f>_xlfn.IFNA((VLOOKUP($C102,Code!$H:$Q,5,FALSE))/(((VLOOKUP($C102,Code!$H:$Q,7,FALSE))+(VLOOKUP($C102,Code!$H:$Q,8,FALSE)))/2)-G102,0)</f>
        <v>0.35609652836579175</v>
      </c>
      <c r="J102" s="55" t="str">
        <f>IFERROR(POWER((VLOOKUP(C102,Code!H:W,12,FALSE))/(VLOOKUP(C102,Code!H:W,15,FALSE)),1/(P102-1))-1,"")</f>
        <v/>
      </c>
      <c r="K102" s="55" t="str">
        <f>IFERROR(POWER((VLOOKUP(C102,Code!H:W,13,FALSE))/(VLOOKUP(C102,Code!H:W,16,FALSE)),1/(P102-1))-1,"")</f>
        <v/>
      </c>
      <c r="L102" s="75" t="str">
        <f>IFERROR(VLOOKUP(C102,Code!H:W,13,FALSE)*4/VLOOKUP(C102,Code!H:W,12,FALSE),"")</f>
        <v/>
      </c>
      <c r="M102" s="55" t="str">
        <f t="shared" si="17"/>
        <v/>
      </c>
      <c r="N102" s="55" t="str">
        <f t="shared" si="18"/>
        <v/>
      </c>
      <c r="O102" s="55" t="str">
        <f t="shared" si="19"/>
        <v/>
      </c>
      <c r="P102" s="70">
        <f>IFERROR(YEARFRAC(VLOOKUP(C102,Code!H:W,11,FALSE),VLOOKUP(C102,Code!H:W,14,FALSE),3),"")</f>
        <v>0</v>
      </c>
      <c r="Q102" s="2"/>
      <c r="R102" s="85" t="str">
        <f t="shared" ca="1" si="20"/>
        <v/>
      </c>
      <c r="S102" s="86">
        <f>IFERROR(VLOOKUP($C102,Code!$H:$Q,5,FALSE),"")</f>
        <v>0.56579999999999997</v>
      </c>
      <c r="T102" s="88" t="str">
        <f t="shared" ca="1" si="21"/>
        <v/>
      </c>
      <c r="U102" s="89" t="str">
        <f t="shared" ca="1" si="22"/>
        <v/>
      </c>
      <c r="V102" s="90">
        <f>IFERROR(VLOOKUP($C102,Code!$H:$Q,6,FALSE),"")</f>
        <v>85.88</v>
      </c>
      <c r="W102" s="91" t="str">
        <f t="shared" ca="1" si="23"/>
        <v/>
      </c>
      <c r="X102" s="12"/>
      <c r="Y102" s="12"/>
      <c r="Z102" s="12"/>
      <c r="AA102" s="12"/>
      <c r="AB102" s="12"/>
    </row>
    <row r="103" spans="1:28" s="10" customFormat="1" ht="15" hidden="1">
      <c r="A103" s="9"/>
      <c r="B103" s="144" t="s">
        <v>880</v>
      </c>
      <c r="C103" s="142" t="s">
        <v>26</v>
      </c>
      <c r="D103" s="82" t="str">
        <f>IFERROR(VLOOKUP($C103,Code!$H:$K,2,FALSE),"")</f>
        <v>XLV</v>
      </c>
      <c r="E103" s="83" t="str">
        <f>IFERROR(VLOOKUP($C103,Code!$H:$K,3,FALSE),"")</f>
        <v>診斷與研究</v>
      </c>
      <c r="F103" s="84" t="str">
        <f>IFERROR(VLOOKUP($C103,Code!$H:$K,4,FALSE),"")</f>
        <v>.SPX</v>
      </c>
      <c r="G103" s="128">
        <f>_xlfn.IFNA(((VLOOKUP($C103,Code!$H:$Q,9,FALSE))+(VLOOKUP($C103,Code!$H:$Q,10,FALSE)))/2*0.5/(((VLOOKUP($C103,Code!$H:$Q,7,FALSE))+(VLOOKUP($C103,Code!$H:$Q,8,FALSE)))/2),0)</f>
        <v>0.55854771258395641</v>
      </c>
      <c r="H103" s="87" t="str">
        <f t="shared" si="16"/>
        <v>M</v>
      </c>
      <c r="I103" s="128">
        <f>_xlfn.IFNA((VLOOKUP($C103,Code!$H:$Q,5,FALSE))/(((VLOOKUP($C103,Code!$H:$Q,7,FALSE))+(VLOOKUP($C103,Code!$H:$Q,8,FALSE)))/2)-G103,0)</f>
        <v>0.36909136991509306</v>
      </c>
      <c r="J103" s="55" t="str">
        <f>IFERROR(POWER((VLOOKUP(C103,Code!H:W,12,FALSE))/(VLOOKUP(C103,Code!H:W,15,FALSE)),1/(P103-1))-1,"")</f>
        <v/>
      </c>
      <c r="K103" s="55" t="str">
        <f>IFERROR(POWER((VLOOKUP(C103,Code!H:W,13,FALSE))/(VLOOKUP(C103,Code!H:W,16,FALSE)),1/(P103-1))-1,"")</f>
        <v/>
      </c>
      <c r="L103" s="75" t="str">
        <f>IFERROR(VLOOKUP(C103,Code!H:W,13,FALSE)*4/VLOOKUP(C103,Code!H:W,12,FALSE),"")</f>
        <v/>
      </c>
      <c r="M103" s="55" t="str">
        <f t="shared" si="17"/>
        <v/>
      </c>
      <c r="N103" s="55" t="str">
        <f t="shared" si="18"/>
        <v/>
      </c>
      <c r="O103" s="55" t="str">
        <f t="shared" si="19"/>
        <v/>
      </c>
      <c r="P103" s="70">
        <f>IFERROR(YEARFRAC(VLOOKUP(C103,Code!H:W,11,FALSE),VLOOKUP(C103,Code!H:W,14,FALSE),3),"")</f>
        <v>0</v>
      </c>
      <c r="Q103" s="2"/>
      <c r="R103" s="85" t="str">
        <f t="shared" ca="1" si="20"/>
        <v/>
      </c>
      <c r="S103" s="86">
        <f>IFERROR(VLOOKUP($C103,Code!$H:$Q,5,FALSE),"")</f>
        <v>0.36599999999999999</v>
      </c>
      <c r="T103" s="88" t="str">
        <f t="shared" ca="1" si="21"/>
        <v/>
      </c>
      <c r="U103" s="89" t="str">
        <f t="shared" ca="1" si="22"/>
        <v/>
      </c>
      <c r="V103" s="90">
        <f>IFERROR(VLOOKUP($C103,Code!$H:$Q,6,FALSE),"")</f>
        <v>515.67999999999995</v>
      </c>
      <c r="W103" s="91" t="str">
        <f t="shared" ca="1" si="23"/>
        <v/>
      </c>
      <c r="X103" s="12"/>
      <c r="Y103" s="12"/>
      <c r="Z103" s="12"/>
      <c r="AA103" s="12"/>
      <c r="AB103" s="12"/>
    </row>
    <row r="104" spans="1:28" s="10" customFormat="1" ht="15" hidden="1">
      <c r="A104" s="9"/>
      <c r="B104" s="137" t="s">
        <v>878</v>
      </c>
      <c r="C104" s="142" t="s">
        <v>108</v>
      </c>
      <c r="D104" s="82" t="str">
        <f>IFERROR(VLOOKUP($C104,Code!$H:$K,2,FALSE),"")</f>
        <v>XLK</v>
      </c>
      <c r="E104" s="83" t="str">
        <f>IFERROR(VLOOKUP($C104,Code!$H:$K,3,FALSE),"")</f>
        <v>科技儀器</v>
      </c>
      <c r="F104" s="84" t="str">
        <f>IFERROR(VLOOKUP($C104,Code!$H:$K,4,FALSE),"")</f>
        <v>.SPX</v>
      </c>
      <c r="G104" s="128">
        <f>_xlfn.IFNA(((VLOOKUP($C104,Code!$H:$Q,9,FALSE))+(VLOOKUP($C104,Code!$H:$Q,10,FALSE)))/2*0.5/(((VLOOKUP($C104,Code!$H:$Q,7,FALSE))+(VLOOKUP($C104,Code!$H:$Q,8,FALSE)))/2),0)</f>
        <v>0.70269133725819999</v>
      </c>
      <c r="H104" s="87" t="str">
        <f t="shared" si="16"/>
        <v>XL</v>
      </c>
      <c r="I104" s="128">
        <f>_xlfn.IFNA((VLOOKUP($C104,Code!$H:$Q,5,FALSE))/(((VLOOKUP($C104,Code!$H:$Q,7,FALSE))+(VLOOKUP($C104,Code!$H:$Q,8,FALSE)))/2)-G104,0)</f>
        <v>0.41673675357443241</v>
      </c>
      <c r="J104" s="55" t="str">
        <f>IFERROR(POWER((VLOOKUP(C104,Code!H:W,12,FALSE))/(VLOOKUP(C104,Code!H:W,15,FALSE)),1/(P104-1))-1,"")</f>
        <v/>
      </c>
      <c r="K104" s="55" t="str">
        <f>IFERROR(POWER((VLOOKUP(C104,Code!H:W,13,FALSE))/(VLOOKUP(C104,Code!H:W,16,FALSE)),1/(P104-1))-1,"")</f>
        <v/>
      </c>
      <c r="L104" s="75" t="str">
        <f>IFERROR(VLOOKUP(C104,Code!H:W,13,FALSE)*4/VLOOKUP(C104,Code!H:W,12,FALSE),"")</f>
        <v/>
      </c>
      <c r="M104" s="55" t="str">
        <f t="shared" si="17"/>
        <v/>
      </c>
      <c r="N104" s="55" t="str">
        <f t="shared" si="18"/>
        <v/>
      </c>
      <c r="O104" s="55" t="str">
        <f t="shared" si="19"/>
        <v/>
      </c>
      <c r="P104" s="70">
        <f>IFERROR(YEARFRAC(VLOOKUP(C104,Code!H:W,11,FALSE),VLOOKUP(C104,Code!H:W,14,FALSE),3),"")</f>
        <v>0</v>
      </c>
      <c r="Q104" s="2"/>
      <c r="R104" s="85" t="str">
        <f t="shared" ca="1" si="20"/>
        <v/>
      </c>
      <c r="S104" s="86">
        <f>IFERROR(VLOOKUP($C104,Code!$H:$Q,5,FALSE),"")</f>
        <v>0.26619999999999999</v>
      </c>
      <c r="T104" s="88" t="str">
        <f t="shared" ca="1" si="21"/>
        <v/>
      </c>
      <c r="U104" s="89" t="str">
        <f t="shared" ca="1" si="22"/>
        <v/>
      </c>
      <c r="V104" s="90">
        <f>IFERROR(VLOOKUP($C104,Code!$H:$Q,6,FALSE),"")</f>
        <v>166.4</v>
      </c>
      <c r="W104" s="91" t="str">
        <f t="shared" ca="1" si="23"/>
        <v/>
      </c>
      <c r="X104" s="12"/>
      <c r="Y104" s="12"/>
      <c r="Z104" s="12"/>
      <c r="AA104" s="12"/>
      <c r="AB104" s="12"/>
    </row>
    <row r="105" spans="1:28" s="10" customFormat="1" ht="15" hidden="1">
      <c r="A105" s="9"/>
      <c r="B105" s="137" t="s">
        <v>659</v>
      </c>
      <c r="C105" s="142" t="s">
        <v>471</v>
      </c>
      <c r="D105" s="82" t="str">
        <f>IFERROR(VLOOKUP($C105,Code!$H:$K,2,FALSE),"")</f>
        <v>XLK</v>
      </c>
      <c r="E105" s="83" t="str">
        <f>IFERROR(VLOOKUP($C105,Code!$H:$K,3,FALSE),"")</f>
        <v>計算機硬件</v>
      </c>
      <c r="F105" s="84" t="str">
        <f>IFERROR(VLOOKUP($C105,Code!$H:$K,4,FALSE),"")</f>
        <v>.SPX</v>
      </c>
      <c r="G105" s="128">
        <f>_xlfn.IFNA(((VLOOKUP($C105,Code!$H:$Q,9,FALSE))+(VLOOKUP($C105,Code!$H:$Q,10,FALSE)))/2*0.5/(((VLOOKUP($C105,Code!$H:$Q,7,FALSE))+(VLOOKUP($C105,Code!$H:$Q,8,FALSE)))/2),0)</f>
        <v>0.59604005461993625</v>
      </c>
      <c r="H105" s="87" t="str">
        <f t="shared" si="16"/>
        <v>M</v>
      </c>
      <c r="I105" s="128">
        <f>_xlfn.IFNA((VLOOKUP($C105,Code!$H:$Q,5,FALSE))/(((VLOOKUP($C105,Code!$H:$Q,7,FALSE))+(VLOOKUP($C105,Code!$H:$Q,8,FALSE)))/2)-G105,0)</f>
        <v>0.29563040509786065</v>
      </c>
      <c r="J105" s="55">
        <f>IFERROR(POWER((VLOOKUP(C105,Code!H:W,12,FALSE))/(VLOOKUP(C105,Code!H:W,15,FALSE)),1/(P105-1))-1,"")</f>
        <v>-0.11098481677962235</v>
      </c>
      <c r="K105" s="55">
        <f>IFERROR(POWER((VLOOKUP(C105,Code!H:W,13,FALSE))/(VLOOKUP(C105,Code!H:W,16,FALSE)),1/(P105-1))-1,"")</f>
        <v>0</v>
      </c>
      <c r="L105" s="75">
        <f>IFERROR(VLOOKUP(C105,Code!H:W,13,FALSE)*4/VLOOKUP(C105,Code!H:W,12,FALSE),"")</f>
        <v>5.2083331263727703E-2</v>
      </c>
      <c r="M105" s="55">
        <f t="shared" si="17"/>
        <v>-0.11098481677962235</v>
      </c>
      <c r="N105" s="55" t="str">
        <f t="shared" si="18"/>
        <v>-</v>
      </c>
      <c r="O105" s="55" t="str">
        <f t="shared" si="19"/>
        <v>-</v>
      </c>
      <c r="P105" s="196">
        <f>IFERROR(YEARFRAC(VLOOKUP(C105,Code!H:W,11,FALSE),VLOOKUP(C105,Code!H:W,14,FALSE),3),"")</f>
        <v>3.5123287671232877</v>
      </c>
      <c r="Q105" s="2"/>
      <c r="R105" s="85" t="str">
        <f t="shared" ca="1" si="20"/>
        <v/>
      </c>
      <c r="S105" s="86">
        <f>IFERROR(VLOOKUP($C105,Code!$H:$Q,5,FALSE),"")</f>
        <v>0.39179999999999998</v>
      </c>
      <c r="T105" s="88" t="str">
        <f t="shared" ca="1" si="21"/>
        <v/>
      </c>
      <c r="U105" s="89" t="str">
        <f t="shared" ca="1" si="22"/>
        <v/>
      </c>
      <c r="V105" s="90">
        <f>IFERROR(VLOOKUP($C105,Code!$H:$Q,6,FALSE),"")</f>
        <v>67.959999999999994</v>
      </c>
      <c r="W105" s="91" t="str">
        <f t="shared" ca="1" si="23"/>
        <v/>
      </c>
      <c r="X105" s="12"/>
      <c r="Y105" s="12"/>
      <c r="Z105" s="12"/>
      <c r="AA105" s="12"/>
      <c r="AB105" s="12"/>
    </row>
    <row r="106" spans="1:28" s="10" customFormat="1" ht="15" hidden="1">
      <c r="A106" s="9"/>
      <c r="B106" s="137">
        <v>5</v>
      </c>
      <c r="C106" s="142" t="s">
        <v>651</v>
      </c>
      <c r="D106" s="82" t="str">
        <f>IFERROR(VLOOKUP($C106,Code!$H:$K,2,FALSE),"")</f>
        <v/>
      </c>
      <c r="E106" s="83" t="str">
        <f>IFERROR(VLOOKUP($C106,Code!$H:$K,3,FALSE),"")</f>
        <v/>
      </c>
      <c r="F106" s="84" t="str">
        <f>IFERROR(VLOOKUP($C106,Code!$H:$K,4,FALSE),"")</f>
        <v>Livia</v>
      </c>
      <c r="G106" s="128">
        <f>_xlfn.IFNA(((VLOOKUP($C106,Code!$H:$Q,9,FALSE))+(VLOOKUP($C106,Code!$H:$Q,10,FALSE)))/2*0.5/(((VLOOKUP($C106,Code!$H:$Q,7,FALSE))+(VLOOKUP($C106,Code!$H:$Q,8,FALSE)))/2),0)</f>
        <v>0.50922638512566576</v>
      </c>
      <c r="H106" s="87" t="str">
        <f t="shared" si="16"/>
        <v>M</v>
      </c>
      <c r="I106" s="128">
        <f>_xlfn.IFNA((VLOOKUP($C106,Code!$H:$Q,5,FALSE))/(((VLOOKUP($C106,Code!$H:$Q,7,FALSE))+(VLOOKUP($C106,Code!$H:$Q,8,FALSE)))/2)-G106,0)</f>
        <v>-0.21634899872309948</v>
      </c>
      <c r="J106" s="55">
        <f>IFERROR(POWER((VLOOKUP(C106,Code!H:W,12,FALSE))/(VLOOKUP(C106,Code!H:W,15,FALSE)),1/(P106-1))-1,"")</f>
        <v>-0.37905094471528467</v>
      </c>
      <c r="K106" s="55">
        <f>IFERROR(POWER((VLOOKUP(C106,Code!H:W,13,FALSE))/(VLOOKUP(C106,Code!H:W,16,FALSE)),1/(P106-1))-1,"")</f>
        <v>1.7757835857216797E-2</v>
      </c>
      <c r="L106" s="75">
        <f>IFERROR(VLOOKUP(C106,Code!H:W,13,FALSE)*4/VLOOKUP(C106,Code!H:W,12,FALSE),"")</f>
        <v>0.13881278780606787</v>
      </c>
      <c r="M106" s="55">
        <f t="shared" si="17"/>
        <v>-0.36129310885806787</v>
      </c>
      <c r="N106" s="55" t="str">
        <f t="shared" si="18"/>
        <v>Venture</v>
      </c>
      <c r="O106" s="55" t="str">
        <f t="shared" si="19"/>
        <v>-</v>
      </c>
      <c r="P106" s="196">
        <f>IFERROR(YEARFRAC(VLOOKUP(C106,Code!H:W,11,FALSE),VLOOKUP(C106,Code!H:W,14,FALSE),3),"")</f>
        <v>2.515068493150685</v>
      </c>
      <c r="Q106" s="2"/>
      <c r="R106" s="85" t="str">
        <f t="shared" ca="1" si="20"/>
        <v/>
      </c>
      <c r="S106" s="86">
        <f>IFERROR(VLOOKUP($C106,Code!$H:$Q,5,FALSE),"")</f>
        <v>0.94040000000000001</v>
      </c>
      <c r="T106" s="88" t="str">
        <f t="shared" ca="1" si="21"/>
        <v/>
      </c>
      <c r="U106" s="89" t="str">
        <f t="shared" ca="1" si="22"/>
        <v/>
      </c>
      <c r="V106" s="90">
        <f>IFERROR(VLOOKUP($C106,Code!$H:$Q,6,FALSE),"")</f>
        <v>158.88</v>
      </c>
      <c r="W106" s="91" t="str">
        <f t="shared" ca="1" si="23"/>
        <v/>
      </c>
      <c r="X106" s="12"/>
      <c r="Y106" s="12"/>
      <c r="Z106" s="12"/>
      <c r="AA106" s="12"/>
      <c r="AB106" s="12"/>
    </row>
    <row r="107" spans="1:28" s="10" customFormat="1" ht="15" hidden="1">
      <c r="A107" s="9"/>
      <c r="B107" s="137">
        <v>5</v>
      </c>
      <c r="C107" s="142" t="s">
        <v>647</v>
      </c>
      <c r="D107" s="82" t="str">
        <f>IFERROR(VLOOKUP($C107,Code!$H:$K,2,FALSE),"")</f>
        <v/>
      </c>
      <c r="E107" s="83" t="str">
        <f>IFERROR(VLOOKUP($C107,Code!$H:$K,3,FALSE),"")</f>
        <v/>
      </c>
      <c r="F107" s="84" t="str">
        <f>IFERROR(VLOOKUP($C107,Code!$H:$K,4,FALSE),"")</f>
        <v>Livia</v>
      </c>
      <c r="G107" s="128">
        <f>_xlfn.IFNA(((VLOOKUP($C107,Code!$H:$Q,9,FALSE))+(VLOOKUP($C107,Code!$H:$Q,10,FALSE)))/2*0.5/(((VLOOKUP($C107,Code!$H:$Q,7,FALSE))+(VLOOKUP($C107,Code!$H:$Q,8,FALSE)))/2),0)</f>
        <v>0.68877001859160436</v>
      </c>
      <c r="H107" s="87" t="str">
        <f t="shared" si="16"/>
        <v>L</v>
      </c>
      <c r="I107" s="128">
        <f>_xlfn.IFNA((VLOOKUP($C107,Code!$H:$Q,5,FALSE))/(((VLOOKUP($C107,Code!$H:$Q,7,FALSE))+(VLOOKUP($C107,Code!$H:$Q,8,FALSE)))/2)-G107,0)</f>
        <v>0.19853876512606417</v>
      </c>
      <c r="J107" s="55">
        <f>IFERROR(POWER((VLOOKUP(C107,Code!H:W,12,FALSE))/(VLOOKUP(C107,Code!H:W,15,FALSE)),1/(P107-1))-1,"")</f>
        <v>0</v>
      </c>
      <c r="K107" s="55" t="str">
        <f>IFERROR(POWER((VLOOKUP(C107,Code!H:W,13,FALSE))/(VLOOKUP(C107,Code!H:W,16,FALSE)),1/(P107-1))-1,"")</f>
        <v/>
      </c>
      <c r="L107" s="75">
        <f>IFERROR(VLOOKUP(C107,Code!H:W,13,FALSE)*4/VLOOKUP(C107,Code!H:W,12,FALSE),"")</f>
        <v>0</v>
      </c>
      <c r="M107" s="55" t="str">
        <f t="shared" si="17"/>
        <v/>
      </c>
      <c r="N107" s="55" t="str">
        <f t="shared" si="18"/>
        <v>-</v>
      </c>
      <c r="O107" s="55" t="str">
        <f t="shared" si="19"/>
        <v/>
      </c>
      <c r="P107" s="70">
        <f>IFERROR(YEARFRAC(VLOOKUP(C107,Code!H:W,11,FALSE),VLOOKUP(C107,Code!H:W,14,FALSE),3),"")</f>
        <v>0</v>
      </c>
      <c r="Q107" s="2"/>
      <c r="R107" s="85" t="str">
        <f t="shared" ca="1" si="20"/>
        <v/>
      </c>
      <c r="S107" s="86">
        <f>IFERROR(VLOOKUP($C107,Code!$H:$Q,5,FALSE),"")</f>
        <v>1.3602000000000001</v>
      </c>
      <c r="T107" s="88" t="str">
        <f t="shared" ca="1" si="21"/>
        <v/>
      </c>
      <c r="U107" s="89" t="str">
        <f t="shared" ca="1" si="22"/>
        <v/>
      </c>
      <c r="V107" s="90">
        <f>IFERROR(VLOOKUP($C107,Code!$H:$Q,6,FALSE),"")</f>
        <v>1.2549999999999999</v>
      </c>
      <c r="W107" s="91" t="str">
        <f t="shared" ca="1" si="23"/>
        <v/>
      </c>
      <c r="X107" s="12"/>
      <c r="Y107" s="12"/>
      <c r="Z107" s="12"/>
      <c r="AA107" s="12"/>
      <c r="AB107" s="12"/>
    </row>
    <row r="108" spans="1:28" s="10" customFormat="1" ht="15" hidden="1">
      <c r="A108" s="9"/>
      <c r="B108" s="137" t="s">
        <v>878</v>
      </c>
      <c r="C108" s="142" t="s">
        <v>422</v>
      </c>
      <c r="D108" s="82" t="str">
        <f>IFERROR(VLOOKUP($C108,Code!$H:$K,2,FALSE),"")</f>
        <v>XLF</v>
      </c>
      <c r="E108" s="83" t="str">
        <f>IFERROR(VLOOKUP($C108,Code!$H:$K,3,FALSE),"")</f>
        <v>信貸服務</v>
      </c>
      <c r="F108" s="84" t="str">
        <f>IFERROR(VLOOKUP($C108,Code!$H:$K,4,FALSE),"")</f>
        <v>.SPX</v>
      </c>
      <c r="G108" s="128">
        <f>_xlfn.IFNA(((VLOOKUP($C108,Code!$H:$Q,9,FALSE))+(VLOOKUP($C108,Code!$H:$Q,10,FALSE)))/2*0.5/(((VLOOKUP($C108,Code!$H:$Q,7,FALSE))+(VLOOKUP($C108,Code!$H:$Q,8,FALSE)))/2),0)</f>
        <v>0.55559281115879822</v>
      </c>
      <c r="H108" s="87" t="str">
        <f t="shared" si="16"/>
        <v>M</v>
      </c>
      <c r="I108" s="128">
        <f>_xlfn.IFNA((VLOOKUP($C108,Code!$H:$Q,5,FALSE))/(((VLOOKUP($C108,Code!$H:$Q,7,FALSE))+(VLOOKUP($C108,Code!$H:$Q,8,FALSE)))/2)-G108,0)</f>
        <v>0.26414967811158796</v>
      </c>
      <c r="J108" s="55">
        <f>IFERROR(POWER((VLOOKUP(C108,Code!H:W,12,FALSE))/(VLOOKUP(C108,Code!H:W,15,FALSE)),1/(P108-1))-1,"")</f>
        <v>0.25648737048752879</v>
      </c>
      <c r="K108" s="55">
        <f>IFERROR(POWER((VLOOKUP(C108,Code!H:W,13,FALSE))/(VLOOKUP(C108,Code!H:W,16,FALSE)),1/(P108-1))-1,"")</f>
        <v>0</v>
      </c>
      <c r="L108" s="75">
        <f>IFERROR(VLOOKUP(C108,Code!H:W,13,FALSE)*4/VLOOKUP(C108,Code!H:W,12,FALSE),"")</f>
        <v>1.0119536992116441E-2</v>
      </c>
      <c r="M108" s="55">
        <f t="shared" si="17"/>
        <v>0.25648737048752879</v>
      </c>
      <c r="N108" s="55" t="str">
        <f t="shared" si="18"/>
        <v>-</v>
      </c>
      <c r="O108" s="55" t="str">
        <f t="shared" si="19"/>
        <v>-</v>
      </c>
      <c r="P108" s="196">
        <f>IFERROR(YEARFRAC(VLOOKUP(C108,Code!H:W,11,FALSE),VLOOKUP(C108,Code!H:W,14,FALSE),3),"")</f>
        <v>4.5123287671232877</v>
      </c>
      <c r="Q108" s="2"/>
      <c r="R108" s="85" t="str">
        <f t="shared" ca="1" si="20"/>
        <v/>
      </c>
      <c r="S108" s="86">
        <f>IFERROR(VLOOKUP($C108,Code!$H:$Q,5,FALSE),"")</f>
        <v>0.30559999999999998</v>
      </c>
      <c r="T108" s="88" t="str">
        <f t="shared" ca="1" si="21"/>
        <v/>
      </c>
      <c r="U108" s="89" t="str">
        <f t="shared" ca="1" si="22"/>
        <v/>
      </c>
      <c r="V108" s="90">
        <f>IFERROR(VLOOKUP($C108,Code!$H:$Q,6,FALSE),"")</f>
        <v>164.66</v>
      </c>
      <c r="W108" s="91" t="str">
        <f t="shared" ca="1" si="23"/>
        <v/>
      </c>
      <c r="X108" s="12"/>
      <c r="Y108" s="12"/>
      <c r="Z108" s="12"/>
      <c r="AA108" s="12"/>
      <c r="AB108" s="12"/>
    </row>
    <row r="109" spans="1:28" s="10" customFormat="1" ht="15" hidden="1">
      <c r="A109" s="9"/>
      <c r="B109" s="137" t="s">
        <v>535</v>
      </c>
      <c r="C109" s="142" t="s">
        <v>328</v>
      </c>
      <c r="D109" s="82" t="str">
        <f>IFERROR(VLOOKUP($C109,Code!$H:$K,2,FALSE),"")</f>
        <v>XLY</v>
      </c>
      <c r="E109" s="83" t="str">
        <f>IFERROR(VLOOKUP($C109,Code!$H:$K,3,FALSE),"")</f>
        <v>專業零售</v>
      </c>
      <c r="F109" s="84" t="str">
        <f>IFERROR(VLOOKUP($C109,Code!$H:$K,4,FALSE),"")</f>
        <v>.SPX</v>
      </c>
      <c r="G109" s="128">
        <f>_xlfn.IFNA(((VLOOKUP($C109,Code!$H:$Q,9,FALSE))+(VLOOKUP($C109,Code!$H:$Q,10,FALSE)))/2*0.5/(((VLOOKUP($C109,Code!$H:$Q,7,FALSE))+(VLOOKUP($C109,Code!$H:$Q,8,FALSE)))/2),0)</f>
        <v>0.53294991612748621</v>
      </c>
      <c r="H109" s="87" t="str">
        <f t="shared" si="16"/>
        <v>M</v>
      </c>
      <c r="I109" s="128">
        <f>_xlfn.IFNA((VLOOKUP($C109,Code!$H:$Q,5,FALSE))/(((VLOOKUP($C109,Code!$H:$Q,7,FALSE))+(VLOOKUP($C109,Code!$H:$Q,8,FALSE)))/2)-G109,0)</f>
        <v>0.43781452192667147</v>
      </c>
      <c r="J109" s="55" t="str">
        <f>IFERROR(POWER((VLOOKUP(C109,Code!H:W,12,FALSE))/(VLOOKUP(C109,Code!H:W,15,FALSE)),1/(P109-1))-1,"")</f>
        <v/>
      </c>
      <c r="K109" s="55" t="str">
        <f>IFERROR(POWER((VLOOKUP(C109,Code!H:W,13,FALSE))/(VLOOKUP(C109,Code!H:W,16,FALSE)),1/(P109-1))-1,"")</f>
        <v/>
      </c>
      <c r="L109" s="75" t="str">
        <f>IFERROR(VLOOKUP(C109,Code!H:W,13,FALSE)*4/VLOOKUP(C109,Code!H:W,12,FALSE),"")</f>
        <v/>
      </c>
      <c r="M109" s="55" t="str">
        <f t="shared" si="17"/>
        <v/>
      </c>
      <c r="N109" s="55" t="str">
        <f t="shared" si="18"/>
        <v/>
      </c>
      <c r="O109" s="55" t="str">
        <f t="shared" si="19"/>
        <v/>
      </c>
      <c r="P109" s="70">
        <f>IFERROR(YEARFRAC(VLOOKUP(C109,Code!H:W,11,FALSE),VLOOKUP(C109,Code!H:W,14,FALSE),3),"")</f>
        <v>0</v>
      </c>
      <c r="Q109" s="2"/>
      <c r="R109" s="85" t="str">
        <f t="shared" ca="1" si="20"/>
        <v/>
      </c>
      <c r="S109" s="86">
        <f>IFERROR(VLOOKUP($C109,Code!$H:$Q,5,FALSE),"")</f>
        <v>0.40510000000000002</v>
      </c>
      <c r="T109" s="88" t="str">
        <f t="shared" ca="1" si="21"/>
        <v/>
      </c>
      <c r="U109" s="89" t="str">
        <f t="shared" ca="1" si="22"/>
        <v/>
      </c>
      <c r="V109" s="90">
        <f>IFERROR(VLOOKUP($C109,Code!$H:$Q,6,FALSE),"")</f>
        <v>351.65</v>
      </c>
      <c r="W109" s="91" t="str">
        <f t="shared" ca="1" si="23"/>
        <v/>
      </c>
      <c r="X109" s="12"/>
      <c r="Y109" s="12"/>
      <c r="Z109" s="12"/>
      <c r="AA109" s="12"/>
      <c r="AB109" s="12"/>
    </row>
    <row r="110" spans="1:28" s="10" customFormat="1" ht="15" hidden="1">
      <c r="A110" s="9"/>
      <c r="B110" s="137" t="s">
        <v>535</v>
      </c>
      <c r="C110" s="142" t="s">
        <v>66</v>
      </c>
      <c r="D110" s="82" t="str">
        <f>IFERROR(VLOOKUP($C110,Code!$H:$K,2,FALSE),"")</f>
        <v>XLK</v>
      </c>
      <c r="E110" s="83" t="str">
        <f>IFERROR(VLOOKUP($C110,Code!$H:$K,3,FALSE),"")</f>
        <v>計算機硬件</v>
      </c>
      <c r="F110" s="84" t="str">
        <f>IFERROR(VLOOKUP($C110,Code!$H:$K,4,FALSE),"")</f>
        <v>.SPX</v>
      </c>
      <c r="G110" s="128">
        <f>_xlfn.IFNA(((VLOOKUP($C110,Code!$H:$Q,9,FALSE))+(VLOOKUP($C110,Code!$H:$Q,10,FALSE)))/2*0.5/(((VLOOKUP($C110,Code!$H:$Q,7,FALSE))+(VLOOKUP($C110,Code!$H:$Q,8,FALSE)))/2),0)</f>
        <v>0.52671658839954305</v>
      </c>
      <c r="H110" s="87" t="str">
        <f t="shared" si="16"/>
        <v>M</v>
      </c>
      <c r="I110" s="128">
        <f>_xlfn.IFNA((VLOOKUP($C110,Code!$H:$Q,5,FALSE))/(((VLOOKUP($C110,Code!$H:$Q,7,FALSE))+(VLOOKUP($C110,Code!$H:$Q,8,FALSE)))/2)-G110,0)</f>
        <v>0.39979692854423143</v>
      </c>
      <c r="J110" s="55">
        <f>IFERROR(POWER((VLOOKUP(C110,Code!H:W,12,FALSE))/(VLOOKUP(C110,Code!H:W,15,FALSE)),1/(P110-1))-1,"")</f>
        <v>0.29630202167964392</v>
      </c>
      <c r="K110" s="55">
        <f>IFERROR(POWER((VLOOKUP(C110,Code!H:W,13,FALSE))/(VLOOKUP(C110,Code!H:W,16,FALSE)),1/(P110-1))-1,"")</f>
        <v>0.29357693925145356</v>
      </c>
      <c r="L110" s="75">
        <f>IFERROR(VLOOKUP(C110,Code!H:W,13,FALSE)*4/VLOOKUP(C110,Code!H:W,12,FALSE),"")</f>
        <v>2.4506800453893363E-2</v>
      </c>
      <c r="M110" s="55">
        <f t="shared" si="17"/>
        <v>0.58987896093109748</v>
      </c>
      <c r="N110" s="55" t="str">
        <f t="shared" si="18"/>
        <v>-</v>
      </c>
      <c r="O110" s="55" t="str">
        <f t="shared" si="19"/>
        <v>Value</v>
      </c>
      <c r="P110" s="196">
        <f>IFERROR(YEARFRAC(VLOOKUP(C110,Code!H:W,11,FALSE),VLOOKUP(C110,Code!H:W,14,FALSE),3),"")</f>
        <v>4.7589041095890412</v>
      </c>
      <c r="Q110" s="2"/>
      <c r="R110" s="85" t="str">
        <f t="shared" ca="1" si="20"/>
        <v/>
      </c>
      <c r="S110" s="86">
        <f>IFERROR(VLOOKUP($C110,Code!$H:$Q,5,FALSE),"")</f>
        <v>0.36499999999999999</v>
      </c>
      <c r="T110" s="88" t="str">
        <f t="shared" ca="1" si="21"/>
        <v/>
      </c>
      <c r="U110" s="89" t="str">
        <f t="shared" ca="1" si="22"/>
        <v/>
      </c>
      <c r="V110" s="90">
        <f>IFERROR(VLOOKUP($C110,Code!$H:$Q,6,FALSE),"")</f>
        <v>81.48</v>
      </c>
      <c r="W110" s="91" t="str">
        <f t="shared" ca="1" si="23"/>
        <v/>
      </c>
      <c r="X110" s="12"/>
      <c r="Y110" s="12"/>
      <c r="Z110" s="12"/>
      <c r="AA110" s="12"/>
      <c r="AB110" s="12"/>
    </row>
    <row r="111" spans="1:28" s="10" customFormat="1" ht="15" hidden="1">
      <c r="A111" s="9"/>
      <c r="B111" s="137" t="s">
        <v>659</v>
      </c>
      <c r="C111" s="142" t="s">
        <v>193</v>
      </c>
      <c r="D111" s="82" t="str">
        <f>IFERROR(VLOOKUP($C111,Code!$H:$K,2,FALSE),"")</f>
        <v>XLC</v>
      </c>
      <c r="E111" s="83" t="str">
        <f>IFERROR(VLOOKUP($C111,Code!$H:$K,3,FALSE),"")</f>
        <v>互聯網內容與信息</v>
      </c>
      <c r="F111" s="84" t="str">
        <f>IFERROR(VLOOKUP($C111,Code!$H:$K,4,FALSE),"")</f>
        <v>.SPX</v>
      </c>
      <c r="G111" s="128">
        <f>_xlfn.IFNA(((VLOOKUP($C111,Code!$H:$Q,9,FALSE))+(VLOOKUP($C111,Code!$H:$Q,10,FALSE)))/2*0.5/(((VLOOKUP($C111,Code!$H:$Q,7,FALSE))+(VLOOKUP($C111,Code!$H:$Q,8,FALSE)))/2),0)</f>
        <v>0.52700811642877143</v>
      </c>
      <c r="H111" s="87" t="str">
        <f t="shared" si="16"/>
        <v>M</v>
      </c>
      <c r="I111" s="128">
        <f>_xlfn.IFNA((VLOOKUP($C111,Code!$H:$Q,5,FALSE))/(((VLOOKUP($C111,Code!$H:$Q,7,FALSE))+(VLOOKUP($C111,Code!$H:$Q,8,FALSE)))/2)-G111,0)</f>
        <v>0.13574027427931701</v>
      </c>
      <c r="J111" s="55" t="str">
        <f>IFERROR(POWER((VLOOKUP(C111,Code!H:W,12,FALSE))/(VLOOKUP(C111,Code!H:W,15,FALSE)),1/(P111-1))-1,"")</f>
        <v/>
      </c>
      <c r="K111" s="55" t="str">
        <f>IFERROR(POWER((VLOOKUP(C111,Code!H:W,13,FALSE))/(VLOOKUP(C111,Code!H:W,16,FALSE)),1/(P111-1))-1,"")</f>
        <v/>
      </c>
      <c r="L111" s="75" t="str">
        <f>IFERROR(VLOOKUP(C111,Code!H:W,13,FALSE)*4/VLOOKUP(C111,Code!H:W,12,FALSE),"")</f>
        <v/>
      </c>
      <c r="M111" s="55" t="str">
        <f t="shared" si="17"/>
        <v/>
      </c>
      <c r="N111" s="55" t="str">
        <f t="shared" si="18"/>
        <v/>
      </c>
      <c r="O111" s="55" t="str">
        <f t="shared" si="19"/>
        <v/>
      </c>
      <c r="P111" s="70">
        <f>IFERROR(YEARFRAC(VLOOKUP(C111,Code!H:W,11,FALSE),VLOOKUP(C111,Code!H:W,14,FALSE),3),"")</f>
        <v>0</v>
      </c>
      <c r="Q111" s="2"/>
      <c r="R111" s="85" t="str">
        <f t="shared" ca="1" si="20"/>
        <v/>
      </c>
      <c r="S111" s="86">
        <f>IFERROR(VLOOKUP($C111,Code!$H:$Q,5,FALSE),"")</f>
        <v>0.23680000000000001</v>
      </c>
      <c r="T111" s="88" t="str">
        <f t="shared" ca="1" si="21"/>
        <v/>
      </c>
      <c r="U111" s="89" t="str">
        <f t="shared" ca="1" si="22"/>
        <v/>
      </c>
      <c r="V111" s="90">
        <f>IFERROR(VLOOKUP($C111,Code!$H:$Q,6,FALSE),"")</f>
        <v>362.97</v>
      </c>
      <c r="W111" s="91" t="str">
        <f t="shared" ca="1" si="23"/>
        <v/>
      </c>
      <c r="X111" s="12"/>
      <c r="Y111" s="12"/>
      <c r="Z111" s="12"/>
      <c r="AA111" s="12"/>
      <c r="AB111" s="12"/>
    </row>
    <row r="112" spans="1:28" s="10" customFormat="1" ht="15" hidden="1">
      <c r="A112" s="9"/>
      <c r="B112" s="137" t="s">
        <v>878</v>
      </c>
      <c r="C112" s="142" t="s">
        <v>747</v>
      </c>
      <c r="D112" s="82" t="str">
        <f>IFERROR(VLOOKUP($C112,Code!$H:$K,2,FALSE),"")</f>
        <v/>
      </c>
      <c r="E112" s="83" t="str">
        <f>IFERROR(VLOOKUP($C112,Code!$H:$K,3,FALSE),"")</f>
        <v/>
      </c>
      <c r="F112" s="84" t="str">
        <f>IFERROR(VLOOKUP($C112,Code!$H:$K,4,FALSE),"")</f>
        <v>JIT</v>
      </c>
      <c r="G112" s="128">
        <f>_xlfn.IFNA(((VLOOKUP($C112,Code!$H:$Q,9,FALSE))+(VLOOKUP($C112,Code!$H:$Q,10,FALSE)))/2*0.5/(((VLOOKUP($C112,Code!$H:$Q,7,FALSE))+(VLOOKUP($C112,Code!$H:$Q,8,FALSE)))/2),0)</f>
        <v>0.51675064085565281</v>
      </c>
      <c r="H112" s="87" t="str">
        <f t="shared" si="16"/>
        <v>M</v>
      </c>
      <c r="I112" s="128">
        <f>_xlfn.IFNA((VLOOKUP($C112,Code!$H:$Q,5,FALSE))/(((VLOOKUP($C112,Code!$H:$Q,7,FALSE))+(VLOOKUP($C112,Code!$H:$Q,8,FALSE)))/2)-G112,0)</f>
        <v>0.2830372138248034</v>
      </c>
      <c r="J112" s="55">
        <f>IFERROR(POWER((VLOOKUP(C112,Code!H:W,12,FALSE))/(VLOOKUP(C112,Code!H:W,15,FALSE)),1/(P112-1))-1,"")</f>
        <v>0</v>
      </c>
      <c r="K112" s="55">
        <f>IFERROR(POWER((VLOOKUP(C112,Code!H:W,13,FALSE))/(VLOOKUP(C112,Code!H:W,16,FALSE)),1/(P112-1))-1,"")</f>
        <v>0</v>
      </c>
      <c r="L112" s="75">
        <f>IFERROR(VLOOKUP(C112,Code!H:W,13,FALSE)*4/VLOOKUP(C112,Code!H:W,12,FALSE),"")</f>
        <v>7.332274062986751E-3</v>
      </c>
      <c r="M112" s="55" t="str">
        <f t="shared" si="17"/>
        <v/>
      </c>
      <c r="N112" s="55" t="str">
        <f t="shared" si="18"/>
        <v>-</v>
      </c>
      <c r="O112" s="55" t="str">
        <f t="shared" si="19"/>
        <v>-</v>
      </c>
      <c r="P112" s="70">
        <f>IFERROR(YEARFRAC(VLOOKUP(C112,Code!H:W,11,FALSE),VLOOKUP(C112,Code!H:W,14,FALSE),3),"")</f>
        <v>0</v>
      </c>
      <c r="Q112" s="2"/>
      <c r="R112" s="85" t="str">
        <f t="shared" ca="1" si="20"/>
        <v/>
      </c>
      <c r="S112" s="86">
        <f>IFERROR(VLOOKUP($C112,Code!$H:$Q,5,FALSE),"")</f>
        <v>0.45240000000000002</v>
      </c>
      <c r="T112" s="88" t="str">
        <f t="shared" ca="1" si="21"/>
        <v/>
      </c>
      <c r="U112" s="89" t="str">
        <f t="shared" ca="1" si="22"/>
        <v/>
      </c>
      <c r="V112" s="90">
        <f>IFERROR(VLOOKUP($C112,Code!$H:$Q,6,FALSE),"")</f>
        <v>71.38</v>
      </c>
      <c r="W112" s="91" t="str">
        <f t="shared" ca="1" si="23"/>
        <v/>
      </c>
      <c r="X112" s="12"/>
      <c r="Y112" s="12"/>
      <c r="Z112" s="12"/>
      <c r="AA112" s="12"/>
      <c r="AB112" s="12"/>
    </row>
    <row r="113" spans="1:28" s="10" customFormat="1" ht="15" hidden="1">
      <c r="A113" s="9"/>
      <c r="B113" s="137" t="s">
        <v>535</v>
      </c>
      <c r="C113" s="142" t="s">
        <v>180</v>
      </c>
      <c r="D113" s="82" t="str">
        <f>IFERROR(VLOOKUP($C113,Code!$H:$K,2,FALSE),"")</f>
        <v>XLK</v>
      </c>
      <c r="E113" s="83" t="str">
        <f>IFERROR(VLOOKUP($C113,Code!$H:$K,3,FALSE),"")</f>
        <v>半導體</v>
      </c>
      <c r="F113" s="84" t="str">
        <f>IFERROR(VLOOKUP($C113,Code!$H:$K,4,FALSE),"")</f>
        <v>.SPX</v>
      </c>
      <c r="G113" s="128">
        <f>_xlfn.IFNA(((VLOOKUP($C113,Code!$H:$Q,9,FALSE))+(VLOOKUP($C113,Code!$H:$Q,10,FALSE)))/2*0.5/(((VLOOKUP($C113,Code!$H:$Q,7,FALSE))+(VLOOKUP($C113,Code!$H:$Q,8,FALSE)))/2),0)</f>
        <v>0.52301606329417405</v>
      </c>
      <c r="H113" s="87" t="str">
        <f t="shared" si="16"/>
        <v>M</v>
      </c>
      <c r="I113" s="128">
        <f>_xlfn.IFNA((VLOOKUP($C113,Code!$H:$Q,5,FALSE))/(((VLOOKUP($C113,Code!$H:$Q,7,FALSE))+(VLOOKUP($C113,Code!$H:$Q,8,FALSE)))/2)-G113,0)</f>
        <v>0.1998321745384799</v>
      </c>
      <c r="J113" s="55" t="str">
        <f>IFERROR(POWER((VLOOKUP(C113,Code!H:W,12,FALSE))/(VLOOKUP(C113,Code!H:W,15,FALSE)),1/(P113-1))-1,"")</f>
        <v/>
      </c>
      <c r="K113" s="55" t="str">
        <f>IFERROR(POWER((VLOOKUP(C113,Code!H:W,13,FALSE))/(VLOOKUP(C113,Code!H:W,16,FALSE)),1/(P113-1))-1,"")</f>
        <v/>
      </c>
      <c r="L113" s="75" t="str">
        <f>IFERROR(VLOOKUP(C113,Code!H:W,13,FALSE)*4/VLOOKUP(C113,Code!H:W,12,FALSE),"")</f>
        <v/>
      </c>
      <c r="M113" s="55" t="str">
        <f t="shared" si="17"/>
        <v/>
      </c>
      <c r="N113" s="55" t="str">
        <f t="shared" si="18"/>
        <v/>
      </c>
      <c r="O113" s="55" t="str">
        <f t="shared" si="19"/>
        <v/>
      </c>
      <c r="P113" s="70">
        <f>IFERROR(YEARFRAC(VLOOKUP(C113,Code!H:W,11,FALSE),VLOOKUP(C113,Code!H:W,14,FALSE),3),"")</f>
        <v>0</v>
      </c>
      <c r="Q113" s="2"/>
      <c r="R113" s="85" t="str">
        <f t="shared" ca="1" si="20"/>
        <v/>
      </c>
      <c r="S113" s="86">
        <f>IFERROR(VLOOKUP($C113,Code!$H:$Q,5,FALSE),"")</f>
        <v>0.30149999999999999</v>
      </c>
      <c r="T113" s="88" t="str">
        <f t="shared" ca="1" si="21"/>
        <v/>
      </c>
      <c r="U113" s="89" t="str">
        <f t="shared" ca="1" si="22"/>
        <v/>
      </c>
      <c r="V113" s="90">
        <f>IFERROR(VLOOKUP($C113,Code!$H:$Q,6,FALSE),"")</f>
        <v>194.76</v>
      </c>
      <c r="W113" s="91" t="str">
        <f t="shared" ca="1" si="23"/>
        <v/>
      </c>
      <c r="X113" s="12"/>
      <c r="Y113" s="12"/>
      <c r="Z113" s="12"/>
      <c r="AA113" s="12"/>
      <c r="AB113" s="12"/>
    </row>
    <row r="114" spans="1:28" s="10" customFormat="1" ht="15" hidden="1">
      <c r="A114" s="9"/>
      <c r="B114" s="137">
        <v>1</v>
      </c>
      <c r="C114" s="142" t="s">
        <v>704</v>
      </c>
      <c r="D114" s="82" t="str">
        <f>IFERROR(VLOOKUP($C114,Code!$H:$K,2,FALSE),"")</f>
        <v/>
      </c>
      <c r="E114" s="83" t="str">
        <f>IFERROR(VLOOKUP($C114,Code!$H:$K,3,FALSE),"")</f>
        <v>千禧代</v>
      </c>
      <c r="F114" s="84" t="str">
        <f>IFERROR(VLOOKUP($C114,Code!$H:$K,4,FALSE),"")</f>
        <v>JIT</v>
      </c>
      <c r="G114" s="128">
        <f>_xlfn.IFNA(((VLOOKUP($C114,Code!$H:$Q,9,FALSE))+(VLOOKUP($C114,Code!$H:$Q,10,FALSE)))/2*0.5/(((VLOOKUP($C114,Code!$H:$Q,7,FALSE))+(VLOOKUP($C114,Code!$H:$Q,8,FALSE)))/2),0)</f>
        <v>0.66106870229007619</v>
      </c>
      <c r="H114" s="87" t="str">
        <f t="shared" si="16"/>
        <v>L</v>
      </c>
      <c r="I114" s="128">
        <f>_xlfn.IFNA((VLOOKUP($C114,Code!$H:$Q,5,FALSE))/(((VLOOKUP($C114,Code!$H:$Q,7,FALSE))+(VLOOKUP($C114,Code!$H:$Q,8,FALSE)))/2)-G114,0)</f>
        <v>0.22534351145038178</v>
      </c>
      <c r="J114" s="55" t="str">
        <f>IFERROR(POWER((VLOOKUP(C114,Code!H:W,12,FALSE))/(VLOOKUP(C114,Code!H:W,15,FALSE)),1/(P114-1))-1,"")</f>
        <v/>
      </c>
      <c r="K114" s="55" t="str">
        <f>IFERROR(POWER((VLOOKUP(C114,Code!H:W,13,FALSE))/(VLOOKUP(C114,Code!H:W,16,FALSE)),1/(P114-1))-1,"")</f>
        <v/>
      </c>
      <c r="L114" s="75" t="str">
        <f>IFERROR(VLOOKUP(C114,Code!H:W,13,FALSE)*4/VLOOKUP(C114,Code!H:W,12,FALSE),"")</f>
        <v/>
      </c>
      <c r="M114" s="55" t="str">
        <f t="shared" si="17"/>
        <v/>
      </c>
      <c r="N114" s="55" t="str">
        <f t="shared" si="18"/>
        <v/>
      </c>
      <c r="O114" s="55" t="str">
        <f t="shared" si="19"/>
        <v/>
      </c>
      <c r="P114" s="70">
        <f>IFERROR(YEARFRAC(VLOOKUP(C114,Code!H:W,11,FALSE),VLOOKUP(C114,Code!H:W,14,FALSE),3),"")</f>
        <v>0</v>
      </c>
      <c r="Q114" s="2"/>
      <c r="R114" s="85" t="str">
        <f t="shared" ca="1" si="20"/>
        <v/>
      </c>
      <c r="S114" s="86">
        <f>IFERROR(VLOOKUP($C114,Code!$H:$Q,5,FALSE),"")</f>
        <v>0.2903</v>
      </c>
      <c r="T114" s="88" t="str">
        <f t="shared" ca="1" si="21"/>
        <v/>
      </c>
      <c r="U114" s="89" t="str">
        <f t="shared" ca="1" si="22"/>
        <v/>
      </c>
      <c r="V114" s="90">
        <f>IFERROR(VLOOKUP($C114,Code!$H:$Q,6,FALSE),"")</f>
        <v>405.42</v>
      </c>
      <c r="W114" s="91" t="str">
        <f t="shared" ca="1" si="23"/>
        <v/>
      </c>
      <c r="X114" s="12"/>
      <c r="Y114" s="12"/>
      <c r="Z114" s="12"/>
      <c r="AA114" s="12"/>
      <c r="AB114" s="12"/>
    </row>
    <row r="115" spans="1:28" s="10" customFormat="1" ht="15" hidden="1">
      <c r="A115" s="9"/>
      <c r="B115" s="137">
        <v>2</v>
      </c>
      <c r="C115" s="142" t="s">
        <v>646</v>
      </c>
      <c r="D115" s="82" t="str">
        <f>IFERROR(VLOOKUP($C115,Code!$H:$K,2,FALSE),"")</f>
        <v/>
      </c>
      <c r="E115" s="83" t="str">
        <f>IFERROR(VLOOKUP($C115,Code!$H:$K,3,FALSE),"")</f>
        <v/>
      </c>
      <c r="F115" s="84" t="str">
        <f>IFERROR(VLOOKUP($C115,Code!$H:$K,4,FALSE),"")</f>
        <v>Livia</v>
      </c>
      <c r="G115" s="128">
        <f>_xlfn.IFNA(((VLOOKUP($C115,Code!$H:$Q,9,FALSE))+(VLOOKUP($C115,Code!$H:$Q,10,FALSE)))/2*0.5/(((VLOOKUP($C115,Code!$H:$Q,7,FALSE))+(VLOOKUP($C115,Code!$H:$Q,8,FALSE)))/2),0)</f>
        <v>0.5922563912560207</v>
      </c>
      <c r="H115" s="87" t="str">
        <f t="shared" si="16"/>
        <v>M</v>
      </c>
      <c r="I115" s="128">
        <f>_xlfn.IFNA((VLOOKUP($C115,Code!$H:$Q,5,FALSE))/(((VLOOKUP($C115,Code!$H:$Q,7,FALSE))+(VLOOKUP($C115,Code!$H:$Q,8,FALSE)))/2)-G115,0)</f>
        <v>0.37421267135976288</v>
      </c>
      <c r="J115" s="55" t="str">
        <f>IFERROR(POWER((VLOOKUP(C115,Code!H:W,12,FALSE))/(VLOOKUP(C115,Code!H:W,15,FALSE)),1/(P115-1))-1,"")</f>
        <v/>
      </c>
      <c r="K115" s="55" t="str">
        <f>IFERROR(POWER((VLOOKUP(C115,Code!H:W,13,FALSE))/(VLOOKUP(C115,Code!H:W,16,FALSE)),1/(P115-1))-1,"")</f>
        <v/>
      </c>
      <c r="L115" s="75" t="str">
        <f>IFERROR(VLOOKUP(C115,Code!H:W,13,FALSE)*4/VLOOKUP(C115,Code!H:W,12,FALSE),"")</f>
        <v/>
      </c>
      <c r="M115" s="55" t="str">
        <f t="shared" si="17"/>
        <v/>
      </c>
      <c r="N115" s="55" t="str">
        <f t="shared" si="18"/>
        <v/>
      </c>
      <c r="O115" s="55" t="str">
        <f t="shared" si="19"/>
        <v/>
      </c>
      <c r="P115" s="70">
        <f>IFERROR(YEARFRAC(VLOOKUP(C115,Code!H:W,11,FALSE),VLOOKUP(C115,Code!H:W,14,FALSE),3),"")</f>
        <v>0</v>
      </c>
      <c r="Q115" s="2"/>
      <c r="R115" s="85" t="str">
        <f t="shared" ca="1" si="20"/>
        <v/>
      </c>
      <c r="S115" s="86">
        <f>IFERROR(VLOOKUP($C115,Code!$H:$Q,5,FALSE),"")</f>
        <v>0.52170000000000005</v>
      </c>
      <c r="T115" s="88" t="str">
        <f t="shared" ca="1" si="21"/>
        <v/>
      </c>
      <c r="U115" s="89" t="str">
        <f t="shared" ca="1" si="22"/>
        <v/>
      </c>
      <c r="V115" s="90">
        <f>IFERROR(VLOOKUP($C115,Code!$H:$Q,6,FALSE),"")</f>
        <v>120.01</v>
      </c>
      <c r="W115" s="91" t="str">
        <f t="shared" ca="1" si="23"/>
        <v/>
      </c>
      <c r="X115" s="12"/>
      <c r="Y115" s="12"/>
      <c r="Z115" s="12"/>
      <c r="AA115" s="12"/>
      <c r="AB115" s="12"/>
    </row>
    <row r="116" spans="1:28" s="10" customFormat="1" ht="15" hidden="1">
      <c r="A116" s="9"/>
      <c r="B116" s="137"/>
      <c r="C116" s="142" t="s">
        <v>806</v>
      </c>
      <c r="D116" s="82" t="str">
        <f>IFERROR(VLOOKUP($C116,Code!$H:$K,2,FALSE),"")</f>
        <v/>
      </c>
      <c r="E116" s="83" t="str">
        <f>IFERROR(VLOOKUP($C116,Code!$H:$K,3,FALSE),"")</f>
        <v>新能源</v>
      </c>
      <c r="F116" s="84" t="str">
        <f>IFERROR(VLOOKUP($C116,Code!$H:$K,4,FALSE),"")</f>
        <v>JIT</v>
      </c>
      <c r="G116" s="128">
        <f>_xlfn.IFNA(((VLOOKUP($C116,Code!$H:$Q,9,FALSE))+(VLOOKUP($C116,Code!$H:$Q,10,FALSE)))/2*0.5/(((VLOOKUP($C116,Code!$H:$Q,7,FALSE))+(VLOOKUP($C116,Code!$H:$Q,8,FALSE)))/2),0)</f>
        <v>0.51660966495661542</v>
      </c>
      <c r="H116" s="87" t="str">
        <f t="shared" si="16"/>
        <v>M</v>
      </c>
      <c r="I116" s="128">
        <f>_xlfn.IFNA((VLOOKUP($C116,Code!$H:$Q,5,FALSE))/(((VLOOKUP($C116,Code!$H:$Q,7,FALSE))+(VLOOKUP($C116,Code!$H:$Q,8,FALSE)))/2)-G116,0)</f>
        <v>0.19071822154664642</v>
      </c>
      <c r="J116" s="55" t="str">
        <f>IFERROR(POWER((VLOOKUP(C116,Code!H:W,12,FALSE))/(VLOOKUP(C116,Code!H:W,15,FALSE)),1/(P116-1))-1,"")</f>
        <v/>
      </c>
      <c r="K116" s="55" t="str">
        <f>IFERROR(POWER((VLOOKUP(C116,Code!H:W,13,FALSE))/(VLOOKUP(C116,Code!H:W,16,FALSE)),1/(P116-1))-1,"")</f>
        <v/>
      </c>
      <c r="L116" s="75" t="str">
        <f>IFERROR(VLOOKUP(C116,Code!H:W,13,FALSE)*4/VLOOKUP(C116,Code!H:W,12,FALSE),"")</f>
        <v/>
      </c>
      <c r="M116" s="55" t="str">
        <f t="shared" si="17"/>
        <v/>
      </c>
      <c r="N116" s="55" t="str">
        <f t="shared" si="18"/>
        <v/>
      </c>
      <c r="O116" s="55" t="str">
        <f t="shared" si="19"/>
        <v/>
      </c>
      <c r="P116" s="70">
        <f>IFERROR(YEARFRAC(VLOOKUP(C116,Code!H:W,11,FALSE),VLOOKUP(C116,Code!H:W,14,FALSE),3),"")</f>
        <v>0</v>
      </c>
      <c r="Q116" s="2"/>
      <c r="R116" s="85" t="str">
        <f t="shared" ca="1" si="20"/>
        <v/>
      </c>
      <c r="S116" s="86">
        <f>IFERROR(VLOOKUP($C116,Code!$H:$Q,5,FALSE),"")</f>
        <v>1.1168</v>
      </c>
      <c r="T116" s="88" t="str">
        <f t="shared" ca="1" si="21"/>
        <v/>
      </c>
      <c r="U116" s="89" t="str">
        <f t="shared" ca="1" si="22"/>
        <v/>
      </c>
      <c r="V116" s="90">
        <f>IFERROR(VLOOKUP($C116,Code!$H:$Q,6,FALSE),"")</f>
        <v>11.42</v>
      </c>
      <c r="W116" s="91" t="str">
        <f t="shared" ca="1" si="23"/>
        <v/>
      </c>
      <c r="X116" s="12"/>
      <c r="Y116" s="12"/>
      <c r="Z116" s="12"/>
      <c r="AA116" s="12"/>
      <c r="AB116" s="12"/>
    </row>
    <row r="117" spans="1:28" s="10" customFormat="1" ht="15" hidden="1">
      <c r="A117" s="9"/>
      <c r="B117" s="137">
        <v>4</v>
      </c>
      <c r="C117" s="142" t="s">
        <v>549</v>
      </c>
      <c r="D117" s="82" t="str">
        <f>IFERROR(VLOOKUP($C117,Code!$H:$K,2,FALSE),"")</f>
        <v/>
      </c>
      <c r="E117" s="83" t="str">
        <f>IFERROR(VLOOKUP($C117,Code!$H:$K,3,FALSE),"")</f>
        <v>5G</v>
      </c>
      <c r="F117" s="84" t="str">
        <f>IFERROR(VLOOKUP($C117,Code!$H:$K,4,FALSE),"")</f>
        <v>JIT</v>
      </c>
      <c r="G117" s="128">
        <f>_xlfn.IFNA(((VLOOKUP($C117,Code!$H:$Q,9,FALSE))+(VLOOKUP($C117,Code!$H:$Q,10,FALSE)))/2*0.5/(((VLOOKUP($C117,Code!$H:$Q,7,FALSE))+(VLOOKUP($C117,Code!$H:$Q,8,FALSE)))/2),0)</f>
        <v>1.2121435038478952</v>
      </c>
      <c r="H117" s="87" t="str">
        <f t="shared" si="16"/>
        <v>XL</v>
      </c>
      <c r="I117" s="128">
        <f>_xlfn.IFNA((VLOOKUP($C117,Code!$H:$Q,5,FALSE))/(((VLOOKUP($C117,Code!$H:$Q,7,FALSE))+(VLOOKUP($C117,Code!$H:$Q,8,FALSE)))/2)-G117,0)</f>
        <v>-0.74903802625622462</v>
      </c>
      <c r="J117" s="55">
        <f>IFERROR(POWER((VLOOKUP(C117,Code!H:W,12,FALSE))/(VLOOKUP(C117,Code!H:W,15,FALSE)),1/(P117-1))-1,"")</f>
        <v>-5.1043194640501888E-2</v>
      </c>
      <c r="K117" s="55">
        <f>IFERROR(POWER((VLOOKUP(C117,Code!H:W,13,FALSE))/(VLOOKUP(C117,Code!H:W,16,FALSE)),1/(P117-1))-1,"")</f>
        <v>-0.63144484496207354</v>
      </c>
      <c r="L117" s="75">
        <f>IFERROR(VLOOKUP(C117,Code!H:W,13,FALSE)*4/VLOOKUP(C117,Code!H:W,12,FALSE),"")</f>
        <v>3.9646017029922348E-2</v>
      </c>
      <c r="M117" s="55">
        <f t="shared" si="17"/>
        <v>-0.68248803960257542</v>
      </c>
      <c r="N117" s="55" t="str">
        <f t="shared" si="18"/>
        <v>-</v>
      </c>
      <c r="O117" s="55" t="str">
        <f t="shared" si="19"/>
        <v>-</v>
      </c>
      <c r="P117" s="70">
        <f>IFERROR(YEARFRAC(VLOOKUP(C117,Code!H:W,11,FALSE),VLOOKUP(C117,Code!H:W,14,FALSE),3),"")</f>
        <v>2.1808219178082191</v>
      </c>
      <c r="Q117" s="2"/>
      <c r="R117" s="85" t="str">
        <f t="shared" ca="1" si="20"/>
        <v/>
      </c>
      <c r="S117" s="86">
        <f>IFERROR(VLOOKUP($C117,Code!$H:$Q,5,FALSE),"")</f>
        <v>0.40920000000000001</v>
      </c>
      <c r="T117" s="88" t="str">
        <f t="shared" ca="1" si="21"/>
        <v/>
      </c>
      <c r="U117" s="89" t="str">
        <f t="shared" ca="1" si="22"/>
        <v/>
      </c>
      <c r="V117" s="90">
        <f>IFERROR(VLOOKUP($C117,Code!$H:$Q,6,FALSE),"")</f>
        <v>6.13</v>
      </c>
      <c r="W117" s="91" t="str">
        <f t="shared" ca="1" si="23"/>
        <v/>
      </c>
      <c r="X117" s="12"/>
      <c r="Y117" s="12"/>
      <c r="Z117" s="12"/>
      <c r="AA117" s="12"/>
      <c r="AB117" s="12"/>
    </row>
    <row r="118" spans="1:28" s="10" customFormat="1" ht="15" hidden="1">
      <c r="A118" s="9"/>
      <c r="B118" s="137" t="s">
        <v>878</v>
      </c>
      <c r="C118" s="142" t="s">
        <v>339</v>
      </c>
      <c r="D118" s="82" t="str">
        <f>IFERROR(VLOOKUP($C118,Code!$H:$K,2,FALSE),"")</f>
        <v>XLI</v>
      </c>
      <c r="E118" s="83" t="str">
        <f>IFERROR(VLOOKUP($C118,Code!$H:$K,3,FALSE),"")</f>
        <v>特種工業機械</v>
      </c>
      <c r="F118" s="84" t="str">
        <f>IFERROR(VLOOKUP($C118,Code!$H:$K,4,FALSE),"")</f>
        <v>.SPX</v>
      </c>
      <c r="G118" s="128">
        <f>_xlfn.IFNA(((VLOOKUP($C118,Code!$H:$Q,9,FALSE))+(VLOOKUP($C118,Code!$H:$Q,10,FALSE)))/2*0.5/(((VLOOKUP($C118,Code!$H:$Q,7,FALSE))+(VLOOKUP($C118,Code!$H:$Q,8,FALSE)))/2),0)</f>
        <v>0.48225044780980303</v>
      </c>
      <c r="H118" s="87" t="str">
        <f t="shared" si="16"/>
        <v>S</v>
      </c>
      <c r="I118" s="128">
        <f>_xlfn.IFNA((VLOOKUP($C118,Code!$H:$Q,5,FALSE))/(((VLOOKUP($C118,Code!$H:$Q,7,FALSE))+(VLOOKUP($C118,Code!$H:$Q,8,FALSE)))/2)-G118,0)</f>
        <v>0.22252076209086463</v>
      </c>
      <c r="J118" s="55">
        <f>IFERROR(POWER((VLOOKUP(C118,Code!H:W,12,FALSE))/(VLOOKUP(C118,Code!H:W,15,FALSE)),1/(P118-1))-1,"")</f>
        <v>0.20879293069260352</v>
      </c>
      <c r="K118" s="55">
        <f>IFERROR(POWER((VLOOKUP(C118,Code!H:W,13,FALSE))/(VLOOKUP(C118,Code!H:W,16,FALSE)),1/(P118-1))-1,"")</f>
        <v>1.6426400808692732E-2</v>
      </c>
      <c r="L118" s="75">
        <f>IFERROR(VLOOKUP(C118,Code!H:W,13,FALSE)*4/VLOOKUP(C118,Code!H:W,12,FALSE),"")</f>
        <v>2.1328265436876902E-2</v>
      </c>
      <c r="M118" s="55">
        <f t="shared" si="17"/>
        <v>0.22521933150129625</v>
      </c>
      <c r="N118" s="55" t="str">
        <f t="shared" si="18"/>
        <v>-</v>
      </c>
      <c r="O118" s="55" t="str">
        <f t="shared" si="19"/>
        <v>-</v>
      </c>
      <c r="P118" s="196">
        <f>IFERROR(YEARFRAC(VLOOKUP(C118,Code!H:W,11,FALSE),VLOOKUP(C118,Code!H:W,14,FALSE),3),"")</f>
        <v>4.7589041095890412</v>
      </c>
      <c r="Q118" s="2"/>
      <c r="R118" s="85" t="str">
        <f t="shared" ca="1" si="20"/>
        <v/>
      </c>
      <c r="S118" s="86">
        <f>IFERROR(VLOOKUP($C118,Code!$H:$Q,5,FALSE),"")</f>
        <v>0.21640000000000001</v>
      </c>
      <c r="T118" s="88" t="str">
        <f t="shared" ca="1" si="21"/>
        <v/>
      </c>
      <c r="U118" s="89" t="str">
        <f t="shared" ca="1" si="22"/>
        <v/>
      </c>
      <c r="V118" s="90">
        <f>IFERROR(VLOOKUP($C118,Code!$H:$Q,6,FALSE),"")</f>
        <v>101.18</v>
      </c>
      <c r="W118" s="91" t="str">
        <f t="shared" ca="1" si="23"/>
        <v/>
      </c>
      <c r="X118" s="12"/>
      <c r="Y118" s="12"/>
      <c r="Z118" s="12"/>
      <c r="AA118" s="12"/>
      <c r="AB118" s="12"/>
    </row>
    <row r="119" spans="1:28" s="10" customFormat="1" ht="15" hidden="1">
      <c r="A119" s="9"/>
      <c r="B119" s="137" t="s">
        <v>878</v>
      </c>
      <c r="C119" s="142" t="s">
        <v>758</v>
      </c>
      <c r="D119" s="82" t="str">
        <f>IFERROR(VLOOKUP($C119,Code!$H:$K,2,FALSE),"")</f>
        <v/>
      </c>
      <c r="E119" s="83" t="str">
        <f>IFERROR(VLOOKUP($C119,Code!$H:$K,3,FALSE),"")</f>
        <v/>
      </c>
      <c r="F119" s="84" t="str">
        <f>IFERROR(VLOOKUP($C119,Code!$H:$K,4,FALSE),"")</f>
        <v>JIT</v>
      </c>
      <c r="G119" s="128">
        <f>_xlfn.IFNA(((VLOOKUP($C119,Code!$H:$Q,9,FALSE))+(VLOOKUP($C119,Code!$H:$Q,10,FALSE)))/2*0.5/(((VLOOKUP($C119,Code!$H:$Q,7,FALSE))+(VLOOKUP($C119,Code!$H:$Q,8,FALSE)))/2),0)</f>
        <v>0.50196565280364169</v>
      </c>
      <c r="H119" s="87" t="str">
        <f t="shared" si="16"/>
        <v>M</v>
      </c>
      <c r="I119" s="128">
        <f>_xlfn.IFNA((VLOOKUP($C119,Code!$H:$Q,5,FALSE))/(((VLOOKUP($C119,Code!$H:$Q,7,FALSE))+(VLOOKUP($C119,Code!$H:$Q,8,FALSE)))/2)-G119,0)</f>
        <v>0.42458100558659218</v>
      </c>
      <c r="J119" s="55" t="str">
        <f>IFERROR(POWER((VLOOKUP(C119,Code!H:W,12,FALSE))/(VLOOKUP(C119,Code!H:W,15,FALSE)),1/(P119-1))-1,"")</f>
        <v/>
      </c>
      <c r="K119" s="55" t="str">
        <f>IFERROR(POWER((VLOOKUP(C119,Code!H:W,13,FALSE))/(VLOOKUP(C119,Code!H:W,16,FALSE)),1/(P119-1))-1,"")</f>
        <v/>
      </c>
      <c r="L119" s="75" t="str">
        <f>IFERROR(VLOOKUP(C119,Code!H:W,13,FALSE)*4/VLOOKUP(C119,Code!H:W,12,FALSE),"")</f>
        <v/>
      </c>
      <c r="M119" s="55" t="str">
        <f t="shared" si="17"/>
        <v/>
      </c>
      <c r="N119" s="55" t="str">
        <f t="shared" si="18"/>
        <v/>
      </c>
      <c r="O119" s="55" t="str">
        <f t="shared" si="19"/>
        <v/>
      </c>
      <c r="P119" s="70">
        <f>IFERROR(YEARFRAC(VLOOKUP(C119,Code!H:W,11,FALSE),VLOOKUP(C119,Code!H:W,14,FALSE),3),"")</f>
        <v>0</v>
      </c>
      <c r="Q119" s="2"/>
      <c r="R119" s="85" t="str">
        <f t="shared" ca="1" si="20"/>
        <v/>
      </c>
      <c r="S119" s="86">
        <f>IFERROR(VLOOKUP($C119,Code!$H:$Q,5,FALSE),"")</f>
        <v>0.44779999999999998</v>
      </c>
      <c r="T119" s="88" t="str">
        <f t="shared" ca="1" si="21"/>
        <v/>
      </c>
      <c r="U119" s="89" t="str">
        <f t="shared" ca="1" si="22"/>
        <v/>
      </c>
      <c r="V119" s="90">
        <f>IFERROR(VLOOKUP($C119,Code!$H:$Q,6,FALSE),"")</f>
        <v>201</v>
      </c>
      <c r="W119" s="91" t="str">
        <f t="shared" ca="1" si="23"/>
        <v/>
      </c>
      <c r="X119" s="12"/>
      <c r="Y119" s="12"/>
      <c r="Z119" s="12"/>
      <c r="AA119" s="12"/>
      <c r="AB119" s="12"/>
    </row>
    <row r="120" spans="1:28" s="10" customFormat="1" ht="15" hidden="1">
      <c r="A120" s="9"/>
      <c r="B120" s="137">
        <v>1</v>
      </c>
      <c r="C120" s="142" t="s">
        <v>655</v>
      </c>
      <c r="D120" s="82" t="str">
        <f>IFERROR(VLOOKUP($C120,Code!$H:$K,2,FALSE),"")</f>
        <v/>
      </c>
      <c r="E120" s="83" t="str">
        <f>IFERROR(VLOOKUP($C120,Code!$H:$K,3,FALSE),"")</f>
        <v/>
      </c>
      <c r="F120" s="84" t="str">
        <f>IFERROR(VLOOKUP($C120,Code!$H:$K,4,FALSE),"")</f>
        <v>Livia</v>
      </c>
      <c r="G120" s="128">
        <f>_xlfn.IFNA(((VLOOKUP($C120,Code!$H:$Q,9,FALSE))+(VLOOKUP($C120,Code!$H:$Q,10,FALSE)))/2*0.5/(((VLOOKUP($C120,Code!$H:$Q,7,FALSE))+(VLOOKUP($C120,Code!$H:$Q,8,FALSE)))/2),0)</f>
        <v>0.48049018870761595</v>
      </c>
      <c r="H120" s="87" t="str">
        <f t="shared" si="16"/>
        <v>S</v>
      </c>
      <c r="I120" s="128">
        <f>_xlfn.IFNA((VLOOKUP($C120,Code!$H:$Q,5,FALSE))/(((VLOOKUP($C120,Code!$H:$Q,7,FALSE))+(VLOOKUP($C120,Code!$H:$Q,8,FALSE)))/2)-G120,0)</f>
        <v>0.51702879482745656</v>
      </c>
      <c r="J120" s="55" t="str">
        <f>IFERROR(POWER((VLOOKUP(C120,Code!H:W,12,FALSE))/(VLOOKUP(C120,Code!H:W,15,FALSE)),1/(P120-1))-1,"")</f>
        <v/>
      </c>
      <c r="K120" s="55" t="str">
        <f>IFERROR(POWER((VLOOKUP(C120,Code!H:W,13,FALSE))/(VLOOKUP(C120,Code!H:W,16,FALSE)),1/(P120-1))-1,"")</f>
        <v/>
      </c>
      <c r="L120" s="75" t="str">
        <f>IFERROR(VLOOKUP(C120,Code!H:W,13,FALSE)*4/VLOOKUP(C120,Code!H:W,12,FALSE),"")</f>
        <v/>
      </c>
      <c r="M120" s="55" t="str">
        <f t="shared" si="17"/>
        <v/>
      </c>
      <c r="N120" s="55" t="str">
        <f t="shared" si="18"/>
        <v/>
      </c>
      <c r="O120" s="55" t="str">
        <f t="shared" si="19"/>
        <v/>
      </c>
      <c r="P120" s="70">
        <f>IFERROR(YEARFRAC(VLOOKUP(C120,Code!H:W,11,FALSE),VLOOKUP(C120,Code!H:W,14,FALSE),3),"")</f>
        <v>0</v>
      </c>
      <c r="Q120" s="2"/>
      <c r="R120" s="85" t="str">
        <f t="shared" ca="1" si="20"/>
        <v/>
      </c>
      <c r="S120" s="86">
        <f>IFERROR(VLOOKUP($C120,Code!$H:$Q,5,FALSE),"")</f>
        <v>0.66339999999999999</v>
      </c>
      <c r="T120" s="88" t="str">
        <f t="shared" ca="1" si="21"/>
        <v/>
      </c>
      <c r="U120" s="89" t="str">
        <f t="shared" ca="1" si="22"/>
        <v/>
      </c>
      <c r="V120" s="90">
        <f>IFERROR(VLOOKUP($C120,Code!$H:$Q,6,FALSE),"")</f>
        <v>91.88</v>
      </c>
      <c r="W120" s="91" t="str">
        <f t="shared" ca="1" si="23"/>
        <v/>
      </c>
      <c r="X120" s="12"/>
      <c r="Y120" s="12"/>
      <c r="Z120" s="12"/>
      <c r="AA120" s="12"/>
      <c r="AB120" s="12"/>
    </row>
    <row r="121" spans="1:28" s="10" customFormat="1" ht="15" hidden="1">
      <c r="A121" s="9"/>
      <c r="B121" s="137" t="s">
        <v>535</v>
      </c>
      <c r="C121" s="142" t="s">
        <v>370</v>
      </c>
      <c r="D121" s="82" t="str">
        <f>IFERROR(VLOOKUP($C121,Code!$H:$K,2,FALSE),"")</f>
        <v>XLU</v>
      </c>
      <c r="E121" s="83" t="str">
        <f>IFERROR(VLOOKUP($C121,Code!$H:$K,3,FALSE),"")</f>
        <v>公用事業-獨立發電商</v>
      </c>
      <c r="F121" s="84" t="str">
        <f>IFERROR(VLOOKUP($C121,Code!$H:$K,4,FALSE),"")</f>
        <v>.SPX</v>
      </c>
      <c r="G121" s="128">
        <f>_xlfn.IFNA(((VLOOKUP($C121,Code!$H:$Q,9,FALSE))+(VLOOKUP($C121,Code!$H:$Q,10,FALSE)))/2*0.5/(((VLOOKUP($C121,Code!$H:$Q,7,FALSE))+(VLOOKUP($C121,Code!$H:$Q,8,FALSE)))/2),0)</f>
        <v>0.4972115189616711</v>
      </c>
      <c r="H121" s="87" t="str">
        <f t="shared" si="16"/>
        <v>S</v>
      </c>
      <c r="I121" s="128">
        <f>_xlfn.IFNA((VLOOKUP($C121,Code!$H:$Q,5,FALSE))/(((VLOOKUP($C121,Code!$H:$Q,7,FALSE))+(VLOOKUP($C121,Code!$H:$Q,8,FALSE)))/2)-G121,0)</f>
        <v>9.1918474954370277E-2</v>
      </c>
      <c r="J121" s="55">
        <f>IFERROR(POWER((VLOOKUP(C121,Code!H:W,12,FALSE))/(VLOOKUP(C121,Code!H:W,15,FALSE)),1/(P121-1))-1,"")</f>
        <v>0.47515252471408176</v>
      </c>
      <c r="K121" s="55">
        <f>IFERROR(POWER((VLOOKUP(C121,Code!H:W,13,FALSE))/(VLOOKUP(C121,Code!H:W,16,FALSE)),1/(P121-1))-1,"")</f>
        <v>0.88574824294427379</v>
      </c>
      <c r="L121" s="75">
        <f>IFERROR(VLOOKUP(C121,Code!H:W,13,FALSE)*4/VLOOKUP(C121,Code!H:W,12,FALSE),"")</f>
        <v>3.1522792121484969E-2</v>
      </c>
      <c r="M121" s="55">
        <f t="shared" si="17"/>
        <v>1.3609007676583555</v>
      </c>
      <c r="N121" s="55" t="str">
        <f t="shared" si="18"/>
        <v>Venture</v>
      </c>
      <c r="O121" s="55" t="str">
        <f t="shared" si="19"/>
        <v>-</v>
      </c>
      <c r="P121" s="196">
        <f>IFERROR(YEARFRAC(VLOOKUP(C121,Code!H:W,11,FALSE),VLOOKUP(C121,Code!H:W,14,FALSE),3),"")</f>
        <v>4.7561643835616438</v>
      </c>
      <c r="Q121" s="2"/>
      <c r="R121" s="85" t="str">
        <f t="shared" ca="1" si="20"/>
        <v/>
      </c>
      <c r="S121" s="86">
        <f>IFERROR(VLOOKUP($C121,Code!$H:$Q,5,FALSE),"")</f>
        <v>0.29049999999999998</v>
      </c>
      <c r="T121" s="88" t="str">
        <f t="shared" ca="1" si="21"/>
        <v/>
      </c>
      <c r="U121" s="89" t="str">
        <f t="shared" ca="1" si="22"/>
        <v/>
      </c>
      <c r="V121" s="90">
        <f>IFERROR(VLOOKUP($C121,Code!$H:$Q,6,FALSE),"")</f>
        <v>41.97</v>
      </c>
      <c r="W121" s="91" t="str">
        <f t="shared" ca="1" si="23"/>
        <v/>
      </c>
      <c r="X121" s="12"/>
      <c r="Y121" s="12"/>
      <c r="Z121" s="12"/>
      <c r="AA121" s="12"/>
      <c r="AB121" s="12"/>
    </row>
    <row r="122" spans="1:28" s="10" customFormat="1" ht="15" hidden="1">
      <c r="A122" s="9"/>
      <c r="B122" s="137"/>
      <c r="C122" s="142" t="s">
        <v>131</v>
      </c>
      <c r="D122" s="82" t="str">
        <f>IFERROR(VLOOKUP($C122,Code!$H:$K,2,FALSE),"")</f>
        <v>XLK</v>
      </c>
      <c r="E122" s="83" t="str">
        <f>IFERROR(VLOOKUP($C122,Code!$H:$K,3,FALSE),"")</f>
        <v>半導體</v>
      </c>
      <c r="F122" s="84" t="str">
        <f>IFERROR(VLOOKUP($C122,Code!$H:$K,4,FALSE),"")</f>
        <v>.SPX</v>
      </c>
      <c r="G122" s="128">
        <f>_xlfn.IFNA(((VLOOKUP($C122,Code!$H:$Q,9,FALSE))+(VLOOKUP($C122,Code!$H:$Q,10,FALSE)))/2*0.5/(((VLOOKUP($C122,Code!$H:$Q,7,FALSE))+(VLOOKUP($C122,Code!$H:$Q,8,FALSE)))/2),0)</f>
        <v>0.46926840911803319</v>
      </c>
      <c r="H122" s="87" t="str">
        <f t="shared" si="16"/>
        <v>S</v>
      </c>
      <c r="I122" s="128">
        <f>_xlfn.IFNA((VLOOKUP($C122,Code!$H:$Q,5,FALSE))/(((VLOOKUP($C122,Code!$H:$Q,7,FALSE))+(VLOOKUP($C122,Code!$H:$Q,8,FALSE)))/2)-G122,0)</f>
        <v>0.25134264232008591</v>
      </c>
      <c r="J122" s="55">
        <f>IFERROR(POWER((VLOOKUP(C122,Code!H:W,12,FALSE))/(VLOOKUP(C122,Code!H:W,15,FALSE)),1/(P122-1))-1,"")</f>
        <v>0.29822620982756298</v>
      </c>
      <c r="K122" s="55">
        <f>IFERROR(POWER((VLOOKUP(C122,Code!H:W,13,FALSE))/(VLOOKUP(C122,Code!H:W,16,FALSE)),1/(P122-1))-1,"")</f>
        <v>3.724155984180566E-2</v>
      </c>
      <c r="L122" s="75">
        <f>IFERROR(VLOOKUP(C122,Code!H:W,13,FALSE)*4/VLOOKUP(C122,Code!H:W,12,FALSE),"")</f>
        <v>1.092954063320295E-2</v>
      </c>
      <c r="M122" s="55">
        <f t="shared" si="17"/>
        <v>0.33546776966936864</v>
      </c>
      <c r="N122" s="55" t="str">
        <f t="shared" si="18"/>
        <v>-</v>
      </c>
      <c r="O122" s="55" t="str">
        <f t="shared" si="19"/>
        <v>-</v>
      </c>
      <c r="P122" s="196">
        <f>IFERROR(YEARFRAC(VLOOKUP(C122,Code!H:W,11,FALSE),VLOOKUP(C122,Code!H:W,14,FALSE),3),"")</f>
        <v>4.7561643835616438</v>
      </c>
      <c r="Q122" s="2"/>
      <c r="R122" s="85" t="str">
        <f t="shared" ca="1" si="20"/>
        <v/>
      </c>
      <c r="S122" s="86">
        <f>IFERROR(VLOOKUP($C122,Code!$H:$Q,5,FALSE),"")</f>
        <v>0.3019</v>
      </c>
      <c r="T122" s="88" t="str">
        <f t="shared" ca="1" si="21"/>
        <v/>
      </c>
      <c r="U122" s="89" t="str">
        <f t="shared" ca="1" si="22"/>
        <v/>
      </c>
      <c r="V122" s="90">
        <f>IFERROR(VLOOKUP($C122,Code!$H:$Q,6,FALSE),"")</f>
        <v>149.78</v>
      </c>
      <c r="W122" s="91" t="str">
        <f t="shared" ca="1" si="23"/>
        <v/>
      </c>
      <c r="X122" s="12"/>
      <c r="Y122" s="12"/>
      <c r="Z122" s="12"/>
      <c r="AA122" s="12"/>
      <c r="AB122" s="12"/>
    </row>
    <row r="123" spans="1:28" s="10" customFormat="1" ht="15" hidden="1">
      <c r="A123" s="9"/>
      <c r="B123" s="137" t="s">
        <v>878</v>
      </c>
      <c r="C123" s="142" t="s">
        <v>750</v>
      </c>
      <c r="D123" s="82" t="str">
        <f>IFERROR(VLOOKUP($C123,Code!$H:$K,2,FALSE),"")</f>
        <v/>
      </c>
      <c r="E123" s="83" t="str">
        <f>IFERROR(VLOOKUP($C123,Code!$H:$K,3,FALSE),"")</f>
        <v/>
      </c>
      <c r="F123" s="84" t="str">
        <f>IFERROR(VLOOKUP($C123,Code!$H:$K,4,FALSE),"")</f>
        <v>JIT</v>
      </c>
      <c r="G123" s="128">
        <f>_xlfn.IFNA(((VLOOKUP($C123,Code!$H:$Q,9,FALSE))+(VLOOKUP($C123,Code!$H:$Q,10,FALSE)))/2*0.5/(((VLOOKUP($C123,Code!$H:$Q,7,FALSE))+(VLOOKUP($C123,Code!$H:$Q,8,FALSE)))/2),0)</f>
        <v>0.61511013215859034</v>
      </c>
      <c r="H123" s="87" t="str">
        <f t="shared" si="16"/>
        <v>L</v>
      </c>
      <c r="I123" s="128">
        <f>_xlfn.IFNA((VLOOKUP($C123,Code!$H:$Q,5,FALSE))/(((VLOOKUP($C123,Code!$H:$Q,7,FALSE))+(VLOOKUP($C123,Code!$H:$Q,8,FALSE)))/2)-G123,0)</f>
        <v>0.11863436123348015</v>
      </c>
      <c r="J123" s="55" t="str">
        <f>IFERROR(POWER((VLOOKUP(C123,Code!H:W,12,FALSE))/(VLOOKUP(C123,Code!H:W,15,FALSE)),1/(P123-1))-1,"")</f>
        <v/>
      </c>
      <c r="K123" s="55" t="str">
        <f>IFERROR(POWER((VLOOKUP(C123,Code!H:W,13,FALSE))/(VLOOKUP(C123,Code!H:W,16,FALSE)),1/(P123-1))-1,"")</f>
        <v/>
      </c>
      <c r="L123" s="75" t="str">
        <f>IFERROR(VLOOKUP(C123,Code!H:W,13,FALSE)*4/VLOOKUP(C123,Code!H:W,12,FALSE),"")</f>
        <v/>
      </c>
      <c r="M123" s="55" t="str">
        <f t="shared" si="17"/>
        <v/>
      </c>
      <c r="N123" s="55" t="str">
        <f t="shared" si="18"/>
        <v/>
      </c>
      <c r="O123" s="55" t="str">
        <f t="shared" si="19"/>
        <v/>
      </c>
      <c r="P123" s="70">
        <f>IFERROR(YEARFRAC(VLOOKUP(C123,Code!H:W,11,FALSE),VLOOKUP(C123,Code!H:W,14,FALSE),3),"")</f>
        <v>0</v>
      </c>
      <c r="Q123" s="2"/>
      <c r="R123" s="85" t="str">
        <f t="shared" ca="1" si="20"/>
        <v/>
      </c>
      <c r="S123" s="86">
        <f>IFERROR(VLOOKUP($C123,Code!$H:$Q,5,FALSE),"")</f>
        <v>0.41639999999999999</v>
      </c>
      <c r="T123" s="88" t="str">
        <f t="shared" ca="1" si="21"/>
        <v/>
      </c>
      <c r="U123" s="89" t="str">
        <f t="shared" ca="1" si="22"/>
        <v/>
      </c>
      <c r="V123" s="90">
        <f>IFERROR(VLOOKUP($C123,Code!$H:$Q,6,FALSE),"")</f>
        <v>57.34</v>
      </c>
      <c r="W123" s="91" t="str">
        <f t="shared" ca="1" si="23"/>
        <v/>
      </c>
      <c r="X123" s="12"/>
      <c r="Y123" s="12"/>
      <c r="Z123" s="12"/>
      <c r="AA123" s="12"/>
      <c r="AB123" s="12"/>
    </row>
    <row r="124" spans="1:28" s="10" customFormat="1" ht="15" hidden="1">
      <c r="A124" s="9"/>
      <c r="B124" s="137" t="s">
        <v>878</v>
      </c>
      <c r="C124" s="142" t="s">
        <v>766</v>
      </c>
      <c r="D124" s="82" t="str">
        <f>IFERROR(VLOOKUP($C124,Code!$H:$K,2,FALSE),"")</f>
        <v/>
      </c>
      <c r="E124" s="83" t="str">
        <f>IFERROR(VLOOKUP($C124,Code!$H:$K,3,FALSE),"")</f>
        <v/>
      </c>
      <c r="F124" s="84" t="str">
        <f>IFERROR(VLOOKUP($C124,Code!$H:$K,4,FALSE),"")</f>
        <v>JIT</v>
      </c>
      <c r="G124" s="128">
        <f>_xlfn.IFNA(((VLOOKUP($C124,Code!$H:$Q,9,FALSE))+(VLOOKUP($C124,Code!$H:$Q,10,FALSE)))/2*0.5/(((VLOOKUP($C124,Code!$H:$Q,7,FALSE))+(VLOOKUP($C124,Code!$H:$Q,8,FALSE)))/2),0)</f>
        <v>0.53470480013380162</v>
      </c>
      <c r="H124" s="87" t="str">
        <f t="shared" si="16"/>
        <v>M</v>
      </c>
      <c r="I124" s="128">
        <f>_xlfn.IFNA((VLOOKUP($C124,Code!$H:$Q,5,FALSE))/(((VLOOKUP($C124,Code!$H:$Q,7,FALSE))+(VLOOKUP($C124,Code!$H:$Q,8,FALSE)))/2)-G124,0)</f>
        <v>0.37614985783575849</v>
      </c>
      <c r="J124" s="55">
        <f>IFERROR(POWER((VLOOKUP(C124,Code!H:W,12,FALSE))/(VLOOKUP(C124,Code!H:W,15,FALSE)),1/(P124-1))-1,"")</f>
        <v>0.48134030857261756</v>
      </c>
      <c r="K124" s="55">
        <f>IFERROR(POWER((VLOOKUP(C124,Code!H:W,13,FALSE))/(VLOOKUP(C124,Code!H:W,16,FALSE)),1/(P124-1))-1,"")</f>
        <v>-2.570065411986111E-2</v>
      </c>
      <c r="L124" s="75">
        <f>IFERROR(VLOOKUP(C124,Code!H:W,13,FALSE)*4/VLOOKUP(C124,Code!H:W,12,FALSE),"")</f>
        <v>1.0331314683037662E-2</v>
      </c>
      <c r="M124" s="55">
        <f t="shared" si="17"/>
        <v>0.45563965445275645</v>
      </c>
      <c r="N124" s="55" t="str">
        <f t="shared" si="18"/>
        <v>-</v>
      </c>
      <c r="O124" s="55" t="str">
        <f t="shared" si="19"/>
        <v>-</v>
      </c>
      <c r="P124" s="196">
        <f>IFERROR(YEARFRAC(VLOOKUP(C124,Code!H:W,11,FALSE),VLOOKUP(C124,Code!H:W,14,FALSE),3),"")</f>
        <v>4.7808219178082192</v>
      </c>
      <c r="Q124" s="2"/>
      <c r="R124" s="85" t="str">
        <f t="shared" ca="1" si="20"/>
        <v/>
      </c>
      <c r="S124" s="86">
        <f>IFERROR(VLOOKUP($C124,Code!$H:$Q,5,FALSE),"")</f>
        <v>0.27229999999999999</v>
      </c>
      <c r="T124" s="88" t="str">
        <f t="shared" ca="1" si="21"/>
        <v/>
      </c>
      <c r="U124" s="89" t="str">
        <f t="shared" ca="1" si="22"/>
        <v/>
      </c>
      <c r="V124" s="90">
        <f>IFERROR(VLOOKUP($C124,Code!$H:$Q,6,FALSE),"")</f>
        <v>63.76</v>
      </c>
      <c r="W124" s="91" t="str">
        <f t="shared" ca="1" si="23"/>
        <v/>
      </c>
      <c r="X124" s="12"/>
      <c r="Y124" s="12"/>
      <c r="Z124" s="12"/>
      <c r="AA124" s="12"/>
      <c r="AB124" s="12"/>
    </row>
    <row r="125" spans="1:28" s="10" customFormat="1" ht="15" hidden="1">
      <c r="A125" s="9"/>
      <c r="B125" s="137">
        <v>1</v>
      </c>
      <c r="C125" s="142" t="s">
        <v>56</v>
      </c>
      <c r="D125" s="82" t="str">
        <f>IFERROR(VLOOKUP($C125,Code!$H:$K,2,FALSE),"")</f>
        <v>XLK</v>
      </c>
      <c r="E125" s="83" t="str">
        <f>IFERROR(VLOOKUP($C125,Code!$H:$K,3,FALSE),"")</f>
        <v>信貸服務</v>
      </c>
      <c r="F125" s="84" t="str">
        <f>IFERROR(VLOOKUP($C125,Code!$H:$K,4,FALSE),"")</f>
        <v>.SPX</v>
      </c>
      <c r="G125" s="128">
        <f>_xlfn.IFNA(((VLOOKUP($C125,Code!$H:$Q,9,FALSE))+(VLOOKUP($C125,Code!$H:$Q,10,FALSE)))/2*0.5/(((VLOOKUP($C125,Code!$H:$Q,7,FALSE))+(VLOOKUP($C125,Code!$H:$Q,8,FALSE)))/2),0)</f>
        <v>0.53117398540519789</v>
      </c>
      <c r="H125" s="87" t="str">
        <f t="shared" si="16"/>
        <v>M</v>
      </c>
      <c r="I125" s="128">
        <f>_xlfn.IFNA((VLOOKUP($C125,Code!$H:$Q,5,FALSE))/(((VLOOKUP($C125,Code!$H:$Q,7,FALSE))+(VLOOKUP($C125,Code!$H:$Q,8,FALSE)))/2)-G125,0)</f>
        <v>0.13071309691460764</v>
      </c>
      <c r="J125" s="55" t="str">
        <f>IFERROR(POWER((VLOOKUP(C125,Code!H:W,12,FALSE))/(VLOOKUP(C125,Code!H:W,15,FALSE)),1/(P125-1))-1,"")</f>
        <v/>
      </c>
      <c r="K125" s="55" t="str">
        <f>IFERROR(POWER((VLOOKUP(C125,Code!H:W,13,FALSE))/(VLOOKUP(C125,Code!H:W,16,FALSE)),1/(P125-1))-1,"")</f>
        <v/>
      </c>
      <c r="L125" s="75" t="str">
        <f>IFERROR(VLOOKUP(C125,Code!H:W,13,FALSE)*4/VLOOKUP(C125,Code!H:W,12,FALSE),"")</f>
        <v/>
      </c>
      <c r="M125" s="55" t="str">
        <f t="shared" si="17"/>
        <v/>
      </c>
      <c r="N125" s="55" t="str">
        <f t="shared" si="18"/>
        <v/>
      </c>
      <c r="O125" s="55" t="str">
        <f t="shared" si="19"/>
        <v/>
      </c>
      <c r="P125" s="70">
        <f>IFERROR(YEARFRAC(VLOOKUP(C125,Code!H:W,11,FALSE),VLOOKUP(C125,Code!H:W,14,FALSE),3),"")</f>
        <v>0</v>
      </c>
      <c r="Q125" s="2"/>
      <c r="R125" s="85" t="str">
        <f t="shared" ca="1" si="20"/>
        <v/>
      </c>
      <c r="S125" s="86">
        <f>IFERROR(VLOOKUP($C125,Code!$H:$Q,5,FALSE),"")</f>
        <v>0.25850000000000001</v>
      </c>
      <c r="T125" s="88" t="str">
        <f t="shared" ca="1" si="21"/>
        <v/>
      </c>
      <c r="U125" s="89" t="str">
        <f t="shared" ca="1" si="22"/>
        <v/>
      </c>
      <c r="V125" s="90">
        <f>IFERROR(VLOOKUP($C125,Code!$H:$Q,6,FALSE),"")</f>
        <v>280.67</v>
      </c>
      <c r="W125" s="91" t="str">
        <f t="shared" ca="1" si="23"/>
        <v/>
      </c>
      <c r="X125" s="12"/>
      <c r="Y125" s="12"/>
      <c r="Z125" s="12"/>
      <c r="AA125" s="12"/>
      <c r="AB125" s="12"/>
    </row>
    <row r="126" spans="1:28" s="10" customFormat="1" ht="15" hidden="1">
      <c r="A126" s="9"/>
      <c r="B126" s="137">
        <v>2</v>
      </c>
      <c r="C126" s="142" t="s">
        <v>1097</v>
      </c>
      <c r="D126" s="82" t="str">
        <f>IFERROR(VLOOKUP($C126,Code!$H:$K,2,FALSE),"")</f>
        <v>XLK</v>
      </c>
      <c r="E126" s="83" t="str">
        <f>IFERROR(VLOOKUP($C126,Code!$H:$K,3,FALSE),"")</f>
        <v>半導體</v>
      </c>
      <c r="F126" s="84" t="str">
        <f>IFERROR(VLOOKUP($C126,Code!$H:$K,4,FALSE),"")</f>
        <v>.SPX</v>
      </c>
      <c r="G126" s="128">
        <f>_xlfn.IFNA(((VLOOKUP($C126,Code!$H:$Q,9,FALSE))+(VLOOKUP($C126,Code!$H:$Q,10,FALSE)))/2*0.5/(((VLOOKUP($C126,Code!$H:$Q,7,FALSE))+(VLOOKUP($C126,Code!$H:$Q,8,FALSE)))/2),0)</f>
        <v>0.51707350521119033</v>
      </c>
      <c r="H126" s="87" t="str">
        <f t="shared" si="16"/>
        <v>M</v>
      </c>
      <c r="I126" s="128">
        <f>_xlfn.IFNA((VLOOKUP($C126,Code!$H:$Q,5,FALSE))/(((VLOOKUP($C126,Code!$H:$Q,7,FALSE))+(VLOOKUP($C126,Code!$H:$Q,8,FALSE)))/2)-G126,0)</f>
        <v>0.14447339550191995</v>
      </c>
      <c r="J126" s="55">
        <f>IFERROR(POWER((VLOOKUP(C126,Code!H:W,12,FALSE))/(VLOOKUP(C126,Code!H:W,15,FALSE)),1/(P126-1))-1,"")</f>
        <v>0.27375828256067414</v>
      </c>
      <c r="K126" s="55">
        <f>IFERROR(POWER((VLOOKUP(C126,Code!H:W,13,FALSE))/(VLOOKUP(C126,Code!H:W,16,FALSE)),1/(P126-1))-1,"")</f>
        <v>6.8495763628348305E-2</v>
      </c>
      <c r="L126" s="75">
        <f>IFERROR(VLOOKUP(C126,Code!H:W,13,FALSE)*4/VLOOKUP(C126,Code!H:W,12,FALSE),"")</f>
        <v>2.0325809678144811E-2</v>
      </c>
      <c r="M126" s="55">
        <f t="shared" si="17"/>
        <v>0.34225404618902244</v>
      </c>
      <c r="N126" s="55" t="str">
        <f t="shared" si="18"/>
        <v>-</v>
      </c>
      <c r="O126" s="55" t="str">
        <f t="shared" si="19"/>
        <v>-</v>
      </c>
      <c r="P126" s="196">
        <f>IFERROR(YEARFRAC(VLOOKUP(C126,Code!H:W,11,FALSE),VLOOKUP(C126,Code!H:W,14,FALSE),3),"")</f>
        <v>4.7616438356164386</v>
      </c>
      <c r="Q126" s="2"/>
      <c r="R126" s="85" t="str">
        <f t="shared" ca="1" si="20"/>
        <v/>
      </c>
      <c r="S126" s="86">
        <f>IFERROR(VLOOKUP($C126,Code!$H:$Q,5,FALSE),"")</f>
        <v>0.2412</v>
      </c>
      <c r="T126" s="88" t="str">
        <f t="shared" ca="1" si="21"/>
        <v/>
      </c>
      <c r="U126" s="89" t="str">
        <f t="shared" ca="1" si="22"/>
        <v/>
      </c>
      <c r="V126" s="90">
        <f>IFERROR(VLOOKUP($C126,Code!$H:$Q,6,FALSE),"")</f>
        <v>146.83000000000001</v>
      </c>
      <c r="W126" s="91" t="str">
        <f t="shared" ca="1" si="23"/>
        <v/>
      </c>
      <c r="X126" s="12"/>
      <c r="Y126" s="12"/>
      <c r="Z126" s="12"/>
      <c r="AA126" s="12"/>
      <c r="AB126" s="12"/>
    </row>
    <row r="127" spans="1:28" s="10" customFormat="1" ht="15" hidden="1">
      <c r="A127" s="9"/>
      <c r="B127" s="137">
        <v>2</v>
      </c>
      <c r="C127" s="142" t="s">
        <v>933</v>
      </c>
      <c r="D127" s="82" t="str">
        <f>IFERROR(VLOOKUP($C127,Code!$H:$K,2,FALSE),"")</f>
        <v/>
      </c>
      <c r="E127" s="83" t="str">
        <f>IFERROR(VLOOKUP($C127,Code!$H:$K,3,FALSE),"")</f>
        <v/>
      </c>
      <c r="F127" s="84" t="str">
        <f>IFERROR(VLOOKUP($C127,Code!$H:$K,4,FALSE),"")</f>
        <v>Livia</v>
      </c>
      <c r="G127" s="128">
        <f>_xlfn.IFNA(((VLOOKUP($C127,Code!$H:$Q,9,FALSE))+(VLOOKUP($C127,Code!$H:$Q,10,FALSE)))/2*0.5/(((VLOOKUP($C127,Code!$H:$Q,7,FALSE))+(VLOOKUP($C127,Code!$H:$Q,8,FALSE)))/2),0)</f>
        <v>0.62461025696161709</v>
      </c>
      <c r="H127" s="87" t="str">
        <f t="shared" si="16"/>
        <v>L</v>
      </c>
      <c r="I127" s="128">
        <f>_xlfn.IFNA((VLOOKUP($C127,Code!$H:$Q,5,FALSE))/(((VLOOKUP($C127,Code!$H:$Q,7,FALSE))+(VLOOKUP($C127,Code!$H:$Q,8,FALSE)))/2)-G127,0)</f>
        <v>0.16369207612084713</v>
      </c>
      <c r="J127" s="55" t="str">
        <f>IFERROR(POWER((VLOOKUP(C127,Code!H:W,12,FALSE))/(VLOOKUP(C127,Code!H:W,15,FALSE)),1/(P127-1))-1,"")</f>
        <v/>
      </c>
      <c r="K127" s="55" t="str">
        <f>IFERROR(POWER((VLOOKUP(C127,Code!H:W,13,FALSE))/(VLOOKUP(C127,Code!H:W,16,FALSE)),1/(P127-1))-1,"")</f>
        <v/>
      </c>
      <c r="L127" s="75" t="str">
        <f>IFERROR(VLOOKUP(C127,Code!H:W,13,FALSE)*4/VLOOKUP(C127,Code!H:W,12,FALSE),"")</f>
        <v/>
      </c>
      <c r="M127" s="55" t="str">
        <f t="shared" si="17"/>
        <v/>
      </c>
      <c r="N127" s="55" t="str">
        <f t="shared" si="18"/>
        <v/>
      </c>
      <c r="O127" s="55" t="str">
        <f t="shared" si="19"/>
        <v/>
      </c>
      <c r="P127" s="70">
        <f>IFERROR(YEARFRAC(VLOOKUP(C127,Code!H:W,11,FALSE),VLOOKUP(C127,Code!H:W,14,FALSE),3),"")</f>
        <v>0</v>
      </c>
      <c r="Q127" s="2"/>
      <c r="R127" s="85" t="str">
        <f t="shared" ca="1" si="20"/>
        <v/>
      </c>
      <c r="S127" s="86">
        <f>IFERROR(VLOOKUP($C127,Code!$H:$Q,5,FALSE),"")</f>
        <v>0.36659999999999998</v>
      </c>
      <c r="T127" s="88" t="str">
        <f t="shared" ca="1" si="21"/>
        <v/>
      </c>
      <c r="U127" s="89" t="str">
        <f t="shared" ca="1" si="22"/>
        <v/>
      </c>
      <c r="V127" s="90">
        <f>IFERROR(VLOOKUP($C127,Code!$H:$Q,6,FALSE),"")</f>
        <v>664.67</v>
      </c>
      <c r="W127" s="91" t="str">
        <f t="shared" ca="1" si="23"/>
        <v/>
      </c>
      <c r="X127" s="12"/>
      <c r="Y127" s="12"/>
      <c r="Z127" s="12"/>
      <c r="AA127" s="12"/>
      <c r="AB127" s="12"/>
    </row>
    <row r="128" spans="1:28" s="10" customFormat="1" ht="15" hidden="1">
      <c r="A128" s="9"/>
      <c r="B128" s="137"/>
      <c r="C128" s="142" t="s">
        <v>742</v>
      </c>
      <c r="D128" s="82" t="str">
        <f>IFERROR(VLOOKUP($C128,Code!$H:$K,2,FALSE),"")</f>
        <v/>
      </c>
      <c r="E128" s="83" t="str">
        <f>IFERROR(VLOOKUP($C128,Code!$H:$K,3,FALSE),"")</f>
        <v/>
      </c>
      <c r="F128" s="84" t="str">
        <f>IFERROR(VLOOKUP($C128,Code!$H:$K,4,FALSE),"")</f>
        <v>電動車-JIT</v>
      </c>
      <c r="G128" s="128">
        <f>_xlfn.IFNA(((VLOOKUP($C128,Code!$H:$Q,9,FALSE))+(VLOOKUP($C128,Code!$H:$Q,10,FALSE)))/2*0.5/(((VLOOKUP($C128,Code!$H:$Q,7,FALSE))+(VLOOKUP($C128,Code!$H:$Q,8,FALSE)))/2),0)</f>
        <v>0.53419614391984205</v>
      </c>
      <c r="H128" s="87" t="str">
        <f t="shared" si="16"/>
        <v>M</v>
      </c>
      <c r="I128" s="128">
        <f>_xlfn.IFNA((VLOOKUP($C128,Code!$H:$Q,5,FALSE))/(((VLOOKUP($C128,Code!$H:$Q,7,FALSE))+(VLOOKUP($C128,Code!$H:$Q,8,FALSE)))/2)-G128,0)</f>
        <v>0.30017458630636096</v>
      </c>
      <c r="J128" s="55" t="str">
        <f>IFERROR(POWER((VLOOKUP(C128,Code!H:W,12,FALSE))/(VLOOKUP(C128,Code!H:W,15,FALSE)),1/(P128-1))-1,"")</f>
        <v/>
      </c>
      <c r="K128" s="55" t="str">
        <f>IFERROR(POWER((VLOOKUP(C128,Code!H:W,13,FALSE))/(VLOOKUP(C128,Code!H:W,16,FALSE)),1/(P128-1))-1,"")</f>
        <v/>
      </c>
      <c r="L128" s="75" t="str">
        <f>IFERROR(VLOOKUP(C128,Code!H:W,13,FALSE)*4/VLOOKUP(C128,Code!H:W,12,FALSE),"")</f>
        <v/>
      </c>
      <c r="M128" s="55" t="str">
        <f t="shared" si="17"/>
        <v/>
      </c>
      <c r="N128" s="55" t="str">
        <f t="shared" si="18"/>
        <v/>
      </c>
      <c r="O128" s="55" t="str">
        <f t="shared" si="19"/>
        <v/>
      </c>
      <c r="P128" s="70">
        <f>IFERROR(YEARFRAC(VLOOKUP(C128,Code!H:W,11,FALSE),VLOOKUP(C128,Code!H:W,14,FALSE),3),"")</f>
        <v>0</v>
      </c>
      <c r="Q128" s="2"/>
      <c r="R128" s="85" t="str">
        <f t="shared" ca="1" si="20"/>
        <v/>
      </c>
      <c r="S128" s="86">
        <f>IFERROR(VLOOKUP($C128,Code!$H:$Q,5,FALSE),"")</f>
        <v>0.54959999999999998</v>
      </c>
      <c r="T128" s="88" t="str">
        <f t="shared" ca="1" si="21"/>
        <v/>
      </c>
      <c r="U128" s="89" t="str">
        <f t="shared" ca="1" si="22"/>
        <v/>
      </c>
      <c r="V128" s="90">
        <f>IFERROR(VLOOKUP($C128,Code!$H:$Q,6,FALSE),"")</f>
        <v>108.7</v>
      </c>
      <c r="W128" s="91" t="str">
        <f t="shared" ca="1" si="23"/>
        <v/>
      </c>
      <c r="X128" s="12"/>
      <c r="Y128" s="12"/>
      <c r="Z128" s="12"/>
      <c r="AA128" s="12"/>
      <c r="AB128" s="12"/>
    </row>
    <row r="129" spans="1:28" s="10" customFormat="1" ht="15" hidden="1">
      <c r="A129" s="9"/>
      <c r="B129" s="137">
        <v>2</v>
      </c>
      <c r="C129" s="142" t="s">
        <v>643</v>
      </c>
      <c r="D129" s="82" t="str">
        <f>IFERROR(VLOOKUP($C129,Code!$H:$K,2,FALSE),"")</f>
        <v/>
      </c>
      <c r="E129" s="83" t="str">
        <f>IFERROR(VLOOKUP($C129,Code!$H:$K,3,FALSE),"")</f>
        <v/>
      </c>
      <c r="F129" s="84" t="str">
        <f>IFERROR(VLOOKUP($C129,Code!$H:$K,4,FALSE),"")</f>
        <v>Livia</v>
      </c>
      <c r="G129" s="128">
        <f>_xlfn.IFNA(((VLOOKUP($C129,Code!$H:$Q,9,FALSE))+(VLOOKUP($C129,Code!$H:$Q,10,FALSE)))/2*0.5/(((VLOOKUP($C129,Code!$H:$Q,7,FALSE))+(VLOOKUP($C129,Code!$H:$Q,8,FALSE)))/2),0)</f>
        <v>0.52306987590572174</v>
      </c>
      <c r="H129" s="87" t="str">
        <f t="shared" si="16"/>
        <v>M</v>
      </c>
      <c r="I129" s="128">
        <f>_xlfn.IFNA((VLOOKUP($C129,Code!$H:$Q,5,FALSE))/(((VLOOKUP($C129,Code!$H:$Q,7,FALSE))+(VLOOKUP($C129,Code!$H:$Q,8,FALSE)))/2)-G129,0)</f>
        <v>0.52148746564504034</v>
      </c>
      <c r="J129" s="55" t="str">
        <f>IFERROR(POWER((VLOOKUP(C129,Code!H:W,12,FALSE))/(VLOOKUP(C129,Code!H:W,15,FALSE)),1/(P129-1))-1,"")</f>
        <v/>
      </c>
      <c r="K129" s="55" t="str">
        <f>IFERROR(POWER((VLOOKUP(C129,Code!H:W,13,FALSE))/(VLOOKUP(C129,Code!H:W,16,FALSE)),1/(P129-1))-1,"")</f>
        <v/>
      </c>
      <c r="L129" s="75" t="str">
        <f>IFERROR(VLOOKUP(C129,Code!H:W,13,FALSE)*4/VLOOKUP(C129,Code!H:W,12,FALSE),"")</f>
        <v/>
      </c>
      <c r="M129" s="55" t="str">
        <f t="shared" si="17"/>
        <v/>
      </c>
      <c r="N129" s="55" t="str">
        <f t="shared" si="18"/>
        <v/>
      </c>
      <c r="O129" s="55" t="str">
        <f t="shared" si="19"/>
        <v/>
      </c>
      <c r="P129" s="70">
        <f>IFERROR(YEARFRAC(VLOOKUP(C129,Code!H:W,11,FALSE),VLOOKUP(C129,Code!H:W,14,FALSE),3),"")</f>
        <v>0</v>
      </c>
      <c r="Q129" s="2"/>
      <c r="R129" s="85" t="str">
        <f t="shared" ca="1" si="20"/>
        <v/>
      </c>
      <c r="S129" s="86">
        <f>IFERROR(VLOOKUP($C129,Code!$H:$Q,5,FALSE),"")</f>
        <v>0.62709999999999999</v>
      </c>
      <c r="T129" s="88" t="str">
        <f t="shared" ca="1" si="21"/>
        <v/>
      </c>
      <c r="U129" s="89" t="str">
        <f t="shared" ca="1" si="22"/>
        <v/>
      </c>
      <c r="V129" s="90">
        <f>IFERROR(VLOOKUP($C129,Code!$H:$Q,6,FALSE),"")</f>
        <v>429.74</v>
      </c>
      <c r="W129" s="91" t="str">
        <f t="shared" ca="1" si="23"/>
        <v/>
      </c>
      <c r="X129" s="12"/>
      <c r="Y129" s="12"/>
      <c r="Z129" s="12"/>
      <c r="AA129" s="12"/>
      <c r="AB129" s="12"/>
    </row>
    <row r="130" spans="1:28" s="10" customFormat="1" ht="15" hidden="1">
      <c r="A130" s="9"/>
      <c r="B130" s="137">
        <v>1</v>
      </c>
      <c r="C130" s="142" t="s">
        <v>644</v>
      </c>
      <c r="D130" s="82" t="str">
        <f>IFERROR(VLOOKUP($C130,Code!$H:$K,2,FALSE),"")</f>
        <v/>
      </c>
      <c r="E130" s="83" t="str">
        <f>IFERROR(VLOOKUP($C130,Code!$H:$K,3,FALSE),"")</f>
        <v/>
      </c>
      <c r="F130" s="84" t="str">
        <f>IFERROR(VLOOKUP($C130,Code!$H:$K,4,FALSE),"")</f>
        <v>Livia</v>
      </c>
      <c r="G130" s="128">
        <f>_xlfn.IFNA(((VLOOKUP($C130,Code!$H:$Q,9,FALSE))+(VLOOKUP($C130,Code!$H:$Q,10,FALSE)))/2*0.5/(((VLOOKUP($C130,Code!$H:$Q,7,FALSE))+(VLOOKUP($C130,Code!$H:$Q,8,FALSE)))/2),0)</f>
        <v>0.52687461897988219</v>
      </c>
      <c r="H130" s="87" t="str">
        <f t="shared" si="16"/>
        <v>M</v>
      </c>
      <c r="I130" s="128">
        <f>_xlfn.IFNA((VLOOKUP($C130,Code!$H:$Q,5,FALSE))/(((VLOOKUP($C130,Code!$H:$Q,7,FALSE))+(VLOOKUP($C130,Code!$H:$Q,8,FALSE)))/2)-G130,0)</f>
        <v>0.26686649055070111</v>
      </c>
      <c r="J130" s="55" t="str">
        <f>IFERROR(POWER((VLOOKUP(C130,Code!H:W,12,FALSE))/(VLOOKUP(C130,Code!H:W,15,FALSE)),1/(P130-1))-1,"")</f>
        <v/>
      </c>
      <c r="K130" s="55" t="str">
        <f>IFERROR(POWER((VLOOKUP(C130,Code!H:W,13,FALSE))/(VLOOKUP(C130,Code!H:W,16,FALSE)),1/(P130-1))-1,"")</f>
        <v/>
      </c>
      <c r="L130" s="75" t="str">
        <f>IFERROR(VLOOKUP(C130,Code!H:W,13,FALSE)*4/VLOOKUP(C130,Code!H:W,12,FALSE),"")</f>
        <v/>
      </c>
      <c r="M130" s="55" t="str">
        <f t="shared" si="17"/>
        <v/>
      </c>
      <c r="N130" s="55" t="str">
        <f t="shared" si="18"/>
        <v/>
      </c>
      <c r="O130" s="55" t="str">
        <f t="shared" si="19"/>
        <v/>
      </c>
      <c r="P130" s="70">
        <f>IFERROR(YEARFRAC(VLOOKUP(C130,Code!H:W,11,FALSE),VLOOKUP(C130,Code!H:W,14,FALSE),3),"")</f>
        <v>0</v>
      </c>
      <c r="Q130" s="2"/>
      <c r="R130" s="85" t="str">
        <f t="shared" ca="1" si="20"/>
        <v/>
      </c>
      <c r="S130" s="86">
        <f>IFERROR(VLOOKUP($C130,Code!$H:$Q,5,FALSE),"")</f>
        <v>0.3906</v>
      </c>
      <c r="T130" s="88" t="str">
        <f t="shared" ca="1" si="21"/>
        <v/>
      </c>
      <c r="U130" s="89" t="str">
        <f t="shared" ca="1" si="22"/>
        <v/>
      </c>
      <c r="V130" s="90">
        <f>IFERROR(VLOOKUP($C130,Code!$H:$Q,6,FALSE),"")</f>
        <v>1549.12</v>
      </c>
      <c r="W130" s="91" t="str">
        <f t="shared" ca="1" si="23"/>
        <v/>
      </c>
      <c r="X130" s="12"/>
      <c r="Y130" s="12"/>
      <c r="Z130" s="12"/>
      <c r="AA130" s="12"/>
      <c r="AB130" s="12"/>
    </row>
    <row r="131" spans="1:28" s="10" customFormat="1" ht="15" hidden="1">
      <c r="A131" s="9"/>
      <c r="B131" s="137">
        <v>1</v>
      </c>
      <c r="C131" s="142" t="s">
        <v>665</v>
      </c>
      <c r="D131" s="82" t="str">
        <f>IFERROR(VLOOKUP($C131,Code!$H:$K,2,FALSE),"")</f>
        <v/>
      </c>
      <c r="E131" s="83" t="str">
        <f>IFERROR(VLOOKUP($C131,Code!$H:$K,3,FALSE),"")</f>
        <v/>
      </c>
      <c r="F131" s="84" t="str">
        <f>IFERROR(VLOOKUP($C131,Code!$H:$K,4,FALSE),"")</f>
        <v>JIT</v>
      </c>
      <c r="G131" s="128">
        <f>_xlfn.IFNA(((VLOOKUP($C131,Code!$H:$Q,9,FALSE))+(VLOOKUP($C131,Code!$H:$Q,10,FALSE)))/2*0.5/(((VLOOKUP($C131,Code!$H:$Q,7,FALSE))+(VLOOKUP($C131,Code!$H:$Q,8,FALSE)))/2),0)</f>
        <v>0.51451378809869364</v>
      </c>
      <c r="H131" s="87" t="str">
        <f t="shared" si="16"/>
        <v>M</v>
      </c>
      <c r="I131" s="128">
        <f>_xlfn.IFNA((VLOOKUP($C131,Code!$H:$Q,5,FALSE))/(((VLOOKUP($C131,Code!$H:$Q,7,FALSE))+(VLOOKUP($C131,Code!$H:$Q,8,FALSE)))/2)-G131,0)</f>
        <v>0.36084905660377364</v>
      </c>
      <c r="J131" s="55" t="str">
        <f>IFERROR(POWER((VLOOKUP(C131,Code!H:W,12,FALSE))/(VLOOKUP(C131,Code!H:W,15,FALSE)),1/(P131-1))-1,"")</f>
        <v/>
      </c>
      <c r="K131" s="55" t="str">
        <f>IFERROR(POWER((VLOOKUP(C131,Code!H:W,13,FALSE))/(VLOOKUP(C131,Code!H:W,16,FALSE)),1/(P131-1))-1,"")</f>
        <v/>
      </c>
      <c r="L131" s="75" t="str">
        <f>IFERROR(VLOOKUP(C131,Code!H:W,13,FALSE)*4/VLOOKUP(C131,Code!H:W,12,FALSE),"")</f>
        <v/>
      </c>
      <c r="M131" s="55" t="str">
        <f t="shared" si="17"/>
        <v/>
      </c>
      <c r="N131" s="55" t="str">
        <f t="shared" si="18"/>
        <v/>
      </c>
      <c r="O131" s="55" t="str">
        <f t="shared" si="19"/>
        <v/>
      </c>
      <c r="P131" s="70">
        <f>IFERROR(YEARFRAC(VLOOKUP(C131,Code!H:W,11,FALSE),VLOOKUP(C131,Code!H:W,14,FALSE),3),"")</f>
        <v>0</v>
      </c>
      <c r="Q131" s="2"/>
      <c r="R131" s="85" t="str">
        <f t="shared" ca="1" si="20"/>
        <v/>
      </c>
      <c r="S131" s="86">
        <f>IFERROR(VLOOKUP($C131,Code!$H:$Q,5,FALSE),"")</f>
        <v>0.48249999999999998</v>
      </c>
      <c r="T131" s="88" t="str">
        <f t="shared" ca="1" si="21"/>
        <v/>
      </c>
      <c r="U131" s="89" t="str">
        <f t="shared" ca="1" si="22"/>
        <v/>
      </c>
      <c r="V131" s="90">
        <f>IFERROR(VLOOKUP($C131,Code!$H:$Q,6,FALSE),"")</f>
        <v>275.61</v>
      </c>
      <c r="W131" s="91" t="str">
        <f t="shared" ca="1" si="23"/>
        <v/>
      </c>
      <c r="X131" s="12"/>
      <c r="Y131" s="12"/>
      <c r="Z131" s="12"/>
      <c r="AA131" s="12"/>
      <c r="AB131" s="12"/>
    </row>
    <row r="132" spans="1:28" s="10" customFormat="1" ht="15" hidden="1">
      <c r="A132" s="9"/>
      <c r="B132" s="137" t="s">
        <v>878</v>
      </c>
      <c r="C132" s="142" t="s">
        <v>85</v>
      </c>
      <c r="D132" s="82" t="str">
        <f>IFERROR(VLOOKUP($C132,Code!$H:$K,2,FALSE),"")</f>
        <v>XLK</v>
      </c>
      <c r="E132" s="83" t="str">
        <f>IFERROR(VLOOKUP($C132,Code!$H:$K,3,FALSE),"")</f>
        <v>半導體設備與材料</v>
      </c>
      <c r="F132" s="84" t="str">
        <f>IFERROR(VLOOKUP($C132,Code!$H:$K,4,FALSE),"")</f>
        <v>.SPX</v>
      </c>
      <c r="G132" s="128">
        <f>_xlfn.IFNA(((VLOOKUP($C132,Code!$H:$Q,9,FALSE))+(VLOOKUP($C132,Code!$H:$Q,10,FALSE)))/2*0.5/(((VLOOKUP($C132,Code!$H:$Q,7,FALSE))+(VLOOKUP($C132,Code!$H:$Q,8,FALSE)))/2),0)</f>
        <v>0.45394231823664882</v>
      </c>
      <c r="H132" s="87" t="str">
        <f t="shared" ref="H132:H195" si="24">IFERROR(IF(G132&gt;9E+306,"",IF(G132&gt;70%,"XL",IF(G132&gt;60%,"L",IF(G132&gt;50%,"M",IF(G132&gt;0%,"S",""))))),"")</f>
        <v>S</v>
      </c>
      <c r="I132" s="128">
        <f>_xlfn.IFNA((VLOOKUP($C132,Code!$H:$Q,5,FALSE))/(((VLOOKUP($C132,Code!$H:$Q,7,FALSE))+(VLOOKUP($C132,Code!$H:$Q,8,FALSE)))/2)-G132,0)</f>
        <v>0.23034323939028395</v>
      </c>
      <c r="J132" s="55">
        <f>IFERROR(POWER((VLOOKUP(C132,Code!H:W,12,FALSE))/(VLOOKUP(C132,Code!H:W,15,FALSE)),1/(P132-1))-1,"")</f>
        <v>0.53747441348147373</v>
      </c>
      <c r="K132" s="55">
        <f>IFERROR(POWER((VLOOKUP(C132,Code!H:W,13,FALSE))/(VLOOKUP(C132,Code!H:W,16,FALSE)),1/(P132-1))-1,"")</f>
        <v>0.1571241374465715</v>
      </c>
      <c r="L132" s="75">
        <f>IFERROR(VLOOKUP(C132,Code!H:W,13,FALSE)*4/VLOOKUP(C132,Code!H:W,12,FALSE),"")</f>
        <v>1.1774325429272281E-2</v>
      </c>
      <c r="M132" s="55">
        <f t="shared" ref="M132:M195" si="25">IF(SUM(J132:K132)=0,"",SUM(J132:K132))</f>
        <v>0.69459855092804523</v>
      </c>
      <c r="N132" s="55" t="str">
        <f t="shared" ref="N132:N195" si="26">IFERROR(IF(L132&gt;3%,IF((K132+L132)&gt;12%,"Venture","-"),"-"),"")</f>
        <v>-</v>
      </c>
      <c r="O132" s="55" t="str">
        <f t="shared" ref="O132:O195" si="27">IFERROR(IF(OR(L132&lt;3%,L132=""),IF((K132+L132)&gt;15%,"Value","-"),"-"),"")</f>
        <v>Value</v>
      </c>
      <c r="P132" s="196">
        <f>IFERROR(YEARFRAC(VLOOKUP(C132,Code!H:W,11,FALSE),VLOOKUP(C132,Code!H:W,14,FALSE),3),"")</f>
        <v>4.7589041095890412</v>
      </c>
      <c r="Q132" s="2"/>
      <c r="R132" s="85" t="str">
        <f t="shared" ref="R132:R195" ca="1" si="28">IFERROR(IF(OR(_xlfn.DAYS(Q132,TODAY())+1&lt;0,C132=0),"",_xlfn.DAYS(Q132,TODAY())+1),"")</f>
        <v/>
      </c>
      <c r="S132" s="86">
        <f>IFERROR(VLOOKUP($C132,Code!$H:$Q,5,FALSE),"")</f>
        <v>0.312</v>
      </c>
      <c r="T132" s="88" t="str">
        <f t="shared" ref="T132:T195" ca="1" si="29">IFERROR(IF(V132*S132*SQRT(R132/365)=0,"",V132*S132*SQRT(R132/365)),"")</f>
        <v/>
      </c>
      <c r="U132" s="89" t="str">
        <f t="shared" ref="U132:U195" ca="1" si="30">IFERROR(V132-T132,"")</f>
        <v/>
      </c>
      <c r="V132" s="90">
        <f>IFERROR(VLOOKUP($C132,Code!$H:$Q,6,FALSE),"")</f>
        <v>353.71</v>
      </c>
      <c r="W132" s="91" t="str">
        <f t="shared" ref="W132:W195" ca="1" si="31">IFERROR(V132+T132,"")</f>
        <v/>
      </c>
      <c r="X132" s="12"/>
      <c r="Y132" s="12"/>
      <c r="Z132" s="12"/>
      <c r="AA132" s="12"/>
      <c r="AB132" s="12"/>
    </row>
    <row r="133" spans="1:28" s="10" customFormat="1" ht="15" hidden="1">
      <c r="A133" s="9"/>
      <c r="B133" s="137" t="s">
        <v>659</v>
      </c>
      <c r="C133" s="142" t="s">
        <v>194</v>
      </c>
      <c r="D133" s="82" t="str">
        <f>IFERROR(VLOOKUP($C133,Code!$H:$K,2,FALSE),"")</f>
        <v>XLK</v>
      </c>
      <c r="E133" s="83" t="str">
        <f>IFERROR(VLOOKUP($C133,Code!$H:$K,3,FALSE),"")</f>
        <v>半導體</v>
      </c>
      <c r="F133" s="84" t="str">
        <f>IFERROR(VLOOKUP($C133,Code!$H:$K,4,FALSE),"")</f>
        <v>.SPX</v>
      </c>
      <c r="G133" s="128">
        <f>_xlfn.IFNA(((VLOOKUP($C133,Code!$H:$Q,9,FALSE))+(VLOOKUP($C133,Code!$H:$Q,10,FALSE)))/2*0.5/(((VLOOKUP($C133,Code!$H:$Q,7,FALSE))+(VLOOKUP($C133,Code!$H:$Q,8,FALSE)))/2),0)</f>
        <v>0.45425144859183403</v>
      </c>
      <c r="H133" s="87" t="str">
        <f t="shared" si="24"/>
        <v>S</v>
      </c>
      <c r="I133" s="128">
        <f>_xlfn.IFNA((VLOOKUP($C133,Code!$H:$Q,5,FALSE))/(((VLOOKUP($C133,Code!$H:$Q,7,FALSE))+(VLOOKUP($C133,Code!$H:$Q,8,FALSE)))/2)-G133,0)</f>
        <v>0.16129901630508009</v>
      </c>
      <c r="J133" s="55">
        <f>IFERROR(POWER((VLOOKUP(C133,Code!H:W,12,FALSE))/(VLOOKUP(C133,Code!H:W,15,FALSE)),1/(P133-1))-1,"")</f>
        <v>0.16799300457830313</v>
      </c>
      <c r="K133" s="55">
        <f>IFERROR(POWER((VLOOKUP(C133,Code!H:W,13,FALSE))/(VLOOKUP(C133,Code!H:W,16,FALSE)),1/(P133-1))-1,"")</f>
        <v>8.0702521746412348E-2</v>
      </c>
      <c r="L133" s="75">
        <f>IFERROR(VLOOKUP(C133,Code!H:W,13,FALSE)*4/VLOOKUP(C133,Code!H:W,12,FALSE),"")</f>
        <v>2.5830395542134406E-2</v>
      </c>
      <c r="M133" s="55">
        <f t="shared" si="25"/>
        <v>0.24869552632471548</v>
      </c>
      <c r="N133" s="55" t="str">
        <f t="shared" si="26"/>
        <v>-</v>
      </c>
      <c r="O133" s="55" t="str">
        <f t="shared" si="27"/>
        <v>-</v>
      </c>
      <c r="P133" s="196">
        <f>IFERROR(YEARFRAC(VLOOKUP(C133,Code!H:W,11,FALSE),VLOOKUP(C133,Code!H:W,14,FALSE),3),"")</f>
        <v>4.7561643835616438</v>
      </c>
      <c r="Q133" s="2"/>
      <c r="R133" s="85" t="str">
        <f t="shared" ca="1" si="28"/>
        <v/>
      </c>
      <c r="S133" s="86">
        <f>IFERROR(VLOOKUP($C133,Code!$H:$Q,5,FALSE),"")</f>
        <v>0.22839999999999999</v>
      </c>
      <c r="T133" s="88" t="str">
        <f t="shared" ca="1" si="29"/>
        <v/>
      </c>
      <c r="U133" s="89" t="str">
        <f t="shared" ca="1" si="30"/>
        <v/>
      </c>
      <c r="V133" s="90">
        <f>IFERROR(VLOOKUP($C133,Code!$H:$Q,6,FALSE),"")</f>
        <v>53.9</v>
      </c>
      <c r="W133" s="91" t="str">
        <f t="shared" ca="1" si="31"/>
        <v/>
      </c>
      <c r="X133" s="12"/>
      <c r="Y133" s="12"/>
      <c r="Z133" s="12"/>
      <c r="AA133" s="12"/>
      <c r="AB133" s="12"/>
    </row>
    <row r="134" spans="1:28" s="10" customFormat="1" ht="15" hidden="1">
      <c r="A134" s="9"/>
      <c r="B134" s="137" t="s">
        <v>659</v>
      </c>
      <c r="C134" s="142" t="s">
        <v>24</v>
      </c>
      <c r="D134" s="82" t="str">
        <f>IFERROR(VLOOKUP($C134,Code!$H:$K,2,FALSE),"")</f>
        <v>XLK</v>
      </c>
      <c r="E134" s="83" t="str">
        <f>IFERROR(VLOOKUP($C134,Code!$H:$K,3,FALSE),"")</f>
        <v>軟件基礎設施</v>
      </c>
      <c r="F134" s="84" t="str">
        <f>IFERROR(VLOOKUP($C134,Code!$H:$K,4,FALSE),"")</f>
        <v>.SPX</v>
      </c>
      <c r="G134" s="128">
        <f>_xlfn.IFNA(((VLOOKUP($C134,Code!$H:$Q,9,FALSE))+(VLOOKUP($C134,Code!$H:$Q,10,FALSE)))/2*0.5/(((VLOOKUP($C134,Code!$H:$Q,7,FALSE))+(VLOOKUP($C134,Code!$H:$Q,8,FALSE)))/2),0)</f>
        <v>0.68966634272756722</v>
      </c>
      <c r="H134" s="87" t="str">
        <f t="shared" si="24"/>
        <v>L</v>
      </c>
      <c r="I134" s="128">
        <f>_xlfn.IFNA((VLOOKUP($C134,Code!$H:$Q,5,FALSE))/(((VLOOKUP($C134,Code!$H:$Q,7,FALSE))+(VLOOKUP($C134,Code!$H:$Q,8,FALSE)))/2)-G134,0)</f>
        <v>-5.5069646906381609E-3</v>
      </c>
      <c r="J134" s="55" t="str">
        <f>IFERROR(POWER((VLOOKUP(C134,Code!H:W,12,FALSE))/(VLOOKUP(C134,Code!H:W,15,FALSE)),1/(P134-1))-1,"")</f>
        <v/>
      </c>
      <c r="K134" s="55" t="str">
        <f>IFERROR(POWER((VLOOKUP(C134,Code!H:W,13,FALSE))/(VLOOKUP(C134,Code!H:W,16,FALSE)),1/(P134-1))-1,"")</f>
        <v/>
      </c>
      <c r="L134" s="75" t="str">
        <f>IFERROR(VLOOKUP(C134,Code!H:W,13,FALSE)*4/VLOOKUP(C134,Code!H:W,12,FALSE),"")</f>
        <v/>
      </c>
      <c r="M134" s="55" t="str">
        <f t="shared" si="25"/>
        <v/>
      </c>
      <c r="N134" s="55" t="str">
        <f t="shared" si="26"/>
        <v/>
      </c>
      <c r="O134" s="55" t="str">
        <f t="shared" si="27"/>
        <v/>
      </c>
      <c r="P134" s="70">
        <f>IFERROR(YEARFRAC(VLOOKUP(C134,Code!H:W,11,FALSE),VLOOKUP(C134,Code!H:W,14,FALSE),3),"")</f>
        <v>0</v>
      </c>
      <c r="Q134" s="2"/>
      <c r="R134" s="85" t="str">
        <f t="shared" ca="1" si="28"/>
        <v/>
      </c>
      <c r="S134" s="86">
        <f>IFERROR(VLOOKUP($C134,Code!$H:$Q,5,FALSE),"")</f>
        <v>0.2112</v>
      </c>
      <c r="T134" s="88" t="str">
        <f t="shared" ca="1" si="29"/>
        <v/>
      </c>
      <c r="U134" s="89" t="str">
        <f t="shared" ca="1" si="30"/>
        <v/>
      </c>
      <c r="V134" s="90">
        <f>IFERROR(VLOOKUP($C134,Code!$H:$Q,6,FALSE),"")</f>
        <v>632.08000000000004</v>
      </c>
      <c r="W134" s="91" t="str">
        <f t="shared" ca="1" si="31"/>
        <v/>
      </c>
      <c r="X134" s="12"/>
      <c r="Y134" s="12"/>
      <c r="Z134" s="12"/>
      <c r="AA134" s="12"/>
      <c r="AB134" s="12"/>
    </row>
    <row r="135" spans="1:28" s="10" customFormat="1" ht="15" hidden="1">
      <c r="A135" s="9"/>
      <c r="B135" s="137">
        <v>2</v>
      </c>
      <c r="C135" s="142" t="s">
        <v>723</v>
      </c>
      <c r="D135" s="82" t="str">
        <f>IFERROR(VLOOKUP($C135,Code!$H:$K,2,FALSE),"")</f>
        <v/>
      </c>
      <c r="E135" s="83" t="str">
        <f>IFERROR(VLOOKUP($C135,Code!$H:$K,3,FALSE),"")</f>
        <v/>
      </c>
      <c r="F135" s="84" t="str">
        <f>IFERROR(VLOOKUP($C135,Code!$H:$K,4,FALSE),"")</f>
        <v>JIT</v>
      </c>
      <c r="G135" s="128">
        <f>_xlfn.IFNA(((VLOOKUP($C135,Code!$H:$Q,9,FALSE))+(VLOOKUP($C135,Code!$H:$Q,10,FALSE)))/2*0.5/(((VLOOKUP($C135,Code!$H:$Q,7,FALSE))+(VLOOKUP($C135,Code!$H:$Q,8,FALSE)))/2),0)</f>
        <v>0.45737261015836544</v>
      </c>
      <c r="H135" s="87" t="str">
        <f t="shared" si="24"/>
        <v>S</v>
      </c>
      <c r="I135" s="128">
        <f>_xlfn.IFNA((VLOOKUP($C135,Code!$H:$Q,5,FALSE))/(((VLOOKUP($C135,Code!$H:$Q,7,FALSE))+(VLOOKUP($C135,Code!$H:$Q,8,FALSE)))/2)-G135,0)</f>
        <v>5.3171412160498865E-2</v>
      </c>
      <c r="J135" s="55" t="str">
        <f>IFERROR(POWER((VLOOKUP(C135,Code!H:W,12,FALSE))/(VLOOKUP(C135,Code!H:W,15,FALSE)),1/(P135-1))-1,"")</f>
        <v/>
      </c>
      <c r="K135" s="55" t="str">
        <f>IFERROR(POWER((VLOOKUP(C135,Code!H:W,13,FALSE))/(VLOOKUP(C135,Code!H:W,16,FALSE)),1/(P135-1))-1,"")</f>
        <v/>
      </c>
      <c r="L135" s="75" t="str">
        <f>IFERROR(VLOOKUP(C135,Code!H:W,13,FALSE)*4/VLOOKUP(C135,Code!H:W,12,FALSE),"")</f>
        <v/>
      </c>
      <c r="M135" s="55" t="str">
        <f t="shared" si="25"/>
        <v/>
      </c>
      <c r="N135" s="55" t="str">
        <f t="shared" si="26"/>
        <v/>
      </c>
      <c r="O135" s="55" t="str">
        <f t="shared" si="27"/>
        <v/>
      </c>
      <c r="P135" s="70">
        <f>IFERROR(YEARFRAC(VLOOKUP(C135,Code!H:W,11,FALSE),VLOOKUP(C135,Code!H:W,14,FALSE),3),"")</f>
        <v>0</v>
      </c>
      <c r="Q135" s="2"/>
      <c r="R135" s="85" t="str">
        <f t="shared" ca="1" si="28"/>
        <v/>
      </c>
      <c r="S135" s="86">
        <f>IFERROR(VLOOKUP($C135,Code!$H:$Q,5,FALSE),"")</f>
        <v>0.62219999999999998</v>
      </c>
      <c r="T135" s="88" t="str">
        <f t="shared" ca="1" si="29"/>
        <v/>
      </c>
      <c r="U135" s="89" t="str">
        <f t="shared" ca="1" si="30"/>
        <v/>
      </c>
      <c r="V135" s="90">
        <f>IFERROR(VLOOKUP($C135,Code!$H:$Q,6,FALSE),"")</f>
        <v>69.5</v>
      </c>
      <c r="W135" s="91" t="str">
        <f t="shared" ca="1" si="31"/>
        <v/>
      </c>
      <c r="X135" s="12"/>
      <c r="Y135" s="12"/>
      <c r="Z135" s="12"/>
      <c r="AA135" s="12"/>
      <c r="AB135" s="12"/>
    </row>
    <row r="136" spans="1:28" s="10" customFormat="1" ht="15" hidden="1">
      <c r="A136" s="9"/>
      <c r="B136" s="137">
        <v>3</v>
      </c>
      <c r="C136" s="142" t="s">
        <v>667</v>
      </c>
      <c r="D136" s="82" t="str">
        <f>IFERROR(VLOOKUP($C136,Code!$H:$K,2,FALSE),"")</f>
        <v/>
      </c>
      <c r="E136" s="83" t="str">
        <f>IFERROR(VLOOKUP($C136,Code!$H:$K,3,FALSE),"")</f>
        <v/>
      </c>
      <c r="F136" s="84" t="str">
        <f>IFERROR(VLOOKUP($C136,Code!$H:$K,4,FALSE),"")</f>
        <v>JIT</v>
      </c>
      <c r="G136" s="128">
        <f>_xlfn.IFNA(((VLOOKUP($C136,Code!$H:$Q,9,FALSE))+(VLOOKUP($C136,Code!$H:$Q,10,FALSE)))/2*0.5/(((VLOOKUP($C136,Code!$H:$Q,7,FALSE))+(VLOOKUP($C136,Code!$H:$Q,8,FALSE)))/2),0)</f>
        <v>0.50197917301016981</v>
      </c>
      <c r="H136" s="87" t="str">
        <f t="shared" si="24"/>
        <v>M</v>
      </c>
      <c r="I136" s="128">
        <f>_xlfn.IFNA((VLOOKUP($C136,Code!$H:$Q,5,FALSE))/(((VLOOKUP($C136,Code!$H:$Q,7,FALSE))+(VLOOKUP($C136,Code!$H:$Q,8,FALSE)))/2)-G136,0)</f>
        <v>0.33694659277754091</v>
      </c>
      <c r="J136" s="55" t="str">
        <f>IFERROR(POWER((VLOOKUP(C136,Code!H:W,12,FALSE))/(VLOOKUP(C136,Code!H:W,15,FALSE)),1/(P136-1))-1,"")</f>
        <v/>
      </c>
      <c r="K136" s="55" t="str">
        <f>IFERROR(POWER((VLOOKUP(C136,Code!H:W,13,FALSE))/(VLOOKUP(C136,Code!H:W,16,FALSE)),1/(P136-1))-1,"")</f>
        <v/>
      </c>
      <c r="L136" s="75" t="str">
        <f>IFERROR(VLOOKUP(C136,Code!H:W,13,FALSE)*4/VLOOKUP(C136,Code!H:W,12,FALSE),"")</f>
        <v/>
      </c>
      <c r="M136" s="55" t="str">
        <f t="shared" si="25"/>
        <v/>
      </c>
      <c r="N136" s="55" t="str">
        <f t="shared" si="26"/>
        <v/>
      </c>
      <c r="O136" s="55" t="str">
        <f t="shared" si="27"/>
        <v/>
      </c>
      <c r="P136" s="70">
        <f>IFERROR(YEARFRAC(VLOOKUP(C136,Code!H:W,11,FALSE),VLOOKUP(C136,Code!H:W,14,FALSE),3),"")</f>
        <v>0</v>
      </c>
      <c r="Q136" s="2"/>
      <c r="R136" s="85" t="str">
        <f t="shared" ca="1" si="28"/>
        <v/>
      </c>
      <c r="S136" s="86">
        <f>IFERROR(VLOOKUP($C136,Code!$H:$Q,5,FALSE),"")</f>
        <v>0.68879999999999997</v>
      </c>
      <c r="T136" s="88" t="str">
        <f t="shared" ca="1" si="29"/>
        <v/>
      </c>
      <c r="U136" s="89" t="str">
        <f t="shared" ca="1" si="30"/>
        <v/>
      </c>
      <c r="V136" s="90">
        <f>IFERROR(VLOOKUP($C136,Code!$H:$Q,6,FALSE),"")</f>
        <v>19.96</v>
      </c>
      <c r="W136" s="91" t="str">
        <f t="shared" ca="1" si="31"/>
        <v/>
      </c>
      <c r="X136" s="12"/>
      <c r="Y136" s="12"/>
      <c r="Z136" s="12"/>
      <c r="AA136" s="12"/>
      <c r="AB136" s="12"/>
    </row>
    <row r="137" spans="1:28" s="10" customFormat="1" ht="15" hidden="1">
      <c r="A137" s="9"/>
      <c r="B137" s="137" t="s">
        <v>878</v>
      </c>
      <c r="C137" s="142" t="s">
        <v>769</v>
      </c>
      <c r="D137" s="82" t="str">
        <f>IFERROR(VLOOKUP($C137,Code!$H:$K,2,FALSE),"")</f>
        <v/>
      </c>
      <c r="E137" s="83" t="str">
        <f>IFERROR(VLOOKUP($C137,Code!$H:$K,3,FALSE),"")</f>
        <v/>
      </c>
      <c r="F137" s="84" t="str">
        <f>IFERROR(VLOOKUP($C137,Code!$H:$K,4,FALSE),"")</f>
        <v>JIT</v>
      </c>
      <c r="G137" s="128">
        <f>_xlfn.IFNA(((VLOOKUP($C137,Code!$H:$Q,9,FALSE))+(VLOOKUP($C137,Code!$H:$Q,10,FALSE)))/2*0.5/(((VLOOKUP($C137,Code!$H:$Q,7,FALSE))+(VLOOKUP($C137,Code!$H:$Q,8,FALSE)))/2),0)</f>
        <v>0.36264749262536872</v>
      </c>
      <c r="H137" s="87" t="str">
        <f t="shared" si="24"/>
        <v>S</v>
      </c>
      <c r="I137" s="128">
        <f>_xlfn.IFNA((VLOOKUP($C137,Code!$H:$Q,5,FALSE))/(((VLOOKUP($C137,Code!$H:$Q,7,FALSE))+(VLOOKUP($C137,Code!$H:$Q,8,FALSE)))/2)-G137,0)</f>
        <v>0.18952802359882009</v>
      </c>
      <c r="J137" s="55">
        <f>IFERROR(POWER((VLOOKUP(C137,Code!H:W,12,FALSE))/(VLOOKUP(C137,Code!H:W,15,FALSE)),1/(P137-1))-1,"")</f>
        <v>0.51046200191229962</v>
      </c>
      <c r="K137" s="55">
        <f>IFERROR(POWER((VLOOKUP(C137,Code!H:W,13,FALSE))/(VLOOKUP(C137,Code!H:W,16,FALSE)),1/(P137-1))-1,"")</f>
        <v>0.15103802784469678</v>
      </c>
      <c r="L137" s="75">
        <f>IFERROR(VLOOKUP(C137,Code!H:W,13,FALSE)*4/VLOOKUP(C137,Code!H:W,12,FALSE),"")</f>
        <v>4.9532444166950837E-2</v>
      </c>
      <c r="M137" s="55">
        <f t="shared" si="25"/>
        <v>0.6615000297569964</v>
      </c>
      <c r="N137" s="55" t="str">
        <f t="shared" si="26"/>
        <v>Venture</v>
      </c>
      <c r="O137" s="55" t="str">
        <f t="shared" si="27"/>
        <v>-</v>
      </c>
      <c r="P137" s="196">
        <f>IFERROR(YEARFRAC(VLOOKUP(C137,Code!H:W,11,FALSE),VLOOKUP(C137,Code!H:W,14,FALSE),3),"")</f>
        <v>3.989041095890411</v>
      </c>
      <c r="Q137" s="2"/>
      <c r="R137" s="85" t="str">
        <f t="shared" ca="1" si="28"/>
        <v/>
      </c>
      <c r="S137" s="86">
        <f>IFERROR(VLOOKUP($C137,Code!$H:$Q,5,FALSE),"")</f>
        <v>0.29949999999999999</v>
      </c>
      <c r="T137" s="88" t="str">
        <f t="shared" ca="1" si="29"/>
        <v/>
      </c>
      <c r="U137" s="89" t="str">
        <f t="shared" ca="1" si="30"/>
        <v/>
      </c>
      <c r="V137" s="90">
        <f>IFERROR(VLOOKUP($C137,Code!$H:$Q,6,FALSE),"")</f>
        <v>108.49</v>
      </c>
      <c r="W137" s="91" t="str">
        <f t="shared" ca="1" si="31"/>
        <v/>
      </c>
      <c r="X137" s="12"/>
      <c r="Y137" s="12"/>
      <c r="Z137" s="12"/>
      <c r="AA137" s="12"/>
      <c r="AB137" s="12"/>
    </row>
    <row r="138" spans="1:28" s="10" customFormat="1" ht="15" hidden="1">
      <c r="A138" s="9"/>
      <c r="B138" s="137">
        <v>1</v>
      </c>
      <c r="C138" s="142" t="s">
        <v>674</v>
      </c>
      <c r="D138" s="82" t="str">
        <f>IFERROR(VLOOKUP($C138,Code!$H:$K,2,FALSE),"")</f>
        <v/>
      </c>
      <c r="E138" s="83" t="str">
        <f>IFERROR(VLOOKUP($C138,Code!$H:$K,3,FALSE),"")</f>
        <v/>
      </c>
      <c r="F138" s="84" t="str">
        <f>IFERROR(VLOOKUP($C138,Code!$H:$K,4,FALSE),"")</f>
        <v>JIT</v>
      </c>
      <c r="G138" s="128">
        <f>_xlfn.IFNA(((VLOOKUP($C138,Code!$H:$Q,9,FALSE))+(VLOOKUP($C138,Code!$H:$Q,10,FALSE)))/2*0.5/(((VLOOKUP($C138,Code!$H:$Q,7,FALSE))+(VLOOKUP($C138,Code!$H:$Q,8,FALSE)))/2),0)</f>
        <v>0.48046232313260939</v>
      </c>
      <c r="H138" s="87" t="str">
        <f t="shared" si="24"/>
        <v>S</v>
      </c>
      <c r="I138" s="128">
        <f>_xlfn.IFNA((VLOOKUP($C138,Code!$H:$Q,5,FALSE))/(((VLOOKUP($C138,Code!$H:$Q,7,FALSE))+(VLOOKUP($C138,Code!$H:$Q,8,FALSE)))/2)-G138,0)</f>
        <v>0.20644126357354387</v>
      </c>
      <c r="J138" s="55" t="str">
        <f>IFERROR(POWER((VLOOKUP(C138,Code!H:W,12,FALSE))/(VLOOKUP(C138,Code!H:W,15,FALSE)),1/(P138-1))-1,"")</f>
        <v/>
      </c>
      <c r="K138" s="55" t="str">
        <f>IFERROR(POWER((VLOOKUP(C138,Code!H:W,13,FALSE))/(VLOOKUP(C138,Code!H:W,16,FALSE)),1/(P138-1))-1,"")</f>
        <v/>
      </c>
      <c r="L138" s="75" t="str">
        <f>IFERROR(VLOOKUP(C138,Code!H:W,13,FALSE)*4/VLOOKUP(C138,Code!H:W,12,FALSE),"")</f>
        <v/>
      </c>
      <c r="M138" s="55" t="str">
        <f t="shared" si="25"/>
        <v/>
      </c>
      <c r="N138" s="55" t="str">
        <f t="shared" si="26"/>
        <v/>
      </c>
      <c r="O138" s="55" t="str">
        <f t="shared" si="27"/>
        <v/>
      </c>
      <c r="P138" s="70">
        <f>IFERROR(YEARFRAC(VLOOKUP(C138,Code!H:W,11,FALSE),VLOOKUP(C138,Code!H:W,14,FALSE),3),"")</f>
        <v>0</v>
      </c>
      <c r="Q138" s="2"/>
      <c r="R138" s="85" t="str">
        <f t="shared" ca="1" si="28"/>
        <v/>
      </c>
      <c r="S138" s="86">
        <f>IFERROR(VLOOKUP($C138,Code!$H:$Q,5,FALSE),"")</f>
        <v>0.41749999999999998</v>
      </c>
      <c r="T138" s="88" t="str">
        <f t="shared" ca="1" si="29"/>
        <v/>
      </c>
      <c r="U138" s="89" t="str">
        <f t="shared" ca="1" si="30"/>
        <v/>
      </c>
      <c r="V138" s="90">
        <f>IFERROR(VLOOKUP($C138,Code!$H:$Q,6,FALSE),"")</f>
        <v>151.09</v>
      </c>
      <c r="W138" s="91" t="str">
        <f t="shared" ca="1" si="31"/>
        <v/>
      </c>
      <c r="X138" s="12"/>
      <c r="Y138" s="12"/>
      <c r="Z138" s="12"/>
      <c r="AA138" s="12"/>
      <c r="AB138" s="12"/>
    </row>
    <row r="139" spans="1:28" s="10" customFormat="1" ht="15" hidden="1">
      <c r="A139" s="9"/>
      <c r="B139" s="137">
        <v>1</v>
      </c>
      <c r="C139" s="142" t="s">
        <v>649</v>
      </c>
      <c r="D139" s="82" t="str">
        <f>IFERROR(VLOOKUP($C139,Code!$H:$K,2,FALSE),"")</f>
        <v/>
      </c>
      <c r="E139" s="83" t="str">
        <f>IFERROR(VLOOKUP($C139,Code!$H:$K,3,FALSE),"")</f>
        <v/>
      </c>
      <c r="F139" s="84" t="str">
        <f>IFERROR(VLOOKUP($C139,Code!$H:$K,4,FALSE),"")</f>
        <v>Livia</v>
      </c>
      <c r="G139" s="128">
        <f>_xlfn.IFNA(((VLOOKUP($C139,Code!$H:$Q,9,FALSE))+(VLOOKUP($C139,Code!$H:$Q,10,FALSE)))/2*0.5/(((VLOOKUP($C139,Code!$H:$Q,7,FALSE))+(VLOOKUP($C139,Code!$H:$Q,8,FALSE)))/2),0)</f>
        <v>0.44780513918629555</v>
      </c>
      <c r="H139" s="87" t="str">
        <f t="shared" si="24"/>
        <v>S</v>
      </c>
      <c r="I139" s="128">
        <f>_xlfn.IFNA((VLOOKUP($C139,Code!$H:$Q,5,FALSE))/(((VLOOKUP($C139,Code!$H:$Q,7,FALSE))+(VLOOKUP($C139,Code!$H:$Q,8,FALSE)))/2)-G139,0)</f>
        <v>0.44379014989293358</v>
      </c>
      <c r="J139" s="55">
        <f>IFERROR(POWER((VLOOKUP(C139,Code!H:W,12,FALSE))/(VLOOKUP(C139,Code!H:W,15,FALSE)),1/(P139-1))-1,"")</f>
        <v>0.44735768083571714</v>
      </c>
      <c r="K139" s="55">
        <f>IFERROR(POWER((VLOOKUP(C139,Code!H:W,13,FALSE))/(VLOOKUP(C139,Code!H:W,16,FALSE)),1/(P139-1))-1,"")</f>
        <v>0</v>
      </c>
      <c r="L139" s="75">
        <f>IFERROR(VLOOKUP(C139,Code!H:W,13,FALSE)*4/VLOOKUP(C139,Code!H:W,12,FALSE),"")</f>
        <v>3.1890774486674862E-3</v>
      </c>
      <c r="M139" s="55">
        <f t="shared" si="25"/>
        <v>0.44735768083571714</v>
      </c>
      <c r="N139" s="55" t="str">
        <f t="shared" si="26"/>
        <v>-</v>
      </c>
      <c r="O139" s="55" t="str">
        <f t="shared" si="27"/>
        <v>-</v>
      </c>
      <c r="P139" s="70">
        <f>IFERROR(YEARFRAC(VLOOKUP(C139,Code!H:W,11,FALSE),VLOOKUP(C139,Code!H:W,14,FALSE),3),"")</f>
        <v>4.720547945205479</v>
      </c>
      <c r="Q139" s="2"/>
      <c r="R139" s="85" t="str">
        <f t="shared" ca="1" si="28"/>
        <v/>
      </c>
      <c r="S139" s="86">
        <f>IFERROR(VLOOKUP($C139,Code!$H:$Q,5,FALSE),"")</f>
        <v>0.33310000000000001</v>
      </c>
      <c r="T139" s="88" t="str">
        <f t="shared" ca="1" si="29"/>
        <v/>
      </c>
      <c r="U139" s="89" t="str">
        <f t="shared" ca="1" si="30"/>
        <v/>
      </c>
      <c r="V139" s="90">
        <f>IFERROR(VLOOKUP($C139,Code!$H:$Q,6,FALSE),"")</f>
        <v>484.99</v>
      </c>
      <c r="W139" s="91" t="str">
        <f t="shared" ca="1" si="31"/>
        <v/>
      </c>
      <c r="X139" s="12"/>
      <c r="Y139" s="12"/>
      <c r="Z139" s="12"/>
      <c r="AA139" s="12"/>
      <c r="AB139" s="12"/>
    </row>
    <row r="140" spans="1:28" s="10" customFormat="1" ht="15" hidden="1">
      <c r="A140" s="9"/>
      <c r="B140" s="137">
        <v>2</v>
      </c>
      <c r="C140" s="142" t="s">
        <v>708</v>
      </c>
      <c r="D140" s="82" t="str">
        <f>IFERROR(VLOOKUP($C140,Code!$H:$K,2,FALSE),"")</f>
        <v/>
      </c>
      <c r="E140" s="83" t="str">
        <f>IFERROR(VLOOKUP($C140,Code!$H:$K,3,FALSE),"")</f>
        <v/>
      </c>
      <c r="F140" s="84" t="str">
        <f>IFERROR(VLOOKUP($C140,Code!$H:$K,4,FALSE),"")</f>
        <v>JIT</v>
      </c>
      <c r="G140" s="128">
        <f>_xlfn.IFNA(((VLOOKUP($C140,Code!$H:$Q,9,FALSE))+(VLOOKUP($C140,Code!$H:$Q,10,FALSE)))/2*0.5/(((VLOOKUP($C140,Code!$H:$Q,7,FALSE))+(VLOOKUP($C140,Code!$H:$Q,8,FALSE)))/2),0)</f>
        <v>0.64950760966875543</v>
      </c>
      <c r="H140" s="87" t="str">
        <f t="shared" si="24"/>
        <v>L</v>
      </c>
      <c r="I140" s="128">
        <f>_xlfn.IFNA((VLOOKUP($C140,Code!$H:$Q,5,FALSE))/(((VLOOKUP($C140,Code!$H:$Q,7,FALSE))+(VLOOKUP($C140,Code!$H:$Q,8,FALSE)))/2)-G140,0)</f>
        <v>0.606407468985804</v>
      </c>
      <c r="J140" s="55">
        <f>IFERROR(POWER((VLOOKUP(C140,Code!H:W,12,FALSE))/(VLOOKUP(C140,Code!H:W,15,FALSE)),1/(P140-1))-1,"")</f>
        <v>0</v>
      </c>
      <c r="K140" s="55" t="str">
        <f>IFERROR(POWER((VLOOKUP(C140,Code!H:W,13,FALSE))/(VLOOKUP(C140,Code!H:W,16,FALSE)),1/(P140-1))-1,"")</f>
        <v/>
      </c>
      <c r="L140" s="75">
        <f>IFERROR(VLOOKUP(C140,Code!H:W,13,FALSE)*4/VLOOKUP(C140,Code!H:W,12,FALSE),"")</f>
        <v>0</v>
      </c>
      <c r="M140" s="55" t="str">
        <f t="shared" si="25"/>
        <v/>
      </c>
      <c r="N140" s="55" t="str">
        <f t="shared" si="26"/>
        <v>-</v>
      </c>
      <c r="O140" s="55" t="str">
        <f t="shared" si="27"/>
        <v/>
      </c>
      <c r="P140" s="70">
        <f>IFERROR(YEARFRAC(VLOOKUP(C140,Code!H:W,11,FALSE),VLOOKUP(C140,Code!H:W,14,FALSE),3),"")</f>
        <v>0</v>
      </c>
      <c r="Q140" s="2"/>
      <c r="R140" s="85" t="str">
        <f t="shared" ca="1" si="28"/>
        <v/>
      </c>
      <c r="S140" s="86">
        <f>IFERROR(VLOOKUP($C140,Code!$H:$Q,5,FALSE),"")</f>
        <v>0.49099999999999999</v>
      </c>
      <c r="T140" s="88" t="str">
        <f t="shared" ca="1" si="29"/>
        <v/>
      </c>
      <c r="U140" s="89" t="str">
        <f t="shared" ca="1" si="30"/>
        <v/>
      </c>
      <c r="V140" s="90">
        <f>IFERROR(VLOOKUP($C140,Code!$H:$Q,6,FALSE),"")</f>
        <v>106.92</v>
      </c>
      <c r="W140" s="91" t="str">
        <f t="shared" ca="1" si="31"/>
        <v/>
      </c>
      <c r="X140" s="12"/>
      <c r="Y140" s="12"/>
      <c r="Z140" s="12"/>
      <c r="AA140" s="12"/>
      <c r="AB140" s="12"/>
    </row>
    <row r="141" spans="1:28" s="10" customFormat="1" ht="15" hidden="1">
      <c r="A141" s="9"/>
      <c r="B141" s="137">
        <v>3</v>
      </c>
      <c r="C141" s="142" t="s">
        <v>72</v>
      </c>
      <c r="D141" s="82" t="str">
        <f>IFERROR(VLOOKUP($C141,Code!$H:$K,2,FALSE),"")</f>
        <v>XLY</v>
      </c>
      <c r="E141" s="83" t="str">
        <f>IFERROR(VLOOKUP($C141,Code!$H:$K,3,FALSE),"")</f>
        <v>汽車製造商</v>
      </c>
      <c r="F141" s="84" t="str">
        <f>IFERROR(VLOOKUP($C141,Code!$H:$K,4,FALSE),"")</f>
        <v>.SPX</v>
      </c>
      <c r="G141" s="128">
        <f>_xlfn.IFNA(((VLOOKUP($C141,Code!$H:$Q,9,FALSE))+(VLOOKUP($C141,Code!$H:$Q,10,FALSE)))/2*0.5/(((VLOOKUP($C141,Code!$H:$Q,7,FALSE))+(VLOOKUP($C141,Code!$H:$Q,8,FALSE)))/2),0)</f>
        <v>0.56998566401668183</v>
      </c>
      <c r="H141" s="87" t="str">
        <f t="shared" si="24"/>
        <v>M</v>
      </c>
      <c r="I141" s="128">
        <f>_xlfn.IFNA((VLOOKUP($C141,Code!$H:$Q,5,FALSE))/(((VLOOKUP($C141,Code!$H:$Q,7,FALSE))+(VLOOKUP($C141,Code!$H:$Q,8,FALSE)))/2)-G141,0)</f>
        <v>2.4110517398671094E-3</v>
      </c>
      <c r="J141" s="55">
        <f>IFERROR(POWER((VLOOKUP(C141,Code!H:W,12,FALSE))/(VLOOKUP(C141,Code!H:W,15,FALSE)),1/(P141-1))-1,"")</f>
        <v>0</v>
      </c>
      <c r="K141" s="55" t="str">
        <f>IFERROR(POWER((VLOOKUP(C141,Code!H:W,13,FALSE))/(VLOOKUP(C141,Code!H:W,16,FALSE)),1/(P141-1))-1,"")</f>
        <v/>
      </c>
      <c r="L141" s="75">
        <f>IFERROR(VLOOKUP(C141,Code!H:W,13,FALSE)*4/VLOOKUP(C141,Code!H:W,12,FALSE),"")</f>
        <v>0</v>
      </c>
      <c r="M141" s="55" t="str">
        <f t="shared" si="25"/>
        <v/>
      </c>
      <c r="N141" s="55" t="str">
        <f t="shared" si="26"/>
        <v>-</v>
      </c>
      <c r="O141" s="55" t="str">
        <f t="shared" si="27"/>
        <v/>
      </c>
      <c r="P141" s="70">
        <f>IFERROR(YEARFRAC(VLOOKUP(C141,Code!H:W,11,FALSE),VLOOKUP(C141,Code!H:W,14,FALSE),3),"")</f>
        <v>0</v>
      </c>
      <c r="Q141" s="2"/>
      <c r="R141" s="85" t="str">
        <f t="shared" ca="1" si="28"/>
        <v/>
      </c>
      <c r="S141" s="86">
        <f>IFERROR(VLOOKUP($C141,Code!$H:$Q,5,FALSE),"")</f>
        <v>0.43919999999999998</v>
      </c>
      <c r="T141" s="88" t="str">
        <f t="shared" ca="1" si="29"/>
        <v/>
      </c>
      <c r="U141" s="89" t="str">
        <f t="shared" ca="1" si="30"/>
        <v/>
      </c>
      <c r="V141" s="90">
        <f>IFERROR(VLOOKUP($C141,Code!$H:$Q,6,FALSE),"")</f>
        <v>714.63</v>
      </c>
      <c r="W141" s="91" t="str">
        <f t="shared" ca="1" si="31"/>
        <v/>
      </c>
      <c r="X141" s="12"/>
      <c r="Y141" s="12"/>
      <c r="Z141" s="12"/>
      <c r="AA141" s="12"/>
      <c r="AB141" s="12"/>
    </row>
    <row r="142" spans="1:28" s="10" customFormat="1" ht="15" hidden="1">
      <c r="A142" s="9"/>
      <c r="B142" s="137">
        <v>2</v>
      </c>
      <c r="C142" s="142" t="s">
        <v>710</v>
      </c>
      <c r="D142" s="82" t="str">
        <f>IFERROR(VLOOKUP($C142,Code!$H:$K,2,FALSE),"")</f>
        <v/>
      </c>
      <c r="E142" s="83" t="str">
        <f>IFERROR(VLOOKUP($C142,Code!$H:$K,3,FALSE),"")</f>
        <v/>
      </c>
      <c r="F142" s="84" t="str">
        <f>IFERROR(VLOOKUP($C142,Code!$H:$K,4,FALSE),"")</f>
        <v>JIT</v>
      </c>
      <c r="G142" s="128">
        <f>_xlfn.IFNA(((VLOOKUP($C142,Code!$H:$Q,9,FALSE))+(VLOOKUP($C142,Code!$H:$Q,10,FALSE)))/2*0.5/(((VLOOKUP($C142,Code!$H:$Q,7,FALSE))+(VLOOKUP($C142,Code!$H:$Q,8,FALSE)))/2),0)</f>
        <v>0.47761710970646803</v>
      </c>
      <c r="H142" s="87" t="str">
        <f t="shared" si="24"/>
        <v>S</v>
      </c>
      <c r="I142" s="128">
        <f>_xlfn.IFNA((VLOOKUP($C142,Code!$H:$Q,5,FALSE))/(((VLOOKUP($C142,Code!$H:$Q,7,FALSE))+(VLOOKUP($C142,Code!$H:$Q,8,FALSE)))/2)-G142,0)</f>
        <v>0.24417698502034807</v>
      </c>
      <c r="J142" s="55" t="str">
        <f>IFERROR(POWER((VLOOKUP(C142,Code!H:W,12,FALSE))/(VLOOKUP(C142,Code!H:W,15,FALSE)),1/(P142-1))-1,"")</f>
        <v/>
      </c>
      <c r="K142" s="55" t="str">
        <f>IFERROR(POWER((VLOOKUP(C142,Code!H:W,13,FALSE))/(VLOOKUP(C142,Code!H:W,16,FALSE)),1/(P142-1))-1,"")</f>
        <v/>
      </c>
      <c r="L142" s="75" t="str">
        <f>IFERROR(VLOOKUP(C142,Code!H:W,13,FALSE)*4/VLOOKUP(C142,Code!H:W,12,FALSE),"")</f>
        <v/>
      </c>
      <c r="M142" s="55" t="str">
        <f t="shared" si="25"/>
        <v/>
      </c>
      <c r="N142" s="55" t="str">
        <f t="shared" si="26"/>
        <v/>
      </c>
      <c r="O142" s="55" t="str">
        <f t="shared" si="27"/>
        <v/>
      </c>
      <c r="P142" s="70">
        <f>IFERROR(YEARFRAC(VLOOKUP(C142,Code!H:W,11,FALSE),VLOOKUP(C142,Code!H:W,14,FALSE),3),"")</f>
        <v>0</v>
      </c>
      <c r="Q142" s="2"/>
      <c r="R142" s="85" t="str">
        <f t="shared" ca="1" si="28"/>
        <v/>
      </c>
      <c r="S142" s="86">
        <f>IFERROR(VLOOKUP($C142,Code!$H:$Q,5,FALSE),"")</f>
        <v>0.4168</v>
      </c>
      <c r="T142" s="88" t="str">
        <f t="shared" ca="1" si="29"/>
        <v/>
      </c>
      <c r="U142" s="89" t="str">
        <f t="shared" ca="1" si="30"/>
        <v/>
      </c>
      <c r="V142" s="90">
        <f>IFERROR(VLOOKUP($C142,Code!$H:$Q,6,FALSE),"")</f>
        <v>382.56</v>
      </c>
      <c r="W142" s="91" t="str">
        <f t="shared" ca="1" si="31"/>
        <v/>
      </c>
      <c r="X142" s="12"/>
      <c r="Y142" s="12"/>
      <c r="Z142" s="12"/>
      <c r="AA142" s="12"/>
      <c r="AB142" s="12"/>
    </row>
    <row r="143" spans="1:28" s="10" customFormat="1" ht="15" hidden="1">
      <c r="A143" s="9"/>
      <c r="B143" s="137">
        <v>3</v>
      </c>
      <c r="C143" s="142" t="s">
        <v>800</v>
      </c>
      <c r="D143" s="82" t="str">
        <f>IFERROR(VLOOKUP($C143,Code!$H:$K,2,FALSE),"")</f>
        <v/>
      </c>
      <c r="E143" s="83" t="str">
        <f>IFERROR(VLOOKUP($C143,Code!$H:$K,3,FALSE),"")</f>
        <v>千禧代</v>
      </c>
      <c r="F143" s="84" t="str">
        <f>IFERROR(VLOOKUP($C143,Code!$H:$K,4,FALSE),"")</f>
        <v>JIT</v>
      </c>
      <c r="G143" s="128">
        <f>_xlfn.IFNA(((VLOOKUP($C143,Code!$H:$Q,9,FALSE))+(VLOOKUP($C143,Code!$H:$Q,10,FALSE)))/2*0.5/(((VLOOKUP($C143,Code!$H:$Q,7,FALSE))+(VLOOKUP($C143,Code!$H:$Q,8,FALSE)))/2),0)</f>
        <v>0.60751209854817423</v>
      </c>
      <c r="H143" s="87" t="str">
        <f t="shared" si="24"/>
        <v>L</v>
      </c>
      <c r="I143" s="128">
        <f>_xlfn.IFNA((VLOOKUP($C143,Code!$H:$Q,5,FALSE))/(((VLOOKUP($C143,Code!$H:$Q,7,FALSE))+(VLOOKUP($C143,Code!$H:$Q,8,FALSE)))/2)-G143,0)</f>
        <v>0.45298064232292112</v>
      </c>
      <c r="J143" s="55" t="str">
        <f>IFERROR(POWER((VLOOKUP(C143,Code!H:W,12,FALSE))/(VLOOKUP(C143,Code!H:W,15,FALSE)),1/(P143-1))-1,"")</f>
        <v/>
      </c>
      <c r="K143" s="55" t="str">
        <f>IFERROR(POWER((VLOOKUP(C143,Code!H:W,13,FALSE))/(VLOOKUP(C143,Code!H:W,16,FALSE)),1/(P143-1))-1,"")</f>
        <v/>
      </c>
      <c r="L143" s="75" t="str">
        <f>IFERROR(VLOOKUP(C143,Code!H:W,13,FALSE)*4/VLOOKUP(C143,Code!H:W,12,FALSE),"")</f>
        <v/>
      </c>
      <c r="M143" s="55" t="str">
        <f t="shared" si="25"/>
        <v/>
      </c>
      <c r="N143" s="55" t="str">
        <f t="shared" si="26"/>
        <v/>
      </c>
      <c r="O143" s="55" t="str">
        <f t="shared" si="27"/>
        <v/>
      </c>
      <c r="P143" s="70">
        <f>IFERROR(YEARFRAC(VLOOKUP(C143,Code!H:W,11,FALSE),VLOOKUP(C143,Code!H:W,14,FALSE),3),"")</f>
        <v>0</v>
      </c>
      <c r="Q143" s="2"/>
      <c r="R143" s="85" t="str">
        <f t="shared" ca="1" si="28"/>
        <v/>
      </c>
      <c r="S143" s="86">
        <f>IFERROR(VLOOKUP($C143,Code!$H:$Q,5,FALSE),"")</f>
        <v>0.48209999999999997</v>
      </c>
      <c r="T143" s="88" t="str">
        <f t="shared" ca="1" si="29"/>
        <v/>
      </c>
      <c r="U143" s="89" t="str">
        <f t="shared" ca="1" si="30"/>
        <v/>
      </c>
      <c r="V143" s="90">
        <f>IFERROR(VLOOKUP($C143,Code!$H:$Q,6,FALSE),"")</f>
        <v>43.87</v>
      </c>
      <c r="W143" s="91" t="str">
        <f t="shared" ca="1" si="31"/>
        <v/>
      </c>
      <c r="X143" s="12"/>
      <c r="Y143" s="12"/>
      <c r="Z143" s="12"/>
      <c r="AA143" s="12"/>
      <c r="AB143" s="12"/>
    </row>
    <row r="144" spans="1:28" s="10" customFormat="1" ht="15" hidden="1">
      <c r="A144" s="9"/>
      <c r="B144" s="137">
        <v>1</v>
      </c>
      <c r="C144" s="142" t="s">
        <v>1032</v>
      </c>
      <c r="D144" s="82" t="str">
        <f>IFERROR(VLOOKUP($C144,Code!$H:$K,2,FALSE),"")</f>
        <v>XLI</v>
      </c>
      <c r="E144" s="83" t="str">
        <f>IFERROR(VLOOKUP($C144,Code!$H:$K,3,FALSE),"")</f>
        <v>綜合貨運物流</v>
      </c>
      <c r="F144" s="84" t="str">
        <f>IFERROR(VLOOKUP($C144,Code!$H:$K,4,FALSE),"")</f>
        <v>.SPX</v>
      </c>
      <c r="G144" s="128">
        <f>_xlfn.IFNA(((VLOOKUP($C144,Code!$H:$Q,9,FALSE))+(VLOOKUP($C144,Code!$H:$Q,10,FALSE)))/2*0.5/(((VLOOKUP($C144,Code!$H:$Q,7,FALSE))+(VLOOKUP($C144,Code!$H:$Q,8,FALSE)))/2),0)</f>
        <v>0.55381863431326794</v>
      </c>
      <c r="H144" s="87" t="str">
        <f t="shared" si="24"/>
        <v>M</v>
      </c>
      <c r="I144" s="128">
        <f>_xlfn.IFNA((VLOOKUP($C144,Code!$H:$Q,5,FALSE))/(((VLOOKUP($C144,Code!$H:$Q,7,FALSE))+(VLOOKUP($C144,Code!$H:$Q,8,FALSE)))/2)-G144,0)</f>
        <v>0.10475968268782088</v>
      </c>
      <c r="J144" s="55">
        <f>IFERROR(POWER((VLOOKUP(C144,Code!H:W,12,FALSE))/(VLOOKUP(C144,Code!H:W,15,FALSE)),1/(P144-1))-1,"")</f>
        <v>0.23736012975477627</v>
      </c>
      <c r="K144" s="55">
        <f>IFERROR(POWER((VLOOKUP(C144,Code!H:W,13,FALSE))/(VLOOKUP(C144,Code!H:W,16,FALSE)),1/(P144-1))-1,"")</f>
        <v>7.3642273011712556E-2</v>
      </c>
      <c r="L144" s="75">
        <f>IFERROR(VLOOKUP(C144,Code!H:W,13,FALSE)*4/VLOOKUP(C144,Code!H:W,12,FALSE),"")</f>
        <v>1.9257092056585545E-2</v>
      </c>
      <c r="M144" s="55">
        <f t="shared" si="25"/>
        <v>0.31100240276648883</v>
      </c>
      <c r="N144" s="55" t="str">
        <f t="shared" si="26"/>
        <v>-</v>
      </c>
      <c r="O144" s="55" t="str">
        <f t="shared" si="27"/>
        <v>-</v>
      </c>
      <c r="P144" s="196">
        <f>IFERROR(YEARFRAC(VLOOKUP(C144,Code!H:W,11,FALSE),VLOOKUP(C144,Code!H:W,14,FALSE),3),"")</f>
        <v>4.7753424657534245</v>
      </c>
      <c r="Q144" s="2"/>
      <c r="R144" s="85" t="str">
        <f t="shared" ca="1" si="28"/>
        <v/>
      </c>
      <c r="S144" s="86">
        <f>IFERROR(VLOOKUP($C144,Code!$H:$Q,5,FALSE),"")</f>
        <v>0.2117</v>
      </c>
      <c r="T144" s="88" t="str">
        <f t="shared" ca="1" si="29"/>
        <v/>
      </c>
      <c r="U144" s="89" t="str">
        <f t="shared" ca="1" si="30"/>
        <v/>
      </c>
      <c r="V144" s="90">
        <f>IFERROR(VLOOKUP($C144,Code!$H:$Q,6,FALSE),"")</f>
        <v>192.68</v>
      </c>
      <c r="W144" s="91" t="str">
        <f t="shared" ca="1" si="31"/>
        <v/>
      </c>
      <c r="X144" s="12"/>
      <c r="Y144" s="12"/>
      <c r="Z144" s="12"/>
      <c r="AA144" s="12"/>
      <c r="AB144" s="12"/>
    </row>
    <row r="145" spans="1:28" s="10" customFormat="1" ht="15" hidden="1">
      <c r="A145" s="9"/>
      <c r="B145" s="137">
        <v>4</v>
      </c>
      <c r="C145" s="142" t="s">
        <v>697</v>
      </c>
      <c r="D145" s="82" t="str">
        <f>IFERROR(VLOOKUP($C145,Code!$H:$K,2,FALSE),"")</f>
        <v/>
      </c>
      <c r="E145" s="83" t="str">
        <f>IFERROR(VLOOKUP($C145,Code!$H:$K,3,FALSE),"")</f>
        <v/>
      </c>
      <c r="F145" s="84" t="str">
        <f>IFERROR(VLOOKUP($C145,Code!$H:$K,4,FALSE),"")</f>
        <v>JIT</v>
      </c>
      <c r="G145" s="128">
        <f>_xlfn.IFNA(((VLOOKUP($C145,Code!$H:$Q,9,FALSE))+(VLOOKUP($C145,Code!$H:$Q,10,FALSE)))/2*0.5/(((VLOOKUP($C145,Code!$H:$Q,7,FALSE))+(VLOOKUP($C145,Code!$H:$Q,8,FALSE)))/2),0)</f>
        <v>0.996695208051675</v>
      </c>
      <c r="H145" s="87" t="str">
        <f t="shared" si="24"/>
        <v>XL</v>
      </c>
      <c r="I145" s="128">
        <f>_xlfn.IFNA((VLOOKUP($C145,Code!$H:$Q,5,FALSE))/(((VLOOKUP($C145,Code!$H:$Q,7,FALSE))+(VLOOKUP($C145,Code!$H:$Q,8,FALSE)))/2)-G145,0)</f>
        <v>0.32386961093585709</v>
      </c>
      <c r="J145" s="55" t="str">
        <f>IFERROR(POWER((VLOOKUP(C145,Code!H:W,12,FALSE))/(VLOOKUP(C145,Code!H:W,15,FALSE)),1/(P145-1))-1,"")</f>
        <v/>
      </c>
      <c r="K145" s="55" t="str">
        <f>IFERROR(POWER((VLOOKUP(C145,Code!H:W,13,FALSE))/(VLOOKUP(C145,Code!H:W,16,FALSE)),1/(P145-1))-1,"")</f>
        <v/>
      </c>
      <c r="L145" s="75" t="str">
        <f>IFERROR(VLOOKUP(C145,Code!H:W,13,FALSE)*4/VLOOKUP(C145,Code!H:W,12,FALSE),"")</f>
        <v/>
      </c>
      <c r="M145" s="55" t="str">
        <f t="shared" si="25"/>
        <v/>
      </c>
      <c r="N145" s="55" t="str">
        <f t="shared" si="26"/>
        <v/>
      </c>
      <c r="O145" s="55" t="str">
        <f t="shared" si="27"/>
        <v/>
      </c>
      <c r="P145" s="70">
        <f>IFERROR(YEARFRAC(VLOOKUP(C145,Code!H:W,11,FALSE),VLOOKUP(C145,Code!H:W,14,FALSE),3),"")</f>
        <v>0</v>
      </c>
      <c r="Q145" s="2"/>
      <c r="R145" s="85" t="str">
        <f t="shared" ca="1" si="28"/>
        <v/>
      </c>
      <c r="S145" s="86">
        <f>IFERROR(VLOOKUP($C145,Code!$H:$Q,5,FALSE),"")</f>
        <v>0.87909999999999999</v>
      </c>
      <c r="T145" s="88" t="str">
        <f t="shared" ca="1" si="29"/>
        <v/>
      </c>
      <c r="U145" s="89" t="str">
        <f t="shared" ca="1" si="30"/>
        <v/>
      </c>
      <c r="V145" s="90">
        <f>IFERROR(VLOOKUP($C145,Code!$H:$Q,6,FALSE),"")</f>
        <v>3.21</v>
      </c>
      <c r="W145" s="91" t="str">
        <f t="shared" ca="1" si="31"/>
        <v/>
      </c>
      <c r="X145" s="12"/>
      <c r="Y145" s="12"/>
      <c r="Z145" s="12"/>
      <c r="AA145" s="12"/>
      <c r="AB145" s="12"/>
    </row>
    <row r="146" spans="1:28" s="10" customFormat="1" ht="15" hidden="1">
      <c r="A146" s="9"/>
      <c r="B146" s="137">
        <v>1</v>
      </c>
      <c r="C146" s="142" t="s">
        <v>221</v>
      </c>
      <c r="D146" s="82" t="str">
        <f>IFERROR(VLOOKUP($C146,Code!$H:$K,2,FALSE),"")</f>
        <v>XLC</v>
      </c>
      <c r="E146" s="83" t="str">
        <f>IFERROR(VLOOKUP($C146,Code!$H:$K,3,FALSE),"")</f>
        <v>電信業務</v>
      </c>
      <c r="F146" s="84" t="str">
        <f>IFERROR(VLOOKUP($C146,Code!$H:$K,4,FALSE),"")</f>
        <v>.SPX</v>
      </c>
      <c r="G146" s="128">
        <f>_xlfn.IFNA(((VLOOKUP($C146,Code!$H:$Q,9,FALSE))+(VLOOKUP($C146,Code!$H:$Q,10,FALSE)))/2*0.5/(((VLOOKUP($C146,Code!$H:$Q,7,FALSE))+(VLOOKUP($C146,Code!$H:$Q,8,FALSE)))/2),0)</f>
        <v>0.54546865301055247</v>
      </c>
      <c r="H146" s="87" t="str">
        <f t="shared" si="24"/>
        <v>M</v>
      </c>
      <c r="I146" s="128">
        <f>_xlfn.IFNA((VLOOKUP($C146,Code!$H:$Q,5,FALSE))/(((VLOOKUP($C146,Code!$H:$Q,7,FALSE))+(VLOOKUP($C146,Code!$H:$Q,8,FALSE)))/2)-G146,0)</f>
        <v>0.20685909373060218</v>
      </c>
      <c r="J146" s="55">
        <f>IFERROR(POWER((VLOOKUP(C146,Code!H:W,12,FALSE))/(VLOOKUP(C146,Code!H:W,15,FALSE)),1/(P146-1))-1,"")</f>
        <v>8.6783527713466535E-2</v>
      </c>
      <c r="K146" s="55">
        <f>IFERROR(POWER((VLOOKUP(C146,Code!H:W,13,FALSE))/(VLOOKUP(C146,Code!H:W,16,FALSE)),1/(P146-1))-1,"")</f>
        <v>2.2317325109741049E-2</v>
      </c>
      <c r="L146" s="75">
        <f>IFERROR(VLOOKUP(C146,Code!H:W,13,FALSE)*4/VLOOKUP(C146,Code!H:W,12,FALSE),"")</f>
        <v>4.51149422814658E-2</v>
      </c>
      <c r="M146" s="55">
        <f t="shared" si="25"/>
        <v>0.10910085282320758</v>
      </c>
      <c r="N146" s="55" t="str">
        <f t="shared" si="26"/>
        <v>-</v>
      </c>
      <c r="O146" s="55" t="str">
        <f t="shared" si="27"/>
        <v>-</v>
      </c>
      <c r="P146" s="196">
        <f>IFERROR(YEARFRAC(VLOOKUP(C146,Code!H:W,11,FALSE),VLOOKUP(C146,Code!H:W,14,FALSE),3),"")</f>
        <v>4.7589041095890412</v>
      </c>
      <c r="Q146" s="2"/>
      <c r="R146" s="85" t="str">
        <f t="shared" ca="1" si="28"/>
        <v/>
      </c>
      <c r="S146" s="86">
        <f>IFERROR(VLOOKUP($C146,Code!$H:$Q,5,FALSE),"")</f>
        <v>0.1212</v>
      </c>
      <c r="T146" s="88" t="str">
        <f t="shared" ca="1" si="29"/>
        <v/>
      </c>
      <c r="U146" s="89" t="str">
        <f t="shared" ca="1" si="30"/>
        <v/>
      </c>
      <c r="V146" s="90">
        <f>IFERROR(VLOOKUP($C146,Code!$H:$Q,6,FALSE),"")</f>
        <v>55.38</v>
      </c>
      <c r="W146" s="91" t="str">
        <f t="shared" ca="1" si="31"/>
        <v/>
      </c>
      <c r="X146" s="12"/>
      <c r="Y146" s="12"/>
      <c r="Z146" s="12"/>
      <c r="AA146" s="12"/>
      <c r="AB146" s="12"/>
    </row>
    <row r="147" spans="1:28" s="10" customFormat="1" ht="15" hidden="1">
      <c r="A147" s="9"/>
      <c r="B147" s="137">
        <v>3</v>
      </c>
      <c r="C147" s="142" t="s">
        <v>653</v>
      </c>
      <c r="D147" s="82" t="str">
        <f>IFERROR(VLOOKUP($C147,Code!$H:$K,2,FALSE),"")</f>
        <v/>
      </c>
      <c r="E147" s="83" t="str">
        <f>IFERROR(VLOOKUP($C147,Code!$H:$K,3,FALSE),"")</f>
        <v/>
      </c>
      <c r="F147" s="84" t="str">
        <f>IFERROR(VLOOKUP($C147,Code!$H:$K,4,FALSE),"")</f>
        <v>Livia</v>
      </c>
      <c r="G147" s="128">
        <f>_xlfn.IFNA(((VLOOKUP($C147,Code!$H:$Q,9,FALSE))+(VLOOKUP($C147,Code!$H:$Q,10,FALSE)))/2*0.5/(((VLOOKUP($C147,Code!$H:$Q,7,FALSE))+(VLOOKUP($C147,Code!$H:$Q,8,FALSE)))/2),0)</f>
        <v>0.73733930658356062</v>
      </c>
      <c r="H147" s="87" t="str">
        <f t="shared" si="24"/>
        <v>XL</v>
      </c>
      <c r="I147" s="128">
        <f>_xlfn.IFNA((VLOOKUP($C147,Code!$H:$Q,5,FALSE))/(((VLOOKUP($C147,Code!$H:$Q,7,FALSE))+(VLOOKUP($C147,Code!$H:$Q,8,FALSE)))/2)-G147,0)</f>
        <v>5.5512271133619784E-3</v>
      </c>
      <c r="J147" s="55">
        <f>IFERROR(POWER((VLOOKUP(C147,Code!H:W,12,FALSE))/(VLOOKUP(C147,Code!H:W,15,FALSE)),1/(P147-1))-1,"")</f>
        <v>1.0717061826084286</v>
      </c>
      <c r="K147" s="55">
        <f>IFERROR(POWER((VLOOKUP(C147,Code!H:W,13,FALSE))/(VLOOKUP(C147,Code!H:W,16,FALSE)),1/(P147-1))-1,"")</f>
        <v>-0.9996840776310838</v>
      </c>
      <c r="L147" s="75">
        <f>IFERROR(VLOOKUP(C147,Code!H:W,13,FALSE)*4/VLOOKUP(C147,Code!H:W,12,FALSE),"")</f>
        <v>8.3805210237126899E-3</v>
      </c>
      <c r="M147" s="55">
        <f t="shared" si="25"/>
        <v>7.2022104977344847E-2</v>
      </c>
      <c r="N147" s="55" t="str">
        <f t="shared" si="26"/>
        <v>-</v>
      </c>
      <c r="O147" s="55" t="str">
        <f t="shared" si="27"/>
        <v>-</v>
      </c>
      <c r="P147" s="70">
        <f>IFERROR(YEARFRAC(VLOOKUP(C147,Code!H:W,11,FALSE),VLOOKUP(C147,Code!H:W,14,FALSE),3),"")</f>
        <v>1.2493150684931507</v>
      </c>
      <c r="Q147" s="2"/>
      <c r="R147" s="85" t="str">
        <f t="shared" ca="1" si="28"/>
        <v/>
      </c>
      <c r="S147" s="86">
        <f>IFERROR(VLOOKUP($C147,Code!$H:$Q,5,FALSE),"")</f>
        <v>0.38140000000000002</v>
      </c>
      <c r="T147" s="88" t="str">
        <f t="shared" ca="1" si="29"/>
        <v/>
      </c>
      <c r="U147" s="89" t="str">
        <f t="shared" ca="1" si="30"/>
        <v/>
      </c>
      <c r="V147" s="90">
        <f>IFERROR(VLOOKUP($C147,Code!$H:$Q,6,FALSE),"")</f>
        <v>18.96</v>
      </c>
      <c r="W147" s="91" t="str">
        <f t="shared" ca="1" si="31"/>
        <v/>
      </c>
      <c r="X147" s="12"/>
      <c r="Y147" s="12"/>
      <c r="Z147" s="12"/>
      <c r="AA147" s="12"/>
      <c r="AB147" s="12"/>
    </row>
    <row r="148" spans="1:28" s="10" customFormat="1" ht="15" hidden="1">
      <c r="A148" s="9"/>
      <c r="B148" s="137">
        <v>3</v>
      </c>
      <c r="C148" s="142" t="s">
        <v>658</v>
      </c>
      <c r="D148" s="82" t="str">
        <f>IFERROR(VLOOKUP($C148,Code!$H:$K,2,FALSE),"")</f>
        <v/>
      </c>
      <c r="E148" s="83" t="str">
        <f>IFERROR(VLOOKUP($C148,Code!$H:$K,3,FALSE),"")</f>
        <v/>
      </c>
      <c r="F148" s="84" t="str">
        <f>IFERROR(VLOOKUP($C148,Code!$H:$K,4,FALSE),"")</f>
        <v>Livia</v>
      </c>
      <c r="G148" s="128">
        <f>_xlfn.IFNA(((VLOOKUP($C148,Code!$H:$Q,9,FALSE))+(VLOOKUP($C148,Code!$H:$Q,10,FALSE)))/2*0.5/(((VLOOKUP($C148,Code!$H:$Q,7,FALSE))+(VLOOKUP($C148,Code!$H:$Q,8,FALSE)))/2),0)</f>
        <v>0.42033422630437561</v>
      </c>
      <c r="H148" s="87" t="str">
        <f t="shared" si="24"/>
        <v>S</v>
      </c>
      <c r="I148" s="128">
        <f>_xlfn.IFNA((VLOOKUP($C148,Code!$H:$Q,5,FALSE))/(((VLOOKUP($C148,Code!$H:$Q,7,FALSE))+(VLOOKUP($C148,Code!$H:$Q,8,FALSE)))/2)-G148,0)</f>
        <v>0.15818344176553129</v>
      </c>
      <c r="J148" s="55" t="str">
        <f>IFERROR(POWER((VLOOKUP(C148,Code!H:W,12,FALSE))/(VLOOKUP(C148,Code!H:W,15,FALSE)),1/(P148-1))-1,"")</f>
        <v/>
      </c>
      <c r="K148" s="55" t="str">
        <f>IFERROR(POWER((VLOOKUP(C148,Code!H:W,13,FALSE))/(VLOOKUP(C148,Code!H:W,16,FALSE)),1/(P148-1))-1,"")</f>
        <v/>
      </c>
      <c r="L148" s="75" t="str">
        <f>IFERROR(VLOOKUP(C148,Code!H:W,13,FALSE)*4/VLOOKUP(C148,Code!H:W,12,FALSE),"")</f>
        <v/>
      </c>
      <c r="M148" s="55" t="str">
        <f t="shared" si="25"/>
        <v/>
      </c>
      <c r="N148" s="55" t="str">
        <f t="shared" si="26"/>
        <v/>
      </c>
      <c r="O148" s="55" t="str">
        <f t="shared" si="27"/>
        <v/>
      </c>
      <c r="P148" s="70">
        <f>IFERROR(YEARFRAC(VLOOKUP(C148,Code!H:W,11,FALSE),VLOOKUP(C148,Code!H:W,14,FALSE),3),"")</f>
        <v>0</v>
      </c>
      <c r="Q148" s="2"/>
      <c r="R148" s="85" t="str">
        <f t="shared" ca="1" si="28"/>
        <v/>
      </c>
      <c r="S148" s="86">
        <f>IFERROR(VLOOKUP($C148,Code!$H:$Q,5,FALSE),"")</f>
        <v>0.45350000000000001</v>
      </c>
      <c r="T148" s="88" t="str">
        <f t="shared" ca="1" si="29"/>
        <v/>
      </c>
      <c r="U148" s="89" t="str">
        <f t="shared" ca="1" si="30"/>
        <v/>
      </c>
      <c r="V148" s="90">
        <f>IFERROR(VLOOKUP($C148,Code!$H:$Q,6,FALSE),"")</f>
        <v>378.5</v>
      </c>
      <c r="W148" s="91" t="str">
        <f t="shared" ca="1" si="31"/>
        <v/>
      </c>
      <c r="X148" s="12"/>
      <c r="Y148" s="12"/>
      <c r="Z148" s="12"/>
      <c r="AA148" s="12"/>
      <c r="AB148" s="12"/>
    </row>
    <row r="149" spans="1:28" s="10" customFormat="1" ht="15" hidden="1">
      <c r="A149" s="9"/>
      <c r="B149" s="137"/>
      <c r="C149" s="142"/>
      <c r="D149" s="82" t="str">
        <f>IFERROR(VLOOKUP($C149,Code!$H:$K,2,FALSE),"")</f>
        <v/>
      </c>
      <c r="E149" s="83" t="str">
        <f>IFERROR(VLOOKUP($C149,Code!$H:$K,3,FALSE),"")</f>
        <v/>
      </c>
      <c r="F149" s="84" t="str">
        <f>IFERROR(VLOOKUP($C149,Code!$H:$K,4,FALSE),"")</f>
        <v/>
      </c>
      <c r="G149" s="128">
        <f>_xlfn.IFNA(((VLOOKUP($C149,Code!$H:$Q,9,FALSE))+(VLOOKUP($C149,Code!$H:$Q,10,FALSE)))/2*0.5/(((VLOOKUP($C149,Code!$H:$Q,7,FALSE))+(VLOOKUP($C149,Code!$H:$Q,8,FALSE)))/2),0)</f>
        <v>0</v>
      </c>
      <c r="H149" s="87" t="str">
        <f t="shared" si="24"/>
        <v/>
      </c>
      <c r="I149" s="128">
        <f>_xlfn.IFNA((VLOOKUP($C149,Code!$H:$Q,5,FALSE))/(((VLOOKUP($C149,Code!$H:$Q,7,FALSE))+(VLOOKUP($C149,Code!$H:$Q,8,FALSE)))/2)-G149,0)</f>
        <v>0</v>
      </c>
      <c r="J149" s="55" t="str">
        <f>IFERROR(POWER((VLOOKUP(C149,Code!H:W,12,FALSE))/(VLOOKUP(C149,Code!H:W,15,FALSE)),1/(P149-1))-1,"")</f>
        <v/>
      </c>
      <c r="K149" s="55" t="str">
        <f>IFERROR(POWER((VLOOKUP(C149,Code!H:W,13,FALSE))/(VLOOKUP(C149,Code!H:W,16,FALSE)),1/(P149-1))-1,"")</f>
        <v/>
      </c>
      <c r="L149" s="75" t="str">
        <f>IFERROR(VLOOKUP(C149,Code!H:W,13,FALSE)*4/VLOOKUP(C149,Code!H:W,12,FALSE),"")</f>
        <v/>
      </c>
      <c r="M149" s="55" t="str">
        <f t="shared" si="25"/>
        <v/>
      </c>
      <c r="N149" s="55" t="str">
        <f t="shared" si="26"/>
        <v/>
      </c>
      <c r="O149" s="55" t="str">
        <f t="shared" si="27"/>
        <v/>
      </c>
      <c r="P149" s="196" t="str">
        <f>IFERROR(YEARFRAC(VLOOKUP(C149,Code!H:W,11,FALSE),VLOOKUP(C149,Code!H:W,14,FALSE),3),"")</f>
        <v/>
      </c>
      <c r="Q149" s="2"/>
      <c r="R149" s="85" t="str">
        <f t="shared" ca="1" si="28"/>
        <v/>
      </c>
      <c r="S149" s="86" t="str">
        <f>IFERROR(VLOOKUP($C149,Code!$H:$Q,5,FALSE),"")</f>
        <v/>
      </c>
      <c r="T149" s="88" t="str">
        <f t="shared" ca="1" si="29"/>
        <v/>
      </c>
      <c r="U149" s="89" t="str">
        <f t="shared" ca="1" si="30"/>
        <v/>
      </c>
      <c r="V149" s="90" t="str">
        <f>IFERROR(VLOOKUP($C149,Code!$H:$Q,6,FALSE),"")</f>
        <v/>
      </c>
      <c r="W149" s="91" t="str">
        <f t="shared" ca="1" si="31"/>
        <v/>
      </c>
      <c r="X149" s="12"/>
      <c r="Y149" s="12"/>
      <c r="Z149" s="12"/>
      <c r="AA149" s="12"/>
      <c r="AB149" s="12"/>
    </row>
    <row r="150" spans="1:28" s="10" customFormat="1" ht="15" hidden="1">
      <c r="A150" s="9"/>
      <c r="B150" s="137"/>
      <c r="C150" s="142"/>
      <c r="D150" s="82" t="str">
        <f>IFERROR(VLOOKUP($C150,Code!$H:$K,2,FALSE),"")</f>
        <v/>
      </c>
      <c r="E150" s="83" t="str">
        <f>IFERROR(VLOOKUP($C150,Code!$H:$K,3,FALSE),"")</f>
        <v/>
      </c>
      <c r="F150" s="84" t="str">
        <f>IFERROR(VLOOKUP($C150,Code!$H:$K,4,FALSE),"")</f>
        <v/>
      </c>
      <c r="G150" s="128">
        <f>_xlfn.IFNA(((VLOOKUP($C150,Code!$H:$Q,9,FALSE))+(VLOOKUP($C150,Code!$H:$Q,10,FALSE)))/2*0.5/(((VLOOKUP($C150,Code!$H:$Q,7,FALSE))+(VLOOKUP($C150,Code!$H:$Q,8,FALSE)))/2),0)</f>
        <v>0</v>
      </c>
      <c r="H150" s="87" t="str">
        <f t="shared" si="24"/>
        <v/>
      </c>
      <c r="I150" s="128">
        <f>_xlfn.IFNA((VLOOKUP($C150,Code!$H:$Q,5,FALSE))/(((VLOOKUP($C150,Code!$H:$Q,7,FALSE))+(VLOOKUP($C150,Code!$H:$Q,8,FALSE)))/2)-G150,0)</f>
        <v>0</v>
      </c>
      <c r="J150" s="55" t="str">
        <f>IFERROR(POWER((VLOOKUP(C150,Code!H:W,12,FALSE))/(VLOOKUP(C150,Code!H:W,15,FALSE)),1/(P150-1))-1,"")</f>
        <v/>
      </c>
      <c r="K150" s="55" t="str">
        <f>IFERROR(POWER((VLOOKUP(C150,Code!H:W,13,FALSE))/(VLOOKUP(C150,Code!H:W,16,FALSE)),1/(P150-1))-1,"")</f>
        <v/>
      </c>
      <c r="L150" s="75" t="str">
        <f>IFERROR(VLOOKUP(C150,Code!H:W,13,FALSE)*4/VLOOKUP(C150,Code!H:W,12,FALSE),"")</f>
        <v/>
      </c>
      <c r="M150" s="55" t="str">
        <f t="shared" si="25"/>
        <v/>
      </c>
      <c r="N150" s="55" t="str">
        <f t="shared" si="26"/>
        <v/>
      </c>
      <c r="O150" s="55" t="str">
        <f t="shared" si="27"/>
        <v/>
      </c>
      <c r="P150" s="196" t="str">
        <f>IFERROR(YEARFRAC(VLOOKUP(C150,Code!H:W,11,FALSE),VLOOKUP(C150,Code!H:W,14,FALSE),3),"")</f>
        <v/>
      </c>
      <c r="Q150" s="2"/>
      <c r="R150" s="85" t="str">
        <f t="shared" ca="1" si="28"/>
        <v/>
      </c>
      <c r="S150" s="86" t="str">
        <f>IFERROR(VLOOKUP($C150,Code!$H:$Q,5,FALSE),"")</f>
        <v/>
      </c>
      <c r="T150" s="88" t="str">
        <f t="shared" ca="1" si="29"/>
        <v/>
      </c>
      <c r="U150" s="89" t="str">
        <f t="shared" ca="1" si="30"/>
        <v/>
      </c>
      <c r="V150" s="90" t="str">
        <f>IFERROR(VLOOKUP($C150,Code!$H:$Q,6,FALSE),"")</f>
        <v/>
      </c>
      <c r="W150" s="91" t="str">
        <f t="shared" ca="1" si="31"/>
        <v/>
      </c>
      <c r="X150" s="12"/>
      <c r="Y150" s="12"/>
      <c r="Z150" s="12"/>
      <c r="AA150" s="12"/>
      <c r="AB150" s="12"/>
    </row>
    <row r="151" spans="1:28" s="10" customFormat="1" ht="15" hidden="1">
      <c r="A151" s="9"/>
      <c r="B151" s="137"/>
      <c r="C151" s="142"/>
      <c r="D151" s="82" t="str">
        <f>IFERROR(VLOOKUP($C151,Code!$H:$K,2,FALSE),"")</f>
        <v/>
      </c>
      <c r="E151" s="83" t="str">
        <f>IFERROR(VLOOKUP($C151,Code!$H:$K,3,FALSE),"")</f>
        <v/>
      </c>
      <c r="F151" s="84" t="str">
        <f>IFERROR(VLOOKUP($C151,Code!$H:$K,4,FALSE),"")</f>
        <v/>
      </c>
      <c r="G151" s="128">
        <f>_xlfn.IFNA(((VLOOKUP($C151,Code!$H:$Q,9,FALSE))+(VLOOKUP($C151,Code!$H:$Q,10,FALSE)))/2*0.5/(((VLOOKUP($C151,Code!$H:$Q,7,FALSE))+(VLOOKUP($C151,Code!$H:$Q,8,FALSE)))/2),0)</f>
        <v>0</v>
      </c>
      <c r="H151" s="87" t="str">
        <f t="shared" si="24"/>
        <v/>
      </c>
      <c r="I151" s="128">
        <f>_xlfn.IFNA((VLOOKUP($C151,Code!$H:$Q,5,FALSE))/(((VLOOKUP($C151,Code!$H:$Q,7,FALSE))+(VLOOKUP($C151,Code!$H:$Q,8,FALSE)))/2)-G151,0)</f>
        <v>0</v>
      </c>
      <c r="J151" s="55" t="str">
        <f>IFERROR(POWER((VLOOKUP(C151,Code!H:W,12,FALSE))/(VLOOKUP(C151,Code!H:W,15,FALSE)),1/(P151-1))-1,"")</f>
        <v/>
      </c>
      <c r="K151" s="55" t="str">
        <f>IFERROR(POWER((VLOOKUP(C151,Code!H:W,13,FALSE))/(VLOOKUP(C151,Code!H:W,16,FALSE)),1/(P151-1))-1,"")</f>
        <v/>
      </c>
      <c r="L151" s="75" t="str">
        <f>IFERROR(VLOOKUP(C151,Code!H:W,13,FALSE)*4/VLOOKUP(C151,Code!H:W,12,FALSE),"")</f>
        <v/>
      </c>
      <c r="M151" s="55" t="str">
        <f t="shared" si="25"/>
        <v/>
      </c>
      <c r="N151" s="55" t="str">
        <f t="shared" si="26"/>
        <v/>
      </c>
      <c r="O151" s="55" t="str">
        <f t="shared" si="27"/>
        <v/>
      </c>
      <c r="P151" s="196" t="str">
        <f>IFERROR(YEARFRAC(VLOOKUP(C151,Code!H:W,11,FALSE),VLOOKUP(C151,Code!H:W,14,FALSE),3),"")</f>
        <v/>
      </c>
      <c r="Q151" s="2"/>
      <c r="R151" s="85" t="str">
        <f t="shared" ca="1" si="28"/>
        <v/>
      </c>
      <c r="S151" s="86" t="str">
        <f>IFERROR(VLOOKUP($C151,Code!$H:$Q,5,FALSE),"")</f>
        <v/>
      </c>
      <c r="T151" s="88" t="str">
        <f t="shared" ca="1" si="29"/>
        <v/>
      </c>
      <c r="U151" s="89" t="str">
        <f t="shared" ca="1" si="30"/>
        <v/>
      </c>
      <c r="V151" s="90" t="str">
        <f>IFERROR(VLOOKUP($C151,Code!$H:$Q,6,FALSE),"")</f>
        <v/>
      </c>
      <c r="W151" s="91" t="str">
        <f t="shared" ca="1" si="31"/>
        <v/>
      </c>
      <c r="X151" s="12"/>
      <c r="Y151" s="12"/>
      <c r="Z151" s="12"/>
      <c r="AA151" s="12"/>
      <c r="AB151" s="12"/>
    </row>
    <row r="152" spans="1:28" s="10" customFormat="1" ht="15" hidden="1">
      <c r="A152" s="9"/>
      <c r="B152" s="137"/>
      <c r="C152" s="142"/>
      <c r="D152" s="82" t="str">
        <f>IFERROR(VLOOKUP($C152,Code!$H:$K,2,FALSE),"")</f>
        <v/>
      </c>
      <c r="E152" s="83" t="str">
        <f>IFERROR(VLOOKUP($C152,Code!$H:$K,3,FALSE),"")</f>
        <v/>
      </c>
      <c r="F152" s="84" t="str">
        <f>IFERROR(VLOOKUP($C152,Code!$H:$K,4,FALSE),"")</f>
        <v/>
      </c>
      <c r="G152" s="128">
        <f>_xlfn.IFNA(((VLOOKUP($C152,Code!$H:$Q,9,FALSE))+(VLOOKUP($C152,Code!$H:$Q,10,FALSE)))/2*0.5/(((VLOOKUP($C152,Code!$H:$Q,7,FALSE))+(VLOOKUP($C152,Code!$H:$Q,8,FALSE)))/2),0)</f>
        <v>0</v>
      </c>
      <c r="H152" s="87" t="str">
        <f t="shared" si="24"/>
        <v/>
      </c>
      <c r="I152" s="128">
        <f>_xlfn.IFNA((VLOOKUP($C152,Code!$H:$Q,5,FALSE))/(((VLOOKUP($C152,Code!$H:$Q,7,FALSE))+(VLOOKUP($C152,Code!$H:$Q,8,FALSE)))/2)-G152,0)</f>
        <v>0</v>
      </c>
      <c r="J152" s="55" t="str">
        <f>IFERROR(POWER((VLOOKUP(C152,Code!H:W,12,FALSE))/(VLOOKUP(C152,Code!H:W,15,FALSE)),1/(P152-1))-1,"")</f>
        <v/>
      </c>
      <c r="K152" s="55" t="str">
        <f>IFERROR(POWER((VLOOKUP(C152,Code!H:W,13,FALSE))/(VLOOKUP(C152,Code!H:W,16,FALSE)),1/(P152-1))-1,"")</f>
        <v/>
      </c>
      <c r="L152" s="75" t="str">
        <f>IFERROR(VLOOKUP(C152,Code!H:W,13,FALSE)*4/VLOOKUP(C152,Code!H:W,12,FALSE),"")</f>
        <v/>
      </c>
      <c r="M152" s="55" t="str">
        <f t="shared" si="25"/>
        <v/>
      </c>
      <c r="N152" s="55" t="str">
        <f t="shared" si="26"/>
        <v/>
      </c>
      <c r="O152" s="55" t="str">
        <f t="shared" si="27"/>
        <v/>
      </c>
      <c r="P152" s="196" t="str">
        <f>IFERROR(YEARFRAC(VLOOKUP(C152,Code!H:W,11,FALSE),VLOOKUP(C152,Code!H:W,14,FALSE),3),"")</f>
        <v/>
      </c>
      <c r="Q152" s="2"/>
      <c r="R152" s="85" t="str">
        <f t="shared" ca="1" si="28"/>
        <v/>
      </c>
      <c r="S152" s="86" t="str">
        <f>IFERROR(VLOOKUP($C152,Code!$H:$Q,5,FALSE),"")</f>
        <v/>
      </c>
      <c r="T152" s="88" t="str">
        <f t="shared" ca="1" si="29"/>
        <v/>
      </c>
      <c r="U152" s="89" t="str">
        <f t="shared" ca="1" si="30"/>
        <v/>
      </c>
      <c r="V152" s="90" t="str">
        <f>IFERROR(VLOOKUP($C152,Code!$H:$Q,6,FALSE),"")</f>
        <v/>
      </c>
      <c r="W152" s="91" t="str">
        <f t="shared" ca="1" si="31"/>
        <v/>
      </c>
      <c r="X152" s="12"/>
      <c r="Y152" s="12"/>
      <c r="Z152" s="12"/>
      <c r="AA152" s="12"/>
      <c r="AB152" s="12"/>
    </row>
    <row r="153" spans="1:28" s="10" customFormat="1" ht="15" hidden="1">
      <c r="A153" s="9"/>
      <c r="B153" s="137"/>
      <c r="C153" s="142"/>
      <c r="D153" s="82" t="str">
        <f>IFERROR(VLOOKUP($C153,Code!$H:$K,2,FALSE),"")</f>
        <v/>
      </c>
      <c r="E153" s="83" t="str">
        <f>IFERROR(VLOOKUP($C153,Code!$H:$K,3,FALSE),"")</f>
        <v/>
      </c>
      <c r="F153" s="84" t="str">
        <f>IFERROR(VLOOKUP($C153,Code!$H:$K,4,FALSE),"")</f>
        <v/>
      </c>
      <c r="G153" s="128">
        <f>_xlfn.IFNA(((VLOOKUP($C153,Code!$H:$Q,9,FALSE))+(VLOOKUP($C153,Code!$H:$Q,10,FALSE)))/2*0.5/(((VLOOKUP($C153,Code!$H:$Q,7,FALSE))+(VLOOKUP($C153,Code!$H:$Q,8,FALSE)))/2),0)</f>
        <v>0</v>
      </c>
      <c r="H153" s="87" t="str">
        <f t="shared" si="24"/>
        <v/>
      </c>
      <c r="I153" s="128">
        <f>_xlfn.IFNA((VLOOKUP($C153,Code!$H:$Q,5,FALSE))/(((VLOOKUP($C153,Code!$H:$Q,7,FALSE))+(VLOOKUP($C153,Code!$H:$Q,8,FALSE)))/2)-G153,0)</f>
        <v>0</v>
      </c>
      <c r="J153" s="55" t="str">
        <f>IFERROR(POWER((VLOOKUP(C153,Code!H:W,12,FALSE))/(VLOOKUP(C153,Code!H:W,15,FALSE)),1/(P153-1))-1,"")</f>
        <v/>
      </c>
      <c r="K153" s="55" t="str">
        <f>IFERROR(POWER((VLOOKUP(C153,Code!H:W,13,FALSE))/(VLOOKUP(C153,Code!H:W,16,FALSE)),1/(P153-1))-1,"")</f>
        <v/>
      </c>
      <c r="L153" s="75" t="str">
        <f>IFERROR(VLOOKUP(C153,Code!H:W,13,FALSE)*4/VLOOKUP(C153,Code!H:W,12,FALSE),"")</f>
        <v/>
      </c>
      <c r="M153" s="55" t="str">
        <f t="shared" si="25"/>
        <v/>
      </c>
      <c r="N153" s="55" t="str">
        <f t="shared" si="26"/>
        <v/>
      </c>
      <c r="O153" s="55" t="str">
        <f t="shared" si="27"/>
        <v/>
      </c>
      <c r="P153" s="196" t="str">
        <f>IFERROR(YEARFRAC(VLOOKUP(C153,Code!H:W,11,FALSE),VLOOKUP(C153,Code!H:W,14,FALSE),3),"")</f>
        <v/>
      </c>
      <c r="Q153" s="2"/>
      <c r="R153" s="85" t="str">
        <f t="shared" ca="1" si="28"/>
        <v/>
      </c>
      <c r="S153" s="86" t="str">
        <f>IFERROR(VLOOKUP($C153,Code!$H:$Q,5,FALSE),"")</f>
        <v/>
      </c>
      <c r="T153" s="88" t="str">
        <f t="shared" ca="1" si="29"/>
        <v/>
      </c>
      <c r="U153" s="89" t="str">
        <f t="shared" ca="1" si="30"/>
        <v/>
      </c>
      <c r="V153" s="90" t="str">
        <f>IFERROR(VLOOKUP($C153,Code!$H:$Q,6,FALSE),"")</f>
        <v/>
      </c>
      <c r="W153" s="91" t="str">
        <f t="shared" ca="1" si="31"/>
        <v/>
      </c>
      <c r="X153" s="12"/>
      <c r="Y153" s="12"/>
      <c r="Z153" s="12"/>
      <c r="AA153" s="12"/>
      <c r="AB153" s="12"/>
    </row>
    <row r="154" spans="1:28" s="10" customFormat="1" ht="15" hidden="1">
      <c r="A154" s="9"/>
      <c r="B154" s="137"/>
      <c r="C154" s="142"/>
      <c r="D154" s="82" t="str">
        <f>IFERROR(VLOOKUP($C154,Code!$H:$K,2,FALSE),"")</f>
        <v/>
      </c>
      <c r="E154" s="83" t="str">
        <f>IFERROR(VLOOKUP($C154,Code!$H:$K,3,FALSE),"")</f>
        <v/>
      </c>
      <c r="F154" s="84" t="str">
        <f>IFERROR(VLOOKUP($C154,Code!$H:$K,4,FALSE),"")</f>
        <v/>
      </c>
      <c r="G154" s="128">
        <f>_xlfn.IFNA(((VLOOKUP($C154,Code!$H:$Q,9,FALSE))+(VLOOKUP($C154,Code!$H:$Q,10,FALSE)))/2*0.5/(((VLOOKUP($C154,Code!$H:$Q,7,FALSE))+(VLOOKUP($C154,Code!$H:$Q,8,FALSE)))/2),0)</f>
        <v>0</v>
      </c>
      <c r="H154" s="87" t="str">
        <f t="shared" si="24"/>
        <v/>
      </c>
      <c r="I154" s="128">
        <f>_xlfn.IFNA((VLOOKUP($C154,Code!$H:$Q,5,FALSE))/(((VLOOKUP($C154,Code!$H:$Q,7,FALSE))+(VLOOKUP($C154,Code!$H:$Q,8,FALSE)))/2)-G154,0)</f>
        <v>0</v>
      </c>
      <c r="J154" s="55" t="str">
        <f>IFERROR(POWER((VLOOKUP(C154,Code!H:W,12,FALSE))/(VLOOKUP(C154,Code!H:W,15,FALSE)),1/(P154-1))-1,"")</f>
        <v/>
      </c>
      <c r="K154" s="55" t="str">
        <f>IFERROR(POWER((VLOOKUP(C154,Code!H:W,13,FALSE))/(VLOOKUP(C154,Code!H:W,16,FALSE)),1/(P154-1))-1,"")</f>
        <v/>
      </c>
      <c r="L154" s="75" t="str">
        <f>IFERROR(VLOOKUP(C154,Code!H:W,13,FALSE)*4/VLOOKUP(C154,Code!H:W,12,FALSE),"")</f>
        <v/>
      </c>
      <c r="M154" s="55" t="str">
        <f t="shared" si="25"/>
        <v/>
      </c>
      <c r="N154" s="55" t="str">
        <f t="shared" si="26"/>
        <v/>
      </c>
      <c r="O154" s="55" t="str">
        <f t="shared" si="27"/>
        <v/>
      </c>
      <c r="P154" s="196" t="str">
        <f>IFERROR(YEARFRAC(VLOOKUP(C154,Code!H:W,11,FALSE),VLOOKUP(C154,Code!H:W,14,FALSE),3),"")</f>
        <v/>
      </c>
      <c r="Q154" s="2"/>
      <c r="R154" s="85" t="str">
        <f t="shared" ca="1" si="28"/>
        <v/>
      </c>
      <c r="S154" s="86" t="str">
        <f>IFERROR(VLOOKUP($C154,Code!$H:$Q,5,FALSE),"")</f>
        <v/>
      </c>
      <c r="T154" s="88" t="str">
        <f t="shared" ca="1" si="29"/>
        <v/>
      </c>
      <c r="U154" s="89" t="str">
        <f t="shared" ca="1" si="30"/>
        <v/>
      </c>
      <c r="V154" s="90" t="str">
        <f>IFERROR(VLOOKUP($C154,Code!$H:$Q,6,FALSE),"")</f>
        <v/>
      </c>
      <c r="W154" s="91" t="str">
        <f t="shared" ca="1" si="31"/>
        <v/>
      </c>
      <c r="X154" s="12"/>
      <c r="Y154" s="12"/>
      <c r="Z154" s="12"/>
      <c r="AA154" s="12"/>
      <c r="AB154" s="12"/>
    </row>
    <row r="155" spans="1:28" s="10" customFormat="1" ht="15" hidden="1">
      <c r="A155" s="9"/>
      <c r="B155" s="137"/>
      <c r="C155" s="142"/>
      <c r="D155" s="82" t="str">
        <f>IFERROR(VLOOKUP($C155,Code!$H:$K,2,FALSE),"")</f>
        <v/>
      </c>
      <c r="E155" s="83" t="str">
        <f>IFERROR(VLOOKUP($C155,Code!$H:$K,3,FALSE),"")</f>
        <v/>
      </c>
      <c r="F155" s="84" t="str">
        <f>IFERROR(VLOOKUP($C155,Code!$H:$K,4,FALSE),"")</f>
        <v/>
      </c>
      <c r="G155" s="128">
        <f>_xlfn.IFNA(((VLOOKUP($C155,Code!$H:$Q,9,FALSE))+(VLOOKUP($C155,Code!$H:$Q,10,FALSE)))/2*0.5/(((VLOOKUP($C155,Code!$H:$Q,7,FALSE))+(VLOOKUP($C155,Code!$H:$Q,8,FALSE)))/2),0)</f>
        <v>0</v>
      </c>
      <c r="H155" s="87" t="str">
        <f t="shared" si="24"/>
        <v/>
      </c>
      <c r="I155" s="128">
        <f>_xlfn.IFNA((VLOOKUP($C155,Code!$H:$Q,5,FALSE))/(((VLOOKUP($C155,Code!$H:$Q,7,FALSE))+(VLOOKUP($C155,Code!$H:$Q,8,FALSE)))/2)-G155,0)</f>
        <v>0</v>
      </c>
      <c r="J155" s="55" t="str">
        <f>IFERROR(POWER((VLOOKUP(C155,Code!H:W,12,FALSE))/(VLOOKUP(C155,Code!H:W,15,FALSE)),1/(P155-1))-1,"")</f>
        <v/>
      </c>
      <c r="K155" s="55" t="str">
        <f>IFERROR(POWER((VLOOKUP(C155,Code!H:W,13,FALSE))/(VLOOKUP(C155,Code!H:W,16,FALSE)),1/(P155-1))-1,"")</f>
        <v/>
      </c>
      <c r="L155" s="75" t="str">
        <f>IFERROR(VLOOKUP(C155,Code!H:W,13,FALSE)*4/VLOOKUP(C155,Code!H:W,12,FALSE),"")</f>
        <v/>
      </c>
      <c r="M155" s="55" t="str">
        <f t="shared" si="25"/>
        <v/>
      </c>
      <c r="N155" s="55" t="str">
        <f t="shared" si="26"/>
        <v/>
      </c>
      <c r="O155" s="55" t="str">
        <f t="shared" si="27"/>
        <v/>
      </c>
      <c r="P155" s="196" t="str">
        <f>IFERROR(YEARFRAC(VLOOKUP(C155,Code!H:W,11,FALSE),VLOOKUP(C155,Code!H:W,14,FALSE),3),"")</f>
        <v/>
      </c>
      <c r="Q155" s="2"/>
      <c r="R155" s="85" t="str">
        <f t="shared" ca="1" si="28"/>
        <v/>
      </c>
      <c r="S155" s="86" t="str">
        <f>IFERROR(VLOOKUP($C155,Code!$H:$Q,5,FALSE),"")</f>
        <v/>
      </c>
      <c r="T155" s="88" t="str">
        <f t="shared" ca="1" si="29"/>
        <v/>
      </c>
      <c r="U155" s="89" t="str">
        <f t="shared" ca="1" si="30"/>
        <v/>
      </c>
      <c r="V155" s="90" t="str">
        <f>IFERROR(VLOOKUP($C155,Code!$H:$Q,6,FALSE),"")</f>
        <v/>
      </c>
      <c r="W155" s="91" t="str">
        <f t="shared" ca="1" si="31"/>
        <v/>
      </c>
      <c r="X155" s="12"/>
      <c r="Y155" s="12"/>
      <c r="Z155" s="12"/>
      <c r="AA155" s="12"/>
      <c r="AB155" s="12"/>
    </row>
    <row r="156" spans="1:28" s="10" customFormat="1" ht="15" hidden="1">
      <c r="A156" s="9"/>
      <c r="B156" s="137"/>
      <c r="C156" s="142"/>
      <c r="D156" s="82" t="str">
        <f>IFERROR(VLOOKUP($C156,Code!$H:$K,2,FALSE),"")</f>
        <v/>
      </c>
      <c r="E156" s="83" t="str">
        <f>IFERROR(VLOOKUP($C156,Code!$H:$K,3,FALSE),"")</f>
        <v/>
      </c>
      <c r="F156" s="84" t="str">
        <f>IFERROR(VLOOKUP($C156,Code!$H:$K,4,FALSE),"")</f>
        <v/>
      </c>
      <c r="G156" s="128">
        <f>_xlfn.IFNA(((VLOOKUP($C156,Code!$H:$Q,9,FALSE))+(VLOOKUP($C156,Code!$H:$Q,10,FALSE)))/2*0.5/(((VLOOKUP($C156,Code!$H:$Q,7,FALSE))+(VLOOKUP($C156,Code!$H:$Q,8,FALSE)))/2),0)</f>
        <v>0</v>
      </c>
      <c r="H156" s="87" t="str">
        <f t="shared" si="24"/>
        <v/>
      </c>
      <c r="I156" s="128">
        <f>_xlfn.IFNA((VLOOKUP($C156,Code!$H:$Q,5,FALSE))/(((VLOOKUP($C156,Code!$H:$Q,7,FALSE))+(VLOOKUP($C156,Code!$H:$Q,8,FALSE)))/2)-G156,0)</f>
        <v>0</v>
      </c>
      <c r="J156" s="55" t="str">
        <f>IFERROR(POWER((VLOOKUP(C156,Code!H:W,12,FALSE))/(VLOOKUP(C156,Code!H:W,15,FALSE)),1/(P156-1))-1,"")</f>
        <v/>
      </c>
      <c r="K156" s="55" t="str">
        <f>IFERROR(POWER((VLOOKUP(C156,Code!H:W,13,FALSE))/(VLOOKUP(C156,Code!H:W,16,FALSE)),1/(P156-1))-1,"")</f>
        <v/>
      </c>
      <c r="L156" s="75" t="str">
        <f>IFERROR(VLOOKUP(C156,Code!H:W,13,FALSE)*4/VLOOKUP(C156,Code!H:W,12,FALSE),"")</f>
        <v/>
      </c>
      <c r="M156" s="55" t="str">
        <f t="shared" si="25"/>
        <v/>
      </c>
      <c r="N156" s="55" t="str">
        <f t="shared" si="26"/>
        <v/>
      </c>
      <c r="O156" s="55" t="str">
        <f t="shared" si="27"/>
        <v/>
      </c>
      <c r="P156" s="196" t="str">
        <f>IFERROR(YEARFRAC(VLOOKUP(C156,Code!H:W,11,FALSE),VLOOKUP(C156,Code!H:W,14,FALSE),3),"")</f>
        <v/>
      </c>
      <c r="Q156" s="2"/>
      <c r="R156" s="85" t="str">
        <f t="shared" ca="1" si="28"/>
        <v/>
      </c>
      <c r="S156" s="86" t="str">
        <f>IFERROR(VLOOKUP($C156,Code!$H:$Q,5,FALSE),"")</f>
        <v/>
      </c>
      <c r="T156" s="88" t="str">
        <f t="shared" ca="1" si="29"/>
        <v/>
      </c>
      <c r="U156" s="89" t="str">
        <f t="shared" ca="1" si="30"/>
        <v/>
      </c>
      <c r="V156" s="90" t="str">
        <f>IFERROR(VLOOKUP($C156,Code!$H:$Q,6,FALSE),"")</f>
        <v/>
      </c>
      <c r="W156" s="91" t="str">
        <f t="shared" ca="1" si="31"/>
        <v/>
      </c>
      <c r="X156" s="12"/>
      <c r="Y156" s="12"/>
      <c r="Z156" s="12"/>
      <c r="AA156" s="12"/>
      <c r="AB156" s="12"/>
    </row>
    <row r="157" spans="1:28" s="10" customFormat="1" ht="15" hidden="1">
      <c r="A157" s="9"/>
      <c r="B157" s="137"/>
      <c r="C157" s="142"/>
      <c r="D157" s="82" t="str">
        <f>IFERROR(VLOOKUP($C157,Code!$H:$K,2,FALSE),"")</f>
        <v/>
      </c>
      <c r="E157" s="83" t="str">
        <f>IFERROR(VLOOKUP($C157,Code!$H:$K,3,FALSE),"")</f>
        <v/>
      </c>
      <c r="F157" s="84" t="str">
        <f>IFERROR(VLOOKUP($C157,Code!$H:$K,4,FALSE),"")</f>
        <v/>
      </c>
      <c r="G157" s="128">
        <f>_xlfn.IFNA(((VLOOKUP($C157,Code!$H:$Q,9,FALSE))+(VLOOKUP($C157,Code!$H:$Q,10,FALSE)))/2*0.5/(((VLOOKUP($C157,Code!$H:$Q,7,FALSE))+(VLOOKUP($C157,Code!$H:$Q,8,FALSE)))/2),0)</f>
        <v>0</v>
      </c>
      <c r="H157" s="87" t="str">
        <f t="shared" si="24"/>
        <v/>
      </c>
      <c r="I157" s="128">
        <f>_xlfn.IFNA((VLOOKUP($C157,Code!$H:$Q,5,FALSE))/(((VLOOKUP($C157,Code!$H:$Q,7,FALSE))+(VLOOKUP($C157,Code!$H:$Q,8,FALSE)))/2)-G157,0)</f>
        <v>0</v>
      </c>
      <c r="J157" s="55" t="str">
        <f>IFERROR(POWER((VLOOKUP(C157,Code!H:W,12,FALSE))/(VLOOKUP(C157,Code!H:W,15,FALSE)),1/(P157-1))-1,"")</f>
        <v/>
      </c>
      <c r="K157" s="55" t="str">
        <f>IFERROR(POWER((VLOOKUP(C157,Code!H:W,13,FALSE))/(VLOOKUP(C157,Code!H:W,16,FALSE)),1/(P157-1))-1,"")</f>
        <v/>
      </c>
      <c r="L157" s="75" t="str">
        <f>IFERROR(VLOOKUP(C157,Code!H:W,13,FALSE)*4/VLOOKUP(C157,Code!H:W,12,FALSE),"")</f>
        <v/>
      </c>
      <c r="M157" s="55" t="str">
        <f t="shared" si="25"/>
        <v/>
      </c>
      <c r="N157" s="55" t="str">
        <f t="shared" si="26"/>
        <v/>
      </c>
      <c r="O157" s="55" t="str">
        <f t="shared" si="27"/>
        <v/>
      </c>
      <c r="P157" s="196" t="str">
        <f>IFERROR(YEARFRAC(VLOOKUP(C157,Code!H:W,11,FALSE),VLOOKUP(C157,Code!H:W,14,FALSE),3),"")</f>
        <v/>
      </c>
      <c r="Q157" s="2"/>
      <c r="R157" s="85" t="str">
        <f t="shared" ca="1" si="28"/>
        <v/>
      </c>
      <c r="S157" s="86" t="str">
        <f>IFERROR(VLOOKUP($C157,Code!$H:$Q,5,FALSE),"")</f>
        <v/>
      </c>
      <c r="T157" s="88" t="str">
        <f t="shared" ca="1" si="29"/>
        <v/>
      </c>
      <c r="U157" s="89" t="str">
        <f t="shared" ca="1" si="30"/>
        <v/>
      </c>
      <c r="V157" s="90" t="str">
        <f>IFERROR(VLOOKUP($C157,Code!$H:$Q,6,FALSE),"")</f>
        <v/>
      </c>
      <c r="W157" s="91" t="str">
        <f t="shared" ca="1" si="31"/>
        <v/>
      </c>
      <c r="X157" s="12"/>
      <c r="Y157" s="12"/>
      <c r="Z157" s="12"/>
      <c r="AA157" s="12"/>
      <c r="AB157" s="12"/>
    </row>
    <row r="158" spans="1:28" s="10" customFormat="1" ht="15" hidden="1">
      <c r="A158" s="9"/>
      <c r="B158" s="137"/>
      <c r="C158" s="142"/>
      <c r="D158" s="82" t="str">
        <f>IFERROR(VLOOKUP($C158,Code!$H:$K,2,FALSE),"")</f>
        <v/>
      </c>
      <c r="E158" s="83" t="str">
        <f>IFERROR(VLOOKUP($C158,Code!$H:$K,3,FALSE),"")</f>
        <v/>
      </c>
      <c r="F158" s="84" t="str">
        <f>IFERROR(VLOOKUP($C158,Code!$H:$K,4,FALSE),"")</f>
        <v/>
      </c>
      <c r="G158" s="128">
        <f>_xlfn.IFNA(((VLOOKUP($C158,Code!$H:$Q,9,FALSE))+(VLOOKUP($C158,Code!$H:$Q,10,FALSE)))/2*0.5/(((VLOOKUP($C158,Code!$H:$Q,7,FALSE))+(VLOOKUP($C158,Code!$H:$Q,8,FALSE)))/2),0)</f>
        <v>0</v>
      </c>
      <c r="H158" s="87" t="str">
        <f t="shared" si="24"/>
        <v/>
      </c>
      <c r="I158" s="128">
        <f>_xlfn.IFNA((VLOOKUP($C158,Code!$H:$Q,5,FALSE))/(((VLOOKUP($C158,Code!$H:$Q,7,FALSE))+(VLOOKUP($C158,Code!$H:$Q,8,FALSE)))/2)-G158,0)</f>
        <v>0</v>
      </c>
      <c r="J158" s="55" t="str">
        <f>IFERROR(POWER((VLOOKUP(C158,Code!H:W,12,FALSE))/(VLOOKUP(C158,Code!H:W,15,FALSE)),1/(P158-1))-1,"")</f>
        <v/>
      </c>
      <c r="K158" s="55" t="str">
        <f>IFERROR(POWER((VLOOKUP(C158,Code!H:W,13,FALSE))/(VLOOKUP(C158,Code!H:W,16,FALSE)),1/(P158-1))-1,"")</f>
        <v/>
      </c>
      <c r="L158" s="75" t="str">
        <f>IFERROR(VLOOKUP(C158,Code!H:W,13,FALSE)*4/VLOOKUP(C158,Code!H:W,12,FALSE),"")</f>
        <v/>
      </c>
      <c r="M158" s="55" t="str">
        <f t="shared" si="25"/>
        <v/>
      </c>
      <c r="N158" s="55" t="str">
        <f t="shared" si="26"/>
        <v/>
      </c>
      <c r="O158" s="55" t="str">
        <f t="shared" si="27"/>
        <v/>
      </c>
      <c r="P158" s="196" t="str">
        <f>IFERROR(YEARFRAC(VLOOKUP(C158,Code!H:W,11,FALSE),VLOOKUP(C158,Code!H:W,14,FALSE),3),"")</f>
        <v/>
      </c>
      <c r="Q158" s="2"/>
      <c r="R158" s="85" t="str">
        <f t="shared" ca="1" si="28"/>
        <v/>
      </c>
      <c r="S158" s="86" t="str">
        <f>IFERROR(VLOOKUP($C158,Code!$H:$Q,5,FALSE),"")</f>
        <v/>
      </c>
      <c r="T158" s="88" t="str">
        <f t="shared" ca="1" si="29"/>
        <v/>
      </c>
      <c r="U158" s="89" t="str">
        <f t="shared" ca="1" si="30"/>
        <v/>
      </c>
      <c r="V158" s="90" t="str">
        <f>IFERROR(VLOOKUP($C158,Code!$H:$Q,6,FALSE),"")</f>
        <v/>
      </c>
      <c r="W158" s="91" t="str">
        <f t="shared" ca="1" si="31"/>
        <v/>
      </c>
      <c r="X158" s="12"/>
      <c r="Y158" s="12"/>
      <c r="Z158" s="12"/>
      <c r="AA158" s="12"/>
      <c r="AB158" s="12"/>
    </row>
    <row r="159" spans="1:28" s="10" customFormat="1" ht="15" hidden="1">
      <c r="A159" s="9"/>
      <c r="B159" s="137"/>
      <c r="C159" s="142"/>
      <c r="D159" s="82" t="str">
        <f>IFERROR(VLOOKUP($C159,Code!$H:$K,2,FALSE),"")</f>
        <v/>
      </c>
      <c r="E159" s="83" t="str">
        <f>IFERROR(VLOOKUP($C159,Code!$H:$K,3,FALSE),"")</f>
        <v/>
      </c>
      <c r="F159" s="84" t="str">
        <f>IFERROR(VLOOKUP($C159,Code!$H:$K,4,FALSE),"")</f>
        <v/>
      </c>
      <c r="G159" s="128">
        <f>_xlfn.IFNA(((VLOOKUP($C159,Code!$H:$Q,9,FALSE))+(VLOOKUP($C159,Code!$H:$Q,10,FALSE)))/2*0.5/(((VLOOKUP($C159,Code!$H:$Q,7,FALSE))+(VLOOKUP($C159,Code!$H:$Q,8,FALSE)))/2),0)</f>
        <v>0</v>
      </c>
      <c r="H159" s="87" t="str">
        <f t="shared" si="24"/>
        <v/>
      </c>
      <c r="I159" s="128">
        <f>_xlfn.IFNA((VLOOKUP($C159,Code!$H:$Q,5,FALSE))/(((VLOOKUP($C159,Code!$H:$Q,7,FALSE))+(VLOOKUP($C159,Code!$H:$Q,8,FALSE)))/2)-G159,0)</f>
        <v>0</v>
      </c>
      <c r="J159" s="55" t="str">
        <f>IFERROR(POWER((VLOOKUP(C159,Code!H:W,12,FALSE))/(VLOOKUP(C159,Code!H:W,15,FALSE)),1/(P159-1))-1,"")</f>
        <v/>
      </c>
      <c r="K159" s="55" t="str">
        <f>IFERROR(POWER((VLOOKUP(C159,Code!H:W,13,FALSE))/(VLOOKUP(C159,Code!H:W,16,FALSE)),1/(P159-1))-1,"")</f>
        <v/>
      </c>
      <c r="L159" s="75" t="str">
        <f>IFERROR(VLOOKUP(C159,Code!H:W,13,FALSE)*4/VLOOKUP(C159,Code!H:W,12,FALSE),"")</f>
        <v/>
      </c>
      <c r="M159" s="55" t="str">
        <f t="shared" si="25"/>
        <v/>
      </c>
      <c r="N159" s="55" t="str">
        <f t="shared" si="26"/>
        <v/>
      </c>
      <c r="O159" s="55" t="str">
        <f t="shared" si="27"/>
        <v/>
      </c>
      <c r="P159" s="196" t="str">
        <f>IFERROR(YEARFRAC(VLOOKUP(C159,Code!H:W,11,FALSE),VLOOKUP(C159,Code!H:W,14,FALSE),3),"")</f>
        <v/>
      </c>
      <c r="Q159" s="2"/>
      <c r="R159" s="85" t="str">
        <f t="shared" ca="1" si="28"/>
        <v/>
      </c>
      <c r="S159" s="86" t="str">
        <f>IFERROR(VLOOKUP($C159,Code!$H:$Q,5,FALSE),"")</f>
        <v/>
      </c>
      <c r="T159" s="88" t="str">
        <f t="shared" ca="1" si="29"/>
        <v/>
      </c>
      <c r="U159" s="89" t="str">
        <f t="shared" ca="1" si="30"/>
        <v/>
      </c>
      <c r="V159" s="90" t="str">
        <f>IFERROR(VLOOKUP($C159,Code!$H:$Q,6,FALSE),"")</f>
        <v/>
      </c>
      <c r="W159" s="91" t="str">
        <f t="shared" ca="1" si="31"/>
        <v/>
      </c>
      <c r="X159" s="12"/>
      <c r="Y159" s="12"/>
      <c r="Z159" s="12"/>
      <c r="AA159" s="12"/>
      <c r="AB159" s="12"/>
    </row>
    <row r="160" spans="1:28" s="10" customFormat="1" ht="15" hidden="1">
      <c r="A160" s="9"/>
      <c r="B160" s="137"/>
      <c r="C160" s="142"/>
      <c r="D160" s="82" t="str">
        <f>IFERROR(VLOOKUP($C160,Code!$H:$K,2,FALSE),"")</f>
        <v/>
      </c>
      <c r="E160" s="83" t="str">
        <f>IFERROR(VLOOKUP($C160,Code!$H:$K,3,FALSE),"")</f>
        <v/>
      </c>
      <c r="F160" s="84" t="str">
        <f>IFERROR(VLOOKUP($C160,Code!$H:$K,4,FALSE),"")</f>
        <v/>
      </c>
      <c r="G160" s="128">
        <f>_xlfn.IFNA(((VLOOKUP($C160,Code!$H:$Q,9,FALSE))+(VLOOKUP($C160,Code!$H:$Q,10,FALSE)))/2*0.5/(((VLOOKUP($C160,Code!$H:$Q,7,FALSE))+(VLOOKUP($C160,Code!$H:$Q,8,FALSE)))/2),0)</f>
        <v>0</v>
      </c>
      <c r="H160" s="87" t="str">
        <f t="shared" si="24"/>
        <v/>
      </c>
      <c r="I160" s="128">
        <f>_xlfn.IFNA((VLOOKUP($C160,Code!$H:$Q,5,FALSE))/(((VLOOKUP($C160,Code!$H:$Q,7,FALSE))+(VLOOKUP($C160,Code!$H:$Q,8,FALSE)))/2)-G160,0)</f>
        <v>0</v>
      </c>
      <c r="J160" s="55" t="str">
        <f>IFERROR(POWER((VLOOKUP(C160,Code!H:W,12,FALSE))/(VLOOKUP(C160,Code!H:W,15,FALSE)),1/(P160-1))-1,"")</f>
        <v/>
      </c>
      <c r="K160" s="55" t="str">
        <f>IFERROR(POWER((VLOOKUP(C160,Code!H:W,13,FALSE))/(VLOOKUP(C160,Code!H:W,16,FALSE)),1/(P160-1))-1,"")</f>
        <v/>
      </c>
      <c r="L160" s="75" t="str">
        <f>IFERROR(VLOOKUP(C160,Code!H:W,13,FALSE)*4/VLOOKUP(C160,Code!H:W,12,FALSE),"")</f>
        <v/>
      </c>
      <c r="M160" s="55" t="str">
        <f t="shared" si="25"/>
        <v/>
      </c>
      <c r="N160" s="55" t="str">
        <f t="shared" si="26"/>
        <v/>
      </c>
      <c r="O160" s="55" t="str">
        <f t="shared" si="27"/>
        <v/>
      </c>
      <c r="P160" s="196" t="str">
        <f>IFERROR(YEARFRAC(VLOOKUP(C160,Code!H:W,11,FALSE),VLOOKUP(C160,Code!H:W,14,FALSE),3),"")</f>
        <v/>
      </c>
      <c r="Q160" s="2"/>
      <c r="R160" s="85" t="str">
        <f t="shared" ca="1" si="28"/>
        <v/>
      </c>
      <c r="S160" s="86" t="str">
        <f>IFERROR(VLOOKUP($C160,Code!$H:$Q,5,FALSE),"")</f>
        <v/>
      </c>
      <c r="T160" s="88" t="str">
        <f t="shared" ca="1" si="29"/>
        <v/>
      </c>
      <c r="U160" s="89" t="str">
        <f t="shared" ca="1" si="30"/>
        <v/>
      </c>
      <c r="V160" s="90" t="str">
        <f>IFERROR(VLOOKUP($C160,Code!$H:$Q,6,FALSE),"")</f>
        <v/>
      </c>
      <c r="W160" s="91" t="str">
        <f t="shared" ca="1" si="31"/>
        <v/>
      </c>
      <c r="X160" s="12"/>
      <c r="Y160" s="12"/>
      <c r="Z160" s="12"/>
      <c r="AA160" s="12"/>
      <c r="AB160" s="12"/>
    </row>
    <row r="161" spans="1:28" s="10" customFormat="1" ht="15" hidden="1">
      <c r="A161" s="9"/>
      <c r="B161" s="137"/>
      <c r="C161" s="142"/>
      <c r="D161" s="82" t="str">
        <f>IFERROR(VLOOKUP($C161,Code!$H:$K,2,FALSE),"")</f>
        <v/>
      </c>
      <c r="E161" s="83" t="str">
        <f>IFERROR(VLOOKUP($C161,Code!$H:$K,3,FALSE),"")</f>
        <v/>
      </c>
      <c r="F161" s="84" t="str">
        <f>IFERROR(VLOOKUP($C161,Code!$H:$K,4,FALSE),"")</f>
        <v/>
      </c>
      <c r="G161" s="128">
        <f>_xlfn.IFNA(((VLOOKUP($C161,Code!$H:$Q,9,FALSE))+(VLOOKUP($C161,Code!$H:$Q,10,FALSE)))/2*0.5/(((VLOOKUP($C161,Code!$H:$Q,7,FALSE))+(VLOOKUP($C161,Code!$H:$Q,8,FALSE)))/2),0)</f>
        <v>0</v>
      </c>
      <c r="H161" s="87" t="str">
        <f t="shared" si="24"/>
        <v/>
      </c>
      <c r="I161" s="128">
        <f>_xlfn.IFNA((VLOOKUP($C161,Code!$H:$Q,5,FALSE))/(((VLOOKUP($C161,Code!$H:$Q,7,FALSE))+(VLOOKUP($C161,Code!$H:$Q,8,FALSE)))/2)-G161,0)</f>
        <v>0</v>
      </c>
      <c r="J161" s="55" t="str">
        <f>IFERROR(POWER((VLOOKUP(C161,Code!H:W,12,FALSE))/(VLOOKUP(C161,Code!H:W,15,FALSE)),1/(P161-1))-1,"")</f>
        <v/>
      </c>
      <c r="K161" s="55" t="str">
        <f>IFERROR(POWER((VLOOKUP(C161,Code!H:W,13,FALSE))/(VLOOKUP(C161,Code!H:W,16,FALSE)),1/(P161-1))-1,"")</f>
        <v/>
      </c>
      <c r="L161" s="75" t="str">
        <f>IFERROR(VLOOKUP(C161,Code!H:W,13,FALSE)*4/VLOOKUP(C161,Code!H:W,12,FALSE),"")</f>
        <v/>
      </c>
      <c r="M161" s="55" t="str">
        <f t="shared" si="25"/>
        <v/>
      </c>
      <c r="N161" s="55" t="str">
        <f t="shared" si="26"/>
        <v/>
      </c>
      <c r="O161" s="55" t="str">
        <f t="shared" si="27"/>
        <v/>
      </c>
      <c r="P161" s="196" t="str">
        <f>IFERROR(YEARFRAC(VLOOKUP(C161,Code!H:W,11,FALSE),VLOOKUP(C161,Code!H:W,14,FALSE),3),"")</f>
        <v/>
      </c>
      <c r="Q161" s="2"/>
      <c r="R161" s="85" t="str">
        <f t="shared" ca="1" si="28"/>
        <v/>
      </c>
      <c r="S161" s="86" t="str">
        <f>IFERROR(VLOOKUP($C161,Code!$H:$Q,5,FALSE),"")</f>
        <v/>
      </c>
      <c r="T161" s="88" t="str">
        <f t="shared" ca="1" si="29"/>
        <v/>
      </c>
      <c r="U161" s="89" t="str">
        <f t="shared" ca="1" si="30"/>
        <v/>
      </c>
      <c r="V161" s="90" t="str">
        <f>IFERROR(VLOOKUP($C161,Code!$H:$Q,6,FALSE),"")</f>
        <v/>
      </c>
      <c r="W161" s="91" t="str">
        <f t="shared" ca="1" si="31"/>
        <v/>
      </c>
      <c r="X161" s="12"/>
      <c r="Y161" s="12"/>
      <c r="Z161" s="12"/>
      <c r="AA161" s="12"/>
      <c r="AB161" s="12"/>
    </row>
    <row r="162" spans="1:28" s="10" customFormat="1" ht="15" hidden="1">
      <c r="A162" s="9"/>
      <c r="B162" s="137"/>
      <c r="C162" s="142"/>
      <c r="D162" s="82" t="str">
        <f>IFERROR(VLOOKUP($C162,Code!$H:$K,2,FALSE),"")</f>
        <v/>
      </c>
      <c r="E162" s="83" t="str">
        <f>IFERROR(VLOOKUP($C162,Code!$H:$K,3,FALSE),"")</f>
        <v/>
      </c>
      <c r="F162" s="84" t="str">
        <f>IFERROR(VLOOKUP($C162,Code!$H:$K,4,FALSE),"")</f>
        <v/>
      </c>
      <c r="G162" s="128">
        <f>_xlfn.IFNA(((VLOOKUP($C162,Code!$H:$Q,9,FALSE))+(VLOOKUP($C162,Code!$H:$Q,10,FALSE)))/2*0.5/(((VLOOKUP($C162,Code!$H:$Q,7,FALSE))+(VLOOKUP($C162,Code!$H:$Q,8,FALSE)))/2),0)</f>
        <v>0</v>
      </c>
      <c r="H162" s="87" t="str">
        <f t="shared" si="24"/>
        <v/>
      </c>
      <c r="I162" s="128">
        <f>_xlfn.IFNA((VLOOKUP($C162,Code!$H:$Q,5,FALSE))/(((VLOOKUP($C162,Code!$H:$Q,7,FALSE))+(VLOOKUP($C162,Code!$H:$Q,8,FALSE)))/2)-G162,0)</f>
        <v>0</v>
      </c>
      <c r="J162" s="55" t="str">
        <f>IFERROR(POWER((VLOOKUP(C162,Code!H:W,12,FALSE))/(VLOOKUP(C162,Code!H:W,15,FALSE)),1/(P162-1))-1,"")</f>
        <v/>
      </c>
      <c r="K162" s="55" t="str">
        <f>IFERROR(POWER((VLOOKUP(C162,Code!H:W,13,FALSE))/(VLOOKUP(C162,Code!H:W,16,FALSE)),1/(P162-1))-1,"")</f>
        <v/>
      </c>
      <c r="L162" s="75" t="str">
        <f>IFERROR(VLOOKUP(C162,Code!H:W,13,FALSE)*4/VLOOKUP(C162,Code!H:W,12,FALSE),"")</f>
        <v/>
      </c>
      <c r="M162" s="55" t="str">
        <f t="shared" si="25"/>
        <v/>
      </c>
      <c r="N162" s="55" t="str">
        <f t="shared" si="26"/>
        <v/>
      </c>
      <c r="O162" s="55" t="str">
        <f t="shared" si="27"/>
        <v/>
      </c>
      <c r="P162" s="196" t="str">
        <f>IFERROR(YEARFRAC(VLOOKUP(C162,Code!H:W,11,FALSE),VLOOKUP(C162,Code!H:W,14,FALSE),3),"")</f>
        <v/>
      </c>
      <c r="Q162" s="2"/>
      <c r="R162" s="85" t="str">
        <f t="shared" ca="1" si="28"/>
        <v/>
      </c>
      <c r="S162" s="86" t="str">
        <f>IFERROR(VLOOKUP($C162,Code!$H:$Q,5,FALSE),"")</f>
        <v/>
      </c>
      <c r="T162" s="88" t="str">
        <f t="shared" ca="1" si="29"/>
        <v/>
      </c>
      <c r="U162" s="89" t="str">
        <f t="shared" ca="1" si="30"/>
        <v/>
      </c>
      <c r="V162" s="90" t="str">
        <f>IFERROR(VLOOKUP($C162,Code!$H:$Q,6,FALSE),"")</f>
        <v/>
      </c>
      <c r="W162" s="91" t="str">
        <f t="shared" ca="1" si="31"/>
        <v/>
      </c>
      <c r="X162" s="12"/>
      <c r="Y162" s="12"/>
      <c r="Z162" s="12"/>
      <c r="AA162" s="12"/>
      <c r="AB162" s="12"/>
    </row>
    <row r="163" spans="1:28" s="10" customFormat="1" ht="15" hidden="1">
      <c r="A163" s="9"/>
      <c r="B163" s="137"/>
      <c r="C163" s="142"/>
      <c r="D163" s="82" t="str">
        <f>IFERROR(VLOOKUP($C163,Code!$H:$K,2,FALSE),"")</f>
        <v/>
      </c>
      <c r="E163" s="83" t="str">
        <f>IFERROR(VLOOKUP($C163,Code!$H:$K,3,FALSE),"")</f>
        <v/>
      </c>
      <c r="F163" s="84" t="str">
        <f>IFERROR(VLOOKUP($C163,Code!$H:$K,4,FALSE),"")</f>
        <v/>
      </c>
      <c r="G163" s="128">
        <f>_xlfn.IFNA(((VLOOKUP($C163,Code!$H:$Q,9,FALSE))+(VLOOKUP($C163,Code!$H:$Q,10,FALSE)))/2*0.5/(((VLOOKUP($C163,Code!$H:$Q,7,FALSE))+(VLOOKUP($C163,Code!$H:$Q,8,FALSE)))/2),0)</f>
        <v>0</v>
      </c>
      <c r="H163" s="87" t="str">
        <f t="shared" si="24"/>
        <v/>
      </c>
      <c r="I163" s="128">
        <f>_xlfn.IFNA((VLOOKUP($C163,Code!$H:$Q,5,FALSE))/(((VLOOKUP($C163,Code!$H:$Q,7,FALSE))+(VLOOKUP($C163,Code!$H:$Q,8,FALSE)))/2)-G163,0)</f>
        <v>0</v>
      </c>
      <c r="J163" s="55" t="str">
        <f>IFERROR(POWER((VLOOKUP(C163,Code!H:W,12,FALSE))/(VLOOKUP(C163,Code!H:W,15,FALSE)),1/(P163-1))-1,"")</f>
        <v/>
      </c>
      <c r="K163" s="55" t="str">
        <f>IFERROR(POWER((VLOOKUP(C163,Code!H:W,13,FALSE))/(VLOOKUP(C163,Code!H:W,16,FALSE)),1/(P163-1))-1,"")</f>
        <v/>
      </c>
      <c r="L163" s="75" t="str">
        <f>IFERROR(VLOOKUP(C163,Code!H:W,13,FALSE)*4/VLOOKUP(C163,Code!H:W,12,FALSE),"")</f>
        <v/>
      </c>
      <c r="M163" s="55" t="str">
        <f t="shared" si="25"/>
        <v/>
      </c>
      <c r="N163" s="55" t="str">
        <f t="shared" si="26"/>
        <v/>
      </c>
      <c r="O163" s="55" t="str">
        <f t="shared" si="27"/>
        <v/>
      </c>
      <c r="P163" s="196" t="str">
        <f>IFERROR(YEARFRAC(VLOOKUP(C163,Code!H:W,11,FALSE),VLOOKUP(C163,Code!H:W,14,FALSE),3),"")</f>
        <v/>
      </c>
      <c r="Q163" s="2"/>
      <c r="R163" s="85" t="str">
        <f t="shared" ca="1" si="28"/>
        <v/>
      </c>
      <c r="S163" s="86" t="str">
        <f>IFERROR(VLOOKUP($C163,Code!$H:$Q,5,FALSE),"")</f>
        <v/>
      </c>
      <c r="T163" s="88" t="str">
        <f t="shared" ca="1" si="29"/>
        <v/>
      </c>
      <c r="U163" s="89" t="str">
        <f t="shared" ca="1" si="30"/>
        <v/>
      </c>
      <c r="V163" s="90" t="str">
        <f>IFERROR(VLOOKUP($C163,Code!$H:$Q,6,FALSE),"")</f>
        <v/>
      </c>
      <c r="W163" s="91" t="str">
        <f t="shared" ca="1" si="31"/>
        <v/>
      </c>
      <c r="X163" s="12"/>
      <c r="Y163" s="12"/>
      <c r="Z163" s="12"/>
      <c r="AA163" s="12"/>
      <c r="AB163" s="12"/>
    </row>
    <row r="164" spans="1:28" s="10" customFormat="1" ht="15" hidden="1">
      <c r="A164" s="9"/>
      <c r="B164" s="137"/>
      <c r="C164" s="142"/>
      <c r="D164" s="82" t="str">
        <f>IFERROR(VLOOKUP($C164,Code!$H:$K,2,FALSE),"")</f>
        <v/>
      </c>
      <c r="E164" s="83" t="str">
        <f>IFERROR(VLOOKUP($C164,Code!$H:$K,3,FALSE),"")</f>
        <v/>
      </c>
      <c r="F164" s="84" t="str">
        <f>IFERROR(VLOOKUP($C164,Code!$H:$K,4,FALSE),"")</f>
        <v/>
      </c>
      <c r="G164" s="128">
        <f>_xlfn.IFNA(((VLOOKUP($C164,Code!$H:$Q,9,FALSE))+(VLOOKUP($C164,Code!$H:$Q,10,FALSE)))/2*0.5/(((VLOOKUP($C164,Code!$H:$Q,7,FALSE))+(VLOOKUP($C164,Code!$H:$Q,8,FALSE)))/2),0)</f>
        <v>0</v>
      </c>
      <c r="H164" s="87" t="str">
        <f t="shared" si="24"/>
        <v/>
      </c>
      <c r="I164" s="128">
        <f>_xlfn.IFNA((VLOOKUP($C164,Code!$H:$Q,5,FALSE))/(((VLOOKUP($C164,Code!$H:$Q,7,FALSE))+(VLOOKUP($C164,Code!$H:$Q,8,FALSE)))/2)-G164,0)</f>
        <v>0</v>
      </c>
      <c r="J164" s="55" t="str">
        <f>IFERROR(POWER((VLOOKUP(C164,Code!H:W,12,FALSE))/(VLOOKUP(C164,Code!H:W,15,FALSE)),1/(P164-1))-1,"")</f>
        <v/>
      </c>
      <c r="K164" s="55" t="str">
        <f>IFERROR(POWER((VLOOKUP(C164,Code!H:W,13,FALSE))/(VLOOKUP(C164,Code!H:W,16,FALSE)),1/(P164-1))-1,"")</f>
        <v/>
      </c>
      <c r="L164" s="75" t="str">
        <f>IFERROR(VLOOKUP(C164,Code!H:W,13,FALSE)*4/VLOOKUP(C164,Code!H:W,12,FALSE),"")</f>
        <v/>
      </c>
      <c r="M164" s="55" t="str">
        <f t="shared" si="25"/>
        <v/>
      </c>
      <c r="N164" s="55" t="str">
        <f t="shared" si="26"/>
        <v/>
      </c>
      <c r="O164" s="55" t="str">
        <f t="shared" si="27"/>
        <v/>
      </c>
      <c r="P164" s="196" t="str">
        <f>IFERROR(YEARFRAC(VLOOKUP(C164,Code!H:W,11,FALSE),VLOOKUP(C164,Code!H:W,14,FALSE),3),"")</f>
        <v/>
      </c>
      <c r="Q164" s="2"/>
      <c r="R164" s="85" t="str">
        <f t="shared" ca="1" si="28"/>
        <v/>
      </c>
      <c r="S164" s="86" t="str">
        <f>IFERROR(VLOOKUP($C164,Code!$H:$Q,5,FALSE),"")</f>
        <v/>
      </c>
      <c r="T164" s="88" t="str">
        <f t="shared" ca="1" si="29"/>
        <v/>
      </c>
      <c r="U164" s="89" t="str">
        <f t="shared" ca="1" si="30"/>
        <v/>
      </c>
      <c r="V164" s="90" t="str">
        <f>IFERROR(VLOOKUP($C164,Code!$H:$Q,6,FALSE),"")</f>
        <v/>
      </c>
      <c r="W164" s="91" t="str">
        <f t="shared" ca="1" si="31"/>
        <v/>
      </c>
      <c r="X164" s="12"/>
      <c r="Y164" s="12"/>
      <c r="Z164" s="12"/>
      <c r="AA164" s="12"/>
      <c r="AB164" s="12"/>
    </row>
    <row r="165" spans="1:28" s="10" customFormat="1" ht="15" hidden="1">
      <c r="A165" s="9"/>
      <c r="B165" s="137"/>
      <c r="C165" s="142"/>
      <c r="D165" s="82" t="str">
        <f>IFERROR(VLOOKUP($C165,Code!$H:$K,2,FALSE),"")</f>
        <v/>
      </c>
      <c r="E165" s="83" t="str">
        <f>IFERROR(VLOOKUP($C165,Code!$H:$K,3,FALSE),"")</f>
        <v/>
      </c>
      <c r="F165" s="84" t="str">
        <f>IFERROR(VLOOKUP($C165,Code!$H:$K,4,FALSE),"")</f>
        <v/>
      </c>
      <c r="G165" s="128">
        <f>_xlfn.IFNA(((VLOOKUP($C165,Code!$H:$Q,9,FALSE))+(VLOOKUP($C165,Code!$H:$Q,10,FALSE)))/2*0.5/(((VLOOKUP($C165,Code!$H:$Q,7,FALSE))+(VLOOKUP($C165,Code!$H:$Q,8,FALSE)))/2),0)</f>
        <v>0</v>
      </c>
      <c r="H165" s="87" t="str">
        <f t="shared" si="24"/>
        <v/>
      </c>
      <c r="I165" s="128">
        <f>_xlfn.IFNA((VLOOKUP($C165,Code!$H:$Q,5,FALSE))/(((VLOOKUP($C165,Code!$H:$Q,7,FALSE))+(VLOOKUP($C165,Code!$H:$Q,8,FALSE)))/2)-G165,0)</f>
        <v>0</v>
      </c>
      <c r="J165" s="55" t="str">
        <f>IFERROR(POWER((VLOOKUP(C165,Code!H:W,12,FALSE))/(VLOOKUP(C165,Code!H:W,15,FALSE)),1/(P165-1))-1,"")</f>
        <v/>
      </c>
      <c r="K165" s="55" t="str">
        <f>IFERROR(POWER((VLOOKUP(C165,Code!H:W,13,FALSE))/(VLOOKUP(C165,Code!H:W,16,FALSE)),1/(P165-1))-1,"")</f>
        <v/>
      </c>
      <c r="L165" s="75" t="str">
        <f>IFERROR(VLOOKUP(C165,Code!H:W,13,FALSE)*4/VLOOKUP(C165,Code!H:W,12,FALSE),"")</f>
        <v/>
      </c>
      <c r="M165" s="55" t="str">
        <f t="shared" si="25"/>
        <v/>
      </c>
      <c r="N165" s="55" t="str">
        <f t="shared" si="26"/>
        <v/>
      </c>
      <c r="O165" s="55" t="str">
        <f t="shared" si="27"/>
        <v/>
      </c>
      <c r="P165" s="196" t="str">
        <f>IFERROR(YEARFRAC(VLOOKUP(C165,Code!H:W,11,FALSE),VLOOKUP(C165,Code!H:W,14,FALSE),3),"")</f>
        <v/>
      </c>
      <c r="Q165" s="2"/>
      <c r="R165" s="85" t="str">
        <f t="shared" ca="1" si="28"/>
        <v/>
      </c>
      <c r="S165" s="86" t="str">
        <f>IFERROR(VLOOKUP($C165,Code!$H:$Q,5,FALSE),"")</f>
        <v/>
      </c>
      <c r="T165" s="88" t="str">
        <f t="shared" ca="1" si="29"/>
        <v/>
      </c>
      <c r="U165" s="89" t="str">
        <f t="shared" ca="1" si="30"/>
        <v/>
      </c>
      <c r="V165" s="90" t="str">
        <f>IFERROR(VLOOKUP($C165,Code!$H:$Q,6,FALSE),"")</f>
        <v/>
      </c>
      <c r="W165" s="91" t="str">
        <f t="shared" ca="1" si="31"/>
        <v/>
      </c>
      <c r="X165" s="12"/>
      <c r="Y165" s="12"/>
      <c r="Z165" s="12"/>
      <c r="AA165" s="12"/>
      <c r="AB165" s="12"/>
    </row>
    <row r="166" spans="1:28" s="10" customFormat="1" ht="15" hidden="1">
      <c r="A166" s="9"/>
      <c r="B166" s="137"/>
      <c r="C166" s="142"/>
      <c r="D166" s="82" t="str">
        <f>IFERROR(VLOOKUP($C166,Code!$H:$K,2,FALSE),"")</f>
        <v/>
      </c>
      <c r="E166" s="83" t="str">
        <f>IFERROR(VLOOKUP($C166,Code!$H:$K,3,FALSE),"")</f>
        <v/>
      </c>
      <c r="F166" s="84" t="str">
        <f>IFERROR(VLOOKUP($C166,Code!$H:$K,4,FALSE),"")</f>
        <v/>
      </c>
      <c r="G166" s="128">
        <f>_xlfn.IFNA(((VLOOKUP($C166,Code!$H:$Q,9,FALSE))+(VLOOKUP($C166,Code!$H:$Q,10,FALSE)))/2*0.5/(((VLOOKUP($C166,Code!$H:$Q,7,FALSE))+(VLOOKUP($C166,Code!$H:$Q,8,FALSE)))/2),0)</f>
        <v>0</v>
      </c>
      <c r="H166" s="87" t="str">
        <f t="shared" si="24"/>
        <v/>
      </c>
      <c r="I166" s="128">
        <f>_xlfn.IFNA((VLOOKUP($C166,Code!$H:$Q,5,FALSE))/(((VLOOKUP($C166,Code!$H:$Q,7,FALSE))+(VLOOKUP($C166,Code!$H:$Q,8,FALSE)))/2)-G166,0)</f>
        <v>0</v>
      </c>
      <c r="J166" s="55" t="str">
        <f>IFERROR(POWER((VLOOKUP(C166,Code!H:W,12,FALSE))/(VLOOKUP(C166,Code!H:W,15,FALSE)),1/(P166-1))-1,"")</f>
        <v/>
      </c>
      <c r="K166" s="55" t="str">
        <f>IFERROR(POWER((VLOOKUP(C166,Code!H:W,13,FALSE))/(VLOOKUP(C166,Code!H:W,16,FALSE)),1/(P166-1))-1,"")</f>
        <v/>
      </c>
      <c r="L166" s="75" t="str">
        <f>IFERROR(VLOOKUP(C166,Code!H:W,13,FALSE)*4/VLOOKUP(C166,Code!H:W,12,FALSE),"")</f>
        <v/>
      </c>
      <c r="M166" s="55" t="str">
        <f t="shared" si="25"/>
        <v/>
      </c>
      <c r="N166" s="55" t="str">
        <f t="shared" si="26"/>
        <v/>
      </c>
      <c r="O166" s="55" t="str">
        <f t="shared" si="27"/>
        <v/>
      </c>
      <c r="P166" s="196" t="str">
        <f>IFERROR(YEARFRAC(VLOOKUP(C166,Code!H:W,11,FALSE),VLOOKUP(C166,Code!H:W,14,FALSE),3),"")</f>
        <v/>
      </c>
      <c r="Q166" s="2"/>
      <c r="R166" s="85" t="str">
        <f t="shared" ca="1" si="28"/>
        <v/>
      </c>
      <c r="S166" s="86" t="str">
        <f>IFERROR(VLOOKUP($C166,Code!$H:$Q,5,FALSE),"")</f>
        <v/>
      </c>
      <c r="T166" s="88" t="str">
        <f t="shared" ca="1" si="29"/>
        <v/>
      </c>
      <c r="U166" s="89" t="str">
        <f t="shared" ca="1" si="30"/>
        <v/>
      </c>
      <c r="V166" s="90" t="str">
        <f>IFERROR(VLOOKUP($C166,Code!$H:$Q,6,FALSE),"")</f>
        <v/>
      </c>
      <c r="W166" s="91" t="str">
        <f t="shared" ca="1" si="31"/>
        <v/>
      </c>
      <c r="X166" s="12"/>
      <c r="Y166" s="12"/>
      <c r="Z166" s="12"/>
      <c r="AA166" s="12"/>
      <c r="AB166" s="12"/>
    </row>
    <row r="167" spans="1:28" s="10" customFormat="1" ht="15" hidden="1">
      <c r="A167" s="9"/>
      <c r="B167" s="137"/>
      <c r="C167" s="142"/>
      <c r="D167" s="82" t="str">
        <f>IFERROR(VLOOKUP($C167,Code!$H:$K,2,FALSE),"")</f>
        <v/>
      </c>
      <c r="E167" s="83" t="str">
        <f>IFERROR(VLOOKUP($C167,Code!$H:$K,3,FALSE),"")</f>
        <v/>
      </c>
      <c r="F167" s="84" t="str">
        <f>IFERROR(VLOOKUP($C167,Code!$H:$K,4,FALSE),"")</f>
        <v/>
      </c>
      <c r="G167" s="128">
        <f>_xlfn.IFNA(((VLOOKUP($C167,Code!$H:$Q,9,FALSE))+(VLOOKUP($C167,Code!$H:$Q,10,FALSE)))/2*0.5/(((VLOOKUP($C167,Code!$H:$Q,7,FALSE))+(VLOOKUP($C167,Code!$H:$Q,8,FALSE)))/2),0)</f>
        <v>0</v>
      </c>
      <c r="H167" s="87" t="str">
        <f t="shared" si="24"/>
        <v/>
      </c>
      <c r="I167" s="128">
        <f>_xlfn.IFNA((VLOOKUP($C167,Code!$H:$Q,5,FALSE))/(((VLOOKUP($C167,Code!$H:$Q,7,FALSE))+(VLOOKUP($C167,Code!$H:$Q,8,FALSE)))/2)-G167,0)</f>
        <v>0</v>
      </c>
      <c r="J167" s="55" t="str">
        <f>IFERROR(POWER((VLOOKUP(C167,Code!H:W,12,FALSE))/(VLOOKUP(C167,Code!H:W,15,FALSE)),1/(P167-1))-1,"")</f>
        <v/>
      </c>
      <c r="K167" s="55" t="str">
        <f>IFERROR(POWER((VLOOKUP(C167,Code!H:W,13,FALSE))/(VLOOKUP(C167,Code!H:W,16,FALSE)),1/(P167-1))-1,"")</f>
        <v/>
      </c>
      <c r="L167" s="75" t="str">
        <f>IFERROR(VLOOKUP(C167,Code!H:W,13,FALSE)*4/VLOOKUP(C167,Code!H:W,12,FALSE),"")</f>
        <v/>
      </c>
      <c r="M167" s="55" t="str">
        <f t="shared" si="25"/>
        <v/>
      </c>
      <c r="N167" s="55" t="str">
        <f t="shared" si="26"/>
        <v/>
      </c>
      <c r="O167" s="55" t="str">
        <f t="shared" si="27"/>
        <v/>
      </c>
      <c r="P167" s="196" t="str">
        <f>IFERROR(YEARFRAC(VLOOKUP(C167,Code!H:W,11,FALSE),VLOOKUP(C167,Code!H:W,14,FALSE),3),"")</f>
        <v/>
      </c>
      <c r="Q167" s="2"/>
      <c r="R167" s="85" t="str">
        <f t="shared" ca="1" si="28"/>
        <v/>
      </c>
      <c r="S167" s="86" t="str">
        <f>IFERROR(VLOOKUP($C167,Code!$H:$Q,5,FALSE),"")</f>
        <v/>
      </c>
      <c r="T167" s="88" t="str">
        <f t="shared" ca="1" si="29"/>
        <v/>
      </c>
      <c r="U167" s="89" t="str">
        <f t="shared" ca="1" si="30"/>
        <v/>
      </c>
      <c r="V167" s="90" t="str">
        <f>IFERROR(VLOOKUP($C167,Code!$H:$Q,6,FALSE),"")</f>
        <v/>
      </c>
      <c r="W167" s="91" t="str">
        <f t="shared" ca="1" si="31"/>
        <v/>
      </c>
      <c r="X167" s="12"/>
      <c r="Y167" s="12"/>
      <c r="Z167" s="12"/>
      <c r="AA167" s="12"/>
      <c r="AB167" s="12"/>
    </row>
    <row r="168" spans="1:28" s="10" customFormat="1" ht="15" hidden="1">
      <c r="A168" s="9"/>
      <c r="B168" s="137"/>
      <c r="C168" s="142"/>
      <c r="D168" s="82" t="str">
        <f>IFERROR(VLOOKUP($C168,Code!$H:$K,2,FALSE),"")</f>
        <v/>
      </c>
      <c r="E168" s="83" t="str">
        <f>IFERROR(VLOOKUP($C168,Code!$H:$K,3,FALSE),"")</f>
        <v/>
      </c>
      <c r="F168" s="84" t="str">
        <f>IFERROR(VLOOKUP($C168,Code!$H:$K,4,FALSE),"")</f>
        <v/>
      </c>
      <c r="G168" s="128">
        <f>_xlfn.IFNA(((VLOOKUP($C168,Code!$H:$Q,9,FALSE))+(VLOOKUP($C168,Code!$H:$Q,10,FALSE)))/2*0.5/(((VLOOKUP($C168,Code!$H:$Q,7,FALSE))+(VLOOKUP($C168,Code!$H:$Q,8,FALSE)))/2),0)</f>
        <v>0</v>
      </c>
      <c r="H168" s="87" t="str">
        <f t="shared" si="24"/>
        <v/>
      </c>
      <c r="I168" s="128">
        <f>_xlfn.IFNA((VLOOKUP($C168,Code!$H:$Q,5,FALSE))/(((VLOOKUP($C168,Code!$H:$Q,7,FALSE))+(VLOOKUP($C168,Code!$H:$Q,8,FALSE)))/2)-G168,0)</f>
        <v>0</v>
      </c>
      <c r="J168" s="55" t="str">
        <f>IFERROR(POWER((VLOOKUP(C168,Code!H:W,12,FALSE))/(VLOOKUP(C168,Code!H:W,15,FALSE)),1/(P168-1))-1,"")</f>
        <v/>
      </c>
      <c r="K168" s="55" t="str">
        <f>IFERROR(POWER((VLOOKUP(C168,Code!H:W,13,FALSE))/(VLOOKUP(C168,Code!H:W,16,FALSE)),1/(P168-1))-1,"")</f>
        <v/>
      </c>
      <c r="L168" s="75" t="str">
        <f>IFERROR(VLOOKUP(C168,Code!H:W,13,FALSE)*4/VLOOKUP(C168,Code!H:W,12,FALSE),"")</f>
        <v/>
      </c>
      <c r="M168" s="55" t="str">
        <f t="shared" si="25"/>
        <v/>
      </c>
      <c r="N168" s="55" t="str">
        <f t="shared" si="26"/>
        <v/>
      </c>
      <c r="O168" s="55" t="str">
        <f t="shared" si="27"/>
        <v/>
      </c>
      <c r="P168" s="196" t="str">
        <f>IFERROR(YEARFRAC(VLOOKUP(C168,Code!H:W,11,FALSE),VLOOKUP(C168,Code!H:W,14,FALSE),3),"")</f>
        <v/>
      </c>
      <c r="Q168" s="2"/>
      <c r="R168" s="85" t="str">
        <f t="shared" ca="1" si="28"/>
        <v/>
      </c>
      <c r="S168" s="86" t="str">
        <f>IFERROR(VLOOKUP($C168,Code!$H:$Q,5,FALSE),"")</f>
        <v/>
      </c>
      <c r="T168" s="88" t="str">
        <f t="shared" ca="1" si="29"/>
        <v/>
      </c>
      <c r="U168" s="89" t="str">
        <f t="shared" ca="1" si="30"/>
        <v/>
      </c>
      <c r="V168" s="90" t="str">
        <f>IFERROR(VLOOKUP($C168,Code!$H:$Q,6,FALSE),"")</f>
        <v/>
      </c>
      <c r="W168" s="91" t="str">
        <f t="shared" ca="1" si="31"/>
        <v/>
      </c>
      <c r="X168" s="12"/>
      <c r="Y168" s="12"/>
      <c r="Z168" s="12"/>
      <c r="AA168" s="12"/>
      <c r="AB168" s="12"/>
    </row>
    <row r="169" spans="1:28" s="10" customFormat="1" ht="15" hidden="1">
      <c r="A169" s="9"/>
      <c r="B169" s="137"/>
      <c r="C169" s="142"/>
      <c r="D169" s="82" t="str">
        <f>IFERROR(VLOOKUP($C169,Code!$H:$K,2,FALSE),"")</f>
        <v/>
      </c>
      <c r="E169" s="83" t="str">
        <f>IFERROR(VLOOKUP($C169,Code!$H:$K,3,FALSE),"")</f>
        <v/>
      </c>
      <c r="F169" s="84" t="str">
        <f>IFERROR(VLOOKUP($C169,Code!$H:$K,4,FALSE),"")</f>
        <v/>
      </c>
      <c r="G169" s="128">
        <f>_xlfn.IFNA(((VLOOKUP($C169,Code!$H:$Q,9,FALSE))+(VLOOKUP($C169,Code!$H:$Q,10,FALSE)))/2*0.5/(((VLOOKUP($C169,Code!$H:$Q,7,FALSE))+(VLOOKUP($C169,Code!$H:$Q,8,FALSE)))/2),0)</f>
        <v>0</v>
      </c>
      <c r="H169" s="87" t="str">
        <f t="shared" si="24"/>
        <v/>
      </c>
      <c r="I169" s="128">
        <f>_xlfn.IFNA((VLOOKUP($C169,Code!$H:$Q,5,FALSE))/(((VLOOKUP($C169,Code!$H:$Q,7,FALSE))+(VLOOKUP($C169,Code!$H:$Q,8,FALSE)))/2)-G169,0)</f>
        <v>0</v>
      </c>
      <c r="J169" s="55" t="str">
        <f>IFERROR(POWER((VLOOKUP(C169,Code!H:W,12,FALSE))/(VLOOKUP(C169,Code!H:W,15,FALSE)),1/(P169-1))-1,"")</f>
        <v/>
      </c>
      <c r="K169" s="55" t="str">
        <f>IFERROR(POWER((VLOOKUP(C169,Code!H:W,13,FALSE))/(VLOOKUP(C169,Code!H:W,16,FALSE)),1/(P169-1))-1,"")</f>
        <v/>
      </c>
      <c r="L169" s="75" t="str">
        <f>IFERROR(VLOOKUP(C169,Code!H:W,13,FALSE)*4/VLOOKUP(C169,Code!H:W,12,FALSE),"")</f>
        <v/>
      </c>
      <c r="M169" s="55" t="str">
        <f t="shared" si="25"/>
        <v/>
      </c>
      <c r="N169" s="55" t="str">
        <f t="shared" si="26"/>
        <v/>
      </c>
      <c r="O169" s="55" t="str">
        <f t="shared" si="27"/>
        <v/>
      </c>
      <c r="P169" s="196" t="str">
        <f>IFERROR(YEARFRAC(VLOOKUP(C169,Code!H:W,11,FALSE),VLOOKUP(C169,Code!H:W,14,FALSE),3),"")</f>
        <v/>
      </c>
      <c r="Q169" s="2"/>
      <c r="R169" s="85" t="str">
        <f t="shared" ca="1" si="28"/>
        <v/>
      </c>
      <c r="S169" s="86" t="str">
        <f>IFERROR(VLOOKUP($C169,Code!$H:$Q,5,FALSE),"")</f>
        <v/>
      </c>
      <c r="T169" s="88" t="str">
        <f t="shared" ca="1" si="29"/>
        <v/>
      </c>
      <c r="U169" s="89" t="str">
        <f t="shared" ca="1" si="30"/>
        <v/>
      </c>
      <c r="V169" s="90" t="str">
        <f>IFERROR(VLOOKUP($C169,Code!$H:$Q,6,FALSE),"")</f>
        <v/>
      </c>
      <c r="W169" s="91" t="str">
        <f t="shared" ca="1" si="31"/>
        <v/>
      </c>
      <c r="X169" s="12"/>
      <c r="Y169" s="12"/>
      <c r="Z169" s="12"/>
      <c r="AA169" s="12"/>
      <c r="AB169" s="12"/>
    </row>
    <row r="170" spans="1:28" s="10" customFormat="1" ht="15" hidden="1">
      <c r="A170" s="9"/>
      <c r="B170" s="137"/>
      <c r="C170" s="142"/>
      <c r="D170" s="82" t="str">
        <f>IFERROR(VLOOKUP($C170,Code!$H:$K,2,FALSE),"")</f>
        <v/>
      </c>
      <c r="E170" s="83" t="str">
        <f>IFERROR(VLOOKUP($C170,Code!$H:$K,3,FALSE),"")</f>
        <v/>
      </c>
      <c r="F170" s="84" t="str">
        <f>IFERROR(VLOOKUP($C170,Code!$H:$K,4,FALSE),"")</f>
        <v/>
      </c>
      <c r="G170" s="128">
        <f>_xlfn.IFNA(((VLOOKUP($C170,Code!$H:$Q,9,FALSE))+(VLOOKUP($C170,Code!$H:$Q,10,FALSE)))/2*0.5/(((VLOOKUP($C170,Code!$H:$Q,7,FALSE))+(VLOOKUP($C170,Code!$H:$Q,8,FALSE)))/2),0)</f>
        <v>0</v>
      </c>
      <c r="H170" s="87" t="str">
        <f t="shared" si="24"/>
        <v/>
      </c>
      <c r="I170" s="128">
        <f>_xlfn.IFNA((VLOOKUP($C170,Code!$H:$Q,5,FALSE))/(((VLOOKUP($C170,Code!$H:$Q,7,FALSE))+(VLOOKUP($C170,Code!$H:$Q,8,FALSE)))/2)-G170,0)</f>
        <v>0</v>
      </c>
      <c r="J170" s="55" t="str">
        <f>IFERROR(POWER((VLOOKUP(C170,Code!H:W,12,FALSE))/(VLOOKUP(C170,Code!H:W,15,FALSE)),1/(P170-1))-1,"")</f>
        <v/>
      </c>
      <c r="K170" s="55" t="str">
        <f>IFERROR(POWER((VLOOKUP(C170,Code!H:W,13,FALSE))/(VLOOKUP(C170,Code!H:W,16,FALSE)),1/(P170-1))-1,"")</f>
        <v/>
      </c>
      <c r="L170" s="75" t="str">
        <f>IFERROR(VLOOKUP(C170,Code!H:W,13,FALSE)*4/VLOOKUP(C170,Code!H:W,12,FALSE),"")</f>
        <v/>
      </c>
      <c r="M170" s="55" t="str">
        <f t="shared" si="25"/>
        <v/>
      </c>
      <c r="N170" s="55" t="str">
        <f t="shared" si="26"/>
        <v/>
      </c>
      <c r="O170" s="55" t="str">
        <f t="shared" si="27"/>
        <v/>
      </c>
      <c r="P170" s="196" t="str">
        <f>IFERROR(YEARFRAC(VLOOKUP(C170,Code!H:W,11,FALSE),VLOOKUP(C170,Code!H:W,14,FALSE),3),"")</f>
        <v/>
      </c>
      <c r="Q170" s="2"/>
      <c r="R170" s="85" t="str">
        <f t="shared" ca="1" si="28"/>
        <v/>
      </c>
      <c r="S170" s="86" t="str">
        <f>IFERROR(VLOOKUP($C170,Code!$H:$Q,5,FALSE),"")</f>
        <v/>
      </c>
      <c r="T170" s="88" t="str">
        <f t="shared" ca="1" si="29"/>
        <v/>
      </c>
      <c r="U170" s="89" t="str">
        <f t="shared" ca="1" si="30"/>
        <v/>
      </c>
      <c r="V170" s="90" t="str">
        <f>IFERROR(VLOOKUP($C170,Code!$H:$Q,6,FALSE),"")</f>
        <v/>
      </c>
      <c r="W170" s="91" t="str">
        <f t="shared" ca="1" si="31"/>
        <v/>
      </c>
      <c r="X170" s="12"/>
      <c r="Y170" s="12"/>
      <c r="Z170" s="12"/>
      <c r="AA170" s="12"/>
      <c r="AB170" s="12"/>
    </row>
    <row r="171" spans="1:28" s="10" customFormat="1" ht="15" hidden="1">
      <c r="A171" s="9"/>
      <c r="B171" s="137"/>
      <c r="C171" s="142"/>
      <c r="D171" s="82" t="str">
        <f>IFERROR(VLOOKUP($C171,Code!$H:$K,2,FALSE),"")</f>
        <v/>
      </c>
      <c r="E171" s="83" t="str">
        <f>IFERROR(VLOOKUP($C171,Code!$H:$K,3,FALSE),"")</f>
        <v/>
      </c>
      <c r="F171" s="84" t="str">
        <f>IFERROR(VLOOKUP($C171,Code!$H:$K,4,FALSE),"")</f>
        <v/>
      </c>
      <c r="G171" s="128">
        <f>_xlfn.IFNA(((VLOOKUP($C171,Code!$H:$Q,9,FALSE))+(VLOOKUP($C171,Code!$H:$Q,10,FALSE)))/2*0.5/(((VLOOKUP($C171,Code!$H:$Q,7,FALSE))+(VLOOKUP($C171,Code!$H:$Q,8,FALSE)))/2),0)</f>
        <v>0</v>
      </c>
      <c r="H171" s="87" t="str">
        <f t="shared" si="24"/>
        <v/>
      </c>
      <c r="I171" s="128">
        <f>_xlfn.IFNA((VLOOKUP($C171,Code!$H:$Q,5,FALSE))/(((VLOOKUP($C171,Code!$H:$Q,7,FALSE))+(VLOOKUP($C171,Code!$H:$Q,8,FALSE)))/2)-G171,0)</f>
        <v>0</v>
      </c>
      <c r="J171" s="55" t="str">
        <f>IFERROR(POWER((VLOOKUP(C171,Code!H:W,12,FALSE))/(VLOOKUP(C171,Code!H:W,15,FALSE)),1/(P171-1))-1,"")</f>
        <v/>
      </c>
      <c r="K171" s="55" t="str">
        <f>IFERROR(POWER((VLOOKUP(C171,Code!H:W,13,FALSE))/(VLOOKUP(C171,Code!H:W,16,FALSE)),1/(P171-1))-1,"")</f>
        <v/>
      </c>
      <c r="L171" s="75" t="str">
        <f>IFERROR(VLOOKUP(C171,Code!H:W,13,FALSE)*4/VLOOKUP(C171,Code!H:W,12,FALSE),"")</f>
        <v/>
      </c>
      <c r="M171" s="55" t="str">
        <f t="shared" si="25"/>
        <v/>
      </c>
      <c r="N171" s="55" t="str">
        <f t="shared" si="26"/>
        <v/>
      </c>
      <c r="O171" s="55" t="str">
        <f t="shared" si="27"/>
        <v/>
      </c>
      <c r="P171" s="196" t="str">
        <f>IFERROR(YEARFRAC(VLOOKUP(C171,Code!H:W,11,FALSE),VLOOKUP(C171,Code!H:W,14,FALSE),3),"")</f>
        <v/>
      </c>
      <c r="Q171" s="2"/>
      <c r="R171" s="85" t="str">
        <f t="shared" ca="1" si="28"/>
        <v/>
      </c>
      <c r="S171" s="86" t="str">
        <f>IFERROR(VLOOKUP($C171,Code!$H:$Q,5,FALSE),"")</f>
        <v/>
      </c>
      <c r="T171" s="88" t="str">
        <f t="shared" ca="1" si="29"/>
        <v/>
      </c>
      <c r="U171" s="89" t="str">
        <f t="shared" ca="1" si="30"/>
        <v/>
      </c>
      <c r="V171" s="90" t="str">
        <f>IFERROR(VLOOKUP($C171,Code!$H:$Q,6,FALSE),"")</f>
        <v/>
      </c>
      <c r="W171" s="91" t="str">
        <f t="shared" ca="1" si="31"/>
        <v/>
      </c>
      <c r="X171" s="12"/>
      <c r="Y171" s="12"/>
      <c r="Z171" s="12"/>
      <c r="AA171" s="12"/>
      <c r="AB171" s="12"/>
    </row>
    <row r="172" spans="1:28" s="10" customFormat="1" ht="15" hidden="1">
      <c r="A172" s="9"/>
      <c r="B172" s="137"/>
      <c r="C172" s="142"/>
      <c r="D172" s="82" t="str">
        <f>IFERROR(VLOOKUP($C172,Code!$H:$K,2,FALSE),"")</f>
        <v/>
      </c>
      <c r="E172" s="83" t="str">
        <f>IFERROR(VLOOKUP($C172,Code!$H:$K,3,FALSE),"")</f>
        <v/>
      </c>
      <c r="F172" s="84" t="str">
        <f>IFERROR(VLOOKUP($C172,Code!$H:$K,4,FALSE),"")</f>
        <v/>
      </c>
      <c r="G172" s="128">
        <f>_xlfn.IFNA(((VLOOKUP($C172,Code!$H:$Q,9,FALSE))+(VLOOKUP($C172,Code!$H:$Q,10,FALSE)))/2*0.5/(((VLOOKUP($C172,Code!$H:$Q,7,FALSE))+(VLOOKUP($C172,Code!$H:$Q,8,FALSE)))/2),0)</f>
        <v>0</v>
      </c>
      <c r="H172" s="87" t="str">
        <f t="shared" si="24"/>
        <v/>
      </c>
      <c r="I172" s="128">
        <f>_xlfn.IFNA((VLOOKUP($C172,Code!$H:$Q,5,FALSE))/(((VLOOKUP($C172,Code!$H:$Q,7,FALSE))+(VLOOKUP($C172,Code!$H:$Q,8,FALSE)))/2)-G172,0)</f>
        <v>0</v>
      </c>
      <c r="J172" s="55" t="str">
        <f>IFERROR(POWER((VLOOKUP(C172,Code!H:W,12,FALSE))/(VLOOKUP(C172,Code!H:W,15,FALSE)),1/(P172-1))-1,"")</f>
        <v/>
      </c>
      <c r="K172" s="55" t="str">
        <f>IFERROR(POWER((VLOOKUP(C172,Code!H:W,13,FALSE))/(VLOOKUP(C172,Code!H:W,16,FALSE)),1/(P172-1))-1,"")</f>
        <v/>
      </c>
      <c r="L172" s="75" t="str">
        <f>IFERROR(VLOOKUP(C172,Code!H:W,13,FALSE)*4/VLOOKUP(C172,Code!H:W,12,FALSE),"")</f>
        <v/>
      </c>
      <c r="M172" s="55" t="str">
        <f t="shared" si="25"/>
        <v/>
      </c>
      <c r="N172" s="55" t="str">
        <f t="shared" si="26"/>
        <v/>
      </c>
      <c r="O172" s="55" t="str">
        <f t="shared" si="27"/>
        <v/>
      </c>
      <c r="P172" s="196" t="str">
        <f>IFERROR(YEARFRAC(VLOOKUP(C172,Code!H:W,11,FALSE),VLOOKUP(C172,Code!H:W,14,FALSE),3),"")</f>
        <v/>
      </c>
      <c r="Q172" s="2"/>
      <c r="R172" s="85" t="str">
        <f t="shared" ca="1" si="28"/>
        <v/>
      </c>
      <c r="S172" s="86" t="str">
        <f>IFERROR(VLOOKUP($C172,Code!$H:$Q,5,FALSE),"")</f>
        <v/>
      </c>
      <c r="T172" s="88" t="str">
        <f t="shared" ca="1" si="29"/>
        <v/>
      </c>
      <c r="U172" s="89" t="str">
        <f t="shared" ca="1" si="30"/>
        <v/>
      </c>
      <c r="V172" s="90" t="str">
        <f>IFERROR(VLOOKUP($C172,Code!$H:$Q,6,FALSE),"")</f>
        <v/>
      </c>
      <c r="W172" s="91" t="str">
        <f t="shared" ca="1" si="31"/>
        <v/>
      </c>
      <c r="X172" s="12"/>
      <c r="Y172" s="12"/>
      <c r="Z172" s="12"/>
      <c r="AA172" s="12"/>
      <c r="AB172" s="12"/>
    </row>
    <row r="173" spans="1:28" s="10" customFormat="1" ht="15" hidden="1">
      <c r="A173" s="9"/>
      <c r="B173" s="137"/>
      <c r="C173" s="142"/>
      <c r="D173" s="82" t="str">
        <f>IFERROR(VLOOKUP($C173,Code!$H:$K,2,FALSE),"")</f>
        <v/>
      </c>
      <c r="E173" s="83" t="str">
        <f>IFERROR(VLOOKUP($C173,Code!$H:$K,3,FALSE),"")</f>
        <v/>
      </c>
      <c r="F173" s="84" t="str">
        <f>IFERROR(VLOOKUP($C173,Code!$H:$K,4,FALSE),"")</f>
        <v/>
      </c>
      <c r="G173" s="128">
        <f>_xlfn.IFNA(((VLOOKUP($C173,Code!$H:$Q,9,FALSE))+(VLOOKUP($C173,Code!$H:$Q,10,FALSE)))/2*0.5/(((VLOOKUP($C173,Code!$H:$Q,7,FALSE))+(VLOOKUP($C173,Code!$H:$Q,8,FALSE)))/2),0)</f>
        <v>0</v>
      </c>
      <c r="H173" s="87" t="str">
        <f t="shared" si="24"/>
        <v/>
      </c>
      <c r="I173" s="128">
        <f>_xlfn.IFNA((VLOOKUP($C173,Code!$H:$Q,5,FALSE))/(((VLOOKUP($C173,Code!$H:$Q,7,FALSE))+(VLOOKUP($C173,Code!$H:$Q,8,FALSE)))/2)-G173,0)</f>
        <v>0</v>
      </c>
      <c r="J173" s="55" t="str">
        <f>IFERROR(POWER((VLOOKUP(C173,Code!H:W,12,FALSE))/(VLOOKUP(C173,Code!H:W,15,FALSE)),1/(P173-1))-1,"")</f>
        <v/>
      </c>
      <c r="K173" s="55" t="str">
        <f>IFERROR(POWER((VLOOKUP(C173,Code!H:W,13,FALSE))/(VLOOKUP(C173,Code!H:W,16,FALSE)),1/(P173-1))-1,"")</f>
        <v/>
      </c>
      <c r="L173" s="75" t="str">
        <f>IFERROR(VLOOKUP(C173,Code!H:W,13,FALSE)*4/VLOOKUP(C173,Code!H:W,12,FALSE),"")</f>
        <v/>
      </c>
      <c r="M173" s="55" t="str">
        <f t="shared" si="25"/>
        <v/>
      </c>
      <c r="N173" s="55" t="str">
        <f t="shared" si="26"/>
        <v/>
      </c>
      <c r="O173" s="55" t="str">
        <f t="shared" si="27"/>
        <v/>
      </c>
      <c r="P173" s="196" t="str">
        <f>IFERROR(YEARFRAC(VLOOKUP(C173,Code!H:W,11,FALSE),VLOOKUP(C173,Code!H:W,14,FALSE),3),"")</f>
        <v/>
      </c>
      <c r="Q173" s="2"/>
      <c r="R173" s="85" t="str">
        <f t="shared" ca="1" si="28"/>
        <v/>
      </c>
      <c r="S173" s="86" t="str">
        <f>IFERROR(VLOOKUP($C173,Code!$H:$Q,5,FALSE),"")</f>
        <v/>
      </c>
      <c r="T173" s="88" t="str">
        <f t="shared" ca="1" si="29"/>
        <v/>
      </c>
      <c r="U173" s="89" t="str">
        <f t="shared" ca="1" si="30"/>
        <v/>
      </c>
      <c r="V173" s="90" t="str">
        <f>IFERROR(VLOOKUP($C173,Code!$H:$Q,6,FALSE),"")</f>
        <v/>
      </c>
      <c r="W173" s="91" t="str">
        <f t="shared" ca="1" si="31"/>
        <v/>
      </c>
      <c r="X173" s="12"/>
      <c r="Y173" s="12"/>
      <c r="Z173" s="12"/>
      <c r="AA173" s="12"/>
      <c r="AB173" s="12"/>
    </row>
    <row r="174" spans="1:28" s="10" customFormat="1" ht="15" hidden="1">
      <c r="A174" s="9"/>
      <c r="B174" s="137"/>
      <c r="C174" s="142"/>
      <c r="D174" s="82" t="str">
        <f>IFERROR(VLOOKUP($C174,Code!$H:$K,2,FALSE),"")</f>
        <v/>
      </c>
      <c r="E174" s="83" t="str">
        <f>IFERROR(VLOOKUP($C174,Code!$H:$K,3,FALSE),"")</f>
        <v/>
      </c>
      <c r="F174" s="84" t="str">
        <f>IFERROR(VLOOKUP($C174,Code!$H:$K,4,FALSE),"")</f>
        <v/>
      </c>
      <c r="G174" s="128">
        <f>_xlfn.IFNA(((VLOOKUP($C174,Code!$H:$Q,9,FALSE))+(VLOOKUP($C174,Code!$H:$Q,10,FALSE)))/2*0.5/(((VLOOKUP($C174,Code!$H:$Q,7,FALSE))+(VLOOKUP($C174,Code!$H:$Q,8,FALSE)))/2),0)</f>
        <v>0</v>
      </c>
      <c r="H174" s="87" t="str">
        <f t="shared" si="24"/>
        <v/>
      </c>
      <c r="I174" s="128">
        <f>_xlfn.IFNA((VLOOKUP($C174,Code!$H:$Q,5,FALSE))/(((VLOOKUP($C174,Code!$H:$Q,7,FALSE))+(VLOOKUP($C174,Code!$H:$Q,8,FALSE)))/2)-G174,0)</f>
        <v>0</v>
      </c>
      <c r="J174" s="55" t="str">
        <f>IFERROR(POWER((VLOOKUP(C174,Code!H:W,12,FALSE))/(VLOOKUP(C174,Code!H:W,15,FALSE)),1/(P174-1))-1,"")</f>
        <v/>
      </c>
      <c r="K174" s="55" t="str">
        <f>IFERROR(POWER((VLOOKUP(C174,Code!H:W,13,FALSE))/(VLOOKUP(C174,Code!H:W,16,FALSE)),1/(P174-1))-1,"")</f>
        <v/>
      </c>
      <c r="L174" s="75" t="str">
        <f>IFERROR(VLOOKUP(C174,Code!H:W,13,FALSE)*4/VLOOKUP(C174,Code!H:W,12,FALSE),"")</f>
        <v/>
      </c>
      <c r="M174" s="55" t="str">
        <f t="shared" si="25"/>
        <v/>
      </c>
      <c r="N174" s="55" t="str">
        <f t="shared" si="26"/>
        <v/>
      </c>
      <c r="O174" s="55" t="str">
        <f t="shared" si="27"/>
        <v/>
      </c>
      <c r="P174" s="196" t="str">
        <f>IFERROR(YEARFRAC(VLOOKUP(C174,Code!H:W,11,FALSE),VLOOKUP(C174,Code!H:W,14,FALSE),3),"")</f>
        <v/>
      </c>
      <c r="Q174" s="2"/>
      <c r="R174" s="85" t="str">
        <f t="shared" ca="1" si="28"/>
        <v/>
      </c>
      <c r="S174" s="86" t="str">
        <f>IFERROR(VLOOKUP($C174,Code!$H:$Q,5,FALSE),"")</f>
        <v/>
      </c>
      <c r="T174" s="88" t="str">
        <f t="shared" ca="1" si="29"/>
        <v/>
      </c>
      <c r="U174" s="89" t="str">
        <f t="shared" ca="1" si="30"/>
        <v/>
      </c>
      <c r="V174" s="90" t="str">
        <f>IFERROR(VLOOKUP($C174,Code!$H:$Q,6,FALSE),"")</f>
        <v/>
      </c>
      <c r="W174" s="91" t="str">
        <f t="shared" ca="1" si="31"/>
        <v/>
      </c>
      <c r="X174" s="12"/>
      <c r="Y174" s="12"/>
      <c r="Z174" s="12"/>
      <c r="AA174" s="12"/>
      <c r="AB174" s="12"/>
    </row>
    <row r="175" spans="1:28" s="10" customFormat="1" ht="15" hidden="1">
      <c r="A175" s="9"/>
      <c r="B175" s="137"/>
      <c r="C175" s="142"/>
      <c r="D175" s="82" t="str">
        <f>IFERROR(VLOOKUP($C175,Code!$H:$K,2,FALSE),"")</f>
        <v/>
      </c>
      <c r="E175" s="83" t="str">
        <f>IFERROR(VLOOKUP($C175,Code!$H:$K,3,FALSE),"")</f>
        <v/>
      </c>
      <c r="F175" s="84" t="str">
        <f>IFERROR(VLOOKUP($C175,Code!$H:$K,4,FALSE),"")</f>
        <v/>
      </c>
      <c r="G175" s="128">
        <f>_xlfn.IFNA(((VLOOKUP($C175,Code!$H:$Q,9,FALSE))+(VLOOKUP($C175,Code!$H:$Q,10,FALSE)))/2*0.5/(((VLOOKUP($C175,Code!$H:$Q,7,FALSE))+(VLOOKUP($C175,Code!$H:$Q,8,FALSE)))/2),0)</f>
        <v>0</v>
      </c>
      <c r="H175" s="87" t="str">
        <f t="shared" si="24"/>
        <v/>
      </c>
      <c r="I175" s="128">
        <f>_xlfn.IFNA((VLOOKUP($C175,Code!$H:$Q,5,FALSE))/(((VLOOKUP($C175,Code!$H:$Q,7,FALSE))+(VLOOKUP($C175,Code!$H:$Q,8,FALSE)))/2)-G175,0)</f>
        <v>0</v>
      </c>
      <c r="J175" s="55" t="str">
        <f>IFERROR(POWER((VLOOKUP(C175,Code!H:W,12,FALSE))/(VLOOKUP(C175,Code!H:W,15,FALSE)),1/(P175-1))-1,"")</f>
        <v/>
      </c>
      <c r="K175" s="55" t="str">
        <f>IFERROR(POWER((VLOOKUP(C175,Code!H:W,13,FALSE))/(VLOOKUP(C175,Code!H:W,16,FALSE)),1/(P175-1))-1,"")</f>
        <v/>
      </c>
      <c r="L175" s="75" t="str">
        <f>IFERROR(VLOOKUP(C175,Code!H:W,13,FALSE)*4/VLOOKUP(C175,Code!H:W,12,FALSE),"")</f>
        <v/>
      </c>
      <c r="M175" s="55" t="str">
        <f t="shared" si="25"/>
        <v/>
      </c>
      <c r="N175" s="55" t="str">
        <f t="shared" si="26"/>
        <v/>
      </c>
      <c r="O175" s="55" t="str">
        <f t="shared" si="27"/>
        <v/>
      </c>
      <c r="P175" s="196" t="str">
        <f>IFERROR(YEARFRAC(VLOOKUP(C175,Code!H:W,11,FALSE),VLOOKUP(C175,Code!H:W,14,FALSE),3),"")</f>
        <v/>
      </c>
      <c r="Q175" s="2"/>
      <c r="R175" s="85" t="str">
        <f t="shared" ca="1" si="28"/>
        <v/>
      </c>
      <c r="S175" s="86" t="str">
        <f>IFERROR(VLOOKUP($C175,Code!$H:$Q,5,FALSE),"")</f>
        <v/>
      </c>
      <c r="T175" s="88" t="str">
        <f t="shared" ca="1" si="29"/>
        <v/>
      </c>
      <c r="U175" s="89" t="str">
        <f t="shared" ca="1" si="30"/>
        <v/>
      </c>
      <c r="V175" s="90" t="str">
        <f>IFERROR(VLOOKUP($C175,Code!$H:$Q,6,FALSE),"")</f>
        <v/>
      </c>
      <c r="W175" s="91" t="str">
        <f t="shared" ca="1" si="31"/>
        <v/>
      </c>
      <c r="X175" s="12"/>
      <c r="Y175" s="12"/>
      <c r="Z175" s="12"/>
      <c r="AA175" s="12"/>
      <c r="AB175" s="12"/>
    </row>
    <row r="176" spans="1:28" s="10" customFormat="1" ht="15" hidden="1">
      <c r="A176" s="9"/>
      <c r="B176" s="137"/>
      <c r="C176" s="142"/>
      <c r="D176" s="82" t="str">
        <f>IFERROR(VLOOKUP($C176,Code!$H:$K,2,FALSE),"")</f>
        <v/>
      </c>
      <c r="E176" s="83" t="str">
        <f>IFERROR(VLOOKUP($C176,Code!$H:$K,3,FALSE),"")</f>
        <v/>
      </c>
      <c r="F176" s="84" t="str">
        <f>IFERROR(VLOOKUP($C176,Code!$H:$K,4,FALSE),"")</f>
        <v/>
      </c>
      <c r="G176" s="128">
        <f>_xlfn.IFNA(((VLOOKUP($C176,Code!$H:$Q,9,FALSE))+(VLOOKUP($C176,Code!$H:$Q,10,FALSE)))/2*0.5/(((VLOOKUP($C176,Code!$H:$Q,7,FALSE))+(VLOOKUP($C176,Code!$H:$Q,8,FALSE)))/2),0)</f>
        <v>0</v>
      </c>
      <c r="H176" s="87" t="str">
        <f t="shared" si="24"/>
        <v/>
      </c>
      <c r="I176" s="128">
        <f>_xlfn.IFNA((VLOOKUP($C176,Code!$H:$Q,5,FALSE))/(((VLOOKUP($C176,Code!$H:$Q,7,FALSE))+(VLOOKUP($C176,Code!$H:$Q,8,FALSE)))/2)-G176,0)</f>
        <v>0</v>
      </c>
      <c r="J176" s="55" t="str">
        <f>IFERROR(POWER((VLOOKUP(C176,Code!H:W,12,FALSE))/(VLOOKUP(C176,Code!H:W,15,FALSE)),1/(P176-1))-1,"")</f>
        <v/>
      </c>
      <c r="K176" s="55" t="str">
        <f>IFERROR(POWER((VLOOKUP(C176,Code!H:W,13,FALSE))/(VLOOKUP(C176,Code!H:W,16,FALSE)),1/(P176-1))-1,"")</f>
        <v/>
      </c>
      <c r="L176" s="75" t="str">
        <f>IFERROR(VLOOKUP(C176,Code!H:W,13,FALSE)*4/VLOOKUP(C176,Code!H:W,12,FALSE),"")</f>
        <v/>
      </c>
      <c r="M176" s="55" t="str">
        <f t="shared" si="25"/>
        <v/>
      </c>
      <c r="N176" s="55" t="str">
        <f t="shared" si="26"/>
        <v/>
      </c>
      <c r="O176" s="55" t="str">
        <f t="shared" si="27"/>
        <v/>
      </c>
      <c r="P176" s="196" t="str">
        <f>IFERROR(YEARFRAC(VLOOKUP(C176,Code!H:W,11,FALSE),VLOOKUP(C176,Code!H:W,14,FALSE),3),"")</f>
        <v/>
      </c>
      <c r="Q176" s="2"/>
      <c r="R176" s="85" t="str">
        <f t="shared" ca="1" si="28"/>
        <v/>
      </c>
      <c r="S176" s="86" t="str">
        <f>IFERROR(VLOOKUP($C176,Code!$H:$Q,5,FALSE),"")</f>
        <v/>
      </c>
      <c r="T176" s="88" t="str">
        <f t="shared" ca="1" si="29"/>
        <v/>
      </c>
      <c r="U176" s="89" t="str">
        <f t="shared" ca="1" si="30"/>
        <v/>
      </c>
      <c r="V176" s="90" t="str">
        <f>IFERROR(VLOOKUP($C176,Code!$H:$Q,6,FALSE),"")</f>
        <v/>
      </c>
      <c r="W176" s="91" t="str">
        <f t="shared" ca="1" si="31"/>
        <v/>
      </c>
      <c r="X176" s="12"/>
      <c r="Y176" s="12"/>
      <c r="Z176" s="12"/>
      <c r="AA176" s="12"/>
      <c r="AB176" s="12"/>
    </row>
    <row r="177" spans="1:28" s="10" customFormat="1" ht="15" hidden="1">
      <c r="A177" s="9"/>
      <c r="B177" s="137"/>
      <c r="C177" s="142"/>
      <c r="D177" s="82" t="str">
        <f>IFERROR(VLOOKUP($C177,Code!$H:$K,2,FALSE),"")</f>
        <v/>
      </c>
      <c r="E177" s="83" t="str">
        <f>IFERROR(VLOOKUP($C177,Code!$H:$K,3,FALSE),"")</f>
        <v/>
      </c>
      <c r="F177" s="84" t="str">
        <f>IFERROR(VLOOKUP($C177,Code!$H:$K,4,FALSE),"")</f>
        <v/>
      </c>
      <c r="G177" s="128">
        <f>_xlfn.IFNA(((VLOOKUP($C177,Code!$H:$Q,9,FALSE))+(VLOOKUP($C177,Code!$H:$Q,10,FALSE)))/2*0.5/(((VLOOKUP($C177,Code!$H:$Q,7,FALSE))+(VLOOKUP($C177,Code!$H:$Q,8,FALSE)))/2),0)</f>
        <v>0</v>
      </c>
      <c r="H177" s="87" t="str">
        <f t="shared" si="24"/>
        <v/>
      </c>
      <c r="I177" s="128">
        <f>_xlfn.IFNA((VLOOKUP($C177,Code!$H:$Q,5,FALSE))/(((VLOOKUP($C177,Code!$H:$Q,7,FALSE))+(VLOOKUP($C177,Code!$H:$Q,8,FALSE)))/2)-G177,0)</f>
        <v>0</v>
      </c>
      <c r="J177" s="55" t="str">
        <f>IFERROR(POWER((VLOOKUP(C177,Code!H:W,12,FALSE))/(VLOOKUP(C177,Code!H:W,15,FALSE)),1/(P177-1))-1,"")</f>
        <v/>
      </c>
      <c r="K177" s="55" t="str">
        <f>IFERROR(POWER((VLOOKUP(C177,Code!H:W,13,FALSE))/(VLOOKUP(C177,Code!H:W,16,FALSE)),1/(P177-1))-1,"")</f>
        <v/>
      </c>
      <c r="L177" s="75" t="str">
        <f>IFERROR(VLOOKUP(C177,Code!H:W,13,FALSE)*4/VLOOKUP(C177,Code!H:W,12,FALSE),"")</f>
        <v/>
      </c>
      <c r="M177" s="55" t="str">
        <f t="shared" si="25"/>
        <v/>
      </c>
      <c r="N177" s="55" t="str">
        <f t="shared" si="26"/>
        <v/>
      </c>
      <c r="O177" s="55" t="str">
        <f t="shared" si="27"/>
        <v/>
      </c>
      <c r="P177" s="196" t="str">
        <f>IFERROR(YEARFRAC(VLOOKUP(C177,Code!H:W,11,FALSE),VLOOKUP(C177,Code!H:W,14,FALSE),3),"")</f>
        <v/>
      </c>
      <c r="Q177" s="2"/>
      <c r="R177" s="85" t="str">
        <f t="shared" ca="1" si="28"/>
        <v/>
      </c>
      <c r="S177" s="86" t="str">
        <f>IFERROR(VLOOKUP($C177,Code!$H:$Q,5,FALSE),"")</f>
        <v/>
      </c>
      <c r="T177" s="88" t="str">
        <f t="shared" ca="1" si="29"/>
        <v/>
      </c>
      <c r="U177" s="89" t="str">
        <f t="shared" ca="1" si="30"/>
        <v/>
      </c>
      <c r="V177" s="90" t="str">
        <f>IFERROR(VLOOKUP($C177,Code!$H:$Q,6,FALSE),"")</f>
        <v/>
      </c>
      <c r="W177" s="91" t="str">
        <f t="shared" ca="1" si="31"/>
        <v/>
      </c>
      <c r="X177" s="12"/>
      <c r="Y177" s="12"/>
      <c r="Z177" s="12"/>
      <c r="AA177" s="12"/>
      <c r="AB177" s="12"/>
    </row>
    <row r="178" spans="1:28" s="10" customFormat="1" ht="15" hidden="1">
      <c r="A178" s="9"/>
      <c r="B178" s="137"/>
      <c r="C178" s="142"/>
      <c r="D178" s="82" t="str">
        <f>IFERROR(VLOOKUP($C178,Code!$H:$K,2,FALSE),"")</f>
        <v/>
      </c>
      <c r="E178" s="83" t="str">
        <f>IFERROR(VLOOKUP($C178,Code!$H:$K,3,FALSE),"")</f>
        <v/>
      </c>
      <c r="F178" s="84" t="str">
        <f>IFERROR(VLOOKUP($C178,Code!$H:$K,4,FALSE),"")</f>
        <v/>
      </c>
      <c r="G178" s="128">
        <f>_xlfn.IFNA(((VLOOKUP($C178,Code!$H:$Q,9,FALSE))+(VLOOKUP($C178,Code!$H:$Q,10,FALSE)))/2*0.5/(((VLOOKUP($C178,Code!$H:$Q,7,FALSE))+(VLOOKUP($C178,Code!$H:$Q,8,FALSE)))/2),0)</f>
        <v>0</v>
      </c>
      <c r="H178" s="87" t="str">
        <f t="shared" si="24"/>
        <v/>
      </c>
      <c r="I178" s="128">
        <f>_xlfn.IFNA((VLOOKUP($C178,Code!$H:$Q,5,FALSE))/(((VLOOKUP($C178,Code!$H:$Q,7,FALSE))+(VLOOKUP($C178,Code!$H:$Q,8,FALSE)))/2)-G178,0)</f>
        <v>0</v>
      </c>
      <c r="J178" s="55" t="str">
        <f>IFERROR(POWER((VLOOKUP(C178,Code!H:W,12,FALSE))/(VLOOKUP(C178,Code!H:W,15,FALSE)),1/(P178-1))-1,"")</f>
        <v/>
      </c>
      <c r="K178" s="55" t="str">
        <f>IFERROR(POWER((VLOOKUP(C178,Code!H:W,13,FALSE))/(VLOOKUP(C178,Code!H:W,16,FALSE)),1/(P178-1))-1,"")</f>
        <v/>
      </c>
      <c r="L178" s="75" t="str">
        <f>IFERROR(VLOOKUP(C178,Code!H:W,13,FALSE)*4/VLOOKUP(C178,Code!H:W,12,FALSE),"")</f>
        <v/>
      </c>
      <c r="M178" s="55" t="str">
        <f t="shared" si="25"/>
        <v/>
      </c>
      <c r="N178" s="55" t="str">
        <f t="shared" si="26"/>
        <v/>
      </c>
      <c r="O178" s="55" t="str">
        <f t="shared" si="27"/>
        <v/>
      </c>
      <c r="P178" s="196" t="str">
        <f>IFERROR(YEARFRAC(VLOOKUP(C178,Code!H:W,11,FALSE),VLOOKUP(C178,Code!H:W,14,FALSE),3),"")</f>
        <v/>
      </c>
      <c r="Q178" s="2"/>
      <c r="R178" s="85" t="str">
        <f t="shared" ca="1" si="28"/>
        <v/>
      </c>
      <c r="S178" s="86" t="str">
        <f>IFERROR(VLOOKUP($C178,Code!$H:$Q,5,FALSE),"")</f>
        <v/>
      </c>
      <c r="T178" s="88" t="str">
        <f t="shared" ca="1" si="29"/>
        <v/>
      </c>
      <c r="U178" s="89" t="str">
        <f t="shared" ca="1" si="30"/>
        <v/>
      </c>
      <c r="V178" s="90" t="str">
        <f>IFERROR(VLOOKUP($C178,Code!$H:$Q,6,FALSE),"")</f>
        <v/>
      </c>
      <c r="W178" s="91" t="str">
        <f t="shared" ca="1" si="31"/>
        <v/>
      </c>
      <c r="X178" s="12"/>
      <c r="Y178" s="12"/>
      <c r="Z178" s="12"/>
      <c r="AA178" s="12"/>
      <c r="AB178" s="12"/>
    </row>
    <row r="179" spans="1:28" s="10" customFormat="1" ht="15" hidden="1">
      <c r="A179" s="9"/>
      <c r="B179" s="137"/>
      <c r="C179" s="142"/>
      <c r="D179" s="82" t="str">
        <f>IFERROR(VLOOKUP($C179,Code!$H:$K,2,FALSE),"")</f>
        <v/>
      </c>
      <c r="E179" s="83" t="str">
        <f>IFERROR(VLOOKUP($C179,Code!$H:$K,3,FALSE),"")</f>
        <v/>
      </c>
      <c r="F179" s="84" t="str">
        <f>IFERROR(VLOOKUP($C179,Code!$H:$K,4,FALSE),"")</f>
        <v/>
      </c>
      <c r="G179" s="128">
        <f>_xlfn.IFNA(((VLOOKUP($C179,Code!$H:$Q,9,FALSE))+(VLOOKUP($C179,Code!$H:$Q,10,FALSE)))/2*0.5/(((VLOOKUP($C179,Code!$H:$Q,7,FALSE))+(VLOOKUP($C179,Code!$H:$Q,8,FALSE)))/2),0)</f>
        <v>0</v>
      </c>
      <c r="H179" s="87" t="str">
        <f t="shared" si="24"/>
        <v/>
      </c>
      <c r="I179" s="128">
        <f>_xlfn.IFNA((VLOOKUP($C179,Code!$H:$Q,5,FALSE))/(((VLOOKUP($C179,Code!$H:$Q,7,FALSE))+(VLOOKUP($C179,Code!$H:$Q,8,FALSE)))/2)-G179,0)</f>
        <v>0</v>
      </c>
      <c r="J179" s="55" t="str">
        <f>IFERROR(POWER((VLOOKUP(C179,Code!H:W,12,FALSE))/(VLOOKUP(C179,Code!H:W,15,FALSE)),1/(P179-1))-1,"")</f>
        <v/>
      </c>
      <c r="K179" s="55" t="str">
        <f>IFERROR(POWER((VLOOKUP(C179,Code!H:W,13,FALSE))/(VLOOKUP(C179,Code!H:W,16,FALSE)),1/(P179-1))-1,"")</f>
        <v/>
      </c>
      <c r="L179" s="75" t="str">
        <f>IFERROR(VLOOKUP(C179,Code!H:W,13,FALSE)*4/VLOOKUP(C179,Code!H:W,12,FALSE),"")</f>
        <v/>
      </c>
      <c r="M179" s="55" t="str">
        <f t="shared" si="25"/>
        <v/>
      </c>
      <c r="N179" s="55" t="str">
        <f t="shared" si="26"/>
        <v/>
      </c>
      <c r="O179" s="55" t="str">
        <f t="shared" si="27"/>
        <v/>
      </c>
      <c r="P179" s="196" t="str">
        <f>IFERROR(YEARFRAC(VLOOKUP(C179,Code!H:W,11,FALSE),VLOOKUP(C179,Code!H:W,14,FALSE),3),"")</f>
        <v/>
      </c>
      <c r="Q179" s="2"/>
      <c r="R179" s="85" t="str">
        <f t="shared" ca="1" si="28"/>
        <v/>
      </c>
      <c r="S179" s="86" t="str">
        <f>IFERROR(VLOOKUP($C179,Code!$H:$Q,5,FALSE),"")</f>
        <v/>
      </c>
      <c r="T179" s="88" t="str">
        <f t="shared" ca="1" si="29"/>
        <v/>
      </c>
      <c r="U179" s="89" t="str">
        <f t="shared" ca="1" si="30"/>
        <v/>
      </c>
      <c r="V179" s="90" t="str">
        <f>IFERROR(VLOOKUP($C179,Code!$H:$Q,6,FALSE),"")</f>
        <v/>
      </c>
      <c r="W179" s="91" t="str">
        <f t="shared" ca="1" si="31"/>
        <v/>
      </c>
      <c r="X179" s="12"/>
      <c r="Y179" s="12"/>
      <c r="Z179" s="12"/>
      <c r="AA179" s="12"/>
      <c r="AB179" s="12"/>
    </row>
    <row r="180" spans="1:28" s="10" customFormat="1" ht="15" hidden="1">
      <c r="A180" s="9"/>
      <c r="B180" s="137"/>
      <c r="C180" s="142"/>
      <c r="D180" s="82" t="str">
        <f>IFERROR(VLOOKUP($C180,Code!$H:$K,2,FALSE),"")</f>
        <v/>
      </c>
      <c r="E180" s="83" t="str">
        <f>IFERROR(VLOOKUP($C180,Code!$H:$K,3,FALSE),"")</f>
        <v/>
      </c>
      <c r="F180" s="84" t="str">
        <f>IFERROR(VLOOKUP($C180,Code!$H:$K,4,FALSE),"")</f>
        <v/>
      </c>
      <c r="G180" s="128">
        <f>_xlfn.IFNA(((VLOOKUP($C180,Code!$H:$Q,9,FALSE))+(VLOOKUP($C180,Code!$H:$Q,10,FALSE)))/2*0.5/(((VLOOKUP($C180,Code!$H:$Q,7,FALSE))+(VLOOKUP($C180,Code!$H:$Q,8,FALSE)))/2),0)</f>
        <v>0</v>
      </c>
      <c r="H180" s="87" t="str">
        <f t="shared" si="24"/>
        <v/>
      </c>
      <c r="I180" s="128">
        <f>_xlfn.IFNA((VLOOKUP($C180,Code!$H:$Q,5,FALSE))/(((VLOOKUP($C180,Code!$H:$Q,7,FALSE))+(VLOOKUP($C180,Code!$H:$Q,8,FALSE)))/2)-G180,0)</f>
        <v>0</v>
      </c>
      <c r="J180" s="55" t="str">
        <f>IFERROR(POWER((VLOOKUP(C180,Code!H:W,12,FALSE))/(VLOOKUP(C180,Code!H:W,15,FALSE)),1/(P180-1))-1,"")</f>
        <v/>
      </c>
      <c r="K180" s="55" t="str">
        <f>IFERROR(POWER((VLOOKUP(C180,Code!H:W,13,FALSE))/(VLOOKUP(C180,Code!H:W,16,FALSE)),1/(P180-1))-1,"")</f>
        <v/>
      </c>
      <c r="L180" s="75" t="str">
        <f>IFERROR(VLOOKUP(C180,Code!H:W,13,FALSE)*4/VLOOKUP(C180,Code!H:W,12,FALSE),"")</f>
        <v/>
      </c>
      <c r="M180" s="55" t="str">
        <f t="shared" si="25"/>
        <v/>
      </c>
      <c r="N180" s="55" t="str">
        <f t="shared" si="26"/>
        <v/>
      </c>
      <c r="O180" s="55" t="str">
        <f t="shared" si="27"/>
        <v/>
      </c>
      <c r="P180" s="196" t="str">
        <f>IFERROR(YEARFRAC(VLOOKUP(C180,Code!H:W,11,FALSE),VLOOKUP(C180,Code!H:W,14,FALSE),3),"")</f>
        <v/>
      </c>
      <c r="Q180" s="2"/>
      <c r="R180" s="85" t="str">
        <f t="shared" ca="1" si="28"/>
        <v/>
      </c>
      <c r="S180" s="86" t="str">
        <f>IFERROR(VLOOKUP($C180,Code!$H:$Q,5,FALSE),"")</f>
        <v/>
      </c>
      <c r="T180" s="88" t="str">
        <f t="shared" ca="1" si="29"/>
        <v/>
      </c>
      <c r="U180" s="89" t="str">
        <f t="shared" ca="1" si="30"/>
        <v/>
      </c>
      <c r="V180" s="90" t="str">
        <f>IFERROR(VLOOKUP($C180,Code!$H:$Q,6,FALSE),"")</f>
        <v/>
      </c>
      <c r="W180" s="91" t="str">
        <f t="shared" ca="1" si="31"/>
        <v/>
      </c>
      <c r="X180" s="12"/>
      <c r="Y180" s="12"/>
      <c r="Z180" s="12"/>
      <c r="AA180" s="12"/>
      <c r="AB180" s="12"/>
    </row>
    <row r="181" spans="1:28" s="10" customFormat="1" ht="15" hidden="1">
      <c r="A181" s="9"/>
      <c r="B181" s="137"/>
      <c r="C181" s="142"/>
      <c r="D181" s="82" t="str">
        <f>IFERROR(VLOOKUP($C181,Code!$H:$K,2,FALSE),"")</f>
        <v/>
      </c>
      <c r="E181" s="83" t="str">
        <f>IFERROR(VLOOKUP($C181,Code!$H:$K,3,FALSE),"")</f>
        <v/>
      </c>
      <c r="F181" s="84" t="str">
        <f>IFERROR(VLOOKUP($C181,Code!$H:$K,4,FALSE),"")</f>
        <v/>
      </c>
      <c r="G181" s="128">
        <f>_xlfn.IFNA(((VLOOKUP($C181,Code!$H:$Q,9,FALSE))+(VLOOKUP($C181,Code!$H:$Q,10,FALSE)))/2*0.5/(((VLOOKUP($C181,Code!$H:$Q,7,FALSE))+(VLOOKUP($C181,Code!$H:$Q,8,FALSE)))/2),0)</f>
        <v>0</v>
      </c>
      <c r="H181" s="87" t="str">
        <f t="shared" si="24"/>
        <v/>
      </c>
      <c r="I181" s="128">
        <f>_xlfn.IFNA((VLOOKUP($C181,Code!$H:$Q,5,FALSE))/(((VLOOKUP($C181,Code!$H:$Q,7,FALSE))+(VLOOKUP($C181,Code!$H:$Q,8,FALSE)))/2)-G181,0)</f>
        <v>0</v>
      </c>
      <c r="J181" s="55" t="str">
        <f>IFERROR(POWER((VLOOKUP(C181,Code!H:W,12,FALSE))/(VLOOKUP(C181,Code!H:W,15,FALSE)),1/(P181-1))-1,"")</f>
        <v/>
      </c>
      <c r="K181" s="55" t="str">
        <f>IFERROR(POWER((VLOOKUP(C181,Code!H:W,13,FALSE))/(VLOOKUP(C181,Code!H:W,16,FALSE)),1/(P181-1))-1,"")</f>
        <v/>
      </c>
      <c r="L181" s="75" t="str">
        <f>IFERROR(VLOOKUP(C181,Code!H:W,13,FALSE)*4/VLOOKUP(C181,Code!H:W,12,FALSE),"")</f>
        <v/>
      </c>
      <c r="M181" s="55" t="str">
        <f t="shared" si="25"/>
        <v/>
      </c>
      <c r="N181" s="55" t="str">
        <f t="shared" si="26"/>
        <v/>
      </c>
      <c r="O181" s="55" t="str">
        <f t="shared" si="27"/>
        <v/>
      </c>
      <c r="P181" s="196" t="str">
        <f>IFERROR(YEARFRAC(VLOOKUP(C181,Code!H:W,11,FALSE),VLOOKUP(C181,Code!H:W,14,FALSE),3),"")</f>
        <v/>
      </c>
      <c r="Q181" s="2"/>
      <c r="R181" s="85" t="str">
        <f t="shared" ca="1" si="28"/>
        <v/>
      </c>
      <c r="S181" s="86" t="str">
        <f>IFERROR(VLOOKUP($C181,Code!$H:$Q,5,FALSE),"")</f>
        <v/>
      </c>
      <c r="T181" s="88" t="str">
        <f t="shared" ca="1" si="29"/>
        <v/>
      </c>
      <c r="U181" s="89" t="str">
        <f t="shared" ca="1" si="30"/>
        <v/>
      </c>
      <c r="V181" s="90" t="str">
        <f>IFERROR(VLOOKUP($C181,Code!$H:$Q,6,FALSE),"")</f>
        <v/>
      </c>
      <c r="W181" s="91" t="str">
        <f t="shared" ca="1" si="31"/>
        <v/>
      </c>
      <c r="X181" s="12"/>
      <c r="Y181" s="12"/>
      <c r="Z181" s="12"/>
      <c r="AA181" s="12"/>
      <c r="AB181" s="12"/>
    </row>
    <row r="182" spans="1:28" s="10" customFormat="1" ht="15" hidden="1">
      <c r="A182" s="9"/>
      <c r="B182" s="137"/>
      <c r="C182" s="142"/>
      <c r="D182" s="82" t="str">
        <f>IFERROR(VLOOKUP($C182,Code!$H:$K,2,FALSE),"")</f>
        <v/>
      </c>
      <c r="E182" s="83" t="str">
        <f>IFERROR(VLOOKUP($C182,Code!$H:$K,3,FALSE),"")</f>
        <v/>
      </c>
      <c r="F182" s="84" t="str">
        <f>IFERROR(VLOOKUP($C182,Code!$H:$K,4,FALSE),"")</f>
        <v/>
      </c>
      <c r="G182" s="128">
        <f>_xlfn.IFNA(((VLOOKUP($C182,Code!$H:$Q,9,FALSE))+(VLOOKUP($C182,Code!$H:$Q,10,FALSE)))/2*0.5/(((VLOOKUP($C182,Code!$H:$Q,7,FALSE))+(VLOOKUP($C182,Code!$H:$Q,8,FALSE)))/2),0)</f>
        <v>0</v>
      </c>
      <c r="H182" s="87" t="str">
        <f t="shared" si="24"/>
        <v/>
      </c>
      <c r="I182" s="128">
        <f>_xlfn.IFNA((VLOOKUP($C182,Code!$H:$Q,5,FALSE))/(((VLOOKUP($C182,Code!$H:$Q,7,FALSE))+(VLOOKUP($C182,Code!$H:$Q,8,FALSE)))/2)-G182,0)</f>
        <v>0</v>
      </c>
      <c r="J182" s="55" t="str">
        <f>IFERROR(POWER((VLOOKUP(C182,Code!H:W,12,FALSE))/(VLOOKUP(C182,Code!H:W,15,FALSE)),1/(P182-1))-1,"")</f>
        <v/>
      </c>
      <c r="K182" s="55" t="str">
        <f>IFERROR(POWER((VLOOKUP(C182,Code!H:W,13,FALSE))/(VLOOKUP(C182,Code!H:W,16,FALSE)),1/(P182-1))-1,"")</f>
        <v/>
      </c>
      <c r="L182" s="75" t="str">
        <f>IFERROR(VLOOKUP(C182,Code!H:W,13,FALSE)*4/VLOOKUP(C182,Code!H:W,12,FALSE),"")</f>
        <v/>
      </c>
      <c r="M182" s="55" t="str">
        <f t="shared" si="25"/>
        <v/>
      </c>
      <c r="N182" s="55" t="str">
        <f t="shared" si="26"/>
        <v/>
      </c>
      <c r="O182" s="55" t="str">
        <f t="shared" si="27"/>
        <v/>
      </c>
      <c r="P182" s="196" t="str">
        <f>IFERROR(YEARFRAC(VLOOKUP(C182,Code!H:W,11,FALSE),VLOOKUP(C182,Code!H:W,14,FALSE),3),"")</f>
        <v/>
      </c>
      <c r="Q182" s="2"/>
      <c r="R182" s="85" t="str">
        <f t="shared" ca="1" si="28"/>
        <v/>
      </c>
      <c r="S182" s="86" t="str">
        <f>IFERROR(VLOOKUP($C182,Code!$H:$Q,5,FALSE),"")</f>
        <v/>
      </c>
      <c r="T182" s="88" t="str">
        <f t="shared" ca="1" si="29"/>
        <v/>
      </c>
      <c r="U182" s="89" t="str">
        <f t="shared" ca="1" si="30"/>
        <v/>
      </c>
      <c r="V182" s="90" t="str">
        <f>IFERROR(VLOOKUP($C182,Code!$H:$Q,6,FALSE),"")</f>
        <v/>
      </c>
      <c r="W182" s="91" t="str">
        <f t="shared" ca="1" si="31"/>
        <v/>
      </c>
      <c r="X182" s="12"/>
      <c r="Y182" s="12"/>
      <c r="Z182" s="12"/>
      <c r="AA182" s="12"/>
      <c r="AB182" s="12"/>
    </row>
    <row r="183" spans="1:28" s="10" customFormat="1" ht="15" hidden="1">
      <c r="A183" s="9"/>
      <c r="B183" s="137"/>
      <c r="C183" s="142"/>
      <c r="D183" s="82" t="str">
        <f>IFERROR(VLOOKUP($C183,Code!$H:$K,2,FALSE),"")</f>
        <v/>
      </c>
      <c r="E183" s="83" t="str">
        <f>IFERROR(VLOOKUP($C183,Code!$H:$K,3,FALSE),"")</f>
        <v/>
      </c>
      <c r="F183" s="84" t="str">
        <f>IFERROR(VLOOKUP($C183,Code!$H:$K,4,FALSE),"")</f>
        <v/>
      </c>
      <c r="G183" s="128">
        <f>_xlfn.IFNA(((VLOOKUP($C183,Code!$H:$Q,9,FALSE))+(VLOOKUP($C183,Code!$H:$Q,10,FALSE)))/2*0.5/(((VLOOKUP($C183,Code!$H:$Q,7,FALSE))+(VLOOKUP($C183,Code!$H:$Q,8,FALSE)))/2),0)</f>
        <v>0</v>
      </c>
      <c r="H183" s="87" t="str">
        <f t="shared" si="24"/>
        <v/>
      </c>
      <c r="I183" s="128">
        <f>_xlfn.IFNA((VLOOKUP($C183,Code!$H:$Q,5,FALSE))/(((VLOOKUP($C183,Code!$H:$Q,7,FALSE))+(VLOOKUP($C183,Code!$H:$Q,8,FALSE)))/2)-G183,0)</f>
        <v>0</v>
      </c>
      <c r="J183" s="55" t="str">
        <f>IFERROR(POWER((VLOOKUP(C183,Code!H:W,12,FALSE))/(VLOOKUP(C183,Code!H:W,15,FALSE)),1/(P183-1))-1,"")</f>
        <v/>
      </c>
      <c r="K183" s="55" t="str">
        <f>IFERROR(POWER((VLOOKUP(C183,Code!H:W,13,FALSE))/(VLOOKUP(C183,Code!H:W,16,FALSE)),1/(P183-1))-1,"")</f>
        <v/>
      </c>
      <c r="L183" s="75" t="str">
        <f>IFERROR(VLOOKUP(C183,Code!H:W,13,FALSE)*4/VLOOKUP(C183,Code!H:W,12,FALSE),"")</f>
        <v/>
      </c>
      <c r="M183" s="55" t="str">
        <f t="shared" si="25"/>
        <v/>
      </c>
      <c r="N183" s="55" t="str">
        <f t="shared" si="26"/>
        <v/>
      </c>
      <c r="O183" s="55" t="str">
        <f t="shared" si="27"/>
        <v/>
      </c>
      <c r="P183" s="196" t="str">
        <f>IFERROR(YEARFRAC(VLOOKUP(C183,Code!H:W,11,FALSE),VLOOKUP(C183,Code!H:W,14,FALSE),3),"")</f>
        <v/>
      </c>
      <c r="Q183" s="2"/>
      <c r="R183" s="85" t="str">
        <f t="shared" ca="1" si="28"/>
        <v/>
      </c>
      <c r="S183" s="86" t="str">
        <f>IFERROR(VLOOKUP($C183,Code!$H:$Q,5,FALSE),"")</f>
        <v/>
      </c>
      <c r="T183" s="88" t="str">
        <f t="shared" ca="1" si="29"/>
        <v/>
      </c>
      <c r="U183" s="89" t="str">
        <f t="shared" ca="1" si="30"/>
        <v/>
      </c>
      <c r="V183" s="90" t="str">
        <f>IFERROR(VLOOKUP($C183,Code!$H:$Q,6,FALSE),"")</f>
        <v/>
      </c>
      <c r="W183" s="91" t="str">
        <f t="shared" ca="1" si="31"/>
        <v/>
      </c>
      <c r="X183" s="12"/>
      <c r="Y183" s="12"/>
      <c r="Z183" s="12"/>
      <c r="AA183" s="12"/>
      <c r="AB183" s="12"/>
    </row>
    <row r="184" spans="1:28" s="10" customFormat="1" ht="15" hidden="1">
      <c r="A184" s="9"/>
      <c r="B184" s="137"/>
      <c r="C184" s="142"/>
      <c r="D184" s="82" t="str">
        <f>IFERROR(VLOOKUP($C184,Code!$H:$K,2,FALSE),"")</f>
        <v/>
      </c>
      <c r="E184" s="83" t="str">
        <f>IFERROR(VLOOKUP($C184,Code!$H:$K,3,FALSE),"")</f>
        <v/>
      </c>
      <c r="F184" s="84" t="str">
        <f>IFERROR(VLOOKUP($C184,Code!$H:$K,4,FALSE),"")</f>
        <v/>
      </c>
      <c r="G184" s="128">
        <f>_xlfn.IFNA(((VLOOKUP($C184,Code!$H:$Q,9,FALSE))+(VLOOKUP($C184,Code!$H:$Q,10,FALSE)))/2*0.5/(((VLOOKUP($C184,Code!$H:$Q,7,FALSE))+(VLOOKUP($C184,Code!$H:$Q,8,FALSE)))/2),0)</f>
        <v>0</v>
      </c>
      <c r="H184" s="87" t="str">
        <f t="shared" si="24"/>
        <v/>
      </c>
      <c r="I184" s="128">
        <f>_xlfn.IFNA((VLOOKUP($C184,Code!$H:$Q,5,FALSE))/(((VLOOKUP($C184,Code!$H:$Q,7,FALSE))+(VLOOKUP($C184,Code!$H:$Q,8,FALSE)))/2)-G184,0)</f>
        <v>0</v>
      </c>
      <c r="J184" s="55" t="str">
        <f>IFERROR(POWER((VLOOKUP(C184,Code!H:W,12,FALSE))/(VLOOKUP(C184,Code!H:W,15,FALSE)),1/(P184-1))-1,"")</f>
        <v/>
      </c>
      <c r="K184" s="55" t="str">
        <f>IFERROR(POWER((VLOOKUP(C184,Code!H:W,13,FALSE))/(VLOOKUP(C184,Code!H:W,16,FALSE)),1/(P184-1))-1,"")</f>
        <v/>
      </c>
      <c r="L184" s="75" t="str">
        <f>IFERROR(VLOOKUP(C184,Code!H:W,13,FALSE)*4/VLOOKUP(C184,Code!H:W,12,FALSE),"")</f>
        <v/>
      </c>
      <c r="M184" s="55" t="str">
        <f t="shared" si="25"/>
        <v/>
      </c>
      <c r="N184" s="55" t="str">
        <f t="shared" si="26"/>
        <v/>
      </c>
      <c r="O184" s="55" t="str">
        <f t="shared" si="27"/>
        <v/>
      </c>
      <c r="P184" s="196" t="str">
        <f>IFERROR(YEARFRAC(VLOOKUP(C184,Code!H:W,11,FALSE),VLOOKUP(C184,Code!H:W,14,FALSE),3),"")</f>
        <v/>
      </c>
      <c r="Q184" s="2"/>
      <c r="R184" s="85" t="str">
        <f t="shared" ca="1" si="28"/>
        <v/>
      </c>
      <c r="S184" s="86" t="str">
        <f>IFERROR(VLOOKUP($C184,Code!$H:$Q,5,FALSE),"")</f>
        <v/>
      </c>
      <c r="T184" s="88" t="str">
        <f t="shared" ca="1" si="29"/>
        <v/>
      </c>
      <c r="U184" s="89" t="str">
        <f t="shared" ca="1" si="30"/>
        <v/>
      </c>
      <c r="V184" s="90" t="str">
        <f>IFERROR(VLOOKUP($C184,Code!$H:$Q,6,FALSE),"")</f>
        <v/>
      </c>
      <c r="W184" s="91" t="str">
        <f t="shared" ca="1" si="31"/>
        <v/>
      </c>
      <c r="X184" s="12"/>
      <c r="Y184" s="12"/>
      <c r="Z184" s="12"/>
      <c r="AA184" s="12"/>
      <c r="AB184" s="12"/>
    </row>
    <row r="185" spans="1:28" s="10" customFormat="1" ht="15" hidden="1">
      <c r="A185" s="9"/>
      <c r="B185" s="137"/>
      <c r="C185" s="142"/>
      <c r="D185" s="82" t="str">
        <f>IFERROR(VLOOKUP($C185,Code!$H:$K,2,FALSE),"")</f>
        <v/>
      </c>
      <c r="E185" s="83" t="str">
        <f>IFERROR(VLOOKUP($C185,Code!$H:$K,3,FALSE),"")</f>
        <v/>
      </c>
      <c r="F185" s="84" t="str">
        <f>IFERROR(VLOOKUP($C185,Code!$H:$K,4,FALSE),"")</f>
        <v/>
      </c>
      <c r="G185" s="128">
        <f>_xlfn.IFNA(((VLOOKUP($C185,Code!$H:$Q,9,FALSE))+(VLOOKUP($C185,Code!$H:$Q,10,FALSE)))/2*0.5/(((VLOOKUP($C185,Code!$H:$Q,7,FALSE))+(VLOOKUP($C185,Code!$H:$Q,8,FALSE)))/2),0)</f>
        <v>0</v>
      </c>
      <c r="H185" s="87" t="str">
        <f t="shared" si="24"/>
        <v/>
      </c>
      <c r="I185" s="128">
        <f>_xlfn.IFNA((VLOOKUP($C185,Code!$H:$Q,5,FALSE))/(((VLOOKUP($C185,Code!$H:$Q,7,FALSE))+(VLOOKUP($C185,Code!$H:$Q,8,FALSE)))/2)-G185,0)</f>
        <v>0</v>
      </c>
      <c r="J185" s="55" t="str">
        <f>IFERROR(POWER((VLOOKUP(C185,Code!H:W,12,FALSE))/(VLOOKUP(C185,Code!H:W,15,FALSE)),1/(P185-1))-1,"")</f>
        <v/>
      </c>
      <c r="K185" s="55" t="str">
        <f>IFERROR(POWER((VLOOKUP(C185,Code!H:W,13,FALSE))/(VLOOKUP(C185,Code!H:W,16,FALSE)),1/(P185-1))-1,"")</f>
        <v/>
      </c>
      <c r="L185" s="75" t="str">
        <f>IFERROR(VLOOKUP(C185,Code!H:W,13,FALSE)*4/VLOOKUP(C185,Code!H:W,12,FALSE),"")</f>
        <v/>
      </c>
      <c r="M185" s="55" t="str">
        <f t="shared" si="25"/>
        <v/>
      </c>
      <c r="N185" s="55" t="str">
        <f t="shared" si="26"/>
        <v/>
      </c>
      <c r="O185" s="55" t="str">
        <f t="shared" si="27"/>
        <v/>
      </c>
      <c r="P185" s="196" t="str">
        <f>IFERROR(YEARFRAC(VLOOKUP(C185,Code!H:W,11,FALSE),VLOOKUP(C185,Code!H:W,14,FALSE),3),"")</f>
        <v/>
      </c>
      <c r="Q185" s="2"/>
      <c r="R185" s="85" t="str">
        <f t="shared" ca="1" si="28"/>
        <v/>
      </c>
      <c r="S185" s="86" t="str">
        <f>IFERROR(VLOOKUP($C185,Code!$H:$Q,5,FALSE),"")</f>
        <v/>
      </c>
      <c r="T185" s="88" t="str">
        <f t="shared" ca="1" si="29"/>
        <v/>
      </c>
      <c r="U185" s="89" t="str">
        <f t="shared" ca="1" si="30"/>
        <v/>
      </c>
      <c r="V185" s="90" t="str">
        <f>IFERROR(VLOOKUP($C185,Code!$H:$Q,6,FALSE),"")</f>
        <v/>
      </c>
      <c r="W185" s="91" t="str">
        <f t="shared" ca="1" si="31"/>
        <v/>
      </c>
      <c r="X185" s="12"/>
      <c r="Y185" s="12"/>
      <c r="Z185" s="12"/>
      <c r="AA185" s="12"/>
      <c r="AB185" s="12"/>
    </row>
    <row r="186" spans="1:28" s="10" customFormat="1" ht="15" hidden="1">
      <c r="A186" s="9"/>
      <c r="B186" s="137"/>
      <c r="C186" s="142"/>
      <c r="D186" s="82" t="str">
        <f>IFERROR(VLOOKUP($C186,Code!$H:$K,2,FALSE),"")</f>
        <v/>
      </c>
      <c r="E186" s="83" t="str">
        <f>IFERROR(VLOOKUP($C186,Code!$H:$K,3,FALSE),"")</f>
        <v/>
      </c>
      <c r="F186" s="84" t="str">
        <f>IFERROR(VLOOKUP($C186,Code!$H:$K,4,FALSE),"")</f>
        <v/>
      </c>
      <c r="G186" s="128">
        <f>_xlfn.IFNA(((VLOOKUP($C186,Code!$H:$Q,9,FALSE))+(VLOOKUP($C186,Code!$H:$Q,10,FALSE)))/2*0.5/(((VLOOKUP($C186,Code!$H:$Q,7,FALSE))+(VLOOKUP($C186,Code!$H:$Q,8,FALSE)))/2),0)</f>
        <v>0</v>
      </c>
      <c r="H186" s="87" t="str">
        <f t="shared" si="24"/>
        <v/>
      </c>
      <c r="I186" s="128">
        <f>_xlfn.IFNA((VLOOKUP($C186,Code!$H:$Q,5,FALSE))/(((VLOOKUP($C186,Code!$H:$Q,7,FALSE))+(VLOOKUP($C186,Code!$H:$Q,8,FALSE)))/2)-G186,0)</f>
        <v>0</v>
      </c>
      <c r="J186" s="55" t="str">
        <f>IFERROR(POWER((VLOOKUP(C186,Code!H:W,12,FALSE))/(VLOOKUP(C186,Code!H:W,15,FALSE)),1/(P186-1))-1,"")</f>
        <v/>
      </c>
      <c r="K186" s="55" t="str">
        <f>IFERROR(POWER((VLOOKUP(C186,Code!H:W,13,FALSE))/(VLOOKUP(C186,Code!H:W,16,FALSE)),1/(P186-1))-1,"")</f>
        <v/>
      </c>
      <c r="L186" s="75" t="str">
        <f>IFERROR(VLOOKUP(C186,Code!H:W,13,FALSE)*4/VLOOKUP(C186,Code!H:W,12,FALSE),"")</f>
        <v/>
      </c>
      <c r="M186" s="55" t="str">
        <f t="shared" si="25"/>
        <v/>
      </c>
      <c r="N186" s="55" t="str">
        <f t="shared" si="26"/>
        <v/>
      </c>
      <c r="O186" s="55" t="str">
        <f t="shared" si="27"/>
        <v/>
      </c>
      <c r="P186" s="196" t="str">
        <f>IFERROR(YEARFRAC(VLOOKUP(C186,Code!H:W,11,FALSE),VLOOKUP(C186,Code!H:W,14,FALSE),3),"")</f>
        <v/>
      </c>
      <c r="Q186" s="2"/>
      <c r="R186" s="85" t="str">
        <f t="shared" ca="1" si="28"/>
        <v/>
      </c>
      <c r="S186" s="86" t="str">
        <f>IFERROR(VLOOKUP($C186,Code!$H:$Q,5,FALSE),"")</f>
        <v/>
      </c>
      <c r="T186" s="88" t="str">
        <f t="shared" ca="1" si="29"/>
        <v/>
      </c>
      <c r="U186" s="89" t="str">
        <f t="shared" ca="1" si="30"/>
        <v/>
      </c>
      <c r="V186" s="90" t="str">
        <f>IFERROR(VLOOKUP($C186,Code!$H:$Q,6,FALSE),"")</f>
        <v/>
      </c>
      <c r="W186" s="91" t="str">
        <f t="shared" ca="1" si="31"/>
        <v/>
      </c>
      <c r="X186" s="12"/>
      <c r="Y186" s="12"/>
      <c r="Z186" s="12"/>
      <c r="AA186" s="12"/>
      <c r="AB186" s="12"/>
    </row>
    <row r="187" spans="1:28" s="10" customFormat="1" ht="15" hidden="1">
      <c r="A187" s="9"/>
      <c r="B187" s="137"/>
      <c r="C187" s="142"/>
      <c r="D187" s="82" t="str">
        <f>IFERROR(VLOOKUP($C187,Code!$H:$K,2,FALSE),"")</f>
        <v/>
      </c>
      <c r="E187" s="83" t="str">
        <f>IFERROR(VLOOKUP($C187,Code!$H:$K,3,FALSE),"")</f>
        <v/>
      </c>
      <c r="F187" s="84" t="str">
        <f>IFERROR(VLOOKUP($C187,Code!$H:$K,4,FALSE),"")</f>
        <v/>
      </c>
      <c r="G187" s="128">
        <f>_xlfn.IFNA(((VLOOKUP($C187,Code!$H:$Q,9,FALSE))+(VLOOKUP($C187,Code!$H:$Q,10,FALSE)))/2*0.5/(((VLOOKUP($C187,Code!$H:$Q,7,FALSE))+(VLOOKUP($C187,Code!$H:$Q,8,FALSE)))/2),0)</f>
        <v>0</v>
      </c>
      <c r="H187" s="87" t="str">
        <f t="shared" si="24"/>
        <v/>
      </c>
      <c r="I187" s="128">
        <f>_xlfn.IFNA((VLOOKUP($C187,Code!$H:$Q,5,FALSE))/(((VLOOKUP($C187,Code!$H:$Q,7,FALSE))+(VLOOKUP($C187,Code!$H:$Q,8,FALSE)))/2)-G187,0)</f>
        <v>0</v>
      </c>
      <c r="J187" s="55" t="str">
        <f>IFERROR(POWER((VLOOKUP(C187,Code!H:W,12,FALSE))/(VLOOKUP(C187,Code!H:W,15,FALSE)),1/(P187-1))-1,"")</f>
        <v/>
      </c>
      <c r="K187" s="55" t="str">
        <f>IFERROR(POWER((VLOOKUP(C187,Code!H:W,13,FALSE))/(VLOOKUP(C187,Code!H:W,16,FALSE)),1/(P187-1))-1,"")</f>
        <v/>
      </c>
      <c r="L187" s="75" t="str">
        <f>IFERROR(VLOOKUP(C187,Code!H:W,13,FALSE)*4/VLOOKUP(C187,Code!H:W,12,FALSE),"")</f>
        <v/>
      </c>
      <c r="M187" s="55" t="str">
        <f t="shared" si="25"/>
        <v/>
      </c>
      <c r="N187" s="55" t="str">
        <f t="shared" si="26"/>
        <v/>
      </c>
      <c r="O187" s="55" t="str">
        <f t="shared" si="27"/>
        <v/>
      </c>
      <c r="P187" s="196" t="str">
        <f>IFERROR(YEARFRAC(VLOOKUP(C187,Code!H:W,11,FALSE),VLOOKUP(C187,Code!H:W,14,FALSE),3),"")</f>
        <v/>
      </c>
      <c r="Q187" s="2"/>
      <c r="R187" s="85" t="str">
        <f t="shared" ca="1" si="28"/>
        <v/>
      </c>
      <c r="S187" s="86" t="str">
        <f>IFERROR(VLOOKUP($C187,Code!$H:$Q,5,FALSE),"")</f>
        <v/>
      </c>
      <c r="T187" s="88" t="str">
        <f t="shared" ca="1" si="29"/>
        <v/>
      </c>
      <c r="U187" s="89" t="str">
        <f t="shared" ca="1" si="30"/>
        <v/>
      </c>
      <c r="V187" s="90" t="str">
        <f>IFERROR(VLOOKUP($C187,Code!$H:$Q,6,FALSE),"")</f>
        <v/>
      </c>
      <c r="W187" s="91" t="str">
        <f t="shared" ca="1" si="31"/>
        <v/>
      </c>
      <c r="X187" s="12"/>
      <c r="Y187" s="12"/>
      <c r="Z187" s="12"/>
      <c r="AA187" s="12"/>
      <c r="AB187" s="12"/>
    </row>
    <row r="188" spans="1:28" s="10" customFormat="1" ht="15" hidden="1">
      <c r="A188" s="9"/>
      <c r="B188" s="137"/>
      <c r="C188" s="142"/>
      <c r="D188" s="82" t="str">
        <f>IFERROR(VLOOKUP($C188,Code!$H:$K,2,FALSE),"")</f>
        <v/>
      </c>
      <c r="E188" s="83" t="str">
        <f>IFERROR(VLOOKUP($C188,Code!$H:$K,3,FALSE),"")</f>
        <v/>
      </c>
      <c r="F188" s="84" t="str">
        <f>IFERROR(VLOOKUP($C188,Code!$H:$K,4,FALSE),"")</f>
        <v/>
      </c>
      <c r="G188" s="128">
        <f>_xlfn.IFNA(((VLOOKUP($C188,Code!$H:$Q,9,FALSE))+(VLOOKUP($C188,Code!$H:$Q,10,FALSE)))/2*0.5/(((VLOOKUP($C188,Code!$H:$Q,7,FALSE))+(VLOOKUP($C188,Code!$H:$Q,8,FALSE)))/2),0)</f>
        <v>0</v>
      </c>
      <c r="H188" s="87" t="str">
        <f t="shared" si="24"/>
        <v/>
      </c>
      <c r="I188" s="128">
        <f>_xlfn.IFNA((VLOOKUP($C188,Code!$H:$Q,5,FALSE))/(((VLOOKUP($C188,Code!$H:$Q,7,FALSE))+(VLOOKUP($C188,Code!$H:$Q,8,FALSE)))/2)-G188,0)</f>
        <v>0</v>
      </c>
      <c r="J188" s="55" t="str">
        <f>IFERROR(POWER((VLOOKUP(C188,Code!H:W,12,FALSE))/(VLOOKUP(C188,Code!H:W,15,FALSE)),1/(P188-1))-1,"")</f>
        <v/>
      </c>
      <c r="K188" s="55" t="str">
        <f>IFERROR(POWER((VLOOKUP(C188,Code!H:W,13,FALSE))/(VLOOKUP(C188,Code!H:W,16,FALSE)),1/(P188-1))-1,"")</f>
        <v/>
      </c>
      <c r="L188" s="75" t="str">
        <f>IFERROR(VLOOKUP(C188,Code!H:W,13,FALSE)*4/VLOOKUP(C188,Code!H:W,12,FALSE),"")</f>
        <v/>
      </c>
      <c r="M188" s="55" t="str">
        <f t="shared" si="25"/>
        <v/>
      </c>
      <c r="N188" s="55" t="str">
        <f t="shared" si="26"/>
        <v/>
      </c>
      <c r="O188" s="55" t="str">
        <f t="shared" si="27"/>
        <v/>
      </c>
      <c r="P188" s="196" t="str">
        <f>IFERROR(YEARFRAC(VLOOKUP(C188,Code!H:W,11,FALSE),VLOOKUP(C188,Code!H:W,14,FALSE),3),"")</f>
        <v/>
      </c>
      <c r="Q188" s="2"/>
      <c r="R188" s="85" t="str">
        <f t="shared" ca="1" si="28"/>
        <v/>
      </c>
      <c r="S188" s="86" t="str">
        <f>IFERROR(VLOOKUP($C188,Code!$H:$Q,5,FALSE),"")</f>
        <v/>
      </c>
      <c r="T188" s="88" t="str">
        <f t="shared" ca="1" si="29"/>
        <v/>
      </c>
      <c r="U188" s="89" t="str">
        <f t="shared" ca="1" si="30"/>
        <v/>
      </c>
      <c r="V188" s="90" t="str">
        <f>IFERROR(VLOOKUP($C188,Code!$H:$Q,6,FALSE),"")</f>
        <v/>
      </c>
      <c r="W188" s="91" t="str">
        <f t="shared" ca="1" si="31"/>
        <v/>
      </c>
      <c r="X188" s="12"/>
      <c r="Y188" s="12"/>
      <c r="Z188" s="12"/>
      <c r="AA188" s="12"/>
      <c r="AB188" s="12"/>
    </row>
    <row r="189" spans="1:28" s="10" customFormat="1" ht="15" hidden="1">
      <c r="A189" s="9"/>
      <c r="B189" s="137"/>
      <c r="C189" s="142"/>
      <c r="D189" s="82" t="str">
        <f>IFERROR(VLOOKUP($C189,Code!$H:$K,2,FALSE),"")</f>
        <v/>
      </c>
      <c r="E189" s="83" t="str">
        <f>IFERROR(VLOOKUP($C189,Code!$H:$K,3,FALSE),"")</f>
        <v/>
      </c>
      <c r="F189" s="84" t="str">
        <f>IFERROR(VLOOKUP($C189,Code!$H:$K,4,FALSE),"")</f>
        <v/>
      </c>
      <c r="G189" s="128">
        <f>_xlfn.IFNA(((VLOOKUP($C189,Code!$H:$Q,9,FALSE))+(VLOOKUP($C189,Code!$H:$Q,10,FALSE)))/2*0.5/(((VLOOKUP($C189,Code!$H:$Q,7,FALSE))+(VLOOKUP($C189,Code!$H:$Q,8,FALSE)))/2),0)</f>
        <v>0</v>
      </c>
      <c r="H189" s="87" t="str">
        <f t="shared" si="24"/>
        <v/>
      </c>
      <c r="I189" s="128">
        <f>_xlfn.IFNA((VLOOKUP($C189,Code!$H:$Q,5,FALSE))/(((VLOOKUP($C189,Code!$H:$Q,7,FALSE))+(VLOOKUP($C189,Code!$H:$Q,8,FALSE)))/2)-G189,0)</f>
        <v>0</v>
      </c>
      <c r="J189" s="55" t="str">
        <f>IFERROR(POWER((VLOOKUP(C189,Code!H:W,12,FALSE))/(VLOOKUP(C189,Code!H:W,15,FALSE)),1/(P189-1))-1,"")</f>
        <v/>
      </c>
      <c r="K189" s="55" t="str">
        <f>IFERROR(POWER((VLOOKUP(C189,Code!H:W,13,FALSE))/(VLOOKUP(C189,Code!H:W,16,FALSE)),1/(P189-1))-1,"")</f>
        <v/>
      </c>
      <c r="L189" s="75" t="str">
        <f>IFERROR(VLOOKUP(C189,Code!H:W,13,FALSE)*4/VLOOKUP(C189,Code!H:W,12,FALSE),"")</f>
        <v/>
      </c>
      <c r="M189" s="55" t="str">
        <f t="shared" si="25"/>
        <v/>
      </c>
      <c r="N189" s="55" t="str">
        <f t="shared" si="26"/>
        <v/>
      </c>
      <c r="O189" s="55" t="str">
        <f t="shared" si="27"/>
        <v/>
      </c>
      <c r="P189" s="196" t="str">
        <f>IFERROR(YEARFRAC(VLOOKUP(C189,Code!H:W,11,FALSE),VLOOKUP(C189,Code!H:W,14,FALSE),3),"")</f>
        <v/>
      </c>
      <c r="Q189" s="2"/>
      <c r="R189" s="85" t="str">
        <f t="shared" ca="1" si="28"/>
        <v/>
      </c>
      <c r="S189" s="86" t="str">
        <f>IFERROR(VLOOKUP($C189,Code!$H:$Q,5,FALSE),"")</f>
        <v/>
      </c>
      <c r="T189" s="88" t="str">
        <f t="shared" ca="1" si="29"/>
        <v/>
      </c>
      <c r="U189" s="89" t="str">
        <f t="shared" ca="1" si="30"/>
        <v/>
      </c>
      <c r="V189" s="90" t="str">
        <f>IFERROR(VLOOKUP($C189,Code!$H:$Q,6,FALSE),"")</f>
        <v/>
      </c>
      <c r="W189" s="91" t="str">
        <f t="shared" ca="1" si="31"/>
        <v/>
      </c>
      <c r="X189" s="12"/>
      <c r="Y189" s="12"/>
      <c r="Z189" s="12"/>
      <c r="AA189" s="12"/>
      <c r="AB189" s="12"/>
    </row>
    <row r="190" spans="1:28" s="10" customFormat="1" ht="15" hidden="1">
      <c r="A190" s="9"/>
      <c r="B190" s="137"/>
      <c r="C190" s="142"/>
      <c r="D190" s="82" t="str">
        <f>IFERROR(VLOOKUP($C190,Code!$H:$K,2,FALSE),"")</f>
        <v/>
      </c>
      <c r="E190" s="83" t="str">
        <f>IFERROR(VLOOKUP($C190,Code!$H:$K,3,FALSE),"")</f>
        <v/>
      </c>
      <c r="F190" s="84" t="str">
        <f>IFERROR(VLOOKUP($C190,Code!$H:$K,4,FALSE),"")</f>
        <v/>
      </c>
      <c r="G190" s="128">
        <f>_xlfn.IFNA(((VLOOKUP($C190,Code!$H:$Q,9,FALSE))+(VLOOKUP($C190,Code!$H:$Q,10,FALSE)))/2*0.5/(((VLOOKUP($C190,Code!$H:$Q,7,FALSE))+(VLOOKUP($C190,Code!$H:$Q,8,FALSE)))/2),0)</f>
        <v>0</v>
      </c>
      <c r="H190" s="87" t="str">
        <f t="shared" si="24"/>
        <v/>
      </c>
      <c r="I190" s="128">
        <f>_xlfn.IFNA((VLOOKUP($C190,Code!$H:$Q,5,FALSE))/(((VLOOKUP($C190,Code!$H:$Q,7,FALSE))+(VLOOKUP($C190,Code!$H:$Q,8,FALSE)))/2)-G190,0)</f>
        <v>0</v>
      </c>
      <c r="J190" s="55" t="str">
        <f>IFERROR(POWER((VLOOKUP(C190,Code!H:W,12,FALSE))/(VLOOKUP(C190,Code!H:W,15,FALSE)),1/(P190-1))-1,"")</f>
        <v/>
      </c>
      <c r="K190" s="55" t="str">
        <f>IFERROR(POWER((VLOOKUP(C190,Code!H:W,13,FALSE))/(VLOOKUP(C190,Code!H:W,16,FALSE)),1/(P190-1))-1,"")</f>
        <v/>
      </c>
      <c r="L190" s="75" t="str">
        <f>IFERROR(VLOOKUP(C190,Code!H:W,13,FALSE)*4/VLOOKUP(C190,Code!H:W,12,FALSE),"")</f>
        <v/>
      </c>
      <c r="M190" s="55" t="str">
        <f t="shared" si="25"/>
        <v/>
      </c>
      <c r="N190" s="55" t="str">
        <f t="shared" si="26"/>
        <v/>
      </c>
      <c r="O190" s="55" t="str">
        <f t="shared" si="27"/>
        <v/>
      </c>
      <c r="P190" s="196" t="str">
        <f>IFERROR(YEARFRAC(VLOOKUP(C190,Code!H:W,11,FALSE),VLOOKUP(C190,Code!H:W,14,FALSE),3),"")</f>
        <v/>
      </c>
      <c r="Q190" s="2"/>
      <c r="R190" s="85" t="str">
        <f t="shared" ca="1" si="28"/>
        <v/>
      </c>
      <c r="S190" s="86" t="str">
        <f>IFERROR(VLOOKUP($C190,Code!$H:$Q,5,FALSE),"")</f>
        <v/>
      </c>
      <c r="T190" s="88" t="str">
        <f t="shared" ca="1" si="29"/>
        <v/>
      </c>
      <c r="U190" s="89" t="str">
        <f t="shared" ca="1" si="30"/>
        <v/>
      </c>
      <c r="V190" s="90" t="str">
        <f>IFERROR(VLOOKUP($C190,Code!$H:$Q,6,FALSE),"")</f>
        <v/>
      </c>
      <c r="W190" s="91" t="str">
        <f t="shared" ca="1" si="31"/>
        <v/>
      </c>
      <c r="X190" s="12"/>
      <c r="Y190" s="12"/>
      <c r="Z190" s="12"/>
      <c r="AA190" s="12"/>
      <c r="AB190" s="12"/>
    </row>
    <row r="191" spans="1:28" s="10" customFormat="1" ht="15" hidden="1">
      <c r="A191" s="9"/>
      <c r="B191" s="137"/>
      <c r="C191" s="142"/>
      <c r="D191" s="82" t="str">
        <f>IFERROR(VLOOKUP($C191,Code!$H:$K,2,FALSE),"")</f>
        <v/>
      </c>
      <c r="E191" s="83" t="str">
        <f>IFERROR(VLOOKUP($C191,Code!$H:$K,3,FALSE),"")</f>
        <v/>
      </c>
      <c r="F191" s="84" t="str">
        <f>IFERROR(VLOOKUP($C191,Code!$H:$K,4,FALSE),"")</f>
        <v/>
      </c>
      <c r="G191" s="128">
        <f>_xlfn.IFNA(((VLOOKUP($C191,Code!$H:$Q,9,FALSE))+(VLOOKUP($C191,Code!$H:$Q,10,FALSE)))/2*0.5/(((VLOOKUP($C191,Code!$H:$Q,7,FALSE))+(VLOOKUP($C191,Code!$H:$Q,8,FALSE)))/2),0)</f>
        <v>0</v>
      </c>
      <c r="H191" s="87" t="str">
        <f t="shared" si="24"/>
        <v/>
      </c>
      <c r="I191" s="128">
        <f>_xlfn.IFNA((VLOOKUP($C191,Code!$H:$Q,5,FALSE))/(((VLOOKUP($C191,Code!$H:$Q,7,FALSE))+(VLOOKUP($C191,Code!$H:$Q,8,FALSE)))/2)-G191,0)</f>
        <v>0</v>
      </c>
      <c r="J191" s="55" t="str">
        <f>IFERROR(POWER((VLOOKUP(C191,Code!H:W,12,FALSE))/(VLOOKUP(C191,Code!H:W,15,FALSE)),1/(P191-1))-1,"")</f>
        <v/>
      </c>
      <c r="K191" s="55" t="str">
        <f>IFERROR(POWER((VLOOKUP(C191,Code!H:W,13,FALSE))/(VLOOKUP(C191,Code!H:W,16,FALSE)),1/(P191-1))-1,"")</f>
        <v/>
      </c>
      <c r="L191" s="75" t="str">
        <f>IFERROR(VLOOKUP(C191,Code!H:W,13,FALSE)*4/VLOOKUP(C191,Code!H:W,12,FALSE),"")</f>
        <v/>
      </c>
      <c r="M191" s="55" t="str">
        <f t="shared" si="25"/>
        <v/>
      </c>
      <c r="N191" s="55" t="str">
        <f t="shared" si="26"/>
        <v/>
      </c>
      <c r="O191" s="55" t="str">
        <f t="shared" si="27"/>
        <v/>
      </c>
      <c r="P191" s="196" t="str">
        <f>IFERROR(YEARFRAC(VLOOKUP(C191,Code!H:W,11,FALSE),VLOOKUP(C191,Code!H:W,14,FALSE),3),"")</f>
        <v/>
      </c>
      <c r="Q191" s="2"/>
      <c r="R191" s="85" t="str">
        <f t="shared" ca="1" si="28"/>
        <v/>
      </c>
      <c r="S191" s="86" t="str">
        <f>IFERROR(VLOOKUP($C191,Code!$H:$Q,5,FALSE),"")</f>
        <v/>
      </c>
      <c r="T191" s="88" t="str">
        <f t="shared" ca="1" si="29"/>
        <v/>
      </c>
      <c r="U191" s="89" t="str">
        <f t="shared" ca="1" si="30"/>
        <v/>
      </c>
      <c r="V191" s="90" t="str">
        <f>IFERROR(VLOOKUP($C191,Code!$H:$Q,6,FALSE),"")</f>
        <v/>
      </c>
      <c r="W191" s="91" t="str">
        <f t="shared" ca="1" si="31"/>
        <v/>
      </c>
      <c r="X191" s="12"/>
      <c r="Y191" s="12"/>
      <c r="Z191" s="12"/>
      <c r="AA191" s="12"/>
      <c r="AB191" s="12"/>
    </row>
    <row r="192" spans="1:28" s="10" customFormat="1" ht="15" hidden="1">
      <c r="A192" s="9"/>
      <c r="B192" s="137"/>
      <c r="C192" s="142"/>
      <c r="D192" s="82" t="str">
        <f>IFERROR(VLOOKUP($C192,Code!$H:$K,2,FALSE),"")</f>
        <v/>
      </c>
      <c r="E192" s="83" t="str">
        <f>IFERROR(VLOOKUP($C192,Code!$H:$K,3,FALSE),"")</f>
        <v/>
      </c>
      <c r="F192" s="84" t="str">
        <f>IFERROR(VLOOKUP($C192,Code!$H:$K,4,FALSE),"")</f>
        <v/>
      </c>
      <c r="G192" s="128">
        <f>_xlfn.IFNA(((VLOOKUP($C192,Code!$H:$Q,9,FALSE))+(VLOOKUP($C192,Code!$H:$Q,10,FALSE)))/2*0.5/(((VLOOKUP($C192,Code!$H:$Q,7,FALSE))+(VLOOKUP($C192,Code!$H:$Q,8,FALSE)))/2),0)</f>
        <v>0</v>
      </c>
      <c r="H192" s="87" t="str">
        <f t="shared" si="24"/>
        <v/>
      </c>
      <c r="I192" s="128">
        <f>_xlfn.IFNA((VLOOKUP($C192,Code!$H:$Q,5,FALSE))/(((VLOOKUP($C192,Code!$H:$Q,7,FALSE))+(VLOOKUP($C192,Code!$H:$Q,8,FALSE)))/2)-G192,0)</f>
        <v>0</v>
      </c>
      <c r="J192" s="55" t="str">
        <f>IFERROR(POWER((VLOOKUP(C192,Code!H:W,12,FALSE))/(VLOOKUP(C192,Code!H:W,15,FALSE)),1/(P192-1))-1,"")</f>
        <v/>
      </c>
      <c r="K192" s="55" t="str">
        <f>IFERROR(POWER((VLOOKUP(C192,Code!H:W,13,FALSE))/(VLOOKUP(C192,Code!H:W,16,FALSE)),1/(P192-1))-1,"")</f>
        <v/>
      </c>
      <c r="L192" s="75" t="str">
        <f>IFERROR(VLOOKUP(C192,Code!H:W,13,FALSE)*4/VLOOKUP(C192,Code!H:W,12,FALSE),"")</f>
        <v/>
      </c>
      <c r="M192" s="55" t="str">
        <f t="shared" si="25"/>
        <v/>
      </c>
      <c r="N192" s="55" t="str">
        <f t="shared" si="26"/>
        <v/>
      </c>
      <c r="O192" s="55" t="str">
        <f t="shared" si="27"/>
        <v/>
      </c>
      <c r="P192" s="196" t="str">
        <f>IFERROR(YEARFRAC(VLOOKUP(C192,Code!H:W,11,FALSE),VLOOKUP(C192,Code!H:W,14,FALSE),3),"")</f>
        <v/>
      </c>
      <c r="Q192" s="2"/>
      <c r="R192" s="85" t="str">
        <f t="shared" ca="1" si="28"/>
        <v/>
      </c>
      <c r="S192" s="86" t="str">
        <f>IFERROR(VLOOKUP($C192,Code!$H:$Q,5,FALSE),"")</f>
        <v/>
      </c>
      <c r="T192" s="88" t="str">
        <f t="shared" ca="1" si="29"/>
        <v/>
      </c>
      <c r="U192" s="89" t="str">
        <f t="shared" ca="1" si="30"/>
        <v/>
      </c>
      <c r="V192" s="90" t="str">
        <f>IFERROR(VLOOKUP($C192,Code!$H:$Q,6,FALSE),"")</f>
        <v/>
      </c>
      <c r="W192" s="91" t="str">
        <f t="shared" ca="1" si="31"/>
        <v/>
      </c>
      <c r="X192" s="12"/>
      <c r="Y192" s="12"/>
      <c r="Z192" s="12"/>
      <c r="AA192" s="12"/>
      <c r="AB192" s="12"/>
    </row>
    <row r="193" spans="1:28" s="10" customFormat="1" ht="15" hidden="1">
      <c r="A193" s="9"/>
      <c r="B193" s="137"/>
      <c r="C193" s="142"/>
      <c r="D193" s="82" t="str">
        <f>IFERROR(VLOOKUP($C193,Code!$H:$K,2,FALSE),"")</f>
        <v/>
      </c>
      <c r="E193" s="83" t="str">
        <f>IFERROR(VLOOKUP($C193,Code!$H:$K,3,FALSE),"")</f>
        <v/>
      </c>
      <c r="F193" s="84" t="str">
        <f>IFERROR(VLOOKUP($C193,Code!$H:$K,4,FALSE),"")</f>
        <v/>
      </c>
      <c r="G193" s="128">
        <f>_xlfn.IFNA(((VLOOKUP($C193,Code!$H:$Q,9,FALSE))+(VLOOKUP($C193,Code!$H:$Q,10,FALSE)))/2*0.5/(((VLOOKUP($C193,Code!$H:$Q,7,FALSE))+(VLOOKUP($C193,Code!$H:$Q,8,FALSE)))/2),0)</f>
        <v>0</v>
      </c>
      <c r="H193" s="87" t="str">
        <f t="shared" si="24"/>
        <v/>
      </c>
      <c r="I193" s="128">
        <f>_xlfn.IFNA((VLOOKUP($C193,Code!$H:$Q,5,FALSE))/(((VLOOKUP($C193,Code!$H:$Q,7,FALSE))+(VLOOKUP($C193,Code!$H:$Q,8,FALSE)))/2)-G193,0)</f>
        <v>0</v>
      </c>
      <c r="J193" s="55" t="str">
        <f>IFERROR(POWER((VLOOKUP(C193,Code!H:W,12,FALSE))/(VLOOKUP(C193,Code!H:W,15,FALSE)),1/(P193-1))-1,"")</f>
        <v/>
      </c>
      <c r="K193" s="55" t="str">
        <f>IFERROR(POWER((VLOOKUP(C193,Code!H:W,13,FALSE))/(VLOOKUP(C193,Code!H:W,16,FALSE)),1/(P193-1))-1,"")</f>
        <v/>
      </c>
      <c r="L193" s="75" t="str">
        <f>IFERROR(VLOOKUP(C193,Code!H:W,13,FALSE)*4/VLOOKUP(C193,Code!H:W,12,FALSE),"")</f>
        <v/>
      </c>
      <c r="M193" s="55" t="str">
        <f t="shared" si="25"/>
        <v/>
      </c>
      <c r="N193" s="55" t="str">
        <f t="shared" si="26"/>
        <v/>
      </c>
      <c r="O193" s="55" t="str">
        <f t="shared" si="27"/>
        <v/>
      </c>
      <c r="P193" s="196" t="str">
        <f>IFERROR(YEARFRAC(VLOOKUP(C193,Code!H:W,11,FALSE),VLOOKUP(C193,Code!H:W,14,FALSE),3),"")</f>
        <v/>
      </c>
      <c r="Q193" s="2"/>
      <c r="R193" s="85" t="str">
        <f t="shared" ca="1" si="28"/>
        <v/>
      </c>
      <c r="S193" s="86" t="str">
        <f>IFERROR(VLOOKUP($C193,Code!$H:$Q,5,FALSE),"")</f>
        <v/>
      </c>
      <c r="T193" s="88" t="str">
        <f t="shared" ca="1" si="29"/>
        <v/>
      </c>
      <c r="U193" s="89" t="str">
        <f t="shared" ca="1" si="30"/>
        <v/>
      </c>
      <c r="V193" s="90" t="str">
        <f>IFERROR(VLOOKUP($C193,Code!$H:$Q,6,FALSE),"")</f>
        <v/>
      </c>
      <c r="W193" s="91" t="str">
        <f t="shared" ca="1" si="31"/>
        <v/>
      </c>
      <c r="X193" s="12"/>
      <c r="Y193" s="12"/>
      <c r="Z193" s="12"/>
      <c r="AA193" s="12"/>
      <c r="AB193" s="12"/>
    </row>
    <row r="194" spans="1:28" s="10" customFormat="1" ht="15" hidden="1">
      <c r="A194" s="9"/>
      <c r="B194" s="137"/>
      <c r="C194" s="142"/>
      <c r="D194" s="82" t="str">
        <f>IFERROR(VLOOKUP($C194,Code!$H:$K,2,FALSE),"")</f>
        <v/>
      </c>
      <c r="E194" s="83" t="str">
        <f>IFERROR(VLOOKUP($C194,Code!$H:$K,3,FALSE),"")</f>
        <v/>
      </c>
      <c r="F194" s="84" t="str">
        <f>IFERROR(VLOOKUP($C194,Code!$H:$K,4,FALSE),"")</f>
        <v/>
      </c>
      <c r="G194" s="128">
        <f>_xlfn.IFNA(((VLOOKUP($C194,Code!$H:$Q,9,FALSE))+(VLOOKUP($C194,Code!$H:$Q,10,FALSE)))/2*0.5/(((VLOOKUP($C194,Code!$H:$Q,7,FALSE))+(VLOOKUP($C194,Code!$H:$Q,8,FALSE)))/2),0)</f>
        <v>0</v>
      </c>
      <c r="H194" s="87" t="str">
        <f t="shared" si="24"/>
        <v/>
      </c>
      <c r="I194" s="128">
        <f>_xlfn.IFNA((VLOOKUP($C194,Code!$H:$Q,5,FALSE))/(((VLOOKUP($C194,Code!$H:$Q,7,FALSE))+(VLOOKUP($C194,Code!$H:$Q,8,FALSE)))/2)-G194,0)</f>
        <v>0</v>
      </c>
      <c r="J194" s="55" t="str">
        <f>IFERROR(POWER((VLOOKUP(C194,Code!H:W,12,FALSE))/(VLOOKUP(C194,Code!H:W,15,FALSE)),1/(P194-1))-1,"")</f>
        <v/>
      </c>
      <c r="K194" s="55" t="str">
        <f>IFERROR(POWER((VLOOKUP(C194,Code!H:W,13,FALSE))/(VLOOKUP(C194,Code!H:W,16,FALSE)),1/(P194-1))-1,"")</f>
        <v/>
      </c>
      <c r="L194" s="75" t="str">
        <f>IFERROR(VLOOKUP(C194,Code!H:W,13,FALSE)*4/VLOOKUP(C194,Code!H:W,12,FALSE),"")</f>
        <v/>
      </c>
      <c r="M194" s="55" t="str">
        <f t="shared" si="25"/>
        <v/>
      </c>
      <c r="N194" s="55" t="str">
        <f t="shared" si="26"/>
        <v/>
      </c>
      <c r="O194" s="55" t="str">
        <f t="shared" si="27"/>
        <v/>
      </c>
      <c r="P194" s="196" t="str">
        <f>IFERROR(YEARFRAC(VLOOKUP(C194,Code!H:W,11,FALSE),VLOOKUP(C194,Code!H:W,14,FALSE),3),"")</f>
        <v/>
      </c>
      <c r="Q194" s="2"/>
      <c r="R194" s="85" t="str">
        <f t="shared" ca="1" si="28"/>
        <v/>
      </c>
      <c r="S194" s="86" t="str">
        <f>IFERROR(VLOOKUP($C194,Code!$H:$Q,5,FALSE),"")</f>
        <v/>
      </c>
      <c r="T194" s="88" t="str">
        <f t="shared" ca="1" si="29"/>
        <v/>
      </c>
      <c r="U194" s="89" t="str">
        <f t="shared" ca="1" si="30"/>
        <v/>
      </c>
      <c r="V194" s="90" t="str">
        <f>IFERROR(VLOOKUP($C194,Code!$H:$Q,6,FALSE),"")</f>
        <v/>
      </c>
      <c r="W194" s="91" t="str">
        <f t="shared" ca="1" si="31"/>
        <v/>
      </c>
      <c r="X194" s="12"/>
      <c r="Y194" s="12"/>
      <c r="Z194" s="12"/>
      <c r="AA194" s="12"/>
      <c r="AB194" s="12"/>
    </row>
    <row r="195" spans="1:28" s="10" customFormat="1" ht="15" hidden="1">
      <c r="A195" s="9"/>
      <c r="B195" s="137"/>
      <c r="C195" s="142"/>
      <c r="D195" s="82" t="str">
        <f>IFERROR(VLOOKUP($C195,Code!$H:$K,2,FALSE),"")</f>
        <v/>
      </c>
      <c r="E195" s="83" t="str">
        <f>IFERROR(VLOOKUP($C195,Code!$H:$K,3,FALSE),"")</f>
        <v/>
      </c>
      <c r="F195" s="84" t="str">
        <f>IFERROR(VLOOKUP($C195,Code!$H:$K,4,FALSE),"")</f>
        <v/>
      </c>
      <c r="G195" s="128">
        <f>_xlfn.IFNA(((VLOOKUP($C195,Code!$H:$Q,9,FALSE))+(VLOOKUP($C195,Code!$H:$Q,10,FALSE)))/2*0.5/(((VLOOKUP($C195,Code!$H:$Q,7,FALSE))+(VLOOKUP($C195,Code!$H:$Q,8,FALSE)))/2),0)</f>
        <v>0</v>
      </c>
      <c r="H195" s="87" t="str">
        <f t="shared" si="24"/>
        <v/>
      </c>
      <c r="I195" s="128">
        <f>_xlfn.IFNA((VLOOKUP($C195,Code!$H:$Q,5,FALSE))/(((VLOOKUP($C195,Code!$H:$Q,7,FALSE))+(VLOOKUP($C195,Code!$H:$Q,8,FALSE)))/2)-G195,0)</f>
        <v>0</v>
      </c>
      <c r="J195" s="55" t="str">
        <f>IFERROR(POWER((VLOOKUP(C195,Code!H:W,12,FALSE))/(VLOOKUP(C195,Code!H:W,15,FALSE)),1/(P195-1))-1,"")</f>
        <v/>
      </c>
      <c r="K195" s="55" t="str">
        <f>IFERROR(POWER((VLOOKUP(C195,Code!H:W,13,FALSE))/(VLOOKUP(C195,Code!H:W,16,FALSE)),1/(P195-1))-1,"")</f>
        <v/>
      </c>
      <c r="L195" s="75" t="str">
        <f>IFERROR(VLOOKUP(C195,Code!H:W,13,FALSE)*4/VLOOKUP(C195,Code!H:W,12,FALSE),"")</f>
        <v/>
      </c>
      <c r="M195" s="55" t="str">
        <f t="shared" si="25"/>
        <v/>
      </c>
      <c r="N195" s="55" t="str">
        <f t="shared" si="26"/>
        <v/>
      </c>
      <c r="O195" s="55" t="str">
        <f t="shared" si="27"/>
        <v/>
      </c>
      <c r="P195" s="196" t="str">
        <f>IFERROR(YEARFRAC(VLOOKUP(C195,Code!H:W,11,FALSE),VLOOKUP(C195,Code!H:W,14,FALSE),3),"")</f>
        <v/>
      </c>
      <c r="Q195" s="2"/>
      <c r="R195" s="85" t="str">
        <f t="shared" ca="1" si="28"/>
        <v/>
      </c>
      <c r="S195" s="86" t="str">
        <f>IFERROR(VLOOKUP($C195,Code!$H:$Q,5,FALSE),"")</f>
        <v/>
      </c>
      <c r="T195" s="88" t="str">
        <f t="shared" ca="1" si="29"/>
        <v/>
      </c>
      <c r="U195" s="89" t="str">
        <f t="shared" ca="1" si="30"/>
        <v/>
      </c>
      <c r="V195" s="90" t="str">
        <f>IFERROR(VLOOKUP($C195,Code!$H:$Q,6,FALSE),"")</f>
        <v/>
      </c>
      <c r="W195" s="91" t="str">
        <f t="shared" ca="1" si="31"/>
        <v/>
      </c>
      <c r="X195" s="12"/>
      <c r="Y195" s="12"/>
      <c r="Z195" s="12"/>
      <c r="AA195" s="12"/>
      <c r="AB195" s="12"/>
    </row>
    <row r="196" spans="1:28" s="10" customFormat="1" ht="15" hidden="1">
      <c r="A196" s="9"/>
      <c r="B196" s="137"/>
      <c r="C196" s="142"/>
      <c r="D196" s="82" t="str">
        <f>IFERROR(VLOOKUP($C196,Code!$H:$K,2,FALSE),"")</f>
        <v/>
      </c>
      <c r="E196" s="83" t="str">
        <f>IFERROR(VLOOKUP($C196,Code!$H:$K,3,FALSE),"")</f>
        <v/>
      </c>
      <c r="F196" s="84" t="str">
        <f>IFERROR(VLOOKUP($C196,Code!$H:$K,4,FALSE),"")</f>
        <v/>
      </c>
      <c r="G196" s="128">
        <f>_xlfn.IFNA(((VLOOKUP($C196,Code!$H:$Q,9,FALSE))+(VLOOKUP($C196,Code!$H:$Q,10,FALSE)))/2*0.5/(((VLOOKUP($C196,Code!$H:$Q,7,FALSE))+(VLOOKUP($C196,Code!$H:$Q,8,FALSE)))/2),0)</f>
        <v>0</v>
      </c>
      <c r="H196" s="87" t="str">
        <f t="shared" ref="H196:H259" si="32">IFERROR(IF(G196&gt;9E+306,"",IF(G196&gt;70%,"XL",IF(G196&gt;60%,"L",IF(G196&gt;50%,"M",IF(G196&gt;0%,"S",""))))),"")</f>
        <v/>
      </c>
      <c r="I196" s="128">
        <f>_xlfn.IFNA((VLOOKUP($C196,Code!$H:$Q,5,FALSE))/(((VLOOKUP($C196,Code!$H:$Q,7,FALSE))+(VLOOKUP($C196,Code!$H:$Q,8,FALSE)))/2)-G196,0)</f>
        <v>0</v>
      </c>
      <c r="J196" s="55" t="str">
        <f>IFERROR(POWER((VLOOKUP(C196,Code!H:W,12,FALSE))/(VLOOKUP(C196,Code!H:W,15,FALSE)),1/(P196-1))-1,"")</f>
        <v/>
      </c>
      <c r="K196" s="55" t="str">
        <f>IFERROR(POWER((VLOOKUP(C196,Code!H:W,13,FALSE))/(VLOOKUP(C196,Code!H:W,16,FALSE)),1/(P196-1))-1,"")</f>
        <v/>
      </c>
      <c r="L196" s="75" t="str">
        <f>IFERROR(VLOOKUP(C196,Code!H:W,13,FALSE)*4/VLOOKUP(C196,Code!H:W,12,FALSE),"")</f>
        <v/>
      </c>
      <c r="M196" s="55" t="str">
        <f t="shared" ref="M196:M259" si="33">IF(SUM(J196:K196)=0,"",SUM(J196:K196))</f>
        <v/>
      </c>
      <c r="N196" s="55" t="str">
        <f t="shared" ref="N196:N259" si="34">IFERROR(IF(L196&gt;3%,IF((K196+L196)&gt;12%,"Venture","-"),"-"),"")</f>
        <v/>
      </c>
      <c r="O196" s="55" t="str">
        <f t="shared" ref="O196:O259" si="35">IFERROR(IF(OR(L196&lt;3%,L196=""),IF((K196+L196)&gt;15%,"Value","-"),"-"),"")</f>
        <v/>
      </c>
      <c r="P196" s="196" t="str">
        <f>IFERROR(YEARFRAC(VLOOKUP(C196,Code!H:W,11,FALSE),VLOOKUP(C196,Code!H:W,14,FALSE),3),"")</f>
        <v/>
      </c>
      <c r="Q196" s="2"/>
      <c r="R196" s="85" t="str">
        <f t="shared" ref="R196:R259" ca="1" si="36">IFERROR(IF(OR(_xlfn.DAYS(Q196,TODAY())+1&lt;0,C196=0),"",_xlfn.DAYS(Q196,TODAY())+1),"")</f>
        <v/>
      </c>
      <c r="S196" s="86" t="str">
        <f>IFERROR(VLOOKUP($C196,Code!$H:$Q,5,FALSE),"")</f>
        <v/>
      </c>
      <c r="T196" s="88" t="str">
        <f t="shared" ref="T196:T259" ca="1" si="37">IFERROR(IF(V196*S196*SQRT(R196/365)=0,"",V196*S196*SQRT(R196/365)),"")</f>
        <v/>
      </c>
      <c r="U196" s="89" t="str">
        <f t="shared" ref="U196:U259" ca="1" si="38">IFERROR(V196-T196,"")</f>
        <v/>
      </c>
      <c r="V196" s="90" t="str">
        <f>IFERROR(VLOOKUP($C196,Code!$H:$Q,6,FALSE),"")</f>
        <v/>
      </c>
      <c r="W196" s="91" t="str">
        <f t="shared" ref="W196:W259" ca="1" si="39">IFERROR(V196+T196,"")</f>
        <v/>
      </c>
      <c r="X196" s="12"/>
      <c r="Y196" s="12"/>
      <c r="Z196" s="12"/>
      <c r="AA196" s="12"/>
      <c r="AB196" s="12"/>
    </row>
    <row r="197" spans="1:28" s="10" customFormat="1" ht="15" hidden="1">
      <c r="A197" s="9"/>
      <c r="B197" s="137"/>
      <c r="C197" s="142"/>
      <c r="D197" s="82" t="str">
        <f>IFERROR(VLOOKUP($C197,Code!$H:$K,2,FALSE),"")</f>
        <v/>
      </c>
      <c r="E197" s="83" t="str">
        <f>IFERROR(VLOOKUP($C197,Code!$H:$K,3,FALSE),"")</f>
        <v/>
      </c>
      <c r="F197" s="84" t="str">
        <f>IFERROR(VLOOKUP($C197,Code!$H:$K,4,FALSE),"")</f>
        <v/>
      </c>
      <c r="G197" s="128">
        <f>_xlfn.IFNA(((VLOOKUP($C197,Code!$H:$Q,9,FALSE))+(VLOOKUP($C197,Code!$H:$Q,10,FALSE)))/2*0.5/(((VLOOKUP($C197,Code!$H:$Q,7,FALSE))+(VLOOKUP($C197,Code!$H:$Q,8,FALSE)))/2),0)</f>
        <v>0</v>
      </c>
      <c r="H197" s="87" t="str">
        <f t="shared" si="32"/>
        <v/>
      </c>
      <c r="I197" s="128">
        <f>_xlfn.IFNA((VLOOKUP($C197,Code!$H:$Q,5,FALSE))/(((VLOOKUP($C197,Code!$H:$Q,7,FALSE))+(VLOOKUP($C197,Code!$H:$Q,8,FALSE)))/2)-G197,0)</f>
        <v>0</v>
      </c>
      <c r="J197" s="55" t="str">
        <f>IFERROR(POWER((VLOOKUP(C197,Code!H:W,12,FALSE))/(VLOOKUP(C197,Code!H:W,15,FALSE)),1/(P197-1))-1,"")</f>
        <v/>
      </c>
      <c r="K197" s="55" t="str">
        <f>IFERROR(POWER((VLOOKUP(C197,Code!H:W,13,FALSE))/(VLOOKUP(C197,Code!H:W,16,FALSE)),1/(P197-1))-1,"")</f>
        <v/>
      </c>
      <c r="L197" s="75" t="str">
        <f>IFERROR(VLOOKUP(C197,Code!H:W,13,FALSE)*4/VLOOKUP(C197,Code!H:W,12,FALSE),"")</f>
        <v/>
      </c>
      <c r="M197" s="55" t="str">
        <f t="shared" si="33"/>
        <v/>
      </c>
      <c r="N197" s="55" t="str">
        <f t="shared" si="34"/>
        <v/>
      </c>
      <c r="O197" s="55" t="str">
        <f t="shared" si="35"/>
        <v/>
      </c>
      <c r="P197" s="196" t="str">
        <f>IFERROR(YEARFRAC(VLOOKUP(C197,Code!H:W,11,FALSE),VLOOKUP(C197,Code!H:W,14,FALSE),3),"")</f>
        <v/>
      </c>
      <c r="Q197" s="2"/>
      <c r="R197" s="85" t="str">
        <f t="shared" ca="1" si="36"/>
        <v/>
      </c>
      <c r="S197" s="86" t="str">
        <f>IFERROR(VLOOKUP($C197,Code!$H:$Q,5,FALSE),"")</f>
        <v/>
      </c>
      <c r="T197" s="88" t="str">
        <f t="shared" ca="1" si="37"/>
        <v/>
      </c>
      <c r="U197" s="89" t="str">
        <f t="shared" ca="1" si="38"/>
        <v/>
      </c>
      <c r="V197" s="90" t="str">
        <f>IFERROR(VLOOKUP($C197,Code!$H:$Q,6,FALSE),"")</f>
        <v/>
      </c>
      <c r="W197" s="91" t="str">
        <f t="shared" ca="1" si="39"/>
        <v/>
      </c>
      <c r="X197" s="12"/>
      <c r="Y197" s="12"/>
      <c r="Z197" s="12"/>
      <c r="AA197" s="12"/>
      <c r="AB197" s="12"/>
    </row>
    <row r="198" spans="1:28" s="10" customFormat="1" ht="15" hidden="1">
      <c r="A198" s="9"/>
      <c r="B198" s="137"/>
      <c r="C198" s="142"/>
      <c r="D198" s="82" t="str">
        <f>IFERROR(VLOOKUP($C198,Code!$H:$K,2,FALSE),"")</f>
        <v/>
      </c>
      <c r="E198" s="83" t="str">
        <f>IFERROR(VLOOKUP($C198,Code!$H:$K,3,FALSE),"")</f>
        <v/>
      </c>
      <c r="F198" s="84" t="str">
        <f>IFERROR(VLOOKUP($C198,Code!$H:$K,4,FALSE),"")</f>
        <v/>
      </c>
      <c r="G198" s="128">
        <f>_xlfn.IFNA(((VLOOKUP($C198,Code!$H:$Q,9,FALSE))+(VLOOKUP($C198,Code!$H:$Q,10,FALSE)))/2*0.5/(((VLOOKUP($C198,Code!$H:$Q,7,FALSE))+(VLOOKUP($C198,Code!$H:$Q,8,FALSE)))/2),0)</f>
        <v>0</v>
      </c>
      <c r="H198" s="87" t="str">
        <f t="shared" si="32"/>
        <v/>
      </c>
      <c r="I198" s="128">
        <f>_xlfn.IFNA((VLOOKUP($C198,Code!$H:$Q,5,FALSE))/(((VLOOKUP($C198,Code!$H:$Q,7,FALSE))+(VLOOKUP($C198,Code!$H:$Q,8,FALSE)))/2)-G198,0)</f>
        <v>0</v>
      </c>
      <c r="J198" s="55" t="str">
        <f>IFERROR(POWER((VLOOKUP(C198,Code!H:W,12,FALSE))/(VLOOKUP(C198,Code!H:W,15,FALSE)),1/(P198-1))-1,"")</f>
        <v/>
      </c>
      <c r="K198" s="55" t="str">
        <f>IFERROR(POWER((VLOOKUP(C198,Code!H:W,13,FALSE))/(VLOOKUP(C198,Code!H:W,16,FALSE)),1/(P198-1))-1,"")</f>
        <v/>
      </c>
      <c r="L198" s="75" t="str">
        <f>IFERROR(VLOOKUP(C198,Code!H:W,13,FALSE)*4/VLOOKUP(C198,Code!H:W,12,FALSE),"")</f>
        <v/>
      </c>
      <c r="M198" s="55" t="str">
        <f t="shared" si="33"/>
        <v/>
      </c>
      <c r="N198" s="55" t="str">
        <f t="shared" si="34"/>
        <v/>
      </c>
      <c r="O198" s="55" t="str">
        <f t="shared" si="35"/>
        <v/>
      </c>
      <c r="P198" s="196" t="str">
        <f>IFERROR(YEARFRAC(VLOOKUP(C198,Code!H:W,11,FALSE),VLOOKUP(C198,Code!H:W,14,FALSE),3),"")</f>
        <v/>
      </c>
      <c r="Q198" s="2"/>
      <c r="R198" s="85" t="str">
        <f t="shared" ca="1" si="36"/>
        <v/>
      </c>
      <c r="S198" s="86" t="str">
        <f>IFERROR(VLOOKUP($C198,Code!$H:$Q,5,FALSE),"")</f>
        <v/>
      </c>
      <c r="T198" s="88" t="str">
        <f t="shared" ca="1" si="37"/>
        <v/>
      </c>
      <c r="U198" s="89" t="str">
        <f t="shared" ca="1" si="38"/>
        <v/>
      </c>
      <c r="V198" s="90" t="str">
        <f>IFERROR(VLOOKUP($C198,Code!$H:$Q,6,FALSE),"")</f>
        <v/>
      </c>
      <c r="W198" s="91" t="str">
        <f t="shared" ca="1" si="39"/>
        <v/>
      </c>
      <c r="X198" s="12"/>
      <c r="Y198" s="12"/>
      <c r="Z198" s="12"/>
      <c r="AA198" s="12"/>
      <c r="AB198" s="12"/>
    </row>
    <row r="199" spans="1:28" s="10" customFormat="1" ht="15" hidden="1">
      <c r="A199" s="9"/>
      <c r="B199" s="137"/>
      <c r="C199" s="142"/>
      <c r="D199" s="82" t="str">
        <f>IFERROR(VLOOKUP($C199,Code!$H:$K,2,FALSE),"")</f>
        <v/>
      </c>
      <c r="E199" s="83" t="str">
        <f>IFERROR(VLOOKUP($C199,Code!$H:$K,3,FALSE),"")</f>
        <v/>
      </c>
      <c r="F199" s="84" t="str">
        <f>IFERROR(VLOOKUP($C199,Code!$H:$K,4,FALSE),"")</f>
        <v/>
      </c>
      <c r="G199" s="128">
        <f>_xlfn.IFNA(((VLOOKUP($C199,Code!$H:$Q,9,FALSE))+(VLOOKUP($C199,Code!$H:$Q,10,FALSE)))/2*0.5/(((VLOOKUP($C199,Code!$H:$Q,7,FALSE))+(VLOOKUP($C199,Code!$H:$Q,8,FALSE)))/2),0)</f>
        <v>0</v>
      </c>
      <c r="H199" s="87" t="str">
        <f t="shared" si="32"/>
        <v/>
      </c>
      <c r="I199" s="128">
        <f>_xlfn.IFNA((VLOOKUP($C199,Code!$H:$Q,5,FALSE))/(((VLOOKUP($C199,Code!$H:$Q,7,FALSE))+(VLOOKUP($C199,Code!$H:$Q,8,FALSE)))/2)-G199,0)</f>
        <v>0</v>
      </c>
      <c r="J199" s="55" t="str">
        <f>IFERROR(POWER((VLOOKUP(C199,Code!H:W,12,FALSE))/(VLOOKUP(C199,Code!H:W,15,FALSE)),1/(P199-1))-1,"")</f>
        <v/>
      </c>
      <c r="K199" s="55" t="str">
        <f>IFERROR(POWER((VLOOKUP(C199,Code!H:W,13,FALSE))/(VLOOKUP(C199,Code!H:W,16,FALSE)),1/(P199-1))-1,"")</f>
        <v/>
      </c>
      <c r="L199" s="75" t="str">
        <f>IFERROR(VLOOKUP(C199,Code!H:W,13,FALSE)*4/VLOOKUP(C199,Code!H:W,12,FALSE),"")</f>
        <v/>
      </c>
      <c r="M199" s="55" t="str">
        <f t="shared" si="33"/>
        <v/>
      </c>
      <c r="N199" s="55" t="str">
        <f t="shared" si="34"/>
        <v/>
      </c>
      <c r="O199" s="55" t="str">
        <f t="shared" si="35"/>
        <v/>
      </c>
      <c r="P199" s="196" t="str">
        <f>IFERROR(YEARFRAC(VLOOKUP(C199,Code!H:W,11,FALSE),VLOOKUP(C199,Code!H:W,14,FALSE),3),"")</f>
        <v/>
      </c>
      <c r="Q199" s="2"/>
      <c r="R199" s="85" t="str">
        <f t="shared" ca="1" si="36"/>
        <v/>
      </c>
      <c r="S199" s="86" t="str">
        <f>IFERROR(VLOOKUP($C199,Code!$H:$Q,5,FALSE),"")</f>
        <v/>
      </c>
      <c r="T199" s="88" t="str">
        <f t="shared" ca="1" si="37"/>
        <v/>
      </c>
      <c r="U199" s="89" t="str">
        <f t="shared" ca="1" si="38"/>
        <v/>
      </c>
      <c r="V199" s="90" t="str">
        <f>IFERROR(VLOOKUP($C199,Code!$H:$Q,6,FALSE),"")</f>
        <v/>
      </c>
      <c r="W199" s="91" t="str">
        <f t="shared" ca="1" si="39"/>
        <v/>
      </c>
      <c r="X199" s="12"/>
      <c r="Y199" s="12"/>
      <c r="Z199" s="12"/>
      <c r="AA199" s="12"/>
      <c r="AB199" s="12"/>
    </row>
    <row r="200" spans="1:28" s="10" customFormat="1" ht="15" hidden="1">
      <c r="A200" s="9"/>
      <c r="B200" s="137"/>
      <c r="C200" s="142"/>
      <c r="D200" s="82" t="str">
        <f>IFERROR(VLOOKUP($C200,Code!$H:$K,2,FALSE),"")</f>
        <v/>
      </c>
      <c r="E200" s="83" t="str">
        <f>IFERROR(VLOOKUP($C200,Code!$H:$K,3,FALSE),"")</f>
        <v/>
      </c>
      <c r="F200" s="84" t="str">
        <f>IFERROR(VLOOKUP($C200,Code!$H:$K,4,FALSE),"")</f>
        <v/>
      </c>
      <c r="G200" s="128">
        <f>_xlfn.IFNA(((VLOOKUP($C200,Code!$H:$Q,9,FALSE))+(VLOOKUP($C200,Code!$H:$Q,10,FALSE)))/2*0.5/(((VLOOKUP($C200,Code!$H:$Q,7,FALSE))+(VLOOKUP($C200,Code!$H:$Q,8,FALSE)))/2),0)</f>
        <v>0</v>
      </c>
      <c r="H200" s="87" t="str">
        <f t="shared" si="32"/>
        <v/>
      </c>
      <c r="I200" s="128">
        <f>_xlfn.IFNA((VLOOKUP($C200,Code!$H:$Q,5,FALSE))/(((VLOOKUP($C200,Code!$H:$Q,7,FALSE))+(VLOOKUP($C200,Code!$H:$Q,8,FALSE)))/2)-G200,0)</f>
        <v>0</v>
      </c>
      <c r="J200" s="55" t="str">
        <f>IFERROR(POWER((VLOOKUP(C200,Code!H:W,12,FALSE))/(VLOOKUP(C200,Code!H:W,15,FALSE)),1/(P200-1))-1,"")</f>
        <v/>
      </c>
      <c r="K200" s="55" t="str">
        <f>IFERROR(POWER((VLOOKUP(C200,Code!H:W,13,FALSE))/(VLOOKUP(C200,Code!H:W,16,FALSE)),1/(P200-1))-1,"")</f>
        <v/>
      </c>
      <c r="L200" s="75" t="str">
        <f>IFERROR(VLOOKUP(C200,Code!H:W,13,FALSE)*4/VLOOKUP(C200,Code!H:W,12,FALSE),"")</f>
        <v/>
      </c>
      <c r="M200" s="55" t="str">
        <f t="shared" si="33"/>
        <v/>
      </c>
      <c r="N200" s="55" t="str">
        <f t="shared" si="34"/>
        <v/>
      </c>
      <c r="O200" s="55" t="str">
        <f t="shared" si="35"/>
        <v/>
      </c>
      <c r="P200" s="196" t="str">
        <f>IFERROR(YEARFRAC(VLOOKUP(C200,Code!H:W,11,FALSE),VLOOKUP(C200,Code!H:W,14,FALSE),3),"")</f>
        <v/>
      </c>
      <c r="Q200" s="2"/>
      <c r="R200" s="85" t="str">
        <f t="shared" ca="1" si="36"/>
        <v/>
      </c>
      <c r="S200" s="86" t="str">
        <f>IFERROR(VLOOKUP($C200,Code!$H:$Q,5,FALSE),"")</f>
        <v/>
      </c>
      <c r="T200" s="88" t="str">
        <f t="shared" ca="1" si="37"/>
        <v/>
      </c>
      <c r="U200" s="89" t="str">
        <f t="shared" ca="1" si="38"/>
        <v/>
      </c>
      <c r="V200" s="90" t="str">
        <f>IFERROR(VLOOKUP($C200,Code!$H:$Q,6,FALSE),"")</f>
        <v/>
      </c>
      <c r="W200" s="91" t="str">
        <f t="shared" ca="1" si="39"/>
        <v/>
      </c>
      <c r="X200" s="12"/>
      <c r="Y200" s="12"/>
      <c r="Z200" s="12"/>
      <c r="AA200" s="12"/>
      <c r="AB200" s="12"/>
    </row>
    <row r="201" spans="1:28" s="10" customFormat="1" ht="15" hidden="1">
      <c r="A201" s="9"/>
      <c r="B201" s="137"/>
      <c r="C201" s="142"/>
      <c r="D201" s="82" t="str">
        <f>IFERROR(VLOOKUP($C201,Code!$H:$K,2,FALSE),"")</f>
        <v/>
      </c>
      <c r="E201" s="83" t="str">
        <f>IFERROR(VLOOKUP($C201,Code!$H:$K,3,FALSE),"")</f>
        <v/>
      </c>
      <c r="F201" s="84" t="str">
        <f>IFERROR(VLOOKUP($C201,Code!$H:$K,4,FALSE),"")</f>
        <v/>
      </c>
      <c r="G201" s="128">
        <f>_xlfn.IFNA(((VLOOKUP($C201,Code!$H:$Q,9,FALSE))+(VLOOKUP($C201,Code!$H:$Q,10,FALSE)))/2*0.5/(((VLOOKUP($C201,Code!$H:$Q,7,FALSE))+(VLOOKUP($C201,Code!$H:$Q,8,FALSE)))/2),0)</f>
        <v>0</v>
      </c>
      <c r="H201" s="87" t="str">
        <f t="shared" si="32"/>
        <v/>
      </c>
      <c r="I201" s="128">
        <f>_xlfn.IFNA((VLOOKUP($C201,Code!$H:$Q,5,FALSE))/(((VLOOKUP($C201,Code!$H:$Q,7,FALSE))+(VLOOKUP($C201,Code!$H:$Q,8,FALSE)))/2)-G201,0)</f>
        <v>0</v>
      </c>
      <c r="J201" s="55" t="str">
        <f>IFERROR(POWER((VLOOKUP(C201,Code!H:W,12,FALSE))/(VLOOKUP(C201,Code!H:W,15,FALSE)),1/(P201-1))-1,"")</f>
        <v/>
      </c>
      <c r="K201" s="55" t="str">
        <f>IFERROR(POWER((VLOOKUP(C201,Code!H:W,13,FALSE))/(VLOOKUP(C201,Code!H:W,16,FALSE)),1/(P201-1))-1,"")</f>
        <v/>
      </c>
      <c r="L201" s="75" t="str">
        <f>IFERROR(VLOOKUP(C201,Code!H:W,13,FALSE)*4/VLOOKUP(C201,Code!H:W,12,FALSE),"")</f>
        <v/>
      </c>
      <c r="M201" s="55" t="str">
        <f t="shared" si="33"/>
        <v/>
      </c>
      <c r="N201" s="55" t="str">
        <f t="shared" si="34"/>
        <v/>
      </c>
      <c r="O201" s="55" t="str">
        <f t="shared" si="35"/>
        <v/>
      </c>
      <c r="P201" s="196" t="str">
        <f>IFERROR(YEARFRAC(VLOOKUP(C201,Code!H:W,11,FALSE),VLOOKUP(C201,Code!H:W,14,FALSE),3),"")</f>
        <v/>
      </c>
      <c r="Q201" s="2"/>
      <c r="R201" s="85" t="str">
        <f t="shared" ca="1" si="36"/>
        <v/>
      </c>
      <c r="S201" s="86" t="str">
        <f>IFERROR(VLOOKUP($C201,Code!$H:$Q,5,FALSE),"")</f>
        <v/>
      </c>
      <c r="T201" s="88" t="str">
        <f t="shared" ca="1" si="37"/>
        <v/>
      </c>
      <c r="U201" s="89" t="str">
        <f t="shared" ca="1" si="38"/>
        <v/>
      </c>
      <c r="V201" s="90" t="str">
        <f>IFERROR(VLOOKUP($C201,Code!$H:$Q,6,FALSE),"")</f>
        <v/>
      </c>
      <c r="W201" s="91" t="str">
        <f t="shared" ca="1" si="39"/>
        <v/>
      </c>
      <c r="X201" s="12"/>
      <c r="Y201" s="12"/>
      <c r="Z201" s="12"/>
      <c r="AA201" s="12"/>
      <c r="AB201" s="12"/>
    </row>
    <row r="202" spans="1:28" s="10" customFormat="1" ht="15" hidden="1">
      <c r="A202" s="9"/>
      <c r="B202" s="137"/>
      <c r="C202" s="142"/>
      <c r="D202" s="82" t="str">
        <f>IFERROR(VLOOKUP($C202,Code!$H:$K,2,FALSE),"")</f>
        <v/>
      </c>
      <c r="E202" s="83" t="str">
        <f>IFERROR(VLOOKUP($C202,Code!$H:$K,3,FALSE),"")</f>
        <v/>
      </c>
      <c r="F202" s="84" t="str">
        <f>IFERROR(VLOOKUP($C202,Code!$H:$K,4,FALSE),"")</f>
        <v/>
      </c>
      <c r="G202" s="128">
        <f>_xlfn.IFNA(((VLOOKUP($C202,Code!$H:$Q,9,FALSE))+(VLOOKUP($C202,Code!$H:$Q,10,FALSE)))/2*0.5/(((VLOOKUP($C202,Code!$H:$Q,7,FALSE))+(VLOOKUP($C202,Code!$H:$Q,8,FALSE)))/2),0)</f>
        <v>0</v>
      </c>
      <c r="H202" s="87" t="str">
        <f t="shared" si="32"/>
        <v/>
      </c>
      <c r="I202" s="128">
        <f>_xlfn.IFNA((VLOOKUP($C202,Code!$H:$Q,5,FALSE))/(((VLOOKUP($C202,Code!$H:$Q,7,FALSE))+(VLOOKUP($C202,Code!$H:$Q,8,FALSE)))/2)-G202,0)</f>
        <v>0</v>
      </c>
      <c r="J202" s="55" t="str">
        <f>IFERROR(POWER((VLOOKUP(C202,Code!H:W,12,FALSE))/(VLOOKUP(C202,Code!H:W,15,FALSE)),1/(P202-1))-1,"")</f>
        <v/>
      </c>
      <c r="K202" s="55" t="str">
        <f>IFERROR(POWER((VLOOKUP(C202,Code!H:W,13,FALSE))/(VLOOKUP(C202,Code!H:W,16,FALSE)),1/(P202-1))-1,"")</f>
        <v/>
      </c>
      <c r="L202" s="75" t="str">
        <f>IFERROR(VLOOKUP(C202,Code!H:W,13,FALSE)*4/VLOOKUP(C202,Code!H:W,12,FALSE),"")</f>
        <v/>
      </c>
      <c r="M202" s="55" t="str">
        <f t="shared" si="33"/>
        <v/>
      </c>
      <c r="N202" s="55" t="str">
        <f t="shared" si="34"/>
        <v/>
      </c>
      <c r="O202" s="55" t="str">
        <f t="shared" si="35"/>
        <v/>
      </c>
      <c r="P202" s="196" t="str">
        <f>IFERROR(YEARFRAC(VLOOKUP(C202,Code!H:W,11,FALSE),VLOOKUP(C202,Code!H:W,14,FALSE),3),"")</f>
        <v/>
      </c>
      <c r="Q202" s="2"/>
      <c r="R202" s="85" t="str">
        <f t="shared" ca="1" si="36"/>
        <v/>
      </c>
      <c r="S202" s="86" t="str">
        <f>IFERROR(VLOOKUP($C202,Code!$H:$Q,5,FALSE),"")</f>
        <v/>
      </c>
      <c r="T202" s="88" t="str">
        <f t="shared" ca="1" si="37"/>
        <v/>
      </c>
      <c r="U202" s="89" t="str">
        <f t="shared" ca="1" si="38"/>
        <v/>
      </c>
      <c r="V202" s="90" t="str">
        <f>IFERROR(VLOOKUP($C202,Code!$H:$Q,6,FALSE),"")</f>
        <v/>
      </c>
      <c r="W202" s="91" t="str">
        <f t="shared" ca="1" si="39"/>
        <v/>
      </c>
      <c r="X202" s="12"/>
      <c r="Y202" s="12"/>
      <c r="Z202" s="12"/>
      <c r="AA202" s="12"/>
      <c r="AB202" s="12"/>
    </row>
    <row r="203" spans="1:28" s="10" customFormat="1" ht="15" hidden="1">
      <c r="A203" s="9"/>
      <c r="B203" s="137"/>
      <c r="C203" s="142"/>
      <c r="D203" s="82" t="str">
        <f>IFERROR(VLOOKUP($C203,Code!$H:$K,2,FALSE),"")</f>
        <v/>
      </c>
      <c r="E203" s="83" t="str">
        <f>IFERROR(VLOOKUP($C203,Code!$H:$K,3,FALSE),"")</f>
        <v/>
      </c>
      <c r="F203" s="84" t="str">
        <f>IFERROR(VLOOKUP($C203,Code!$H:$K,4,FALSE),"")</f>
        <v/>
      </c>
      <c r="G203" s="128">
        <f>_xlfn.IFNA(((VLOOKUP($C203,Code!$H:$Q,9,FALSE))+(VLOOKUP($C203,Code!$H:$Q,10,FALSE)))/2*0.5/(((VLOOKUP($C203,Code!$H:$Q,7,FALSE))+(VLOOKUP($C203,Code!$H:$Q,8,FALSE)))/2),0)</f>
        <v>0</v>
      </c>
      <c r="H203" s="87" t="str">
        <f t="shared" si="32"/>
        <v/>
      </c>
      <c r="I203" s="128">
        <f>_xlfn.IFNA((VLOOKUP($C203,Code!$H:$Q,5,FALSE))/(((VLOOKUP($C203,Code!$H:$Q,7,FALSE))+(VLOOKUP($C203,Code!$H:$Q,8,FALSE)))/2)-G203,0)</f>
        <v>0</v>
      </c>
      <c r="J203" s="55" t="str">
        <f>IFERROR(POWER((VLOOKUP(C203,Code!H:W,12,FALSE))/(VLOOKUP(C203,Code!H:W,15,FALSE)),1/(P203-1))-1,"")</f>
        <v/>
      </c>
      <c r="K203" s="55" t="str">
        <f>IFERROR(POWER((VLOOKUP(C203,Code!H:W,13,FALSE))/(VLOOKUP(C203,Code!H:W,16,FALSE)),1/(P203-1))-1,"")</f>
        <v/>
      </c>
      <c r="L203" s="75" t="str">
        <f>IFERROR(VLOOKUP(C203,Code!H:W,13,FALSE)*4/VLOOKUP(C203,Code!H:W,12,FALSE),"")</f>
        <v/>
      </c>
      <c r="M203" s="55" t="str">
        <f t="shared" si="33"/>
        <v/>
      </c>
      <c r="N203" s="55" t="str">
        <f t="shared" si="34"/>
        <v/>
      </c>
      <c r="O203" s="55" t="str">
        <f t="shared" si="35"/>
        <v/>
      </c>
      <c r="P203" s="196" t="str">
        <f>IFERROR(YEARFRAC(VLOOKUP(C203,Code!H:W,11,FALSE),VLOOKUP(C203,Code!H:W,14,FALSE),3),"")</f>
        <v/>
      </c>
      <c r="Q203" s="2"/>
      <c r="R203" s="85" t="str">
        <f t="shared" ca="1" si="36"/>
        <v/>
      </c>
      <c r="S203" s="86" t="str">
        <f>IFERROR(VLOOKUP($C203,Code!$H:$Q,5,FALSE),"")</f>
        <v/>
      </c>
      <c r="T203" s="88" t="str">
        <f t="shared" ca="1" si="37"/>
        <v/>
      </c>
      <c r="U203" s="89" t="str">
        <f t="shared" ca="1" si="38"/>
        <v/>
      </c>
      <c r="V203" s="90" t="str">
        <f>IFERROR(VLOOKUP($C203,Code!$H:$Q,6,FALSE),"")</f>
        <v/>
      </c>
      <c r="W203" s="91" t="str">
        <f t="shared" ca="1" si="39"/>
        <v/>
      </c>
      <c r="X203" s="12"/>
      <c r="Y203" s="12"/>
      <c r="Z203" s="12"/>
      <c r="AA203" s="12"/>
      <c r="AB203" s="12"/>
    </row>
    <row r="204" spans="1:28" s="10" customFormat="1" ht="15" hidden="1">
      <c r="A204" s="9"/>
      <c r="B204" s="137"/>
      <c r="C204" s="142"/>
      <c r="D204" s="82" t="str">
        <f>IFERROR(VLOOKUP($C204,Code!$H:$K,2,FALSE),"")</f>
        <v/>
      </c>
      <c r="E204" s="83" t="str">
        <f>IFERROR(VLOOKUP($C204,Code!$H:$K,3,FALSE),"")</f>
        <v/>
      </c>
      <c r="F204" s="84" t="str">
        <f>IFERROR(VLOOKUP($C204,Code!$H:$K,4,FALSE),"")</f>
        <v/>
      </c>
      <c r="G204" s="128">
        <f>_xlfn.IFNA(((VLOOKUP($C204,Code!$H:$Q,9,FALSE))+(VLOOKUP($C204,Code!$H:$Q,10,FALSE)))/2*0.5/(((VLOOKUP($C204,Code!$H:$Q,7,FALSE))+(VLOOKUP($C204,Code!$H:$Q,8,FALSE)))/2),0)</f>
        <v>0</v>
      </c>
      <c r="H204" s="87" t="str">
        <f t="shared" si="32"/>
        <v/>
      </c>
      <c r="I204" s="128">
        <f>_xlfn.IFNA((VLOOKUP($C204,Code!$H:$Q,5,FALSE))/(((VLOOKUP($C204,Code!$H:$Q,7,FALSE))+(VLOOKUP($C204,Code!$H:$Q,8,FALSE)))/2)-G204,0)</f>
        <v>0</v>
      </c>
      <c r="J204" s="55" t="str">
        <f>IFERROR(POWER((VLOOKUP(C204,Code!H:W,12,FALSE))/(VLOOKUP(C204,Code!H:W,15,FALSE)),1/(P204-1))-1,"")</f>
        <v/>
      </c>
      <c r="K204" s="55" t="str">
        <f>IFERROR(POWER((VLOOKUP(C204,Code!H:W,13,FALSE))/(VLOOKUP(C204,Code!H:W,16,FALSE)),1/(P204-1))-1,"")</f>
        <v/>
      </c>
      <c r="L204" s="75" t="str">
        <f>IFERROR(VLOOKUP(C204,Code!H:W,13,FALSE)*4/VLOOKUP(C204,Code!H:W,12,FALSE),"")</f>
        <v/>
      </c>
      <c r="M204" s="55" t="str">
        <f t="shared" si="33"/>
        <v/>
      </c>
      <c r="N204" s="55" t="str">
        <f t="shared" si="34"/>
        <v/>
      </c>
      <c r="O204" s="55" t="str">
        <f t="shared" si="35"/>
        <v/>
      </c>
      <c r="P204" s="196" t="str">
        <f>IFERROR(YEARFRAC(VLOOKUP(C204,Code!H:W,11,FALSE),VLOOKUP(C204,Code!H:W,14,FALSE),3),"")</f>
        <v/>
      </c>
      <c r="Q204" s="2"/>
      <c r="R204" s="85" t="str">
        <f t="shared" ca="1" si="36"/>
        <v/>
      </c>
      <c r="S204" s="86" t="str">
        <f>IFERROR(VLOOKUP($C204,Code!$H:$Q,5,FALSE),"")</f>
        <v/>
      </c>
      <c r="T204" s="88" t="str">
        <f t="shared" ca="1" si="37"/>
        <v/>
      </c>
      <c r="U204" s="89" t="str">
        <f t="shared" ca="1" si="38"/>
        <v/>
      </c>
      <c r="V204" s="90" t="str">
        <f>IFERROR(VLOOKUP($C204,Code!$H:$Q,6,FALSE),"")</f>
        <v/>
      </c>
      <c r="W204" s="91" t="str">
        <f t="shared" ca="1" si="39"/>
        <v/>
      </c>
      <c r="X204" s="12"/>
      <c r="Y204" s="12"/>
      <c r="Z204" s="12"/>
      <c r="AA204" s="12"/>
      <c r="AB204" s="12"/>
    </row>
    <row r="205" spans="1:28" s="10" customFormat="1" ht="15" hidden="1">
      <c r="A205" s="9"/>
      <c r="B205" s="137"/>
      <c r="C205" s="142"/>
      <c r="D205" s="82" t="str">
        <f>IFERROR(VLOOKUP($C205,Code!$H:$K,2,FALSE),"")</f>
        <v/>
      </c>
      <c r="E205" s="83" t="str">
        <f>IFERROR(VLOOKUP($C205,Code!$H:$K,3,FALSE),"")</f>
        <v/>
      </c>
      <c r="F205" s="84" t="str">
        <f>IFERROR(VLOOKUP($C205,Code!$H:$K,4,FALSE),"")</f>
        <v/>
      </c>
      <c r="G205" s="128">
        <f>_xlfn.IFNA(((VLOOKUP($C205,Code!$H:$Q,9,FALSE))+(VLOOKUP($C205,Code!$H:$Q,10,FALSE)))/2*0.5/(((VLOOKUP($C205,Code!$H:$Q,7,FALSE))+(VLOOKUP($C205,Code!$H:$Q,8,FALSE)))/2),0)</f>
        <v>0</v>
      </c>
      <c r="H205" s="87" t="str">
        <f t="shared" si="32"/>
        <v/>
      </c>
      <c r="I205" s="128">
        <f>_xlfn.IFNA((VLOOKUP($C205,Code!$H:$Q,5,FALSE))/(((VLOOKUP($C205,Code!$H:$Q,7,FALSE))+(VLOOKUP($C205,Code!$H:$Q,8,FALSE)))/2)-G205,0)</f>
        <v>0</v>
      </c>
      <c r="J205" s="55" t="str">
        <f>IFERROR(POWER((VLOOKUP(C205,Code!H:W,12,FALSE))/(VLOOKUP(C205,Code!H:W,15,FALSE)),1/(P205-1))-1,"")</f>
        <v/>
      </c>
      <c r="K205" s="55" t="str">
        <f>IFERROR(POWER((VLOOKUP(C205,Code!H:W,13,FALSE))/(VLOOKUP(C205,Code!H:W,16,FALSE)),1/(P205-1))-1,"")</f>
        <v/>
      </c>
      <c r="L205" s="75" t="str">
        <f>IFERROR(VLOOKUP(C205,Code!H:W,13,FALSE)*4/VLOOKUP(C205,Code!H:W,12,FALSE),"")</f>
        <v/>
      </c>
      <c r="M205" s="55" t="str">
        <f t="shared" si="33"/>
        <v/>
      </c>
      <c r="N205" s="55" t="str">
        <f t="shared" si="34"/>
        <v/>
      </c>
      <c r="O205" s="55" t="str">
        <f t="shared" si="35"/>
        <v/>
      </c>
      <c r="P205" s="196" t="str">
        <f>IFERROR(YEARFRAC(VLOOKUP(C205,Code!H:W,11,FALSE),VLOOKUP(C205,Code!H:W,14,FALSE),3),"")</f>
        <v/>
      </c>
      <c r="Q205" s="2"/>
      <c r="R205" s="85" t="str">
        <f t="shared" ca="1" si="36"/>
        <v/>
      </c>
      <c r="S205" s="86" t="str">
        <f>IFERROR(VLOOKUP($C205,Code!$H:$Q,5,FALSE),"")</f>
        <v/>
      </c>
      <c r="T205" s="88" t="str">
        <f t="shared" ca="1" si="37"/>
        <v/>
      </c>
      <c r="U205" s="89" t="str">
        <f t="shared" ca="1" si="38"/>
        <v/>
      </c>
      <c r="V205" s="90" t="str">
        <f>IFERROR(VLOOKUP($C205,Code!$H:$Q,6,FALSE),"")</f>
        <v/>
      </c>
      <c r="W205" s="91" t="str">
        <f t="shared" ca="1" si="39"/>
        <v/>
      </c>
      <c r="X205" s="12"/>
      <c r="Y205" s="12"/>
      <c r="Z205" s="12"/>
      <c r="AA205" s="12"/>
      <c r="AB205" s="12"/>
    </row>
    <row r="206" spans="1:28" s="10" customFormat="1" ht="15" hidden="1">
      <c r="A206" s="9"/>
      <c r="B206" s="137"/>
      <c r="C206" s="142"/>
      <c r="D206" s="82" t="str">
        <f>IFERROR(VLOOKUP($C206,Code!$H:$K,2,FALSE),"")</f>
        <v/>
      </c>
      <c r="E206" s="83" t="str">
        <f>IFERROR(VLOOKUP($C206,Code!$H:$K,3,FALSE),"")</f>
        <v/>
      </c>
      <c r="F206" s="84" t="str">
        <f>IFERROR(VLOOKUP($C206,Code!$H:$K,4,FALSE),"")</f>
        <v/>
      </c>
      <c r="G206" s="128">
        <f>_xlfn.IFNA(((VLOOKUP($C206,Code!$H:$Q,9,FALSE))+(VLOOKUP($C206,Code!$H:$Q,10,FALSE)))/2*0.5/(((VLOOKUP($C206,Code!$H:$Q,7,FALSE))+(VLOOKUP($C206,Code!$H:$Q,8,FALSE)))/2),0)</f>
        <v>0</v>
      </c>
      <c r="H206" s="87" t="str">
        <f t="shared" si="32"/>
        <v/>
      </c>
      <c r="I206" s="128">
        <f>_xlfn.IFNA((VLOOKUP($C206,Code!$H:$Q,5,FALSE))/(((VLOOKUP($C206,Code!$H:$Q,7,FALSE))+(VLOOKUP($C206,Code!$H:$Q,8,FALSE)))/2)-G206,0)</f>
        <v>0</v>
      </c>
      <c r="J206" s="55" t="str">
        <f>IFERROR(POWER((VLOOKUP(C206,Code!H:W,12,FALSE))/(VLOOKUP(C206,Code!H:W,15,FALSE)),1/(P206-1))-1,"")</f>
        <v/>
      </c>
      <c r="K206" s="55" t="str">
        <f>IFERROR(POWER((VLOOKUP(C206,Code!H:W,13,FALSE))/(VLOOKUP(C206,Code!H:W,16,FALSE)),1/(P206-1))-1,"")</f>
        <v/>
      </c>
      <c r="L206" s="75" t="str">
        <f>IFERROR(VLOOKUP(C206,Code!H:W,13,FALSE)*4/VLOOKUP(C206,Code!H:W,12,FALSE),"")</f>
        <v/>
      </c>
      <c r="M206" s="55" t="str">
        <f t="shared" si="33"/>
        <v/>
      </c>
      <c r="N206" s="55" t="str">
        <f t="shared" si="34"/>
        <v/>
      </c>
      <c r="O206" s="55" t="str">
        <f t="shared" si="35"/>
        <v/>
      </c>
      <c r="P206" s="196" t="str">
        <f>IFERROR(YEARFRAC(VLOOKUP(C206,Code!H:W,11,FALSE),VLOOKUP(C206,Code!H:W,14,FALSE),3),"")</f>
        <v/>
      </c>
      <c r="Q206" s="2"/>
      <c r="R206" s="85" t="str">
        <f t="shared" ca="1" si="36"/>
        <v/>
      </c>
      <c r="S206" s="86" t="str">
        <f>IFERROR(VLOOKUP($C206,Code!$H:$Q,5,FALSE),"")</f>
        <v/>
      </c>
      <c r="T206" s="88" t="str">
        <f t="shared" ca="1" si="37"/>
        <v/>
      </c>
      <c r="U206" s="89" t="str">
        <f t="shared" ca="1" si="38"/>
        <v/>
      </c>
      <c r="V206" s="90" t="str">
        <f>IFERROR(VLOOKUP($C206,Code!$H:$Q,6,FALSE),"")</f>
        <v/>
      </c>
      <c r="W206" s="91" t="str">
        <f t="shared" ca="1" si="39"/>
        <v/>
      </c>
      <c r="X206" s="12"/>
      <c r="Y206" s="12"/>
      <c r="Z206" s="12"/>
      <c r="AA206" s="12"/>
      <c r="AB206" s="12"/>
    </row>
    <row r="207" spans="1:28" s="10" customFormat="1" ht="15" hidden="1">
      <c r="A207" s="9"/>
      <c r="B207" s="137"/>
      <c r="C207" s="142"/>
      <c r="D207" s="82" t="str">
        <f>IFERROR(VLOOKUP($C207,Code!$H:$K,2,FALSE),"")</f>
        <v/>
      </c>
      <c r="E207" s="83" t="str">
        <f>IFERROR(VLOOKUP($C207,Code!$H:$K,3,FALSE),"")</f>
        <v/>
      </c>
      <c r="F207" s="84" t="str">
        <f>IFERROR(VLOOKUP($C207,Code!$H:$K,4,FALSE),"")</f>
        <v/>
      </c>
      <c r="G207" s="128">
        <f>_xlfn.IFNA(((VLOOKUP($C207,Code!$H:$Q,9,FALSE))+(VLOOKUP($C207,Code!$H:$Q,10,FALSE)))/2*0.5/(((VLOOKUP($C207,Code!$H:$Q,7,FALSE))+(VLOOKUP($C207,Code!$H:$Q,8,FALSE)))/2),0)</f>
        <v>0</v>
      </c>
      <c r="H207" s="87" t="str">
        <f t="shared" si="32"/>
        <v/>
      </c>
      <c r="I207" s="128">
        <f>_xlfn.IFNA((VLOOKUP($C207,Code!$H:$Q,5,FALSE))/(((VLOOKUP($C207,Code!$H:$Q,7,FALSE))+(VLOOKUP($C207,Code!$H:$Q,8,FALSE)))/2)-G207,0)</f>
        <v>0</v>
      </c>
      <c r="J207" s="55" t="str">
        <f>IFERROR(POWER((VLOOKUP(C207,Code!H:W,12,FALSE))/(VLOOKUP(C207,Code!H:W,15,FALSE)),1/(P207-1))-1,"")</f>
        <v/>
      </c>
      <c r="K207" s="55" t="str">
        <f>IFERROR(POWER((VLOOKUP(C207,Code!H:W,13,FALSE))/(VLOOKUP(C207,Code!H:W,16,FALSE)),1/(P207-1))-1,"")</f>
        <v/>
      </c>
      <c r="L207" s="75" t="str">
        <f>IFERROR(VLOOKUP(C207,Code!H:W,13,FALSE)*4/VLOOKUP(C207,Code!H:W,12,FALSE),"")</f>
        <v/>
      </c>
      <c r="M207" s="55" t="str">
        <f t="shared" si="33"/>
        <v/>
      </c>
      <c r="N207" s="55" t="str">
        <f t="shared" si="34"/>
        <v/>
      </c>
      <c r="O207" s="55" t="str">
        <f t="shared" si="35"/>
        <v/>
      </c>
      <c r="P207" s="196" t="str">
        <f>IFERROR(YEARFRAC(VLOOKUP(C207,Code!H:W,11,FALSE),VLOOKUP(C207,Code!H:W,14,FALSE),3),"")</f>
        <v/>
      </c>
      <c r="Q207" s="2"/>
      <c r="R207" s="85" t="str">
        <f t="shared" ca="1" si="36"/>
        <v/>
      </c>
      <c r="S207" s="86" t="str">
        <f>IFERROR(VLOOKUP($C207,Code!$H:$Q,5,FALSE),"")</f>
        <v/>
      </c>
      <c r="T207" s="88" t="str">
        <f t="shared" ca="1" si="37"/>
        <v/>
      </c>
      <c r="U207" s="89" t="str">
        <f t="shared" ca="1" si="38"/>
        <v/>
      </c>
      <c r="V207" s="90" t="str">
        <f>IFERROR(VLOOKUP($C207,Code!$H:$Q,6,FALSE),"")</f>
        <v/>
      </c>
      <c r="W207" s="91" t="str">
        <f t="shared" ca="1" si="39"/>
        <v/>
      </c>
      <c r="X207" s="12"/>
      <c r="Y207" s="12"/>
      <c r="Z207" s="12"/>
      <c r="AA207" s="12"/>
      <c r="AB207" s="12"/>
    </row>
    <row r="208" spans="1:28" s="10" customFormat="1" ht="15" hidden="1">
      <c r="A208" s="9"/>
      <c r="B208" s="137"/>
      <c r="C208" s="142"/>
      <c r="D208" s="82" t="str">
        <f>IFERROR(VLOOKUP($C208,Code!$H:$K,2,FALSE),"")</f>
        <v/>
      </c>
      <c r="E208" s="83" t="str">
        <f>IFERROR(VLOOKUP($C208,Code!$H:$K,3,FALSE),"")</f>
        <v/>
      </c>
      <c r="F208" s="84" t="str">
        <f>IFERROR(VLOOKUP($C208,Code!$H:$K,4,FALSE),"")</f>
        <v/>
      </c>
      <c r="G208" s="128">
        <f>_xlfn.IFNA(((VLOOKUP($C208,Code!$H:$Q,9,FALSE))+(VLOOKUP($C208,Code!$H:$Q,10,FALSE)))/2*0.5/(((VLOOKUP($C208,Code!$H:$Q,7,FALSE))+(VLOOKUP($C208,Code!$H:$Q,8,FALSE)))/2),0)</f>
        <v>0</v>
      </c>
      <c r="H208" s="87" t="str">
        <f t="shared" si="32"/>
        <v/>
      </c>
      <c r="I208" s="128">
        <f>_xlfn.IFNA((VLOOKUP($C208,Code!$H:$Q,5,FALSE))/(((VLOOKUP($C208,Code!$H:$Q,7,FALSE))+(VLOOKUP($C208,Code!$H:$Q,8,FALSE)))/2)-G208,0)</f>
        <v>0</v>
      </c>
      <c r="J208" s="55" t="str">
        <f>IFERROR(POWER((VLOOKUP(C208,Code!H:W,12,FALSE))/(VLOOKUP(C208,Code!H:W,15,FALSE)),1/(P208-1))-1,"")</f>
        <v/>
      </c>
      <c r="K208" s="55" t="str">
        <f>IFERROR(POWER((VLOOKUP(C208,Code!H:W,13,FALSE))/(VLOOKUP(C208,Code!H:W,16,FALSE)),1/(P208-1))-1,"")</f>
        <v/>
      </c>
      <c r="L208" s="75" t="str">
        <f>IFERROR(VLOOKUP(C208,Code!H:W,13,FALSE)*4/VLOOKUP(C208,Code!H:W,12,FALSE),"")</f>
        <v/>
      </c>
      <c r="M208" s="55" t="str">
        <f t="shared" si="33"/>
        <v/>
      </c>
      <c r="N208" s="55" t="str">
        <f t="shared" si="34"/>
        <v/>
      </c>
      <c r="O208" s="55" t="str">
        <f t="shared" si="35"/>
        <v/>
      </c>
      <c r="P208" s="196" t="str">
        <f>IFERROR(YEARFRAC(VLOOKUP(C208,Code!H:W,11,FALSE),VLOOKUP(C208,Code!H:W,14,FALSE),3),"")</f>
        <v/>
      </c>
      <c r="Q208" s="2"/>
      <c r="R208" s="85" t="str">
        <f t="shared" ca="1" si="36"/>
        <v/>
      </c>
      <c r="S208" s="86" t="str">
        <f>IFERROR(VLOOKUP($C208,Code!$H:$Q,5,FALSE),"")</f>
        <v/>
      </c>
      <c r="T208" s="88" t="str">
        <f t="shared" ca="1" si="37"/>
        <v/>
      </c>
      <c r="U208" s="89" t="str">
        <f t="shared" ca="1" si="38"/>
        <v/>
      </c>
      <c r="V208" s="90" t="str">
        <f>IFERROR(VLOOKUP($C208,Code!$H:$Q,6,FALSE),"")</f>
        <v/>
      </c>
      <c r="W208" s="91" t="str">
        <f t="shared" ca="1" si="39"/>
        <v/>
      </c>
      <c r="X208" s="12"/>
      <c r="Y208" s="12"/>
      <c r="Z208" s="12"/>
      <c r="AA208" s="12"/>
      <c r="AB208" s="12"/>
    </row>
    <row r="209" spans="1:28" s="10" customFormat="1" ht="15" hidden="1">
      <c r="A209" s="9"/>
      <c r="B209" s="137"/>
      <c r="C209" s="142"/>
      <c r="D209" s="82" t="str">
        <f>IFERROR(VLOOKUP($C209,Code!$H:$K,2,FALSE),"")</f>
        <v/>
      </c>
      <c r="E209" s="83" t="str">
        <f>IFERROR(VLOOKUP($C209,Code!$H:$K,3,FALSE),"")</f>
        <v/>
      </c>
      <c r="F209" s="84" t="str">
        <f>IFERROR(VLOOKUP($C209,Code!$H:$K,4,FALSE),"")</f>
        <v/>
      </c>
      <c r="G209" s="128">
        <f>_xlfn.IFNA(((VLOOKUP($C209,Code!$H:$Q,9,FALSE))+(VLOOKUP($C209,Code!$H:$Q,10,FALSE)))/2*0.5/(((VLOOKUP($C209,Code!$H:$Q,7,FALSE))+(VLOOKUP($C209,Code!$H:$Q,8,FALSE)))/2),0)</f>
        <v>0</v>
      </c>
      <c r="H209" s="87" t="str">
        <f t="shared" si="32"/>
        <v/>
      </c>
      <c r="I209" s="128">
        <f>_xlfn.IFNA((VLOOKUP($C209,Code!$H:$Q,5,FALSE))/(((VLOOKUP($C209,Code!$H:$Q,7,FALSE))+(VLOOKUP($C209,Code!$H:$Q,8,FALSE)))/2)-G209,0)</f>
        <v>0</v>
      </c>
      <c r="J209" s="55" t="str">
        <f>IFERROR(POWER((VLOOKUP(C209,Code!H:W,12,FALSE))/(VLOOKUP(C209,Code!H:W,15,FALSE)),1/(P209-1))-1,"")</f>
        <v/>
      </c>
      <c r="K209" s="55" t="str">
        <f>IFERROR(POWER((VLOOKUP(C209,Code!H:W,13,FALSE))/(VLOOKUP(C209,Code!H:W,16,FALSE)),1/(P209-1))-1,"")</f>
        <v/>
      </c>
      <c r="L209" s="75" t="str">
        <f>IFERROR(VLOOKUP(C209,Code!H:W,13,FALSE)*4/VLOOKUP(C209,Code!H:W,12,FALSE),"")</f>
        <v/>
      </c>
      <c r="M209" s="55" t="str">
        <f t="shared" si="33"/>
        <v/>
      </c>
      <c r="N209" s="55" t="str">
        <f t="shared" si="34"/>
        <v/>
      </c>
      <c r="O209" s="55" t="str">
        <f t="shared" si="35"/>
        <v/>
      </c>
      <c r="P209" s="196" t="str">
        <f>IFERROR(YEARFRAC(VLOOKUP(C209,Code!H:W,11,FALSE),VLOOKUP(C209,Code!H:W,14,FALSE),3),"")</f>
        <v/>
      </c>
      <c r="Q209" s="2"/>
      <c r="R209" s="85" t="str">
        <f t="shared" ca="1" si="36"/>
        <v/>
      </c>
      <c r="S209" s="86" t="str">
        <f>IFERROR(VLOOKUP($C209,Code!$H:$Q,5,FALSE),"")</f>
        <v/>
      </c>
      <c r="T209" s="88" t="str">
        <f t="shared" ca="1" si="37"/>
        <v/>
      </c>
      <c r="U209" s="89" t="str">
        <f t="shared" ca="1" si="38"/>
        <v/>
      </c>
      <c r="V209" s="90" t="str">
        <f>IFERROR(VLOOKUP($C209,Code!$H:$Q,6,FALSE),"")</f>
        <v/>
      </c>
      <c r="W209" s="91" t="str">
        <f t="shared" ca="1" si="39"/>
        <v/>
      </c>
      <c r="X209" s="12"/>
      <c r="Y209" s="12"/>
      <c r="Z209" s="12"/>
      <c r="AA209" s="12"/>
      <c r="AB209" s="12"/>
    </row>
    <row r="210" spans="1:28" s="10" customFormat="1" ht="15" hidden="1">
      <c r="A210" s="9"/>
      <c r="B210" s="137"/>
      <c r="C210" s="142"/>
      <c r="D210" s="82" t="str">
        <f>IFERROR(VLOOKUP($C210,Code!$H:$K,2,FALSE),"")</f>
        <v/>
      </c>
      <c r="E210" s="83" t="str">
        <f>IFERROR(VLOOKUP($C210,Code!$H:$K,3,FALSE),"")</f>
        <v/>
      </c>
      <c r="F210" s="84" t="str">
        <f>IFERROR(VLOOKUP($C210,Code!$H:$K,4,FALSE),"")</f>
        <v/>
      </c>
      <c r="G210" s="128">
        <f>_xlfn.IFNA(((VLOOKUP($C210,Code!$H:$Q,9,FALSE))+(VLOOKUP($C210,Code!$H:$Q,10,FALSE)))/2*0.5/(((VLOOKUP($C210,Code!$H:$Q,7,FALSE))+(VLOOKUP($C210,Code!$H:$Q,8,FALSE)))/2),0)</f>
        <v>0</v>
      </c>
      <c r="H210" s="87" t="str">
        <f t="shared" si="32"/>
        <v/>
      </c>
      <c r="I210" s="128">
        <f>_xlfn.IFNA((VLOOKUP($C210,Code!$H:$Q,5,FALSE))/(((VLOOKUP($C210,Code!$H:$Q,7,FALSE))+(VLOOKUP($C210,Code!$H:$Q,8,FALSE)))/2)-G210,0)</f>
        <v>0</v>
      </c>
      <c r="J210" s="55" t="str">
        <f>IFERROR(POWER((VLOOKUP(C210,Code!H:W,12,FALSE))/(VLOOKUP(C210,Code!H:W,15,FALSE)),1/(P210-1))-1,"")</f>
        <v/>
      </c>
      <c r="K210" s="55" t="str">
        <f>IFERROR(POWER((VLOOKUP(C210,Code!H:W,13,FALSE))/(VLOOKUP(C210,Code!H:W,16,FALSE)),1/(P210-1))-1,"")</f>
        <v/>
      </c>
      <c r="L210" s="75" t="str">
        <f>IFERROR(VLOOKUP(C210,Code!H:W,13,FALSE)*4/VLOOKUP(C210,Code!H:W,12,FALSE),"")</f>
        <v/>
      </c>
      <c r="M210" s="55" t="str">
        <f t="shared" si="33"/>
        <v/>
      </c>
      <c r="N210" s="55" t="str">
        <f t="shared" si="34"/>
        <v/>
      </c>
      <c r="O210" s="55" t="str">
        <f t="shared" si="35"/>
        <v/>
      </c>
      <c r="P210" s="196" t="str">
        <f>IFERROR(YEARFRAC(VLOOKUP(C210,Code!H:W,11,FALSE),VLOOKUP(C210,Code!H:W,14,FALSE),3),"")</f>
        <v/>
      </c>
      <c r="Q210" s="2"/>
      <c r="R210" s="85" t="str">
        <f t="shared" ca="1" si="36"/>
        <v/>
      </c>
      <c r="S210" s="86" t="str">
        <f>IFERROR(VLOOKUP($C210,Code!$H:$Q,5,FALSE),"")</f>
        <v/>
      </c>
      <c r="T210" s="88" t="str">
        <f t="shared" ca="1" si="37"/>
        <v/>
      </c>
      <c r="U210" s="89" t="str">
        <f t="shared" ca="1" si="38"/>
        <v/>
      </c>
      <c r="V210" s="90" t="str">
        <f>IFERROR(VLOOKUP($C210,Code!$H:$Q,6,FALSE),"")</f>
        <v/>
      </c>
      <c r="W210" s="91" t="str">
        <f t="shared" ca="1" si="39"/>
        <v/>
      </c>
      <c r="X210" s="12"/>
      <c r="Y210" s="12"/>
      <c r="Z210" s="12"/>
      <c r="AA210" s="12"/>
      <c r="AB210" s="12"/>
    </row>
    <row r="211" spans="1:28" s="10" customFormat="1" ht="15" hidden="1">
      <c r="A211" s="9"/>
      <c r="B211" s="137"/>
      <c r="C211" s="142"/>
      <c r="D211" s="82" t="str">
        <f>IFERROR(VLOOKUP($C211,Code!$H:$K,2,FALSE),"")</f>
        <v/>
      </c>
      <c r="E211" s="83" t="str">
        <f>IFERROR(VLOOKUP($C211,Code!$H:$K,3,FALSE),"")</f>
        <v/>
      </c>
      <c r="F211" s="84" t="str">
        <f>IFERROR(VLOOKUP($C211,Code!$H:$K,4,FALSE),"")</f>
        <v/>
      </c>
      <c r="G211" s="128">
        <f>_xlfn.IFNA(((VLOOKUP($C211,Code!$H:$Q,9,FALSE))+(VLOOKUP($C211,Code!$H:$Q,10,FALSE)))/2*0.5/(((VLOOKUP($C211,Code!$H:$Q,7,FALSE))+(VLOOKUP($C211,Code!$H:$Q,8,FALSE)))/2),0)</f>
        <v>0</v>
      </c>
      <c r="H211" s="87" t="str">
        <f t="shared" si="32"/>
        <v/>
      </c>
      <c r="I211" s="128">
        <f>_xlfn.IFNA((VLOOKUP($C211,Code!$H:$Q,5,FALSE))/(((VLOOKUP($C211,Code!$H:$Q,7,FALSE))+(VLOOKUP($C211,Code!$H:$Q,8,FALSE)))/2)-G211,0)</f>
        <v>0</v>
      </c>
      <c r="J211" s="55" t="str">
        <f>IFERROR(POWER((VLOOKUP(C211,Code!H:W,12,FALSE))/(VLOOKUP(C211,Code!H:W,15,FALSE)),1/(P211-1))-1,"")</f>
        <v/>
      </c>
      <c r="K211" s="55" t="str">
        <f>IFERROR(POWER((VLOOKUP(C211,Code!H:W,13,FALSE))/(VLOOKUP(C211,Code!H:W,16,FALSE)),1/(P211-1))-1,"")</f>
        <v/>
      </c>
      <c r="L211" s="75" t="str">
        <f>IFERROR(VLOOKUP(C211,Code!H:W,13,FALSE)*4/VLOOKUP(C211,Code!H:W,12,FALSE),"")</f>
        <v/>
      </c>
      <c r="M211" s="55" t="str">
        <f t="shared" si="33"/>
        <v/>
      </c>
      <c r="N211" s="55" t="str">
        <f t="shared" si="34"/>
        <v/>
      </c>
      <c r="O211" s="55" t="str">
        <f t="shared" si="35"/>
        <v/>
      </c>
      <c r="P211" s="196" t="str">
        <f>IFERROR(YEARFRAC(VLOOKUP(C211,Code!H:W,11,FALSE),VLOOKUP(C211,Code!H:W,14,FALSE),3),"")</f>
        <v/>
      </c>
      <c r="Q211" s="2"/>
      <c r="R211" s="85" t="str">
        <f t="shared" ca="1" si="36"/>
        <v/>
      </c>
      <c r="S211" s="86" t="str">
        <f>IFERROR(VLOOKUP($C211,Code!$H:$Q,5,FALSE),"")</f>
        <v/>
      </c>
      <c r="T211" s="88" t="str">
        <f t="shared" ca="1" si="37"/>
        <v/>
      </c>
      <c r="U211" s="89" t="str">
        <f t="shared" ca="1" si="38"/>
        <v/>
      </c>
      <c r="V211" s="90" t="str">
        <f>IFERROR(VLOOKUP($C211,Code!$H:$Q,6,FALSE),"")</f>
        <v/>
      </c>
      <c r="W211" s="91" t="str">
        <f t="shared" ca="1" si="39"/>
        <v/>
      </c>
      <c r="X211" s="12"/>
      <c r="Y211" s="12"/>
      <c r="Z211" s="12"/>
      <c r="AA211" s="12"/>
      <c r="AB211" s="12"/>
    </row>
    <row r="212" spans="1:28" s="10" customFormat="1" ht="15" hidden="1">
      <c r="A212" s="9"/>
      <c r="B212" s="137"/>
      <c r="C212" s="142"/>
      <c r="D212" s="82" t="str">
        <f>IFERROR(VLOOKUP($C212,Code!$H:$K,2,FALSE),"")</f>
        <v/>
      </c>
      <c r="E212" s="83" t="str">
        <f>IFERROR(VLOOKUP($C212,Code!$H:$K,3,FALSE),"")</f>
        <v/>
      </c>
      <c r="F212" s="84" t="str">
        <f>IFERROR(VLOOKUP($C212,Code!$H:$K,4,FALSE),"")</f>
        <v/>
      </c>
      <c r="G212" s="128">
        <f>_xlfn.IFNA(((VLOOKUP($C212,Code!$H:$Q,9,FALSE))+(VLOOKUP($C212,Code!$H:$Q,10,FALSE)))/2*0.5/(((VLOOKUP($C212,Code!$H:$Q,7,FALSE))+(VLOOKUP($C212,Code!$H:$Q,8,FALSE)))/2),0)</f>
        <v>0</v>
      </c>
      <c r="H212" s="87" t="str">
        <f t="shared" si="32"/>
        <v/>
      </c>
      <c r="I212" s="128">
        <f>_xlfn.IFNA((VLOOKUP($C212,Code!$H:$Q,5,FALSE))/(((VLOOKUP($C212,Code!$H:$Q,7,FALSE))+(VLOOKUP($C212,Code!$H:$Q,8,FALSE)))/2)-G212,0)</f>
        <v>0</v>
      </c>
      <c r="J212" s="55" t="str">
        <f>IFERROR(POWER((VLOOKUP(C212,Code!H:W,12,FALSE))/(VLOOKUP(C212,Code!H:W,15,FALSE)),1/(P212-1))-1,"")</f>
        <v/>
      </c>
      <c r="K212" s="55" t="str">
        <f>IFERROR(POWER((VLOOKUP(C212,Code!H:W,13,FALSE))/(VLOOKUP(C212,Code!H:W,16,FALSE)),1/(P212-1))-1,"")</f>
        <v/>
      </c>
      <c r="L212" s="75" t="str">
        <f>IFERROR(VLOOKUP(C212,Code!H:W,13,FALSE)*4/VLOOKUP(C212,Code!H:W,12,FALSE),"")</f>
        <v/>
      </c>
      <c r="M212" s="55" t="str">
        <f t="shared" si="33"/>
        <v/>
      </c>
      <c r="N212" s="55" t="str">
        <f t="shared" si="34"/>
        <v/>
      </c>
      <c r="O212" s="55" t="str">
        <f t="shared" si="35"/>
        <v/>
      </c>
      <c r="P212" s="196" t="str">
        <f>IFERROR(YEARFRAC(VLOOKUP(C212,Code!H:W,11,FALSE),VLOOKUP(C212,Code!H:W,14,FALSE),3),"")</f>
        <v/>
      </c>
      <c r="Q212" s="2"/>
      <c r="R212" s="85" t="str">
        <f t="shared" ca="1" si="36"/>
        <v/>
      </c>
      <c r="S212" s="86" t="str">
        <f>IFERROR(VLOOKUP($C212,Code!$H:$Q,5,FALSE),"")</f>
        <v/>
      </c>
      <c r="T212" s="88" t="str">
        <f t="shared" ca="1" si="37"/>
        <v/>
      </c>
      <c r="U212" s="89" t="str">
        <f t="shared" ca="1" si="38"/>
        <v/>
      </c>
      <c r="V212" s="90" t="str">
        <f>IFERROR(VLOOKUP($C212,Code!$H:$Q,6,FALSE),"")</f>
        <v/>
      </c>
      <c r="W212" s="91" t="str">
        <f t="shared" ca="1" si="39"/>
        <v/>
      </c>
      <c r="X212" s="12"/>
      <c r="Y212" s="12"/>
      <c r="Z212" s="12"/>
      <c r="AA212" s="12"/>
      <c r="AB212" s="12"/>
    </row>
    <row r="213" spans="1:28" s="10" customFormat="1" ht="15" hidden="1">
      <c r="A213" s="9"/>
      <c r="B213" s="137"/>
      <c r="C213" s="142"/>
      <c r="D213" s="82" t="str">
        <f>IFERROR(VLOOKUP($C213,Code!$H:$K,2,FALSE),"")</f>
        <v/>
      </c>
      <c r="E213" s="83" t="str">
        <f>IFERROR(VLOOKUP($C213,Code!$H:$K,3,FALSE),"")</f>
        <v/>
      </c>
      <c r="F213" s="84" t="str">
        <f>IFERROR(VLOOKUP($C213,Code!$H:$K,4,FALSE),"")</f>
        <v/>
      </c>
      <c r="G213" s="128">
        <f>_xlfn.IFNA(((VLOOKUP($C213,Code!$H:$Q,9,FALSE))+(VLOOKUP($C213,Code!$H:$Q,10,FALSE)))/2*0.5/(((VLOOKUP($C213,Code!$H:$Q,7,FALSE))+(VLOOKUP($C213,Code!$H:$Q,8,FALSE)))/2),0)</f>
        <v>0</v>
      </c>
      <c r="H213" s="87" t="str">
        <f t="shared" si="32"/>
        <v/>
      </c>
      <c r="I213" s="128">
        <f>_xlfn.IFNA((VLOOKUP($C213,Code!$H:$Q,5,FALSE))/(((VLOOKUP($C213,Code!$H:$Q,7,FALSE))+(VLOOKUP($C213,Code!$H:$Q,8,FALSE)))/2)-G213,0)</f>
        <v>0</v>
      </c>
      <c r="J213" s="55" t="str">
        <f>IFERROR(POWER((VLOOKUP(C213,Code!H:W,12,FALSE))/(VLOOKUP(C213,Code!H:W,15,FALSE)),1/(P213-1))-1,"")</f>
        <v/>
      </c>
      <c r="K213" s="55" t="str">
        <f>IFERROR(POWER((VLOOKUP(C213,Code!H:W,13,FALSE))/(VLOOKUP(C213,Code!H:W,16,FALSE)),1/(P213-1))-1,"")</f>
        <v/>
      </c>
      <c r="L213" s="75" t="str">
        <f>IFERROR(VLOOKUP(C213,Code!H:W,13,FALSE)*4/VLOOKUP(C213,Code!H:W,12,FALSE),"")</f>
        <v/>
      </c>
      <c r="M213" s="55" t="str">
        <f t="shared" si="33"/>
        <v/>
      </c>
      <c r="N213" s="55" t="str">
        <f t="shared" si="34"/>
        <v/>
      </c>
      <c r="O213" s="55" t="str">
        <f t="shared" si="35"/>
        <v/>
      </c>
      <c r="P213" s="196" t="str">
        <f>IFERROR(YEARFRAC(VLOOKUP(C213,Code!H:W,11,FALSE),VLOOKUP(C213,Code!H:W,14,FALSE),3),"")</f>
        <v/>
      </c>
      <c r="Q213" s="2"/>
      <c r="R213" s="85" t="str">
        <f t="shared" ca="1" si="36"/>
        <v/>
      </c>
      <c r="S213" s="86" t="str">
        <f>IFERROR(VLOOKUP($C213,Code!$H:$Q,5,FALSE),"")</f>
        <v/>
      </c>
      <c r="T213" s="88" t="str">
        <f t="shared" ca="1" si="37"/>
        <v/>
      </c>
      <c r="U213" s="89" t="str">
        <f t="shared" ca="1" si="38"/>
        <v/>
      </c>
      <c r="V213" s="90" t="str">
        <f>IFERROR(VLOOKUP($C213,Code!$H:$Q,6,FALSE),"")</f>
        <v/>
      </c>
      <c r="W213" s="91" t="str">
        <f t="shared" ca="1" si="39"/>
        <v/>
      </c>
      <c r="X213" s="12"/>
      <c r="Y213" s="12"/>
      <c r="Z213" s="12"/>
      <c r="AA213" s="12"/>
      <c r="AB213" s="12"/>
    </row>
    <row r="214" spans="1:28" s="10" customFormat="1" ht="15" hidden="1">
      <c r="A214" s="9"/>
      <c r="B214" s="137"/>
      <c r="C214" s="142"/>
      <c r="D214" s="82" t="str">
        <f>IFERROR(VLOOKUP($C214,Code!$H:$K,2,FALSE),"")</f>
        <v/>
      </c>
      <c r="E214" s="83" t="str">
        <f>IFERROR(VLOOKUP($C214,Code!$H:$K,3,FALSE),"")</f>
        <v/>
      </c>
      <c r="F214" s="84" t="str">
        <f>IFERROR(VLOOKUP($C214,Code!$H:$K,4,FALSE),"")</f>
        <v/>
      </c>
      <c r="G214" s="128">
        <f>_xlfn.IFNA(((VLOOKUP($C214,Code!$H:$Q,9,FALSE))+(VLOOKUP($C214,Code!$H:$Q,10,FALSE)))/2*0.5/(((VLOOKUP($C214,Code!$H:$Q,7,FALSE))+(VLOOKUP($C214,Code!$H:$Q,8,FALSE)))/2),0)</f>
        <v>0</v>
      </c>
      <c r="H214" s="87" t="str">
        <f t="shared" si="32"/>
        <v/>
      </c>
      <c r="I214" s="128">
        <f>_xlfn.IFNA((VLOOKUP($C214,Code!$H:$Q,5,FALSE))/(((VLOOKUP($C214,Code!$H:$Q,7,FALSE))+(VLOOKUP($C214,Code!$H:$Q,8,FALSE)))/2)-G214,0)</f>
        <v>0</v>
      </c>
      <c r="J214" s="55" t="str">
        <f>IFERROR(POWER((VLOOKUP(C214,Code!H:W,12,FALSE))/(VLOOKUP(C214,Code!H:W,15,FALSE)),1/(P214-1))-1,"")</f>
        <v/>
      </c>
      <c r="K214" s="55" t="str">
        <f>IFERROR(POWER((VLOOKUP(C214,Code!H:W,13,FALSE))/(VLOOKUP(C214,Code!H:W,16,FALSE)),1/(P214-1))-1,"")</f>
        <v/>
      </c>
      <c r="L214" s="75" t="str">
        <f>IFERROR(VLOOKUP(C214,Code!H:W,13,FALSE)*4/VLOOKUP(C214,Code!H:W,12,FALSE),"")</f>
        <v/>
      </c>
      <c r="M214" s="55" t="str">
        <f t="shared" si="33"/>
        <v/>
      </c>
      <c r="N214" s="55" t="str">
        <f t="shared" si="34"/>
        <v/>
      </c>
      <c r="O214" s="55" t="str">
        <f t="shared" si="35"/>
        <v/>
      </c>
      <c r="P214" s="196" t="str">
        <f>IFERROR(YEARFRAC(VLOOKUP(C214,Code!H:W,11,FALSE),VLOOKUP(C214,Code!H:W,14,FALSE),3),"")</f>
        <v/>
      </c>
      <c r="Q214" s="2"/>
      <c r="R214" s="85" t="str">
        <f t="shared" ca="1" si="36"/>
        <v/>
      </c>
      <c r="S214" s="86" t="str">
        <f>IFERROR(VLOOKUP($C214,Code!$H:$Q,5,FALSE),"")</f>
        <v/>
      </c>
      <c r="T214" s="88" t="str">
        <f t="shared" ca="1" si="37"/>
        <v/>
      </c>
      <c r="U214" s="89" t="str">
        <f t="shared" ca="1" si="38"/>
        <v/>
      </c>
      <c r="V214" s="90" t="str">
        <f>IFERROR(VLOOKUP($C214,Code!$H:$Q,6,FALSE),"")</f>
        <v/>
      </c>
      <c r="W214" s="91" t="str">
        <f t="shared" ca="1" si="39"/>
        <v/>
      </c>
      <c r="X214" s="12"/>
      <c r="Y214" s="12"/>
      <c r="Z214" s="12"/>
      <c r="AA214" s="12"/>
      <c r="AB214" s="12"/>
    </row>
    <row r="215" spans="1:28" s="10" customFormat="1" ht="15" hidden="1">
      <c r="A215" s="9"/>
      <c r="B215" s="137"/>
      <c r="C215" s="142"/>
      <c r="D215" s="82" t="str">
        <f>IFERROR(VLOOKUP($C215,Code!$H:$K,2,FALSE),"")</f>
        <v/>
      </c>
      <c r="E215" s="83" t="str">
        <f>IFERROR(VLOOKUP($C215,Code!$H:$K,3,FALSE),"")</f>
        <v/>
      </c>
      <c r="F215" s="84" t="str">
        <f>IFERROR(VLOOKUP($C215,Code!$H:$K,4,FALSE),"")</f>
        <v/>
      </c>
      <c r="G215" s="128">
        <f>_xlfn.IFNA(((VLOOKUP($C215,Code!$H:$Q,9,FALSE))+(VLOOKUP($C215,Code!$H:$Q,10,FALSE)))/2*0.5/(((VLOOKUP($C215,Code!$H:$Q,7,FALSE))+(VLOOKUP($C215,Code!$H:$Q,8,FALSE)))/2),0)</f>
        <v>0</v>
      </c>
      <c r="H215" s="87" t="str">
        <f t="shared" si="32"/>
        <v/>
      </c>
      <c r="I215" s="128">
        <f>_xlfn.IFNA((VLOOKUP($C215,Code!$H:$Q,5,FALSE))/(((VLOOKUP($C215,Code!$H:$Q,7,FALSE))+(VLOOKUP($C215,Code!$H:$Q,8,FALSE)))/2)-G215,0)</f>
        <v>0</v>
      </c>
      <c r="J215" s="55" t="str">
        <f>IFERROR(POWER((VLOOKUP(C215,Code!H:W,12,FALSE))/(VLOOKUP(C215,Code!H:W,15,FALSE)),1/(P215-1))-1,"")</f>
        <v/>
      </c>
      <c r="K215" s="55" t="str">
        <f>IFERROR(POWER((VLOOKUP(C215,Code!H:W,13,FALSE))/(VLOOKUP(C215,Code!H:W,16,FALSE)),1/(P215-1))-1,"")</f>
        <v/>
      </c>
      <c r="L215" s="75" t="str">
        <f>IFERROR(VLOOKUP(C215,Code!H:W,13,FALSE)*4/VLOOKUP(C215,Code!H:W,12,FALSE),"")</f>
        <v/>
      </c>
      <c r="M215" s="55" t="str">
        <f t="shared" si="33"/>
        <v/>
      </c>
      <c r="N215" s="55" t="str">
        <f t="shared" si="34"/>
        <v/>
      </c>
      <c r="O215" s="55" t="str">
        <f t="shared" si="35"/>
        <v/>
      </c>
      <c r="P215" s="196" t="str">
        <f>IFERROR(YEARFRAC(VLOOKUP(C215,Code!H:W,11,FALSE),VLOOKUP(C215,Code!H:W,14,FALSE),3),"")</f>
        <v/>
      </c>
      <c r="Q215" s="2"/>
      <c r="R215" s="85" t="str">
        <f t="shared" ca="1" si="36"/>
        <v/>
      </c>
      <c r="S215" s="86" t="str">
        <f>IFERROR(VLOOKUP($C215,Code!$H:$Q,5,FALSE),"")</f>
        <v/>
      </c>
      <c r="T215" s="88" t="str">
        <f t="shared" ca="1" si="37"/>
        <v/>
      </c>
      <c r="U215" s="89" t="str">
        <f t="shared" ca="1" si="38"/>
        <v/>
      </c>
      <c r="V215" s="90" t="str">
        <f>IFERROR(VLOOKUP($C215,Code!$H:$Q,6,FALSE),"")</f>
        <v/>
      </c>
      <c r="W215" s="91" t="str">
        <f t="shared" ca="1" si="39"/>
        <v/>
      </c>
      <c r="X215" s="12"/>
      <c r="Y215" s="12"/>
      <c r="Z215" s="12"/>
      <c r="AA215" s="12"/>
      <c r="AB215" s="12"/>
    </row>
    <row r="216" spans="1:28" s="10" customFormat="1" ht="15" hidden="1">
      <c r="A216" s="9"/>
      <c r="B216" s="137"/>
      <c r="C216" s="142"/>
      <c r="D216" s="82" t="str">
        <f>IFERROR(VLOOKUP($C216,Code!$H:$K,2,FALSE),"")</f>
        <v/>
      </c>
      <c r="E216" s="83" t="str">
        <f>IFERROR(VLOOKUP($C216,Code!$H:$K,3,FALSE),"")</f>
        <v/>
      </c>
      <c r="F216" s="84" t="str">
        <f>IFERROR(VLOOKUP($C216,Code!$H:$K,4,FALSE),"")</f>
        <v/>
      </c>
      <c r="G216" s="128">
        <f>_xlfn.IFNA(((VLOOKUP($C216,Code!$H:$Q,9,FALSE))+(VLOOKUP($C216,Code!$H:$Q,10,FALSE)))/2*0.5/(((VLOOKUP($C216,Code!$H:$Q,7,FALSE))+(VLOOKUP($C216,Code!$H:$Q,8,FALSE)))/2),0)</f>
        <v>0</v>
      </c>
      <c r="H216" s="87" t="str">
        <f t="shared" si="32"/>
        <v/>
      </c>
      <c r="I216" s="128">
        <f>_xlfn.IFNA((VLOOKUP($C216,Code!$H:$Q,5,FALSE))/(((VLOOKUP($C216,Code!$H:$Q,7,FALSE))+(VLOOKUP($C216,Code!$H:$Q,8,FALSE)))/2)-G216,0)</f>
        <v>0</v>
      </c>
      <c r="J216" s="55" t="str">
        <f>IFERROR(POWER((VLOOKUP(C216,Code!H:W,12,FALSE))/(VLOOKUP(C216,Code!H:W,15,FALSE)),1/(P216-1))-1,"")</f>
        <v/>
      </c>
      <c r="K216" s="55" t="str">
        <f>IFERROR(POWER((VLOOKUP(C216,Code!H:W,13,FALSE))/(VLOOKUP(C216,Code!H:W,16,FALSE)),1/(P216-1))-1,"")</f>
        <v/>
      </c>
      <c r="L216" s="75" t="str">
        <f>IFERROR(VLOOKUP(C216,Code!H:W,13,FALSE)*4/VLOOKUP(C216,Code!H:W,12,FALSE),"")</f>
        <v/>
      </c>
      <c r="M216" s="55" t="str">
        <f t="shared" si="33"/>
        <v/>
      </c>
      <c r="N216" s="55" t="str">
        <f t="shared" si="34"/>
        <v/>
      </c>
      <c r="O216" s="55" t="str">
        <f t="shared" si="35"/>
        <v/>
      </c>
      <c r="P216" s="196" t="str">
        <f>IFERROR(YEARFRAC(VLOOKUP(C216,Code!H:W,11,FALSE),VLOOKUP(C216,Code!H:W,14,FALSE),3),"")</f>
        <v/>
      </c>
      <c r="Q216" s="2"/>
      <c r="R216" s="85" t="str">
        <f t="shared" ca="1" si="36"/>
        <v/>
      </c>
      <c r="S216" s="86" t="str">
        <f>IFERROR(VLOOKUP($C216,Code!$H:$Q,5,FALSE),"")</f>
        <v/>
      </c>
      <c r="T216" s="88" t="str">
        <f t="shared" ca="1" si="37"/>
        <v/>
      </c>
      <c r="U216" s="89" t="str">
        <f t="shared" ca="1" si="38"/>
        <v/>
      </c>
      <c r="V216" s="90" t="str">
        <f>IFERROR(VLOOKUP($C216,Code!$H:$Q,6,FALSE),"")</f>
        <v/>
      </c>
      <c r="W216" s="91" t="str">
        <f t="shared" ca="1" si="39"/>
        <v/>
      </c>
      <c r="X216" s="12"/>
      <c r="Y216" s="12"/>
      <c r="Z216" s="12"/>
      <c r="AA216" s="12"/>
      <c r="AB216" s="12"/>
    </row>
    <row r="217" spans="1:28" s="10" customFormat="1" ht="15" hidden="1">
      <c r="A217" s="9"/>
      <c r="B217" s="137"/>
      <c r="C217" s="142"/>
      <c r="D217" s="82" t="str">
        <f>IFERROR(VLOOKUP($C217,Code!$H:$K,2,FALSE),"")</f>
        <v/>
      </c>
      <c r="E217" s="83" t="str">
        <f>IFERROR(VLOOKUP($C217,Code!$H:$K,3,FALSE),"")</f>
        <v/>
      </c>
      <c r="F217" s="84" t="str">
        <f>IFERROR(VLOOKUP($C217,Code!$H:$K,4,FALSE),"")</f>
        <v/>
      </c>
      <c r="G217" s="128">
        <f>_xlfn.IFNA(((VLOOKUP($C217,Code!$H:$Q,9,FALSE))+(VLOOKUP($C217,Code!$H:$Q,10,FALSE)))/2*0.5/(((VLOOKUP($C217,Code!$H:$Q,7,FALSE))+(VLOOKUP($C217,Code!$H:$Q,8,FALSE)))/2),0)</f>
        <v>0</v>
      </c>
      <c r="H217" s="87" t="str">
        <f t="shared" si="32"/>
        <v/>
      </c>
      <c r="I217" s="128">
        <f>_xlfn.IFNA((VLOOKUP($C217,Code!$H:$Q,5,FALSE))/(((VLOOKUP($C217,Code!$H:$Q,7,FALSE))+(VLOOKUP($C217,Code!$H:$Q,8,FALSE)))/2)-G217,0)</f>
        <v>0</v>
      </c>
      <c r="J217" s="55" t="str">
        <f>IFERROR(POWER((VLOOKUP(C217,Code!H:W,12,FALSE))/(VLOOKUP(C217,Code!H:W,15,FALSE)),1/(P217-1))-1,"")</f>
        <v/>
      </c>
      <c r="K217" s="55" t="str">
        <f>IFERROR(POWER((VLOOKUP(C217,Code!H:W,13,FALSE))/(VLOOKUP(C217,Code!H:W,16,FALSE)),1/(P217-1))-1,"")</f>
        <v/>
      </c>
      <c r="L217" s="75" t="str">
        <f>IFERROR(VLOOKUP(C217,Code!H:W,13,FALSE)*4/VLOOKUP(C217,Code!H:W,12,FALSE),"")</f>
        <v/>
      </c>
      <c r="M217" s="55" t="str">
        <f t="shared" si="33"/>
        <v/>
      </c>
      <c r="N217" s="55" t="str">
        <f t="shared" si="34"/>
        <v/>
      </c>
      <c r="O217" s="55" t="str">
        <f t="shared" si="35"/>
        <v/>
      </c>
      <c r="P217" s="196" t="str">
        <f>IFERROR(YEARFRAC(VLOOKUP(C217,Code!H:W,11,FALSE),VLOOKUP(C217,Code!H:W,14,FALSE),3),"")</f>
        <v/>
      </c>
      <c r="Q217" s="2"/>
      <c r="R217" s="85" t="str">
        <f t="shared" ca="1" si="36"/>
        <v/>
      </c>
      <c r="S217" s="86" t="str">
        <f>IFERROR(VLOOKUP($C217,Code!$H:$Q,5,FALSE),"")</f>
        <v/>
      </c>
      <c r="T217" s="88" t="str">
        <f t="shared" ca="1" si="37"/>
        <v/>
      </c>
      <c r="U217" s="89" t="str">
        <f t="shared" ca="1" si="38"/>
        <v/>
      </c>
      <c r="V217" s="90" t="str">
        <f>IFERROR(VLOOKUP($C217,Code!$H:$Q,6,FALSE),"")</f>
        <v/>
      </c>
      <c r="W217" s="91" t="str">
        <f t="shared" ca="1" si="39"/>
        <v/>
      </c>
      <c r="X217" s="12"/>
      <c r="Y217" s="12"/>
      <c r="Z217" s="12"/>
      <c r="AA217" s="12"/>
      <c r="AB217" s="12"/>
    </row>
    <row r="218" spans="1:28" s="10" customFormat="1" ht="15" hidden="1">
      <c r="A218" s="9"/>
      <c r="B218" s="137"/>
      <c r="C218" s="142"/>
      <c r="D218" s="82" t="str">
        <f>IFERROR(VLOOKUP($C218,Code!$H:$K,2,FALSE),"")</f>
        <v/>
      </c>
      <c r="E218" s="83" t="str">
        <f>IFERROR(VLOOKUP($C218,Code!$H:$K,3,FALSE),"")</f>
        <v/>
      </c>
      <c r="F218" s="84" t="str">
        <f>IFERROR(VLOOKUP($C218,Code!$H:$K,4,FALSE),"")</f>
        <v/>
      </c>
      <c r="G218" s="128">
        <f>_xlfn.IFNA(((VLOOKUP($C218,Code!$H:$Q,9,FALSE))+(VLOOKUP($C218,Code!$H:$Q,10,FALSE)))/2*0.5/(((VLOOKUP($C218,Code!$H:$Q,7,FALSE))+(VLOOKUP($C218,Code!$H:$Q,8,FALSE)))/2),0)</f>
        <v>0</v>
      </c>
      <c r="H218" s="87" t="str">
        <f t="shared" si="32"/>
        <v/>
      </c>
      <c r="I218" s="128">
        <f>_xlfn.IFNA((VLOOKUP($C218,Code!$H:$Q,5,FALSE))/(((VLOOKUP($C218,Code!$H:$Q,7,FALSE))+(VLOOKUP($C218,Code!$H:$Q,8,FALSE)))/2)-G218,0)</f>
        <v>0</v>
      </c>
      <c r="J218" s="55" t="str">
        <f>IFERROR(POWER((VLOOKUP(C218,Code!H:W,12,FALSE))/(VLOOKUP(C218,Code!H:W,15,FALSE)),1/(P218-1))-1,"")</f>
        <v/>
      </c>
      <c r="K218" s="55" t="str">
        <f>IFERROR(POWER((VLOOKUP(C218,Code!H:W,13,FALSE))/(VLOOKUP(C218,Code!H:W,16,FALSE)),1/(P218-1))-1,"")</f>
        <v/>
      </c>
      <c r="L218" s="75" t="str">
        <f>IFERROR(VLOOKUP(C218,Code!H:W,13,FALSE)*4/VLOOKUP(C218,Code!H:W,12,FALSE),"")</f>
        <v/>
      </c>
      <c r="M218" s="55" t="str">
        <f t="shared" si="33"/>
        <v/>
      </c>
      <c r="N218" s="55" t="str">
        <f t="shared" si="34"/>
        <v/>
      </c>
      <c r="O218" s="55" t="str">
        <f t="shared" si="35"/>
        <v/>
      </c>
      <c r="P218" s="196" t="str">
        <f>IFERROR(YEARFRAC(VLOOKUP(C218,Code!H:W,11,FALSE),VLOOKUP(C218,Code!H:W,14,FALSE),3),"")</f>
        <v/>
      </c>
      <c r="Q218" s="2"/>
      <c r="R218" s="85" t="str">
        <f t="shared" ca="1" si="36"/>
        <v/>
      </c>
      <c r="S218" s="86" t="str">
        <f>IFERROR(VLOOKUP($C218,Code!$H:$Q,5,FALSE),"")</f>
        <v/>
      </c>
      <c r="T218" s="88" t="str">
        <f t="shared" ca="1" si="37"/>
        <v/>
      </c>
      <c r="U218" s="89" t="str">
        <f t="shared" ca="1" si="38"/>
        <v/>
      </c>
      <c r="V218" s="90" t="str">
        <f>IFERROR(VLOOKUP($C218,Code!$H:$Q,6,FALSE),"")</f>
        <v/>
      </c>
      <c r="W218" s="91" t="str">
        <f t="shared" ca="1" si="39"/>
        <v/>
      </c>
      <c r="X218" s="12"/>
      <c r="Y218" s="12"/>
      <c r="Z218" s="12"/>
      <c r="AA218" s="12"/>
      <c r="AB218" s="12"/>
    </row>
    <row r="219" spans="1:28" s="10" customFormat="1" ht="15" hidden="1">
      <c r="A219" s="9"/>
      <c r="B219" s="137"/>
      <c r="C219" s="142"/>
      <c r="D219" s="82" t="str">
        <f>IFERROR(VLOOKUP($C219,Code!$H:$K,2,FALSE),"")</f>
        <v/>
      </c>
      <c r="E219" s="83" t="str">
        <f>IFERROR(VLOOKUP($C219,Code!$H:$K,3,FALSE),"")</f>
        <v/>
      </c>
      <c r="F219" s="84" t="str">
        <f>IFERROR(VLOOKUP($C219,Code!$H:$K,4,FALSE),"")</f>
        <v/>
      </c>
      <c r="G219" s="128">
        <f>_xlfn.IFNA(((VLOOKUP($C219,Code!$H:$Q,9,FALSE))+(VLOOKUP($C219,Code!$H:$Q,10,FALSE)))/2*0.5/(((VLOOKUP($C219,Code!$H:$Q,7,FALSE))+(VLOOKUP($C219,Code!$H:$Q,8,FALSE)))/2),0)</f>
        <v>0</v>
      </c>
      <c r="H219" s="87" t="str">
        <f t="shared" si="32"/>
        <v/>
      </c>
      <c r="I219" s="128">
        <f>_xlfn.IFNA((VLOOKUP($C219,Code!$H:$Q,5,FALSE))/(((VLOOKUP($C219,Code!$H:$Q,7,FALSE))+(VLOOKUP($C219,Code!$H:$Q,8,FALSE)))/2)-G219,0)</f>
        <v>0</v>
      </c>
      <c r="J219" s="55" t="str">
        <f>IFERROR(POWER((VLOOKUP(C219,Code!H:W,12,FALSE))/(VLOOKUP(C219,Code!H:W,15,FALSE)),1/(P219-1))-1,"")</f>
        <v/>
      </c>
      <c r="K219" s="55" t="str">
        <f>IFERROR(POWER((VLOOKUP(C219,Code!H:W,13,FALSE))/(VLOOKUP(C219,Code!H:W,16,FALSE)),1/(P219-1))-1,"")</f>
        <v/>
      </c>
      <c r="L219" s="75" t="str">
        <f>IFERROR(VLOOKUP(C219,Code!H:W,13,FALSE)*4/VLOOKUP(C219,Code!H:W,12,FALSE),"")</f>
        <v/>
      </c>
      <c r="M219" s="55" t="str">
        <f t="shared" si="33"/>
        <v/>
      </c>
      <c r="N219" s="55" t="str">
        <f t="shared" si="34"/>
        <v/>
      </c>
      <c r="O219" s="55" t="str">
        <f t="shared" si="35"/>
        <v/>
      </c>
      <c r="P219" s="196" t="str">
        <f>IFERROR(YEARFRAC(VLOOKUP(C219,Code!H:W,11,FALSE),VLOOKUP(C219,Code!H:W,14,FALSE),3),"")</f>
        <v/>
      </c>
      <c r="Q219" s="2"/>
      <c r="R219" s="85" t="str">
        <f t="shared" ca="1" si="36"/>
        <v/>
      </c>
      <c r="S219" s="86" t="str">
        <f>IFERROR(VLOOKUP($C219,Code!$H:$Q,5,FALSE),"")</f>
        <v/>
      </c>
      <c r="T219" s="88" t="str">
        <f t="shared" ca="1" si="37"/>
        <v/>
      </c>
      <c r="U219" s="89" t="str">
        <f t="shared" ca="1" si="38"/>
        <v/>
      </c>
      <c r="V219" s="90" t="str">
        <f>IFERROR(VLOOKUP($C219,Code!$H:$Q,6,FALSE),"")</f>
        <v/>
      </c>
      <c r="W219" s="91" t="str">
        <f t="shared" ca="1" si="39"/>
        <v/>
      </c>
      <c r="X219" s="12"/>
      <c r="Y219" s="12"/>
      <c r="Z219" s="12"/>
      <c r="AA219" s="12"/>
      <c r="AB219" s="12"/>
    </row>
    <row r="220" spans="1:28" s="10" customFormat="1" ht="15" hidden="1">
      <c r="A220" s="9"/>
      <c r="B220" s="137"/>
      <c r="C220" s="142"/>
      <c r="D220" s="82" t="str">
        <f>IFERROR(VLOOKUP($C220,Code!$H:$K,2,FALSE),"")</f>
        <v/>
      </c>
      <c r="E220" s="83" t="str">
        <f>IFERROR(VLOOKUP($C220,Code!$H:$K,3,FALSE),"")</f>
        <v/>
      </c>
      <c r="F220" s="84" t="str">
        <f>IFERROR(VLOOKUP($C220,Code!$H:$K,4,FALSE),"")</f>
        <v/>
      </c>
      <c r="G220" s="128">
        <f>_xlfn.IFNA(((VLOOKUP($C220,Code!$H:$Q,9,FALSE))+(VLOOKUP($C220,Code!$H:$Q,10,FALSE)))/2*0.5/(((VLOOKUP($C220,Code!$H:$Q,7,FALSE))+(VLOOKUP($C220,Code!$H:$Q,8,FALSE)))/2),0)</f>
        <v>0</v>
      </c>
      <c r="H220" s="87" t="str">
        <f t="shared" si="32"/>
        <v/>
      </c>
      <c r="I220" s="128">
        <f>_xlfn.IFNA((VLOOKUP($C220,Code!$H:$Q,5,FALSE))/(((VLOOKUP($C220,Code!$H:$Q,7,FALSE))+(VLOOKUP($C220,Code!$H:$Q,8,FALSE)))/2)-G220,0)</f>
        <v>0</v>
      </c>
      <c r="J220" s="55" t="str">
        <f>IFERROR(POWER((VLOOKUP(C220,Code!H:W,12,FALSE))/(VLOOKUP(C220,Code!H:W,15,FALSE)),1/(P220-1))-1,"")</f>
        <v/>
      </c>
      <c r="K220" s="55" t="str">
        <f>IFERROR(POWER((VLOOKUP(C220,Code!H:W,13,FALSE))/(VLOOKUP(C220,Code!H:W,16,FALSE)),1/(P220-1))-1,"")</f>
        <v/>
      </c>
      <c r="L220" s="75" t="str">
        <f>IFERROR(VLOOKUP(C220,Code!H:W,13,FALSE)*4/VLOOKUP(C220,Code!H:W,12,FALSE),"")</f>
        <v/>
      </c>
      <c r="M220" s="55" t="str">
        <f t="shared" si="33"/>
        <v/>
      </c>
      <c r="N220" s="55" t="str">
        <f t="shared" si="34"/>
        <v/>
      </c>
      <c r="O220" s="55" t="str">
        <f t="shared" si="35"/>
        <v/>
      </c>
      <c r="P220" s="196" t="str">
        <f>IFERROR(YEARFRAC(VLOOKUP(C220,Code!H:W,11,FALSE),VLOOKUP(C220,Code!H:W,14,FALSE),3),"")</f>
        <v/>
      </c>
      <c r="Q220" s="2"/>
      <c r="R220" s="85" t="str">
        <f t="shared" ca="1" si="36"/>
        <v/>
      </c>
      <c r="S220" s="86" t="str">
        <f>IFERROR(VLOOKUP($C220,Code!$H:$Q,5,FALSE),"")</f>
        <v/>
      </c>
      <c r="T220" s="88" t="str">
        <f t="shared" ca="1" si="37"/>
        <v/>
      </c>
      <c r="U220" s="89" t="str">
        <f t="shared" ca="1" si="38"/>
        <v/>
      </c>
      <c r="V220" s="90" t="str">
        <f>IFERROR(VLOOKUP($C220,Code!$H:$Q,6,FALSE),"")</f>
        <v/>
      </c>
      <c r="W220" s="91" t="str">
        <f t="shared" ca="1" si="39"/>
        <v/>
      </c>
      <c r="X220" s="12"/>
      <c r="Y220" s="12"/>
      <c r="Z220" s="12"/>
      <c r="AA220" s="12"/>
      <c r="AB220" s="12"/>
    </row>
    <row r="221" spans="1:28" s="10" customFormat="1" ht="15" hidden="1">
      <c r="A221" s="9"/>
      <c r="B221" s="137"/>
      <c r="C221" s="142"/>
      <c r="D221" s="82" t="str">
        <f>IFERROR(VLOOKUP($C221,Code!$H:$K,2,FALSE),"")</f>
        <v/>
      </c>
      <c r="E221" s="83" t="str">
        <f>IFERROR(VLOOKUP($C221,Code!$H:$K,3,FALSE),"")</f>
        <v/>
      </c>
      <c r="F221" s="84" t="str">
        <f>IFERROR(VLOOKUP($C221,Code!$H:$K,4,FALSE),"")</f>
        <v/>
      </c>
      <c r="G221" s="128">
        <f>_xlfn.IFNA(((VLOOKUP($C221,Code!$H:$Q,9,FALSE))+(VLOOKUP($C221,Code!$H:$Q,10,FALSE)))/2*0.5/(((VLOOKUP($C221,Code!$H:$Q,7,FALSE))+(VLOOKUP($C221,Code!$H:$Q,8,FALSE)))/2),0)</f>
        <v>0</v>
      </c>
      <c r="H221" s="87" t="str">
        <f t="shared" si="32"/>
        <v/>
      </c>
      <c r="I221" s="128">
        <f>_xlfn.IFNA((VLOOKUP($C221,Code!$H:$Q,5,FALSE))/(((VLOOKUP($C221,Code!$H:$Q,7,FALSE))+(VLOOKUP($C221,Code!$H:$Q,8,FALSE)))/2)-G221,0)</f>
        <v>0</v>
      </c>
      <c r="J221" s="55" t="str">
        <f>IFERROR(POWER((VLOOKUP(C221,Code!H:W,12,FALSE))/(VLOOKUP(C221,Code!H:W,15,FALSE)),1/(P221-1))-1,"")</f>
        <v/>
      </c>
      <c r="K221" s="55" t="str">
        <f>IFERROR(POWER((VLOOKUP(C221,Code!H:W,13,FALSE))/(VLOOKUP(C221,Code!H:W,16,FALSE)),1/(P221-1))-1,"")</f>
        <v/>
      </c>
      <c r="L221" s="75" t="str">
        <f>IFERROR(VLOOKUP(C221,Code!H:W,13,FALSE)*4/VLOOKUP(C221,Code!H:W,12,FALSE),"")</f>
        <v/>
      </c>
      <c r="M221" s="55" t="str">
        <f t="shared" si="33"/>
        <v/>
      </c>
      <c r="N221" s="55" t="str">
        <f t="shared" si="34"/>
        <v/>
      </c>
      <c r="O221" s="55" t="str">
        <f t="shared" si="35"/>
        <v/>
      </c>
      <c r="P221" s="196" t="str">
        <f>IFERROR(YEARFRAC(VLOOKUP(C221,Code!H:W,11,FALSE),VLOOKUP(C221,Code!H:W,14,FALSE),3),"")</f>
        <v/>
      </c>
      <c r="Q221" s="2"/>
      <c r="R221" s="85" t="str">
        <f t="shared" ca="1" si="36"/>
        <v/>
      </c>
      <c r="S221" s="86" t="str">
        <f>IFERROR(VLOOKUP($C221,Code!$H:$Q,5,FALSE),"")</f>
        <v/>
      </c>
      <c r="T221" s="88" t="str">
        <f t="shared" ca="1" si="37"/>
        <v/>
      </c>
      <c r="U221" s="89" t="str">
        <f t="shared" ca="1" si="38"/>
        <v/>
      </c>
      <c r="V221" s="90" t="str">
        <f>IFERROR(VLOOKUP($C221,Code!$H:$Q,6,FALSE),"")</f>
        <v/>
      </c>
      <c r="W221" s="91" t="str">
        <f t="shared" ca="1" si="39"/>
        <v/>
      </c>
      <c r="X221" s="12"/>
      <c r="Y221" s="12"/>
      <c r="Z221" s="12"/>
      <c r="AA221" s="12"/>
      <c r="AB221" s="12"/>
    </row>
    <row r="222" spans="1:28" s="10" customFormat="1" ht="15" hidden="1">
      <c r="A222" s="9"/>
      <c r="B222" s="137"/>
      <c r="C222" s="142"/>
      <c r="D222" s="82" t="str">
        <f>IFERROR(VLOOKUP($C222,Code!$H:$K,2,FALSE),"")</f>
        <v/>
      </c>
      <c r="E222" s="83" t="str">
        <f>IFERROR(VLOOKUP($C222,Code!$H:$K,3,FALSE),"")</f>
        <v/>
      </c>
      <c r="F222" s="84" t="str">
        <f>IFERROR(VLOOKUP($C222,Code!$H:$K,4,FALSE),"")</f>
        <v/>
      </c>
      <c r="G222" s="128">
        <f>_xlfn.IFNA(((VLOOKUP($C222,Code!$H:$Q,9,FALSE))+(VLOOKUP($C222,Code!$H:$Q,10,FALSE)))/2*0.5/(((VLOOKUP($C222,Code!$H:$Q,7,FALSE))+(VLOOKUP($C222,Code!$H:$Q,8,FALSE)))/2),0)</f>
        <v>0</v>
      </c>
      <c r="H222" s="87" t="str">
        <f t="shared" si="32"/>
        <v/>
      </c>
      <c r="I222" s="128">
        <f>_xlfn.IFNA((VLOOKUP($C222,Code!$H:$Q,5,FALSE))/(((VLOOKUP($C222,Code!$H:$Q,7,FALSE))+(VLOOKUP($C222,Code!$H:$Q,8,FALSE)))/2)-G222,0)</f>
        <v>0</v>
      </c>
      <c r="J222" s="55" t="str">
        <f>IFERROR(POWER((VLOOKUP(C222,Code!H:W,12,FALSE))/(VLOOKUP(C222,Code!H:W,15,FALSE)),1/(P222-1))-1,"")</f>
        <v/>
      </c>
      <c r="K222" s="55" t="str">
        <f>IFERROR(POWER((VLOOKUP(C222,Code!H:W,13,FALSE))/(VLOOKUP(C222,Code!H:W,16,FALSE)),1/(P222-1))-1,"")</f>
        <v/>
      </c>
      <c r="L222" s="75" t="str">
        <f>IFERROR(VLOOKUP(C222,Code!H:W,13,FALSE)*4/VLOOKUP(C222,Code!H:W,12,FALSE),"")</f>
        <v/>
      </c>
      <c r="M222" s="55" t="str">
        <f t="shared" si="33"/>
        <v/>
      </c>
      <c r="N222" s="55" t="str">
        <f t="shared" si="34"/>
        <v/>
      </c>
      <c r="O222" s="55" t="str">
        <f t="shared" si="35"/>
        <v/>
      </c>
      <c r="P222" s="196" t="str">
        <f>IFERROR(YEARFRAC(VLOOKUP(C222,Code!H:W,11,FALSE),VLOOKUP(C222,Code!H:W,14,FALSE),3),"")</f>
        <v/>
      </c>
      <c r="Q222" s="2"/>
      <c r="R222" s="85" t="str">
        <f t="shared" ca="1" si="36"/>
        <v/>
      </c>
      <c r="S222" s="86" t="str">
        <f>IFERROR(VLOOKUP($C222,Code!$H:$Q,5,FALSE),"")</f>
        <v/>
      </c>
      <c r="T222" s="88" t="str">
        <f t="shared" ca="1" si="37"/>
        <v/>
      </c>
      <c r="U222" s="89" t="str">
        <f t="shared" ca="1" si="38"/>
        <v/>
      </c>
      <c r="V222" s="90" t="str">
        <f>IFERROR(VLOOKUP($C222,Code!$H:$Q,6,FALSE),"")</f>
        <v/>
      </c>
      <c r="W222" s="91" t="str">
        <f t="shared" ca="1" si="39"/>
        <v/>
      </c>
      <c r="X222" s="12"/>
      <c r="Y222" s="12"/>
      <c r="Z222" s="12"/>
      <c r="AA222" s="12"/>
      <c r="AB222" s="12"/>
    </row>
    <row r="223" spans="1:28" s="10" customFormat="1" ht="15" hidden="1">
      <c r="A223" s="9"/>
      <c r="B223" s="137"/>
      <c r="C223" s="142"/>
      <c r="D223" s="82" t="str">
        <f>IFERROR(VLOOKUP($C223,Code!$H:$K,2,FALSE),"")</f>
        <v/>
      </c>
      <c r="E223" s="83" t="str">
        <f>IFERROR(VLOOKUP($C223,Code!$H:$K,3,FALSE),"")</f>
        <v/>
      </c>
      <c r="F223" s="84" t="str">
        <f>IFERROR(VLOOKUP($C223,Code!$H:$K,4,FALSE),"")</f>
        <v/>
      </c>
      <c r="G223" s="128">
        <f>_xlfn.IFNA(((VLOOKUP($C223,Code!$H:$Q,9,FALSE))+(VLOOKUP($C223,Code!$H:$Q,10,FALSE)))/2*0.5/(((VLOOKUP($C223,Code!$H:$Q,7,FALSE))+(VLOOKUP($C223,Code!$H:$Q,8,FALSE)))/2),0)</f>
        <v>0</v>
      </c>
      <c r="H223" s="87" t="str">
        <f t="shared" si="32"/>
        <v/>
      </c>
      <c r="I223" s="128">
        <f>_xlfn.IFNA((VLOOKUP($C223,Code!$H:$Q,5,FALSE))/(((VLOOKUP($C223,Code!$H:$Q,7,FALSE))+(VLOOKUP($C223,Code!$H:$Q,8,FALSE)))/2)-G223,0)</f>
        <v>0</v>
      </c>
      <c r="J223" s="55" t="str">
        <f>IFERROR(POWER((VLOOKUP(C223,Code!H:W,12,FALSE))/(VLOOKUP(C223,Code!H:W,15,FALSE)),1/(P223-1))-1,"")</f>
        <v/>
      </c>
      <c r="K223" s="55" t="str">
        <f>IFERROR(POWER((VLOOKUP(C223,Code!H:W,13,FALSE))/(VLOOKUP(C223,Code!H:W,16,FALSE)),1/(P223-1))-1,"")</f>
        <v/>
      </c>
      <c r="L223" s="75" t="str">
        <f>IFERROR(VLOOKUP(C223,Code!H:W,13,FALSE)*4/VLOOKUP(C223,Code!H:W,12,FALSE),"")</f>
        <v/>
      </c>
      <c r="M223" s="55" t="str">
        <f t="shared" si="33"/>
        <v/>
      </c>
      <c r="N223" s="55" t="str">
        <f t="shared" si="34"/>
        <v/>
      </c>
      <c r="O223" s="55" t="str">
        <f t="shared" si="35"/>
        <v/>
      </c>
      <c r="P223" s="196" t="str">
        <f>IFERROR(YEARFRAC(VLOOKUP(C223,Code!H:W,11,FALSE),VLOOKUP(C223,Code!H:W,14,FALSE),3),"")</f>
        <v/>
      </c>
      <c r="Q223" s="2"/>
      <c r="R223" s="85" t="str">
        <f t="shared" ca="1" si="36"/>
        <v/>
      </c>
      <c r="S223" s="86" t="str">
        <f>IFERROR(VLOOKUP($C223,Code!$H:$Q,5,FALSE),"")</f>
        <v/>
      </c>
      <c r="T223" s="88" t="str">
        <f t="shared" ca="1" si="37"/>
        <v/>
      </c>
      <c r="U223" s="89" t="str">
        <f t="shared" ca="1" si="38"/>
        <v/>
      </c>
      <c r="V223" s="90" t="str">
        <f>IFERROR(VLOOKUP($C223,Code!$H:$Q,6,FALSE),"")</f>
        <v/>
      </c>
      <c r="W223" s="91" t="str">
        <f t="shared" ca="1" si="39"/>
        <v/>
      </c>
      <c r="X223" s="12"/>
      <c r="Y223" s="12"/>
      <c r="Z223" s="12"/>
      <c r="AA223" s="12"/>
      <c r="AB223" s="12"/>
    </row>
    <row r="224" spans="1:28" s="10" customFormat="1" ht="15" hidden="1">
      <c r="A224" s="9"/>
      <c r="B224" s="137"/>
      <c r="C224" s="142"/>
      <c r="D224" s="82" t="str">
        <f>IFERROR(VLOOKUP($C224,Code!$H:$K,2,FALSE),"")</f>
        <v/>
      </c>
      <c r="E224" s="83" t="str">
        <f>IFERROR(VLOOKUP($C224,Code!$H:$K,3,FALSE),"")</f>
        <v/>
      </c>
      <c r="F224" s="84" t="str">
        <f>IFERROR(VLOOKUP($C224,Code!$H:$K,4,FALSE),"")</f>
        <v/>
      </c>
      <c r="G224" s="128">
        <f>_xlfn.IFNA(((VLOOKUP($C224,Code!$H:$Q,9,FALSE))+(VLOOKUP($C224,Code!$H:$Q,10,FALSE)))/2*0.5/(((VLOOKUP($C224,Code!$H:$Q,7,FALSE))+(VLOOKUP($C224,Code!$H:$Q,8,FALSE)))/2),0)</f>
        <v>0</v>
      </c>
      <c r="H224" s="87" t="str">
        <f t="shared" si="32"/>
        <v/>
      </c>
      <c r="I224" s="128">
        <f>_xlfn.IFNA((VLOOKUP($C224,Code!$H:$Q,5,FALSE))/(((VLOOKUP($C224,Code!$H:$Q,7,FALSE))+(VLOOKUP($C224,Code!$H:$Q,8,FALSE)))/2)-G224,0)</f>
        <v>0</v>
      </c>
      <c r="J224" s="55" t="str">
        <f>IFERROR(POWER((VLOOKUP(C224,Code!H:W,12,FALSE))/(VLOOKUP(C224,Code!H:W,15,FALSE)),1/(P224-1))-1,"")</f>
        <v/>
      </c>
      <c r="K224" s="55" t="str">
        <f>IFERROR(POWER((VLOOKUP(C224,Code!H:W,13,FALSE))/(VLOOKUP(C224,Code!H:W,16,FALSE)),1/(P224-1))-1,"")</f>
        <v/>
      </c>
      <c r="L224" s="75" t="str">
        <f>IFERROR(VLOOKUP(C224,Code!H:W,13,FALSE)*4/VLOOKUP(C224,Code!H:W,12,FALSE),"")</f>
        <v/>
      </c>
      <c r="M224" s="55" t="str">
        <f t="shared" si="33"/>
        <v/>
      </c>
      <c r="N224" s="55" t="str">
        <f t="shared" si="34"/>
        <v/>
      </c>
      <c r="O224" s="55" t="str">
        <f t="shared" si="35"/>
        <v/>
      </c>
      <c r="P224" s="196" t="str">
        <f>IFERROR(YEARFRAC(VLOOKUP(C224,Code!H:W,11,FALSE),VLOOKUP(C224,Code!H:W,14,FALSE),3),"")</f>
        <v/>
      </c>
      <c r="Q224" s="2"/>
      <c r="R224" s="85" t="str">
        <f t="shared" ca="1" si="36"/>
        <v/>
      </c>
      <c r="S224" s="86" t="str">
        <f>IFERROR(VLOOKUP($C224,Code!$H:$Q,5,FALSE),"")</f>
        <v/>
      </c>
      <c r="T224" s="88" t="str">
        <f t="shared" ca="1" si="37"/>
        <v/>
      </c>
      <c r="U224" s="89" t="str">
        <f t="shared" ca="1" si="38"/>
        <v/>
      </c>
      <c r="V224" s="90" t="str">
        <f>IFERROR(VLOOKUP($C224,Code!$H:$Q,6,FALSE),"")</f>
        <v/>
      </c>
      <c r="W224" s="91" t="str">
        <f t="shared" ca="1" si="39"/>
        <v/>
      </c>
      <c r="X224" s="12"/>
      <c r="Y224" s="12"/>
      <c r="Z224" s="12"/>
      <c r="AA224" s="12"/>
      <c r="AB224" s="12"/>
    </row>
    <row r="225" spans="1:28" s="10" customFormat="1" ht="15" hidden="1">
      <c r="A225" s="9"/>
      <c r="B225" s="137"/>
      <c r="C225" s="142"/>
      <c r="D225" s="82" t="str">
        <f>IFERROR(VLOOKUP($C225,Code!$H:$K,2,FALSE),"")</f>
        <v/>
      </c>
      <c r="E225" s="83" t="str">
        <f>IFERROR(VLOOKUP($C225,Code!$H:$K,3,FALSE),"")</f>
        <v/>
      </c>
      <c r="F225" s="84" t="str">
        <f>IFERROR(VLOOKUP($C225,Code!$H:$K,4,FALSE),"")</f>
        <v/>
      </c>
      <c r="G225" s="128">
        <f>_xlfn.IFNA(((VLOOKUP($C225,Code!$H:$Q,9,FALSE))+(VLOOKUP($C225,Code!$H:$Q,10,FALSE)))/2*0.5/(((VLOOKUP($C225,Code!$H:$Q,7,FALSE))+(VLOOKUP($C225,Code!$H:$Q,8,FALSE)))/2),0)</f>
        <v>0</v>
      </c>
      <c r="H225" s="87" t="str">
        <f t="shared" si="32"/>
        <v/>
      </c>
      <c r="I225" s="128">
        <f>_xlfn.IFNA((VLOOKUP($C225,Code!$H:$Q,5,FALSE))/(((VLOOKUP($C225,Code!$H:$Q,7,FALSE))+(VLOOKUP($C225,Code!$H:$Q,8,FALSE)))/2)-G225,0)</f>
        <v>0</v>
      </c>
      <c r="J225" s="55" t="str">
        <f>IFERROR(POWER((VLOOKUP(C225,Code!H:W,12,FALSE))/(VLOOKUP(C225,Code!H:W,15,FALSE)),1/(P225-1))-1,"")</f>
        <v/>
      </c>
      <c r="K225" s="55" t="str">
        <f>IFERROR(POWER((VLOOKUP(C225,Code!H:W,13,FALSE))/(VLOOKUP(C225,Code!H:W,16,FALSE)),1/(P225-1))-1,"")</f>
        <v/>
      </c>
      <c r="L225" s="75" t="str">
        <f>IFERROR(VLOOKUP(C225,Code!H:W,13,FALSE)*4/VLOOKUP(C225,Code!H:W,12,FALSE),"")</f>
        <v/>
      </c>
      <c r="M225" s="55" t="str">
        <f t="shared" si="33"/>
        <v/>
      </c>
      <c r="N225" s="55" t="str">
        <f t="shared" si="34"/>
        <v/>
      </c>
      <c r="O225" s="55" t="str">
        <f t="shared" si="35"/>
        <v/>
      </c>
      <c r="P225" s="196" t="str">
        <f>IFERROR(YEARFRAC(VLOOKUP(C225,Code!H:W,11,FALSE),VLOOKUP(C225,Code!H:W,14,FALSE),3),"")</f>
        <v/>
      </c>
      <c r="Q225" s="2"/>
      <c r="R225" s="85" t="str">
        <f t="shared" ca="1" si="36"/>
        <v/>
      </c>
      <c r="S225" s="86" t="str">
        <f>IFERROR(VLOOKUP($C225,Code!$H:$Q,5,FALSE),"")</f>
        <v/>
      </c>
      <c r="T225" s="88" t="str">
        <f t="shared" ca="1" si="37"/>
        <v/>
      </c>
      <c r="U225" s="89" t="str">
        <f t="shared" ca="1" si="38"/>
        <v/>
      </c>
      <c r="V225" s="90" t="str">
        <f>IFERROR(VLOOKUP($C225,Code!$H:$Q,6,FALSE),"")</f>
        <v/>
      </c>
      <c r="W225" s="91" t="str">
        <f t="shared" ca="1" si="39"/>
        <v/>
      </c>
      <c r="X225" s="12"/>
      <c r="Y225" s="12"/>
      <c r="Z225" s="12"/>
      <c r="AA225" s="12"/>
      <c r="AB225" s="12"/>
    </row>
    <row r="226" spans="1:28" s="10" customFormat="1" ht="15" hidden="1">
      <c r="A226" s="9"/>
      <c r="B226" s="137"/>
      <c r="C226" s="142"/>
      <c r="D226" s="82" t="str">
        <f>IFERROR(VLOOKUP($C226,Code!$H:$K,2,FALSE),"")</f>
        <v/>
      </c>
      <c r="E226" s="83" t="str">
        <f>IFERROR(VLOOKUP($C226,Code!$H:$K,3,FALSE),"")</f>
        <v/>
      </c>
      <c r="F226" s="84" t="str">
        <f>IFERROR(VLOOKUP($C226,Code!$H:$K,4,FALSE),"")</f>
        <v/>
      </c>
      <c r="G226" s="128">
        <f>_xlfn.IFNA(((VLOOKUP($C226,Code!$H:$Q,9,FALSE))+(VLOOKUP($C226,Code!$H:$Q,10,FALSE)))/2*0.5/(((VLOOKUP($C226,Code!$H:$Q,7,FALSE))+(VLOOKUP($C226,Code!$H:$Q,8,FALSE)))/2),0)</f>
        <v>0</v>
      </c>
      <c r="H226" s="87" t="str">
        <f t="shared" si="32"/>
        <v/>
      </c>
      <c r="I226" s="128">
        <f>_xlfn.IFNA((VLOOKUP($C226,Code!$H:$Q,5,FALSE))/(((VLOOKUP($C226,Code!$H:$Q,7,FALSE))+(VLOOKUP($C226,Code!$H:$Q,8,FALSE)))/2)-G226,0)</f>
        <v>0</v>
      </c>
      <c r="J226" s="55" t="str">
        <f>IFERROR(POWER((VLOOKUP(C226,Code!H:W,12,FALSE))/(VLOOKUP(C226,Code!H:W,15,FALSE)),1/(P226-1))-1,"")</f>
        <v/>
      </c>
      <c r="K226" s="55" t="str">
        <f>IFERROR(POWER((VLOOKUP(C226,Code!H:W,13,FALSE))/(VLOOKUP(C226,Code!H:W,16,FALSE)),1/(P226-1))-1,"")</f>
        <v/>
      </c>
      <c r="L226" s="75" t="str">
        <f>IFERROR(VLOOKUP(C226,Code!H:W,13,FALSE)*4/VLOOKUP(C226,Code!H:W,12,FALSE),"")</f>
        <v/>
      </c>
      <c r="M226" s="55" t="str">
        <f t="shared" si="33"/>
        <v/>
      </c>
      <c r="N226" s="55" t="str">
        <f t="shared" si="34"/>
        <v/>
      </c>
      <c r="O226" s="55" t="str">
        <f t="shared" si="35"/>
        <v/>
      </c>
      <c r="P226" s="196" t="str">
        <f>IFERROR(YEARFRAC(VLOOKUP(C226,Code!H:W,11,FALSE),VLOOKUP(C226,Code!H:W,14,FALSE),3),"")</f>
        <v/>
      </c>
      <c r="Q226" s="2"/>
      <c r="R226" s="85" t="str">
        <f t="shared" ca="1" si="36"/>
        <v/>
      </c>
      <c r="S226" s="86" t="str">
        <f>IFERROR(VLOOKUP($C226,Code!$H:$Q,5,FALSE),"")</f>
        <v/>
      </c>
      <c r="T226" s="88" t="str">
        <f t="shared" ca="1" si="37"/>
        <v/>
      </c>
      <c r="U226" s="89" t="str">
        <f t="shared" ca="1" si="38"/>
        <v/>
      </c>
      <c r="V226" s="90" t="str">
        <f>IFERROR(VLOOKUP($C226,Code!$H:$Q,6,FALSE),"")</f>
        <v/>
      </c>
      <c r="W226" s="91" t="str">
        <f t="shared" ca="1" si="39"/>
        <v/>
      </c>
      <c r="X226" s="12"/>
      <c r="Y226" s="12"/>
      <c r="Z226" s="12"/>
      <c r="AA226" s="12"/>
      <c r="AB226" s="12"/>
    </row>
    <row r="227" spans="1:28" s="10" customFormat="1" ht="15" hidden="1">
      <c r="A227" s="9"/>
      <c r="B227" s="137"/>
      <c r="C227" s="142"/>
      <c r="D227" s="82" t="str">
        <f>IFERROR(VLOOKUP($C227,Code!$H:$K,2,FALSE),"")</f>
        <v/>
      </c>
      <c r="E227" s="83" t="str">
        <f>IFERROR(VLOOKUP($C227,Code!$H:$K,3,FALSE),"")</f>
        <v/>
      </c>
      <c r="F227" s="84" t="str">
        <f>IFERROR(VLOOKUP($C227,Code!$H:$K,4,FALSE),"")</f>
        <v/>
      </c>
      <c r="G227" s="128">
        <f>_xlfn.IFNA(((VLOOKUP($C227,Code!$H:$Q,9,FALSE))+(VLOOKUP($C227,Code!$H:$Q,10,FALSE)))/2*0.5/(((VLOOKUP($C227,Code!$H:$Q,7,FALSE))+(VLOOKUP($C227,Code!$H:$Q,8,FALSE)))/2),0)</f>
        <v>0</v>
      </c>
      <c r="H227" s="87" t="str">
        <f t="shared" si="32"/>
        <v/>
      </c>
      <c r="I227" s="128">
        <f>_xlfn.IFNA((VLOOKUP($C227,Code!$H:$Q,5,FALSE))/(((VLOOKUP($C227,Code!$H:$Q,7,FALSE))+(VLOOKUP($C227,Code!$H:$Q,8,FALSE)))/2)-G227,0)</f>
        <v>0</v>
      </c>
      <c r="J227" s="55" t="str">
        <f>IFERROR(POWER((VLOOKUP(C227,Code!H:W,12,FALSE))/(VLOOKUP(C227,Code!H:W,15,FALSE)),1/(P227-1))-1,"")</f>
        <v/>
      </c>
      <c r="K227" s="55" t="str">
        <f>IFERROR(POWER((VLOOKUP(C227,Code!H:W,13,FALSE))/(VLOOKUP(C227,Code!H:W,16,FALSE)),1/(P227-1))-1,"")</f>
        <v/>
      </c>
      <c r="L227" s="75" t="str">
        <f>IFERROR(VLOOKUP(C227,Code!H:W,13,FALSE)*4/VLOOKUP(C227,Code!H:W,12,FALSE),"")</f>
        <v/>
      </c>
      <c r="M227" s="55" t="str">
        <f t="shared" si="33"/>
        <v/>
      </c>
      <c r="N227" s="55" t="str">
        <f t="shared" si="34"/>
        <v/>
      </c>
      <c r="O227" s="55" t="str">
        <f t="shared" si="35"/>
        <v/>
      </c>
      <c r="P227" s="196" t="str">
        <f>IFERROR(YEARFRAC(VLOOKUP(C227,Code!H:W,11,FALSE),VLOOKUP(C227,Code!H:W,14,FALSE),3),"")</f>
        <v/>
      </c>
      <c r="Q227" s="2"/>
      <c r="R227" s="85" t="str">
        <f t="shared" ca="1" si="36"/>
        <v/>
      </c>
      <c r="S227" s="86" t="str">
        <f>IFERROR(VLOOKUP($C227,Code!$H:$Q,5,FALSE),"")</f>
        <v/>
      </c>
      <c r="T227" s="88" t="str">
        <f t="shared" ca="1" si="37"/>
        <v/>
      </c>
      <c r="U227" s="89" t="str">
        <f t="shared" ca="1" si="38"/>
        <v/>
      </c>
      <c r="V227" s="90" t="str">
        <f>IFERROR(VLOOKUP($C227,Code!$H:$Q,6,FALSE),"")</f>
        <v/>
      </c>
      <c r="W227" s="91" t="str">
        <f t="shared" ca="1" si="39"/>
        <v/>
      </c>
      <c r="X227" s="12"/>
      <c r="Y227" s="12"/>
      <c r="Z227" s="12"/>
      <c r="AA227" s="12"/>
      <c r="AB227" s="12"/>
    </row>
    <row r="228" spans="1:28" s="10" customFormat="1" ht="15" hidden="1">
      <c r="A228" s="9"/>
      <c r="B228" s="137"/>
      <c r="C228" s="142"/>
      <c r="D228" s="82" t="str">
        <f>IFERROR(VLOOKUP($C228,Code!$H:$K,2,FALSE),"")</f>
        <v/>
      </c>
      <c r="E228" s="83" t="str">
        <f>IFERROR(VLOOKUP($C228,Code!$H:$K,3,FALSE),"")</f>
        <v/>
      </c>
      <c r="F228" s="84" t="str">
        <f>IFERROR(VLOOKUP($C228,Code!$H:$K,4,FALSE),"")</f>
        <v/>
      </c>
      <c r="G228" s="128">
        <f>_xlfn.IFNA(((VLOOKUP($C228,Code!$H:$Q,9,FALSE))+(VLOOKUP($C228,Code!$H:$Q,10,FALSE)))/2*0.5/(((VLOOKUP($C228,Code!$H:$Q,7,FALSE))+(VLOOKUP($C228,Code!$H:$Q,8,FALSE)))/2),0)</f>
        <v>0</v>
      </c>
      <c r="H228" s="87" t="str">
        <f t="shared" si="32"/>
        <v/>
      </c>
      <c r="I228" s="128">
        <f>_xlfn.IFNA((VLOOKUP($C228,Code!$H:$Q,5,FALSE))/(((VLOOKUP($C228,Code!$H:$Q,7,FALSE))+(VLOOKUP($C228,Code!$H:$Q,8,FALSE)))/2)-G228,0)</f>
        <v>0</v>
      </c>
      <c r="J228" s="55" t="str">
        <f>IFERROR(POWER((VLOOKUP(C228,Code!H:W,12,FALSE))/(VLOOKUP(C228,Code!H:W,15,FALSE)),1/(P228-1))-1,"")</f>
        <v/>
      </c>
      <c r="K228" s="55" t="str">
        <f>IFERROR(POWER((VLOOKUP(C228,Code!H:W,13,FALSE))/(VLOOKUP(C228,Code!H:W,16,FALSE)),1/(P228-1))-1,"")</f>
        <v/>
      </c>
      <c r="L228" s="75" t="str">
        <f>IFERROR(VLOOKUP(C228,Code!H:W,13,FALSE)*4/VLOOKUP(C228,Code!H:W,12,FALSE),"")</f>
        <v/>
      </c>
      <c r="M228" s="55" t="str">
        <f t="shared" si="33"/>
        <v/>
      </c>
      <c r="N228" s="55" t="str">
        <f t="shared" si="34"/>
        <v/>
      </c>
      <c r="O228" s="55" t="str">
        <f t="shared" si="35"/>
        <v/>
      </c>
      <c r="P228" s="196" t="str">
        <f>IFERROR(YEARFRAC(VLOOKUP(C228,Code!H:W,11,FALSE),VLOOKUP(C228,Code!H:W,14,FALSE),3),"")</f>
        <v/>
      </c>
      <c r="Q228" s="2"/>
      <c r="R228" s="85" t="str">
        <f t="shared" ca="1" si="36"/>
        <v/>
      </c>
      <c r="S228" s="86" t="str">
        <f>IFERROR(VLOOKUP($C228,Code!$H:$Q,5,FALSE),"")</f>
        <v/>
      </c>
      <c r="T228" s="88" t="str">
        <f t="shared" ca="1" si="37"/>
        <v/>
      </c>
      <c r="U228" s="89" t="str">
        <f t="shared" ca="1" si="38"/>
        <v/>
      </c>
      <c r="V228" s="90" t="str">
        <f>IFERROR(VLOOKUP($C228,Code!$H:$Q,6,FALSE),"")</f>
        <v/>
      </c>
      <c r="W228" s="91" t="str">
        <f t="shared" ca="1" si="39"/>
        <v/>
      </c>
      <c r="X228" s="12"/>
      <c r="Y228" s="12"/>
      <c r="Z228" s="12"/>
      <c r="AA228" s="12"/>
      <c r="AB228" s="12"/>
    </row>
    <row r="229" spans="1:28" s="10" customFormat="1" ht="15" hidden="1">
      <c r="A229" s="9"/>
      <c r="B229" s="137"/>
      <c r="C229" s="142"/>
      <c r="D229" s="82" t="str">
        <f>IFERROR(VLOOKUP($C229,Code!$H:$K,2,FALSE),"")</f>
        <v/>
      </c>
      <c r="E229" s="83" t="str">
        <f>IFERROR(VLOOKUP($C229,Code!$H:$K,3,FALSE),"")</f>
        <v/>
      </c>
      <c r="F229" s="84" t="str">
        <f>IFERROR(VLOOKUP($C229,Code!$H:$K,4,FALSE),"")</f>
        <v/>
      </c>
      <c r="G229" s="128">
        <f>_xlfn.IFNA(((VLOOKUP($C229,Code!$H:$Q,9,FALSE))+(VLOOKUP($C229,Code!$H:$Q,10,FALSE)))/2*0.5/(((VLOOKUP($C229,Code!$H:$Q,7,FALSE))+(VLOOKUP($C229,Code!$H:$Q,8,FALSE)))/2),0)</f>
        <v>0</v>
      </c>
      <c r="H229" s="87" t="str">
        <f t="shared" si="32"/>
        <v/>
      </c>
      <c r="I229" s="128">
        <f>_xlfn.IFNA((VLOOKUP($C229,Code!$H:$Q,5,FALSE))/(((VLOOKUP($C229,Code!$H:$Q,7,FALSE))+(VLOOKUP($C229,Code!$H:$Q,8,FALSE)))/2)-G229,0)</f>
        <v>0</v>
      </c>
      <c r="J229" s="55" t="str">
        <f>IFERROR(POWER((VLOOKUP(C229,Code!H:W,12,FALSE))/(VLOOKUP(C229,Code!H:W,15,FALSE)),1/(P229-1))-1,"")</f>
        <v/>
      </c>
      <c r="K229" s="55" t="str">
        <f>IFERROR(POWER((VLOOKUP(C229,Code!H:W,13,FALSE))/(VLOOKUP(C229,Code!H:W,16,FALSE)),1/(P229-1))-1,"")</f>
        <v/>
      </c>
      <c r="L229" s="75" t="str">
        <f>IFERROR(VLOOKUP(C229,Code!H:W,13,FALSE)*4/VLOOKUP(C229,Code!H:W,12,FALSE),"")</f>
        <v/>
      </c>
      <c r="M229" s="55" t="str">
        <f t="shared" si="33"/>
        <v/>
      </c>
      <c r="N229" s="55" t="str">
        <f t="shared" si="34"/>
        <v/>
      </c>
      <c r="O229" s="55" t="str">
        <f t="shared" si="35"/>
        <v/>
      </c>
      <c r="P229" s="196" t="str">
        <f>IFERROR(YEARFRAC(VLOOKUP(C229,Code!H:W,11,FALSE),VLOOKUP(C229,Code!H:W,14,FALSE),3),"")</f>
        <v/>
      </c>
      <c r="Q229" s="2"/>
      <c r="R229" s="85" t="str">
        <f t="shared" ca="1" si="36"/>
        <v/>
      </c>
      <c r="S229" s="86" t="str">
        <f>IFERROR(VLOOKUP($C229,Code!$H:$Q,5,FALSE),"")</f>
        <v/>
      </c>
      <c r="T229" s="88" t="str">
        <f t="shared" ca="1" si="37"/>
        <v/>
      </c>
      <c r="U229" s="89" t="str">
        <f t="shared" ca="1" si="38"/>
        <v/>
      </c>
      <c r="V229" s="90" t="str">
        <f>IFERROR(VLOOKUP($C229,Code!$H:$Q,6,FALSE),"")</f>
        <v/>
      </c>
      <c r="W229" s="91" t="str">
        <f t="shared" ca="1" si="39"/>
        <v/>
      </c>
      <c r="X229" s="12"/>
      <c r="Y229" s="12"/>
      <c r="Z229" s="12"/>
      <c r="AA229" s="12"/>
      <c r="AB229" s="12"/>
    </row>
    <row r="230" spans="1:28" s="10" customFormat="1" ht="15" hidden="1">
      <c r="A230" s="9"/>
      <c r="B230" s="137"/>
      <c r="C230" s="142"/>
      <c r="D230" s="82" t="str">
        <f>IFERROR(VLOOKUP($C230,Code!$H:$K,2,FALSE),"")</f>
        <v/>
      </c>
      <c r="E230" s="83" t="str">
        <f>IFERROR(VLOOKUP($C230,Code!$H:$K,3,FALSE),"")</f>
        <v/>
      </c>
      <c r="F230" s="84" t="str">
        <f>IFERROR(VLOOKUP($C230,Code!$H:$K,4,FALSE),"")</f>
        <v/>
      </c>
      <c r="G230" s="128">
        <f>_xlfn.IFNA(((VLOOKUP($C230,Code!$H:$Q,9,FALSE))+(VLOOKUP($C230,Code!$H:$Q,10,FALSE)))/2*0.5/(((VLOOKUP($C230,Code!$H:$Q,7,FALSE))+(VLOOKUP($C230,Code!$H:$Q,8,FALSE)))/2),0)</f>
        <v>0</v>
      </c>
      <c r="H230" s="87" t="str">
        <f t="shared" si="32"/>
        <v/>
      </c>
      <c r="I230" s="128">
        <f>_xlfn.IFNA((VLOOKUP($C230,Code!$H:$Q,5,FALSE))/(((VLOOKUP($C230,Code!$H:$Q,7,FALSE))+(VLOOKUP($C230,Code!$H:$Q,8,FALSE)))/2)-G230,0)</f>
        <v>0</v>
      </c>
      <c r="J230" s="55" t="str">
        <f>IFERROR(POWER((VLOOKUP(C230,Code!H:W,12,FALSE))/(VLOOKUP(C230,Code!H:W,15,FALSE)),1/(P230-1))-1,"")</f>
        <v/>
      </c>
      <c r="K230" s="55" t="str">
        <f>IFERROR(POWER((VLOOKUP(C230,Code!H:W,13,FALSE))/(VLOOKUP(C230,Code!H:W,16,FALSE)),1/(P230-1))-1,"")</f>
        <v/>
      </c>
      <c r="L230" s="75" t="str">
        <f>IFERROR(VLOOKUP(C230,Code!H:W,13,FALSE)*4/VLOOKUP(C230,Code!H:W,12,FALSE),"")</f>
        <v/>
      </c>
      <c r="M230" s="55" t="str">
        <f t="shared" si="33"/>
        <v/>
      </c>
      <c r="N230" s="55" t="str">
        <f t="shared" si="34"/>
        <v/>
      </c>
      <c r="O230" s="55" t="str">
        <f t="shared" si="35"/>
        <v/>
      </c>
      <c r="P230" s="196" t="str">
        <f>IFERROR(YEARFRAC(VLOOKUP(C230,Code!H:W,11,FALSE),VLOOKUP(C230,Code!H:W,14,FALSE),3),"")</f>
        <v/>
      </c>
      <c r="Q230" s="2"/>
      <c r="R230" s="85" t="str">
        <f t="shared" ca="1" si="36"/>
        <v/>
      </c>
      <c r="S230" s="86" t="str">
        <f>IFERROR(VLOOKUP($C230,Code!$H:$Q,5,FALSE),"")</f>
        <v/>
      </c>
      <c r="T230" s="88" t="str">
        <f t="shared" ca="1" si="37"/>
        <v/>
      </c>
      <c r="U230" s="89" t="str">
        <f t="shared" ca="1" si="38"/>
        <v/>
      </c>
      <c r="V230" s="90" t="str">
        <f>IFERROR(VLOOKUP($C230,Code!$H:$Q,6,FALSE),"")</f>
        <v/>
      </c>
      <c r="W230" s="91" t="str">
        <f t="shared" ca="1" si="39"/>
        <v/>
      </c>
      <c r="X230" s="12"/>
      <c r="Y230" s="12"/>
      <c r="Z230" s="12"/>
      <c r="AA230" s="12"/>
      <c r="AB230" s="12"/>
    </row>
    <row r="231" spans="1:28" s="10" customFormat="1" ht="15" hidden="1">
      <c r="A231" s="9"/>
      <c r="B231" s="137"/>
      <c r="C231" s="142"/>
      <c r="D231" s="82" t="str">
        <f>IFERROR(VLOOKUP($C231,Code!$H:$K,2,FALSE),"")</f>
        <v/>
      </c>
      <c r="E231" s="83" t="str">
        <f>IFERROR(VLOOKUP($C231,Code!$H:$K,3,FALSE),"")</f>
        <v/>
      </c>
      <c r="F231" s="84" t="str">
        <f>IFERROR(VLOOKUP($C231,Code!$H:$K,4,FALSE),"")</f>
        <v/>
      </c>
      <c r="G231" s="128">
        <f>_xlfn.IFNA(((VLOOKUP($C231,Code!$H:$Q,9,FALSE))+(VLOOKUP($C231,Code!$H:$Q,10,FALSE)))/2*0.5/(((VLOOKUP($C231,Code!$H:$Q,7,FALSE))+(VLOOKUP($C231,Code!$H:$Q,8,FALSE)))/2),0)</f>
        <v>0</v>
      </c>
      <c r="H231" s="87" t="str">
        <f t="shared" si="32"/>
        <v/>
      </c>
      <c r="I231" s="128">
        <f>_xlfn.IFNA((VLOOKUP($C231,Code!$H:$Q,5,FALSE))/(((VLOOKUP($C231,Code!$H:$Q,7,FALSE))+(VLOOKUP($C231,Code!$H:$Q,8,FALSE)))/2)-G231,0)</f>
        <v>0</v>
      </c>
      <c r="J231" s="55" t="str">
        <f>IFERROR(POWER((VLOOKUP(C231,Code!H:W,12,FALSE))/(VLOOKUP(C231,Code!H:W,15,FALSE)),1/(P231-1))-1,"")</f>
        <v/>
      </c>
      <c r="K231" s="55" t="str">
        <f>IFERROR(POWER((VLOOKUP(C231,Code!H:W,13,FALSE))/(VLOOKUP(C231,Code!H:W,16,FALSE)),1/(P231-1))-1,"")</f>
        <v/>
      </c>
      <c r="L231" s="75" t="str">
        <f>IFERROR(VLOOKUP(C231,Code!H:W,13,FALSE)*4/VLOOKUP(C231,Code!H:W,12,FALSE),"")</f>
        <v/>
      </c>
      <c r="M231" s="55" t="str">
        <f t="shared" si="33"/>
        <v/>
      </c>
      <c r="N231" s="55" t="str">
        <f t="shared" si="34"/>
        <v/>
      </c>
      <c r="O231" s="55" t="str">
        <f t="shared" si="35"/>
        <v/>
      </c>
      <c r="P231" s="196" t="str">
        <f>IFERROR(YEARFRAC(VLOOKUP(C231,Code!H:W,11,FALSE),VLOOKUP(C231,Code!H:W,14,FALSE),3),"")</f>
        <v/>
      </c>
      <c r="Q231" s="2"/>
      <c r="R231" s="85" t="str">
        <f t="shared" ca="1" si="36"/>
        <v/>
      </c>
      <c r="S231" s="86" t="str">
        <f>IFERROR(VLOOKUP($C231,Code!$H:$Q,5,FALSE),"")</f>
        <v/>
      </c>
      <c r="T231" s="88" t="str">
        <f t="shared" ca="1" si="37"/>
        <v/>
      </c>
      <c r="U231" s="89" t="str">
        <f t="shared" ca="1" si="38"/>
        <v/>
      </c>
      <c r="V231" s="90" t="str">
        <f>IFERROR(VLOOKUP($C231,Code!$H:$Q,6,FALSE),"")</f>
        <v/>
      </c>
      <c r="W231" s="91" t="str">
        <f t="shared" ca="1" si="39"/>
        <v/>
      </c>
      <c r="X231" s="12"/>
      <c r="Y231" s="12"/>
      <c r="Z231" s="12"/>
      <c r="AA231" s="12"/>
      <c r="AB231" s="12"/>
    </row>
    <row r="232" spans="1:28" s="10" customFormat="1" ht="15" hidden="1">
      <c r="A232" s="9"/>
      <c r="B232" s="137"/>
      <c r="C232" s="142"/>
      <c r="D232" s="82" t="str">
        <f>IFERROR(VLOOKUP($C232,Code!$H:$K,2,FALSE),"")</f>
        <v/>
      </c>
      <c r="E232" s="83" t="str">
        <f>IFERROR(VLOOKUP($C232,Code!$H:$K,3,FALSE),"")</f>
        <v/>
      </c>
      <c r="F232" s="84" t="str">
        <f>IFERROR(VLOOKUP($C232,Code!$H:$K,4,FALSE),"")</f>
        <v/>
      </c>
      <c r="G232" s="128">
        <f>_xlfn.IFNA(((VLOOKUP($C232,Code!$H:$Q,9,FALSE))+(VLOOKUP($C232,Code!$H:$Q,10,FALSE)))/2*0.5/(((VLOOKUP($C232,Code!$H:$Q,7,FALSE))+(VLOOKUP($C232,Code!$H:$Q,8,FALSE)))/2),0)</f>
        <v>0</v>
      </c>
      <c r="H232" s="87" t="str">
        <f t="shared" si="32"/>
        <v/>
      </c>
      <c r="I232" s="128">
        <f>_xlfn.IFNA((VLOOKUP($C232,Code!$H:$Q,5,FALSE))/(((VLOOKUP($C232,Code!$H:$Q,7,FALSE))+(VLOOKUP($C232,Code!$H:$Q,8,FALSE)))/2)-G232,0)</f>
        <v>0</v>
      </c>
      <c r="J232" s="55" t="str">
        <f>IFERROR(POWER((VLOOKUP(C232,Code!H:W,12,FALSE))/(VLOOKUP(C232,Code!H:W,15,FALSE)),1/(P232-1))-1,"")</f>
        <v/>
      </c>
      <c r="K232" s="55" t="str">
        <f>IFERROR(POWER((VLOOKUP(C232,Code!H:W,13,FALSE))/(VLOOKUP(C232,Code!H:W,16,FALSE)),1/(P232-1))-1,"")</f>
        <v/>
      </c>
      <c r="L232" s="75" t="str">
        <f>IFERROR(VLOOKUP(C232,Code!H:W,13,FALSE)*4/VLOOKUP(C232,Code!H:W,12,FALSE),"")</f>
        <v/>
      </c>
      <c r="M232" s="55" t="str">
        <f t="shared" si="33"/>
        <v/>
      </c>
      <c r="N232" s="55" t="str">
        <f t="shared" si="34"/>
        <v/>
      </c>
      <c r="O232" s="55" t="str">
        <f t="shared" si="35"/>
        <v/>
      </c>
      <c r="P232" s="196" t="str">
        <f>IFERROR(YEARFRAC(VLOOKUP(C232,Code!H:W,11,FALSE),VLOOKUP(C232,Code!H:W,14,FALSE),3),"")</f>
        <v/>
      </c>
      <c r="Q232" s="2"/>
      <c r="R232" s="85" t="str">
        <f t="shared" ca="1" si="36"/>
        <v/>
      </c>
      <c r="S232" s="86" t="str">
        <f>IFERROR(VLOOKUP($C232,Code!$H:$Q,5,FALSE),"")</f>
        <v/>
      </c>
      <c r="T232" s="88" t="str">
        <f t="shared" ca="1" si="37"/>
        <v/>
      </c>
      <c r="U232" s="89" t="str">
        <f t="shared" ca="1" si="38"/>
        <v/>
      </c>
      <c r="V232" s="90" t="str">
        <f>IFERROR(VLOOKUP($C232,Code!$H:$Q,6,FALSE),"")</f>
        <v/>
      </c>
      <c r="W232" s="91" t="str">
        <f t="shared" ca="1" si="39"/>
        <v/>
      </c>
      <c r="X232" s="12"/>
      <c r="Y232" s="12"/>
      <c r="Z232" s="12"/>
      <c r="AA232" s="12"/>
      <c r="AB232" s="12"/>
    </row>
    <row r="233" spans="1:28" s="10" customFormat="1" ht="15" hidden="1">
      <c r="A233" s="9"/>
      <c r="B233" s="137"/>
      <c r="C233" s="142"/>
      <c r="D233" s="82" t="str">
        <f>IFERROR(VLOOKUP($C233,Code!$H:$K,2,FALSE),"")</f>
        <v/>
      </c>
      <c r="E233" s="83" t="str">
        <f>IFERROR(VLOOKUP($C233,Code!$H:$K,3,FALSE),"")</f>
        <v/>
      </c>
      <c r="F233" s="84" t="str">
        <f>IFERROR(VLOOKUP($C233,Code!$H:$K,4,FALSE),"")</f>
        <v/>
      </c>
      <c r="G233" s="128">
        <f>_xlfn.IFNA(((VLOOKUP($C233,Code!$H:$Q,9,FALSE))+(VLOOKUP($C233,Code!$H:$Q,10,FALSE)))/2*0.5/(((VLOOKUP($C233,Code!$H:$Q,7,FALSE))+(VLOOKUP($C233,Code!$H:$Q,8,FALSE)))/2),0)</f>
        <v>0</v>
      </c>
      <c r="H233" s="87" t="str">
        <f t="shared" si="32"/>
        <v/>
      </c>
      <c r="I233" s="128">
        <f>_xlfn.IFNA((VLOOKUP($C233,Code!$H:$Q,5,FALSE))/(((VLOOKUP($C233,Code!$H:$Q,7,FALSE))+(VLOOKUP($C233,Code!$H:$Q,8,FALSE)))/2)-G233,0)</f>
        <v>0</v>
      </c>
      <c r="J233" s="55" t="str">
        <f>IFERROR(POWER((VLOOKUP(C233,Code!H:W,12,FALSE))/(VLOOKUP(C233,Code!H:W,15,FALSE)),1/(P233-1))-1,"")</f>
        <v/>
      </c>
      <c r="K233" s="55" t="str">
        <f>IFERROR(POWER((VLOOKUP(C233,Code!H:W,13,FALSE))/(VLOOKUP(C233,Code!H:W,16,FALSE)),1/(P233-1))-1,"")</f>
        <v/>
      </c>
      <c r="L233" s="75" t="str">
        <f>IFERROR(VLOOKUP(C233,Code!H:W,13,FALSE)*4/VLOOKUP(C233,Code!H:W,12,FALSE),"")</f>
        <v/>
      </c>
      <c r="M233" s="55" t="str">
        <f t="shared" si="33"/>
        <v/>
      </c>
      <c r="N233" s="55" t="str">
        <f t="shared" si="34"/>
        <v/>
      </c>
      <c r="O233" s="55" t="str">
        <f t="shared" si="35"/>
        <v/>
      </c>
      <c r="P233" s="196" t="str">
        <f>IFERROR(YEARFRAC(VLOOKUP(C233,Code!H:W,11,FALSE),VLOOKUP(C233,Code!H:W,14,FALSE),3),"")</f>
        <v/>
      </c>
      <c r="Q233" s="2"/>
      <c r="R233" s="85" t="str">
        <f t="shared" ca="1" si="36"/>
        <v/>
      </c>
      <c r="S233" s="86" t="str">
        <f>IFERROR(VLOOKUP($C233,Code!$H:$Q,5,FALSE),"")</f>
        <v/>
      </c>
      <c r="T233" s="88" t="str">
        <f t="shared" ca="1" si="37"/>
        <v/>
      </c>
      <c r="U233" s="89" t="str">
        <f t="shared" ca="1" si="38"/>
        <v/>
      </c>
      <c r="V233" s="90" t="str">
        <f>IFERROR(VLOOKUP($C233,Code!$H:$Q,6,FALSE),"")</f>
        <v/>
      </c>
      <c r="W233" s="91" t="str">
        <f t="shared" ca="1" si="39"/>
        <v/>
      </c>
      <c r="X233" s="12"/>
      <c r="Y233" s="12"/>
      <c r="Z233" s="12"/>
      <c r="AA233" s="12"/>
      <c r="AB233" s="12"/>
    </row>
    <row r="234" spans="1:28" s="10" customFormat="1" ht="15" hidden="1">
      <c r="A234" s="9"/>
      <c r="B234" s="137"/>
      <c r="C234" s="142"/>
      <c r="D234" s="82" t="str">
        <f>IFERROR(VLOOKUP($C234,Code!$H:$K,2,FALSE),"")</f>
        <v/>
      </c>
      <c r="E234" s="83" t="str">
        <f>IFERROR(VLOOKUP($C234,Code!$H:$K,3,FALSE),"")</f>
        <v/>
      </c>
      <c r="F234" s="84" t="str">
        <f>IFERROR(VLOOKUP($C234,Code!$H:$K,4,FALSE),"")</f>
        <v/>
      </c>
      <c r="G234" s="128">
        <f>_xlfn.IFNA(((VLOOKUP($C234,Code!$H:$Q,9,FALSE))+(VLOOKUP($C234,Code!$H:$Q,10,FALSE)))/2*0.5/(((VLOOKUP($C234,Code!$H:$Q,7,FALSE))+(VLOOKUP($C234,Code!$H:$Q,8,FALSE)))/2),0)</f>
        <v>0</v>
      </c>
      <c r="H234" s="87" t="str">
        <f t="shared" si="32"/>
        <v/>
      </c>
      <c r="I234" s="128">
        <f>_xlfn.IFNA((VLOOKUP($C234,Code!$H:$Q,5,FALSE))/(((VLOOKUP($C234,Code!$H:$Q,7,FALSE))+(VLOOKUP($C234,Code!$H:$Q,8,FALSE)))/2)-G234,0)</f>
        <v>0</v>
      </c>
      <c r="J234" s="55" t="str">
        <f>IFERROR(POWER((VLOOKUP(C234,Code!H:W,12,FALSE))/(VLOOKUP(C234,Code!H:W,15,FALSE)),1/(P234-1))-1,"")</f>
        <v/>
      </c>
      <c r="K234" s="55" t="str">
        <f>IFERROR(POWER((VLOOKUP(C234,Code!H:W,13,FALSE))/(VLOOKUP(C234,Code!H:W,16,FALSE)),1/(P234-1))-1,"")</f>
        <v/>
      </c>
      <c r="L234" s="75" t="str">
        <f>IFERROR(VLOOKUP(C234,Code!H:W,13,FALSE)*4/VLOOKUP(C234,Code!H:W,12,FALSE),"")</f>
        <v/>
      </c>
      <c r="M234" s="55" t="str">
        <f t="shared" si="33"/>
        <v/>
      </c>
      <c r="N234" s="55" t="str">
        <f t="shared" si="34"/>
        <v/>
      </c>
      <c r="O234" s="55" t="str">
        <f t="shared" si="35"/>
        <v/>
      </c>
      <c r="P234" s="196" t="str">
        <f>IFERROR(YEARFRAC(VLOOKUP(C234,Code!H:W,11,FALSE),VLOOKUP(C234,Code!H:W,14,FALSE),3),"")</f>
        <v/>
      </c>
      <c r="Q234" s="2"/>
      <c r="R234" s="85" t="str">
        <f t="shared" ca="1" si="36"/>
        <v/>
      </c>
      <c r="S234" s="86" t="str">
        <f>IFERROR(VLOOKUP($C234,Code!$H:$Q,5,FALSE),"")</f>
        <v/>
      </c>
      <c r="T234" s="88" t="str">
        <f t="shared" ca="1" si="37"/>
        <v/>
      </c>
      <c r="U234" s="89" t="str">
        <f t="shared" ca="1" si="38"/>
        <v/>
      </c>
      <c r="V234" s="90" t="str">
        <f>IFERROR(VLOOKUP($C234,Code!$H:$Q,6,FALSE),"")</f>
        <v/>
      </c>
      <c r="W234" s="91" t="str">
        <f t="shared" ca="1" si="39"/>
        <v/>
      </c>
      <c r="X234" s="12"/>
      <c r="Y234" s="12"/>
      <c r="Z234" s="12"/>
      <c r="AA234" s="12"/>
      <c r="AB234" s="12"/>
    </row>
    <row r="235" spans="1:28" s="10" customFormat="1" ht="15" hidden="1">
      <c r="A235" s="9"/>
      <c r="B235" s="137"/>
      <c r="C235" s="142"/>
      <c r="D235" s="82" t="str">
        <f>IFERROR(VLOOKUP($C235,Code!$H:$K,2,FALSE),"")</f>
        <v/>
      </c>
      <c r="E235" s="83" t="str">
        <f>IFERROR(VLOOKUP($C235,Code!$H:$K,3,FALSE),"")</f>
        <v/>
      </c>
      <c r="F235" s="84" t="str">
        <f>IFERROR(VLOOKUP($C235,Code!$H:$K,4,FALSE),"")</f>
        <v/>
      </c>
      <c r="G235" s="128">
        <f>_xlfn.IFNA(((VLOOKUP($C235,Code!$H:$Q,9,FALSE))+(VLOOKUP($C235,Code!$H:$Q,10,FALSE)))/2*0.5/(((VLOOKUP($C235,Code!$H:$Q,7,FALSE))+(VLOOKUP($C235,Code!$H:$Q,8,FALSE)))/2),0)</f>
        <v>0</v>
      </c>
      <c r="H235" s="87" t="str">
        <f t="shared" si="32"/>
        <v/>
      </c>
      <c r="I235" s="128">
        <f>_xlfn.IFNA((VLOOKUP($C235,Code!$H:$Q,5,FALSE))/(((VLOOKUP($C235,Code!$H:$Q,7,FALSE))+(VLOOKUP($C235,Code!$H:$Q,8,FALSE)))/2)-G235,0)</f>
        <v>0</v>
      </c>
      <c r="J235" s="55" t="str">
        <f>IFERROR(POWER((VLOOKUP(C235,Code!H:W,12,FALSE))/(VLOOKUP(C235,Code!H:W,15,FALSE)),1/(P235-1))-1,"")</f>
        <v/>
      </c>
      <c r="K235" s="55" t="str">
        <f>IFERROR(POWER((VLOOKUP(C235,Code!H:W,13,FALSE))/(VLOOKUP(C235,Code!H:W,16,FALSE)),1/(P235-1))-1,"")</f>
        <v/>
      </c>
      <c r="L235" s="75" t="str">
        <f>IFERROR(VLOOKUP(C235,Code!H:W,13,FALSE)*4/VLOOKUP(C235,Code!H:W,12,FALSE),"")</f>
        <v/>
      </c>
      <c r="M235" s="55" t="str">
        <f t="shared" si="33"/>
        <v/>
      </c>
      <c r="N235" s="55" t="str">
        <f t="shared" si="34"/>
        <v/>
      </c>
      <c r="O235" s="55" t="str">
        <f t="shared" si="35"/>
        <v/>
      </c>
      <c r="P235" s="196" t="str">
        <f>IFERROR(YEARFRAC(VLOOKUP(C235,Code!H:W,11,FALSE),VLOOKUP(C235,Code!H:W,14,FALSE),3),"")</f>
        <v/>
      </c>
      <c r="Q235" s="2"/>
      <c r="R235" s="85" t="str">
        <f t="shared" ca="1" si="36"/>
        <v/>
      </c>
      <c r="S235" s="86" t="str">
        <f>IFERROR(VLOOKUP($C235,Code!$H:$Q,5,FALSE),"")</f>
        <v/>
      </c>
      <c r="T235" s="88" t="str">
        <f t="shared" ca="1" si="37"/>
        <v/>
      </c>
      <c r="U235" s="89" t="str">
        <f t="shared" ca="1" si="38"/>
        <v/>
      </c>
      <c r="V235" s="90" t="str">
        <f>IFERROR(VLOOKUP($C235,Code!$H:$Q,6,FALSE),"")</f>
        <v/>
      </c>
      <c r="W235" s="91" t="str">
        <f t="shared" ca="1" si="39"/>
        <v/>
      </c>
      <c r="X235" s="12"/>
      <c r="Y235" s="12"/>
      <c r="Z235" s="12"/>
      <c r="AA235" s="12"/>
      <c r="AB235" s="12"/>
    </row>
    <row r="236" spans="1:28" s="10" customFormat="1" ht="15" hidden="1">
      <c r="A236" s="9"/>
      <c r="B236" s="137"/>
      <c r="C236" s="142"/>
      <c r="D236" s="82" t="str">
        <f>IFERROR(VLOOKUP($C236,Code!$H:$K,2,FALSE),"")</f>
        <v/>
      </c>
      <c r="E236" s="83" t="str">
        <f>IFERROR(VLOOKUP($C236,Code!$H:$K,3,FALSE),"")</f>
        <v/>
      </c>
      <c r="F236" s="84" t="str">
        <f>IFERROR(VLOOKUP($C236,Code!$H:$K,4,FALSE),"")</f>
        <v/>
      </c>
      <c r="G236" s="128">
        <f>_xlfn.IFNA(((VLOOKUP($C236,Code!$H:$Q,9,FALSE))+(VLOOKUP($C236,Code!$H:$Q,10,FALSE)))/2*0.5/(((VLOOKUP($C236,Code!$H:$Q,7,FALSE))+(VLOOKUP($C236,Code!$H:$Q,8,FALSE)))/2),0)</f>
        <v>0</v>
      </c>
      <c r="H236" s="87" t="str">
        <f t="shared" si="32"/>
        <v/>
      </c>
      <c r="I236" s="128">
        <f>_xlfn.IFNA((VLOOKUP($C236,Code!$H:$Q,5,FALSE))/(((VLOOKUP($C236,Code!$H:$Q,7,FALSE))+(VLOOKUP($C236,Code!$H:$Q,8,FALSE)))/2)-G236,0)</f>
        <v>0</v>
      </c>
      <c r="J236" s="55" t="str">
        <f>IFERROR(POWER((VLOOKUP(C236,Code!H:W,12,FALSE))/(VLOOKUP(C236,Code!H:W,15,FALSE)),1/(P236-1))-1,"")</f>
        <v/>
      </c>
      <c r="K236" s="55" t="str">
        <f>IFERROR(POWER((VLOOKUP(C236,Code!H:W,13,FALSE))/(VLOOKUP(C236,Code!H:W,16,FALSE)),1/(P236-1))-1,"")</f>
        <v/>
      </c>
      <c r="L236" s="75" t="str">
        <f>IFERROR(VLOOKUP(C236,Code!H:W,13,FALSE)*4/VLOOKUP(C236,Code!H:W,12,FALSE),"")</f>
        <v/>
      </c>
      <c r="M236" s="55" t="str">
        <f t="shared" si="33"/>
        <v/>
      </c>
      <c r="N236" s="55" t="str">
        <f t="shared" si="34"/>
        <v/>
      </c>
      <c r="O236" s="55" t="str">
        <f t="shared" si="35"/>
        <v/>
      </c>
      <c r="P236" s="196" t="str">
        <f>IFERROR(YEARFRAC(VLOOKUP(C236,Code!H:W,11,FALSE),VLOOKUP(C236,Code!H:W,14,FALSE),3),"")</f>
        <v/>
      </c>
      <c r="Q236" s="2"/>
      <c r="R236" s="85" t="str">
        <f t="shared" ca="1" si="36"/>
        <v/>
      </c>
      <c r="S236" s="86" t="str">
        <f>IFERROR(VLOOKUP($C236,Code!$H:$Q,5,FALSE),"")</f>
        <v/>
      </c>
      <c r="T236" s="88" t="str">
        <f t="shared" ca="1" si="37"/>
        <v/>
      </c>
      <c r="U236" s="89" t="str">
        <f t="shared" ca="1" si="38"/>
        <v/>
      </c>
      <c r="V236" s="90" t="str">
        <f>IFERROR(VLOOKUP($C236,Code!$H:$Q,6,FALSE),"")</f>
        <v/>
      </c>
      <c r="W236" s="91" t="str">
        <f t="shared" ca="1" si="39"/>
        <v/>
      </c>
      <c r="X236" s="12"/>
      <c r="Y236" s="12"/>
      <c r="Z236" s="12"/>
      <c r="AA236" s="12"/>
      <c r="AB236" s="12"/>
    </row>
    <row r="237" spans="1:28" s="10" customFormat="1" ht="15" hidden="1">
      <c r="A237" s="9"/>
      <c r="B237" s="137"/>
      <c r="C237" s="142"/>
      <c r="D237" s="82" t="str">
        <f>IFERROR(VLOOKUP($C237,Code!$H:$K,2,FALSE),"")</f>
        <v/>
      </c>
      <c r="E237" s="83" t="str">
        <f>IFERROR(VLOOKUP($C237,Code!$H:$K,3,FALSE),"")</f>
        <v/>
      </c>
      <c r="F237" s="84" t="str">
        <f>IFERROR(VLOOKUP($C237,Code!$H:$K,4,FALSE),"")</f>
        <v/>
      </c>
      <c r="G237" s="128">
        <f>_xlfn.IFNA(((VLOOKUP($C237,Code!$H:$Q,9,FALSE))+(VLOOKUP($C237,Code!$H:$Q,10,FALSE)))/2*0.5/(((VLOOKUP($C237,Code!$H:$Q,7,FALSE))+(VLOOKUP($C237,Code!$H:$Q,8,FALSE)))/2),0)</f>
        <v>0</v>
      </c>
      <c r="H237" s="87" t="str">
        <f t="shared" si="32"/>
        <v/>
      </c>
      <c r="I237" s="128">
        <f>_xlfn.IFNA((VLOOKUP($C237,Code!$H:$Q,5,FALSE))/(((VLOOKUP($C237,Code!$H:$Q,7,FALSE))+(VLOOKUP($C237,Code!$H:$Q,8,FALSE)))/2)-G237,0)</f>
        <v>0</v>
      </c>
      <c r="J237" s="55" t="str">
        <f>IFERROR(POWER((VLOOKUP(C237,Code!H:W,12,FALSE))/(VLOOKUP(C237,Code!H:W,15,FALSE)),1/(P237-1))-1,"")</f>
        <v/>
      </c>
      <c r="K237" s="55" t="str">
        <f>IFERROR(POWER((VLOOKUP(C237,Code!H:W,13,FALSE))/(VLOOKUP(C237,Code!H:W,16,FALSE)),1/(P237-1))-1,"")</f>
        <v/>
      </c>
      <c r="L237" s="75" t="str">
        <f>IFERROR(VLOOKUP(C237,Code!H:W,13,FALSE)*4/VLOOKUP(C237,Code!H:W,12,FALSE),"")</f>
        <v/>
      </c>
      <c r="M237" s="55" t="str">
        <f t="shared" si="33"/>
        <v/>
      </c>
      <c r="N237" s="55" t="str">
        <f t="shared" si="34"/>
        <v/>
      </c>
      <c r="O237" s="55" t="str">
        <f t="shared" si="35"/>
        <v/>
      </c>
      <c r="P237" s="196" t="str">
        <f>IFERROR(YEARFRAC(VLOOKUP(C237,Code!H:W,11,FALSE),VLOOKUP(C237,Code!H:W,14,FALSE),3),"")</f>
        <v/>
      </c>
      <c r="Q237" s="2"/>
      <c r="R237" s="85" t="str">
        <f t="shared" ca="1" si="36"/>
        <v/>
      </c>
      <c r="S237" s="86" t="str">
        <f>IFERROR(VLOOKUP($C237,Code!$H:$Q,5,FALSE),"")</f>
        <v/>
      </c>
      <c r="T237" s="88" t="str">
        <f t="shared" ca="1" si="37"/>
        <v/>
      </c>
      <c r="U237" s="89" t="str">
        <f t="shared" ca="1" si="38"/>
        <v/>
      </c>
      <c r="V237" s="90" t="str">
        <f>IFERROR(VLOOKUP($C237,Code!$H:$Q,6,FALSE),"")</f>
        <v/>
      </c>
      <c r="W237" s="91" t="str">
        <f t="shared" ca="1" si="39"/>
        <v/>
      </c>
      <c r="X237" s="12"/>
      <c r="Y237" s="12"/>
      <c r="Z237" s="12"/>
      <c r="AA237" s="12"/>
      <c r="AB237" s="12"/>
    </row>
    <row r="238" spans="1:28" s="10" customFormat="1" ht="15" hidden="1">
      <c r="A238" s="9"/>
      <c r="B238" s="137"/>
      <c r="C238" s="142"/>
      <c r="D238" s="82" t="str">
        <f>IFERROR(VLOOKUP($C238,Code!$H:$K,2,FALSE),"")</f>
        <v/>
      </c>
      <c r="E238" s="83" t="str">
        <f>IFERROR(VLOOKUP($C238,Code!$H:$K,3,FALSE),"")</f>
        <v/>
      </c>
      <c r="F238" s="84" t="str">
        <f>IFERROR(VLOOKUP($C238,Code!$H:$K,4,FALSE),"")</f>
        <v/>
      </c>
      <c r="G238" s="128">
        <f>_xlfn.IFNA(((VLOOKUP($C238,Code!$H:$Q,9,FALSE))+(VLOOKUP($C238,Code!$H:$Q,10,FALSE)))/2*0.5/(((VLOOKUP($C238,Code!$H:$Q,7,FALSE))+(VLOOKUP($C238,Code!$H:$Q,8,FALSE)))/2),0)</f>
        <v>0</v>
      </c>
      <c r="H238" s="87" t="str">
        <f t="shared" si="32"/>
        <v/>
      </c>
      <c r="I238" s="128">
        <f>_xlfn.IFNA((VLOOKUP($C238,Code!$H:$Q,5,FALSE))/(((VLOOKUP($C238,Code!$H:$Q,7,FALSE))+(VLOOKUP($C238,Code!$H:$Q,8,FALSE)))/2)-G238,0)</f>
        <v>0</v>
      </c>
      <c r="J238" s="55" t="str">
        <f>IFERROR(POWER((VLOOKUP(C238,Code!H:W,12,FALSE))/(VLOOKUP(C238,Code!H:W,15,FALSE)),1/(P238-1))-1,"")</f>
        <v/>
      </c>
      <c r="K238" s="55" t="str">
        <f>IFERROR(POWER((VLOOKUP(C238,Code!H:W,13,FALSE))/(VLOOKUP(C238,Code!H:W,16,FALSE)),1/(P238-1))-1,"")</f>
        <v/>
      </c>
      <c r="L238" s="75" t="str">
        <f>IFERROR(VLOOKUP(C238,Code!H:W,13,FALSE)*4/VLOOKUP(C238,Code!H:W,12,FALSE),"")</f>
        <v/>
      </c>
      <c r="M238" s="55" t="str">
        <f t="shared" si="33"/>
        <v/>
      </c>
      <c r="N238" s="55" t="str">
        <f t="shared" si="34"/>
        <v/>
      </c>
      <c r="O238" s="55" t="str">
        <f t="shared" si="35"/>
        <v/>
      </c>
      <c r="P238" s="196" t="str">
        <f>IFERROR(YEARFRAC(VLOOKUP(C238,Code!H:W,11,FALSE),VLOOKUP(C238,Code!H:W,14,FALSE),3),"")</f>
        <v/>
      </c>
      <c r="Q238" s="2"/>
      <c r="R238" s="85" t="str">
        <f t="shared" ca="1" si="36"/>
        <v/>
      </c>
      <c r="S238" s="86" t="str">
        <f>IFERROR(VLOOKUP($C238,Code!$H:$Q,5,FALSE),"")</f>
        <v/>
      </c>
      <c r="T238" s="88" t="str">
        <f t="shared" ca="1" si="37"/>
        <v/>
      </c>
      <c r="U238" s="89" t="str">
        <f t="shared" ca="1" si="38"/>
        <v/>
      </c>
      <c r="V238" s="90" t="str">
        <f>IFERROR(VLOOKUP($C238,Code!$H:$Q,6,FALSE),"")</f>
        <v/>
      </c>
      <c r="W238" s="91" t="str">
        <f t="shared" ca="1" si="39"/>
        <v/>
      </c>
      <c r="X238" s="12"/>
      <c r="Y238" s="12"/>
      <c r="Z238" s="12"/>
      <c r="AA238" s="12"/>
      <c r="AB238" s="12"/>
    </row>
    <row r="239" spans="1:28" s="10" customFormat="1" ht="15" hidden="1">
      <c r="A239" s="9"/>
      <c r="B239" s="137"/>
      <c r="C239" s="142"/>
      <c r="D239" s="82" t="str">
        <f>IFERROR(VLOOKUP($C239,Code!$H:$K,2,FALSE),"")</f>
        <v/>
      </c>
      <c r="E239" s="83" t="str">
        <f>IFERROR(VLOOKUP($C239,Code!$H:$K,3,FALSE),"")</f>
        <v/>
      </c>
      <c r="F239" s="84" t="str">
        <f>IFERROR(VLOOKUP($C239,Code!$H:$K,4,FALSE),"")</f>
        <v/>
      </c>
      <c r="G239" s="128">
        <f>_xlfn.IFNA(((VLOOKUP($C239,Code!$H:$Q,9,FALSE))+(VLOOKUP($C239,Code!$H:$Q,10,FALSE)))/2*0.5/(((VLOOKUP($C239,Code!$H:$Q,7,FALSE))+(VLOOKUP($C239,Code!$H:$Q,8,FALSE)))/2),0)</f>
        <v>0</v>
      </c>
      <c r="H239" s="87" t="str">
        <f t="shared" si="32"/>
        <v/>
      </c>
      <c r="I239" s="128">
        <f>_xlfn.IFNA((VLOOKUP($C239,Code!$H:$Q,5,FALSE))/(((VLOOKUP($C239,Code!$H:$Q,7,FALSE))+(VLOOKUP($C239,Code!$H:$Q,8,FALSE)))/2)-G239,0)</f>
        <v>0</v>
      </c>
      <c r="J239" s="55" t="str">
        <f>IFERROR(POWER((VLOOKUP(C239,Code!H:W,12,FALSE))/(VLOOKUP(C239,Code!H:W,15,FALSE)),1/(P239-1))-1,"")</f>
        <v/>
      </c>
      <c r="K239" s="55" t="str">
        <f>IFERROR(POWER((VLOOKUP(C239,Code!H:W,13,FALSE))/(VLOOKUP(C239,Code!H:W,16,FALSE)),1/(P239-1))-1,"")</f>
        <v/>
      </c>
      <c r="L239" s="75" t="str">
        <f>IFERROR(VLOOKUP(C239,Code!H:W,13,FALSE)*4/VLOOKUP(C239,Code!H:W,12,FALSE),"")</f>
        <v/>
      </c>
      <c r="M239" s="55" t="str">
        <f t="shared" si="33"/>
        <v/>
      </c>
      <c r="N239" s="55" t="str">
        <f t="shared" si="34"/>
        <v/>
      </c>
      <c r="O239" s="55" t="str">
        <f t="shared" si="35"/>
        <v/>
      </c>
      <c r="P239" s="196" t="str">
        <f>IFERROR(YEARFRAC(VLOOKUP(C239,Code!H:W,11,FALSE),VLOOKUP(C239,Code!H:W,14,FALSE),3),"")</f>
        <v/>
      </c>
      <c r="Q239" s="2"/>
      <c r="R239" s="85" t="str">
        <f t="shared" ca="1" si="36"/>
        <v/>
      </c>
      <c r="S239" s="86" t="str">
        <f>IFERROR(VLOOKUP($C239,Code!$H:$Q,5,FALSE),"")</f>
        <v/>
      </c>
      <c r="T239" s="88" t="str">
        <f t="shared" ca="1" si="37"/>
        <v/>
      </c>
      <c r="U239" s="89" t="str">
        <f t="shared" ca="1" si="38"/>
        <v/>
      </c>
      <c r="V239" s="90" t="str">
        <f>IFERROR(VLOOKUP($C239,Code!$H:$Q,6,FALSE),"")</f>
        <v/>
      </c>
      <c r="W239" s="91" t="str">
        <f t="shared" ca="1" si="39"/>
        <v/>
      </c>
      <c r="X239" s="12"/>
      <c r="Y239" s="12"/>
      <c r="Z239" s="12"/>
      <c r="AA239" s="12"/>
      <c r="AB239" s="12"/>
    </row>
    <row r="240" spans="1:28" s="10" customFormat="1" ht="15" hidden="1">
      <c r="A240" s="9"/>
      <c r="B240" s="137"/>
      <c r="C240" s="142"/>
      <c r="D240" s="82" t="str">
        <f>IFERROR(VLOOKUP($C240,Code!$H:$K,2,FALSE),"")</f>
        <v/>
      </c>
      <c r="E240" s="83" t="str">
        <f>IFERROR(VLOOKUP($C240,Code!$H:$K,3,FALSE),"")</f>
        <v/>
      </c>
      <c r="F240" s="84" t="str">
        <f>IFERROR(VLOOKUP($C240,Code!$H:$K,4,FALSE),"")</f>
        <v/>
      </c>
      <c r="G240" s="128">
        <f>_xlfn.IFNA(((VLOOKUP($C240,Code!$H:$Q,9,FALSE))+(VLOOKUP($C240,Code!$H:$Q,10,FALSE)))/2*0.5/(((VLOOKUP($C240,Code!$H:$Q,7,FALSE))+(VLOOKUP($C240,Code!$H:$Q,8,FALSE)))/2),0)</f>
        <v>0</v>
      </c>
      <c r="H240" s="87" t="str">
        <f t="shared" si="32"/>
        <v/>
      </c>
      <c r="I240" s="128">
        <f>_xlfn.IFNA((VLOOKUP($C240,Code!$H:$Q,5,FALSE))/(((VLOOKUP($C240,Code!$H:$Q,7,FALSE))+(VLOOKUP($C240,Code!$H:$Q,8,FALSE)))/2)-G240,0)</f>
        <v>0</v>
      </c>
      <c r="J240" s="55" t="str">
        <f>IFERROR(POWER((VLOOKUP(C240,Code!H:W,12,FALSE))/(VLOOKUP(C240,Code!H:W,15,FALSE)),1/(P240-1))-1,"")</f>
        <v/>
      </c>
      <c r="K240" s="55" t="str">
        <f>IFERROR(POWER((VLOOKUP(C240,Code!H:W,13,FALSE))/(VLOOKUP(C240,Code!H:W,16,FALSE)),1/(P240-1))-1,"")</f>
        <v/>
      </c>
      <c r="L240" s="75" t="str">
        <f>IFERROR(VLOOKUP(C240,Code!H:W,13,FALSE)*4/VLOOKUP(C240,Code!H:W,12,FALSE),"")</f>
        <v/>
      </c>
      <c r="M240" s="55" t="str">
        <f t="shared" si="33"/>
        <v/>
      </c>
      <c r="N240" s="55" t="str">
        <f t="shared" si="34"/>
        <v/>
      </c>
      <c r="O240" s="55" t="str">
        <f t="shared" si="35"/>
        <v/>
      </c>
      <c r="P240" s="196" t="str">
        <f>IFERROR(YEARFRAC(VLOOKUP(C240,Code!H:W,11,FALSE),VLOOKUP(C240,Code!H:W,14,FALSE),3),"")</f>
        <v/>
      </c>
      <c r="Q240" s="2"/>
      <c r="R240" s="85" t="str">
        <f t="shared" ca="1" si="36"/>
        <v/>
      </c>
      <c r="S240" s="86" t="str">
        <f>IFERROR(VLOOKUP($C240,Code!$H:$Q,5,FALSE),"")</f>
        <v/>
      </c>
      <c r="T240" s="88" t="str">
        <f t="shared" ca="1" si="37"/>
        <v/>
      </c>
      <c r="U240" s="89" t="str">
        <f t="shared" ca="1" si="38"/>
        <v/>
      </c>
      <c r="V240" s="90" t="str">
        <f>IFERROR(VLOOKUP($C240,Code!$H:$Q,6,FALSE),"")</f>
        <v/>
      </c>
      <c r="W240" s="91" t="str">
        <f t="shared" ca="1" si="39"/>
        <v/>
      </c>
      <c r="X240" s="12"/>
      <c r="Y240" s="12"/>
      <c r="Z240" s="12"/>
      <c r="AA240" s="12"/>
      <c r="AB240" s="12"/>
    </row>
    <row r="241" spans="1:28" s="10" customFormat="1" ht="15" hidden="1">
      <c r="A241" s="9"/>
      <c r="B241" s="137"/>
      <c r="C241" s="142"/>
      <c r="D241" s="82" t="str">
        <f>IFERROR(VLOOKUP($C241,Code!$H:$K,2,FALSE),"")</f>
        <v/>
      </c>
      <c r="E241" s="83" t="str">
        <f>IFERROR(VLOOKUP($C241,Code!$H:$K,3,FALSE),"")</f>
        <v/>
      </c>
      <c r="F241" s="84" t="str">
        <f>IFERROR(VLOOKUP($C241,Code!$H:$K,4,FALSE),"")</f>
        <v/>
      </c>
      <c r="G241" s="128">
        <f>_xlfn.IFNA(((VLOOKUP($C241,Code!$H:$Q,9,FALSE))+(VLOOKUP($C241,Code!$H:$Q,10,FALSE)))/2*0.5/(((VLOOKUP($C241,Code!$H:$Q,7,FALSE))+(VLOOKUP($C241,Code!$H:$Q,8,FALSE)))/2),0)</f>
        <v>0</v>
      </c>
      <c r="H241" s="87" t="str">
        <f t="shared" si="32"/>
        <v/>
      </c>
      <c r="I241" s="128">
        <f>_xlfn.IFNA((VLOOKUP($C241,Code!$H:$Q,5,FALSE))/(((VLOOKUP($C241,Code!$H:$Q,7,FALSE))+(VLOOKUP($C241,Code!$H:$Q,8,FALSE)))/2)-G241,0)</f>
        <v>0</v>
      </c>
      <c r="J241" s="55" t="str">
        <f>IFERROR(POWER((VLOOKUP(C241,Code!H:W,12,FALSE))/(VLOOKUP(C241,Code!H:W,15,FALSE)),1/(P241-1))-1,"")</f>
        <v/>
      </c>
      <c r="K241" s="55" t="str">
        <f>IFERROR(POWER((VLOOKUP(C241,Code!H:W,13,FALSE))/(VLOOKUP(C241,Code!H:W,16,FALSE)),1/(P241-1))-1,"")</f>
        <v/>
      </c>
      <c r="L241" s="75" t="str">
        <f>IFERROR(VLOOKUP(C241,Code!H:W,13,FALSE)*4/VLOOKUP(C241,Code!H:W,12,FALSE),"")</f>
        <v/>
      </c>
      <c r="M241" s="55" t="str">
        <f t="shared" si="33"/>
        <v/>
      </c>
      <c r="N241" s="55" t="str">
        <f t="shared" si="34"/>
        <v/>
      </c>
      <c r="O241" s="55" t="str">
        <f t="shared" si="35"/>
        <v/>
      </c>
      <c r="P241" s="196" t="str">
        <f>IFERROR(YEARFRAC(VLOOKUP(C241,Code!H:W,11,FALSE),VLOOKUP(C241,Code!H:W,14,FALSE),3),"")</f>
        <v/>
      </c>
      <c r="Q241" s="2"/>
      <c r="R241" s="85" t="str">
        <f t="shared" ca="1" si="36"/>
        <v/>
      </c>
      <c r="S241" s="86" t="str">
        <f>IFERROR(VLOOKUP($C241,Code!$H:$Q,5,FALSE),"")</f>
        <v/>
      </c>
      <c r="T241" s="88" t="str">
        <f t="shared" ca="1" si="37"/>
        <v/>
      </c>
      <c r="U241" s="89" t="str">
        <f t="shared" ca="1" si="38"/>
        <v/>
      </c>
      <c r="V241" s="90" t="str">
        <f>IFERROR(VLOOKUP($C241,Code!$H:$Q,6,FALSE),"")</f>
        <v/>
      </c>
      <c r="W241" s="91" t="str">
        <f t="shared" ca="1" si="39"/>
        <v/>
      </c>
      <c r="X241" s="12"/>
      <c r="Y241" s="12"/>
      <c r="Z241" s="12"/>
      <c r="AA241" s="12"/>
      <c r="AB241" s="12"/>
    </row>
    <row r="242" spans="1:28" s="10" customFormat="1" ht="15" hidden="1">
      <c r="A242" s="9"/>
      <c r="B242" s="137"/>
      <c r="C242" s="142"/>
      <c r="D242" s="82" t="str">
        <f>IFERROR(VLOOKUP($C242,Code!$H:$K,2,FALSE),"")</f>
        <v/>
      </c>
      <c r="E242" s="83" t="str">
        <f>IFERROR(VLOOKUP($C242,Code!$H:$K,3,FALSE),"")</f>
        <v/>
      </c>
      <c r="F242" s="84" t="str">
        <f>IFERROR(VLOOKUP($C242,Code!$H:$K,4,FALSE),"")</f>
        <v/>
      </c>
      <c r="G242" s="128">
        <f>_xlfn.IFNA(((VLOOKUP($C242,Code!$H:$Q,9,FALSE))+(VLOOKUP($C242,Code!$H:$Q,10,FALSE)))/2*0.5/(((VLOOKUP($C242,Code!$H:$Q,7,FALSE))+(VLOOKUP($C242,Code!$H:$Q,8,FALSE)))/2),0)</f>
        <v>0</v>
      </c>
      <c r="H242" s="87" t="str">
        <f t="shared" si="32"/>
        <v/>
      </c>
      <c r="I242" s="128">
        <f>_xlfn.IFNA((VLOOKUP($C242,Code!$H:$Q,5,FALSE))/(((VLOOKUP($C242,Code!$H:$Q,7,FALSE))+(VLOOKUP($C242,Code!$H:$Q,8,FALSE)))/2)-G242,0)</f>
        <v>0</v>
      </c>
      <c r="J242" s="55" t="str">
        <f>IFERROR(POWER((VLOOKUP(C242,Code!H:W,12,FALSE))/(VLOOKUP(C242,Code!H:W,15,FALSE)),1/(P242-1))-1,"")</f>
        <v/>
      </c>
      <c r="K242" s="55" t="str">
        <f>IFERROR(POWER((VLOOKUP(C242,Code!H:W,13,FALSE))/(VLOOKUP(C242,Code!H:W,16,FALSE)),1/(P242-1))-1,"")</f>
        <v/>
      </c>
      <c r="L242" s="75" t="str">
        <f>IFERROR(VLOOKUP(C242,Code!H:W,13,FALSE)*4/VLOOKUP(C242,Code!H:W,12,FALSE),"")</f>
        <v/>
      </c>
      <c r="M242" s="55" t="str">
        <f t="shared" si="33"/>
        <v/>
      </c>
      <c r="N242" s="55" t="str">
        <f t="shared" si="34"/>
        <v/>
      </c>
      <c r="O242" s="55" t="str">
        <f t="shared" si="35"/>
        <v/>
      </c>
      <c r="P242" s="196" t="str">
        <f>IFERROR(YEARFRAC(VLOOKUP(C242,Code!H:W,11,FALSE),VLOOKUP(C242,Code!H:W,14,FALSE),3),"")</f>
        <v/>
      </c>
      <c r="Q242" s="2"/>
      <c r="R242" s="85" t="str">
        <f t="shared" ca="1" si="36"/>
        <v/>
      </c>
      <c r="S242" s="86" t="str">
        <f>IFERROR(VLOOKUP($C242,Code!$H:$Q,5,FALSE),"")</f>
        <v/>
      </c>
      <c r="T242" s="88" t="str">
        <f t="shared" ca="1" si="37"/>
        <v/>
      </c>
      <c r="U242" s="89" t="str">
        <f t="shared" ca="1" si="38"/>
        <v/>
      </c>
      <c r="V242" s="90" t="str">
        <f>IFERROR(VLOOKUP($C242,Code!$H:$Q,6,FALSE),"")</f>
        <v/>
      </c>
      <c r="W242" s="91" t="str">
        <f t="shared" ca="1" si="39"/>
        <v/>
      </c>
      <c r="X242" s="12"/>
      <c r="Y242" s="12"/>
      <c r="Z242" s="12"/>
      <c r="AA242" s="12"/>
      <c r="AB242" s="12"/>
    </row>
    <row r="243" spans="1:28" s="10" customFormat="1" ht="15" hidden="1">
      <c r="A243" s="9"/>
      <c r="B243" s="137"/>
      <c r="C243" s="142"/>
      <c r="D243" s="82" t="str">
        <f>IFERROR(VLOOKUP($C243,Code!$H:$K,2,FALSE),"")</f>
        <v/>
      </c>
      <c r="E243" s="83" t="str">
        <f>IFERROR(VLOOKUP($C243,Code!$H:$K,3,FALSE),"")</f>
        <v/>
      </c>
      <c r="F243" s="84" t="str">
        <f>IFERROR(VLOOKUP($C243,Code!$H:$K,4,FALSE),"")</f>
        <v/>
      </c>
      <c r="G243" s="128">
        <f>_xlfn.IFNA(((VLOOKUP($C243,Code!$H:$Q,9,FALSE))+(VLOOKUP($C243,Code!$H:$Q,10,FALSE)))/2*0.5/(((VLOOKUP($C243,Code!$H:$Q,7,FALSE))+(VLOOKUP($C243,Code!$H:$Q,8,FALSE)))/2),0)</f>
        <v>0</v>
      </c>
      <c r="H243" s="87" t="str">
        <f t="shared" si="32"/>
        <v/>
      </c>
      <c r="I243" s="128">
        <f>_xlfn.IFNA((VLOOKUP($C243,Code!$H:$Q,5,FALSE))/(((VLOOKUP($C243,Code!$H:$Q,7,FALSE))+(VLOOKUP($C243,Code!$H:$Q,8,FALSE)))/2)-G243,0)</f>
        <v>0</v>
      </c>
      <c r="J243" s="55" t="str">
        <f>IFERROR(POWER((VLOOKUP(C243,Code!H:W,12,FALSE))/(VLOOKUP(C243,Code!H:W,15,FALSE)),1/(P243-1))-1,"")</f>
        <v/>
      </c>
      <c r="K243" s="55" t="str">
        <f>IFERROR(POWER((VLOOKUP(C243,Code!H:W,13,FALSE))/(VLOOKUP(C243,Code!H:W,16,FALSE)),1/(P243-1))-1,"")</f>
        <v/>
      </c>
      <c r="L243" s="75" t="str">
        <f>IFERROR(VLOOKUP(C243,Code!H:W,13,FALSE)*4/VLOOKUP(C243,Code!H:W,12,FALSE),"")</f>
        <v/>
      </c>
      <c r="M243" s="55" t="str">
        <f t="shared" si="33"/>
        <v/>
      </c>
      <c r="N243" s="55" t="str">
        <f t="shared" si="34"/>
        <v/>
      </c>
      <c r="O243" s="55" t="str">
        <f t="shared" si="35"/>
        <v/>
      </c>
      <c r="P243" s="196" t="str">
        <f>IFERROR(YEARFRAC(VLOOKUP(C243,Code!H:W,11,FALSE),VLOOKUP(C243,Code!H:W,14,FALSE),3),"")</f>
        <v/>
      </c>
      <c r="Q243" s="2"/>
      <c r="R243" s="85" t="str">
        <f t="shared" ca="1" si="36"/>
        <v/>
      </c>
      <c r="S243" s="86" t="str">
        <f>IFERROR(VLOOKUP($C243,Code!$H:$Q,5,FALSE),"")</f>
        <v/>
      </c>
      <c r="T243" s="88" t="str">
        <f t="shared" ca="1" si="37"/>
        <v/>
      </c>
      <c r="U243" s="89" t="str">
        <f t="shared" ca="1" si="38"/>
        <v/>
      </c>
      <c r="V243" s="90" t="str">
        <f>IFERROR(VLOOKUP($C243,Code!$H:$Q,6,FALSE),"")</f>
        <v/>
      </c>
      <c r="W243" s="91" t="str">
        <f t="shared" ca="1" si="39"/>
        <v/>
      </c>
      <c r="X243" s="12"/>
      <c r="Y243" s="12"/>
      <c r="Z243" s="12"/>
      <c r="AA243" s="12"/>
      <c r="AB243" s="12"/>
    </row>
    <row r="244" spans="1:28" s="10" customFormat="1" ht="15" hidden="1">
      <c r="A244" s="9"/>
      <c r="B244" s="137"/>
      <c r="C244" s="142"/>
      <c r="D244" s="82" t="str">
        <f>IFERROR(VLOOKUP($C244,Code!$H:$K,2,FALSE),"")</f>
        <v/>
      </c>
      <c r="E244" s="83" t="str">
        <f>IFERROR(VLOOKUP($C244,Code!$H:$K,3,FALSE),"")</f>
        <v/>
      </c>
      <c r="F244" s="84" t="str">
        <f>IFERROR(VLOOKUP($C244,Code!$H:$K,4,FALSE),"")</f>
        <v/>
      </c>
      <c r="G244" s="128">
        <f>_xlfn.IFNA(((VLOOKUP($C244,Code!$H:$Q,9,FALSE))+(VLOOKUP($C244,Code!$H:$Q,10,FALSE)))/2*0.5/(((VLOOKUP($C244,Code!$H:$Q,7,FALSE))+(VLOOKUP($C244,Code!$H:$Q,8,FALSE)))/2),0)</f>
        <v>0</v>
      </c>
      <c r="H244" s="87" t="str">
        <f t="shared" si="32"/>
        <v/>
      </c>
      <c r="I244" s="128">
        <f>_xlfn.IFNA((VLOOKUP($C244,Code!$H:$Q,5,FALSE))/(((VLOOKUP($C244,Code!$H:$Q,7,FALSE))+(VLOOKUP($C244,Code!$H:$Q,8,FALSE)))/2)-G244,0)</f>
        <v>0</v>
      </c>
      <c r="J244" s="55" t="str">
        <f>IFERROR(POWER((VLOOKUP(C244,Code!H:W,12,FALSE))/(VLOOKUP(C244,Code!H:W,15,FALSE)),1/(P244-1))-1,"")</f>
        <v/>
      </c>
      <c r="K244" s="55" t="str">
        <f>IFERROR(POWER((VLOOKUP(C244,Code!H:W,13,FALSE))/(VLOOKUP(C244,Code!H:W,16,FALSE)),1/(P244-1))-1,"")</f>
        <v/>
      </c>
      <c r="L244" s="75" t="str">
        <f>IFERROR(VLOOKUP(C244,Code!H:W,13,FALSE)*4/VLOOKUP(C244,Code!H:W,12,FALSE),"")</f>
        <v/>
      </c>
      <c r="M244" s="55" t="str">
        <f t="shared" si="33"/>
        <v/>
      </c>
      <c r="N244" s="55" t="str">
        <f t="shared" si="34"/>
        <v/>
      </c>
      <c r="O244" s="55" t="str">
        <f t="shared" si="35"/>
        <v/>
      </c>
      <c r="P244" s="196" t="str">
        <f>IFERROR(YEARFRAC(VLOOKUP(C244,Code!H:W,11,FALSE),VLOOKUP(C244,Code!H:W,14,FALSE),3),"")</f>
        <v/>
      </c>
      <c r="Q244" s="2"/>
      <c r="R244" s="85" t="str">
        <f t="shared" ca="1" si="36"/>
        <v/>
      </c>
      <c r="S244" s="86" t="str">
        <f>IFERROR(VLOOKUP($C244,Code!$H:$Q,5,FALSE),"")</f>
        <v/>
      </c>
      <c r="T244" s="88" t="str">
        <f t="shared" ca="1" si="37"/>
        <v/>
      </c>
      <c r="U244" s="89" t="str">
        <f t="shared" ca="1" si="38"/>
        <v/>
      </c>
      <c r="V244" s="90" t="str">
        <f>IFERROR(VLOOKUP($C244,Code!$H:$Q,6,FALSE),"")</f>
        <v/>
      </c>
      <c r="W244" s="91" t="str">
        <f t="shared" ca="1" si="39"/>
        <v/>
      </c>
      <c r="X244" s="12"/>
      <c r="Y244" s="12"/>
      <c r="Z244" s="12"/>
      <c r="AA244" s="12"/>
      <c r="AB244" s="12"/>
    </row>
    <row r="245" spans="1:28" s="10" customFormat="1" ht="15" hidden="1">
      <c r="A245" s="9"/>
      <c r="B245" s="137"/>
      <c r="C245" s="142"/>
      <c r="D245" s="82" t="str">
        <f>IFERROR(VLOOKUP($C245,Code!$H:$K,2,FALSE),"")</f>
        <v/>
      </c>
      <c r="E245" s="83" t="str">
        <f>IFERROR(VLOOKUP($C245,Code!$H:$K,3,FALSE),"")</f>
        <v/>
      </c>
      <c r="F245" s="84" t="str">
        <f>IFERROR(VLOOKUP($C245,Code!$H:$K,4,FALSE),"")</f>
        <v/>
      </c>
      <c r="G245" s="128">
        <f>_xlfn.IFNA(((VLOOKUP($C245,Code!$H:$Q,9,FALSE))+(VLOOKUP($C245,Code!$H:$Q,10,FALSE)))/2*0.5/(((VLOOKUP($C245,Code!$H:$Q,7,FALSE))+(VLOOKUP($C245,Code!$H:$Q,8,FALSE)))/2),0)</f>
        <v>0</v>
      </c>
      <c r="H245" s="87" t="str">
        <f t="shared" si="32"/>
        <v/>
      </c>
      <c r="I245" s="128">
        <f>_xlfn.IFNA((VLOOKUP($C245,Code!$H:$Q,5,FALSE))/(((VLOOKUP($C245,Code!$H:$Q,7,FALSE))+(VLOOKUP($C245,Code!$H:$Q,8,FALSE)))/2)-G245,0)</f>
        <v>0</v>
      </c>
      <c r="J245" s="55" t="str">
        <f>IFERROR(POWER((VLOOKUP(C245,Code!H:W,12,FALSE))/(VLOOKUP(C245,Code!H:W,15,FALSE)),1/(P245-1))-1,"")</f>
        <v/>
      </c>
      <c r="K245" s="55" t="str">
        <f>IFERROR(POWER((VLOOKUP(C245,Code!H:W,13,FALSE))/(VLOOKUP(C245,Code!H:W,16,FALSE)),1/(P245-1))-1,"")</f>
        <v/>
      </c>
      <c r="L245" s="75" t="str">
        <f>IFERROR(VLOOKUP(C245,Code!H:W,13,FALSE)*4/VLOOKUP(C245,Code!H:W,12,FALSE),"")</f>
        <v/>
      </c>
      <c r="M245" s="55" t="str">
        <f t="shared" si="33"/>
        <v/>
      </c>
      <c r="N245" s="55" t="str">
        <f t="shared" si="34"/>
        <v/>
      </c>
      <c r="O245" s="55" t="str">
        <f t="shared" si="35"/>
        <v/>
      </c>
      <c r="P245" s="196" t="str">
        <f>IFERROR(YEARFRAC(VLOOKUP(C245,Code!H:W,11,FALSE),VLOOKUP(C245,Code!H:W,14,FALSE),3),"")</f>
        <v/>
      </c>
      <c r="Q245" s="2"/>
      <c r="R245" s="85" t="str">
        <f t="shared" ca="1" si="36"/>
        <v/>
      </c>
      <c r="S245" s="86" t="str">
        <f>IFERROR(VLOOKUP($C245,Code!$H:$Q,5,FALSE),"")</f>
        <v/>
      </c>
      <c r="T245" s="88" t="str">
        <f t="shared" ca="1" si="37"/>
        <v/>
      </c>
      <c r="U245" s="89" t="str">
        <f t="shared" ca="1" si="38"/>
        <v/>
      </c>
      <c r="V245" s="90" t="str">
        <f>IFERROR(VLOOKUP($C245,Code!$H:$Q,6,FALSE),"")</f>
        <v/>
      </c>
      <c r="W245" s="91" t="str">
        <f t="shared" ca="1" si="39"/>
        <v/>
      </c>
      <c r="X245" s="12"/>
      <c r="Y245" s="12"/>
      <c r="Z245" s="12"/>
      <c r="AA245" s="12"/>
      <c r="AB245" s="12"/>
    </row>
    <row r="246" spans="1:28" s="10" customFormat="1" ht="15" hidden="1">
      <c r="A246" s="9"/>
      <c r="B246" s="137"/>
      <c r="C246" s="142"/>
      <c r="D246" s="82" t="str">
        <f>IFERROR(VLOOKUP($C246,Code!$H:$K,2,FALSE),"")</f>
        <v/>
      </c>
      <c r="E246" s="83" t="str">
        <f>IFERROR(VLOOKUP($C246,Code!$H:$K,3,FALSE),"")</f>
        <v/>
      </c>
      <c r="F246" s="84" t="str">
        <f>IFERROR(VLOOKUP($C246,Code!$H:$K,4,FALSE),"")</f>
        <v/>
      </c>
      <c r="G246" s="128">
        <f>_xlfn.IFNA(((VLOOKUP($C246,Code!$H:$Q,9,FALSE))+(VLOOKUP($C246,Code!$H:$Q,10,FALSE)))/2*0.5/(((VLOOKUP($C246,Code!$H:$Q,7,FALSE))+(VLOOKUP($C246,Code!$H:$Q,8,FALSE)))/2),0)</f>
        <v>0</v>
      </c>
      <c r="H246" s="87" t="str">
        <f t="shared" si="32"/>
        <v/>
      </c>
      <c r="I246" s="128">
        <f>_xlfn.IFNA((VLOOKUP($C246,Code!$H:$Q,5,FALSE))/(((VLOOKUP($C246,Code!$H:$Q,7,FALSE))+(VLOOKUP($C246,Code!$H:$Q,8,FALSE)))/2)-G246,0)</f>
        <v>0</v>
      </c>
      <c r="J246" s="55" t="str">
        <f>IFERROR(POWER((VLOOKUP(C246,Code!H:W,12,FALSE))/(VLOOKUP(C246,Code!H:W,15,FALSE)),1/(P246-1))-1,"")</f>
        <v/>
      </c>
      <c r="K246" s="55" t="str">
        <f>IFERROR(POWER((VLOOKUP(C246,Code!H:W,13,FALSE))/(VLOOKUP(C246,Code!H:W,16,FALSE)),1/(P246-1))-1,"")</f>
        <v/>
      </c>
      <c r="L246" s="75" t="str">
        <f>IFERROR(VLOOKUP(C246,Code!H:W,13,FALSE)*4/VLOOKUP(C246,Code!H:W,12,FALSE),"")</f>
        <v/>
      </c>
      <c r="M246" s="55" t="str">
        <f t="shared" si="33"/>
        <v/>
      </c>
      <c r="N246" s="55" t="str">
        <f t="shared" si="34"/>
        <v/>
      </c>
      <c r="O246" s="55" t="str">
        <f t="shared" si="35"/>
        <v/>
      </c>
      <c r="P246" s="196" t="str">
        <f>IFERROR(YEARFRAC(VLOOKUP(C246,Code!H:W,11,FALSE),VLOOKUP(C246,Code!H:W,14,FALSE),3),"")</f>
        <v/>
      </c>
      <c r="Q246" s="2"/>
      <c r="R246" s="85" t="str">
        <f t="shared" ca="1" si="36"/>
        <v/>
      </c>
      <c r="S246" s="86" t="str">
        <f>IFERROR(VLOOKUP($C246,Code!$H:$Q,5,FALSE),"")</f>
        <v/>
      </c>
      <c r="T246" s="88" t="str">
        <f t="shared" ca="1" si="37"/>
        <v/>
      </c>
      <c r="U246" s="89" t="str">
        <f t="shared" ca="1" si="38"/>
        <v/>
      </c>
      <c r="V246" s="90" t="str">
        <f>IFERROR(VLOOKUP($C246,Code!$H:$Q,6,FALSE),"")</f>
        <v/>
      </c>
      <c r="W246" s="91" t="str">
        <f t="shared" ca="1" si="39"/>
        <v/>
      </c>
      <c r="X246" s="12"/>
      <c r="Y246" s="12"/>
      <c r="Z246" s="12"/>
      <c r="AA246" s="12"/>
      <c r="AB246" s="12"/>
    </row>
    <row r="247" spans="1:28" s="10" customFormat="1" ht="15" hidden="1">
      <c r="A247" s="9"/>
      <c r="B247" s="137"/>
      <c r="C247" s="142"/>
      <c r="D247" s="82" t="str">
        <f>IFERROR(VLOOKUP($C247,Code!$H:$K,2,FALSE),"")</f>
        <v/>
      </c>
      <c r="E247" s="83" t="str">
        <f>IFERROR(VLOOKUP($C247,Code!$H:$K,3,FALSE),"")</f>
        <v/>
      </c>
      <c r="F247" s="84" t="str">
        <f>IFERROR(VLOOKUP($C247,Code!$H:$K,4,FALSE),"")</f>
        <v/>
      </c>
      <c r="G247" s="128">
        <f>_xlfn.IFNA(((VLOOKUP($C247,Code!$H:$Q,9,FALSE))+(VLOOKUP($C247,Code!$H:$Q,10,FALSE)))/2*0.5/(((VLOOKUP($C247,Code!$H:$Q,7,FALSE))+(VLOOKUP($C247,Code!$H:$Q,8,FALSE)))/2),0)</f>
        <v>0</v>
      </c>
      <c r="H247" s="87" t="str">
        <f t="shared" si="32"/>
        <v/>
      </c>
      <c r="I247" s="128">
        <f>_xlfn.IFNA((VLOOKUP($C247,Code!$H:$Q,5,FALSE))/(((VLOOKUP($C247,Code!$H:$Q,7,FALSE))+(VLOOKUP($C247,Code!$H:$Q,8,FALSE)))/2)-G247,0)</f>
        <v>0</v>
      </c>
      <c r="J247" s="55" t="str">
        <f>IFERROR(POWER((VLOOKUP(C247,Code!H:W,12,FALSE))/(VLOOKUP(C247,Code!H:W,15,FALSE)),1/(P247-1))-1,"")</f>
        <v/>
      </c>
      <c r="K247" s="55" t="str">
        <f>IFERROR(POWER((VLOOKUP(C247,Code!H:W,13,FALSE))/(VLOOKUP(C247,Code!H:W,16,FALSE)),1/(P247-1))-1,"")</f>
        <v/>
      </c>
      <c r="L247" s="75" t="str">
        <f>IFERROR(VLOOKUP(C247,Code!H:W,13,FALSE)*4/VLOOKUP(C247,Code!H:W,12,FALSE),"")</f>
        <v/>
      </c>
      <c r="M247" s="55" t="str">
        <f t="shared" si="33"/>
        <v/>
      </c>
      <c r="N247" s="55" t="str">
        <f t="shared" si="34"/>
        <v/>
      </c>
      <c r="O247" s="55" t="str">
        <f t="shared" si="35"/>
        <v/>
      </c>
      <c r="P247" s="196" t="str">
        <f>IFERROR(YEARFRAC(VLOOKUP(C247,Code!H:W,11,FALSE),VLOOKUP(C247,Code!H:W,14,FALSE),3),"")</f>
        <v/>
      </c>
      <c r="Q247" s="2"/>
      <c r="R247" s="85" t="str">
        <f t="shared" ca="1" si="36"/>
        <v/>
      </c>
      <c r="S247" s="86" t="str">
        <f>IFERROR(VLOOKUP($C247,Code!$H:$Q,5,FALSE),"")</f>
        <v/>
      </c>
      <c r="T247" s="88" t="str">
        <f t="shared" ca="1" si="37"/>
        <v/>
      </c>
      <c r="U247" s="89" t="str">
        <f t="shared" ca="1" si="38"/>
        <v/>
      </c>
      <c r="V247" s="90" t="str">
        <f>IFERROR(VLOOKUP($C247,Code!$H:$Q,6,FALSE),"")</f>
        <v/>
      </c>
      <c r="W247" s="91" t="str">
        <f t="shared" ca="1" si="39"/>
        <v/>
      </c>
      <c r="X247" s="12"/>
      <c r="Y247" s="12"/>
      <c r="Z247" s="12"/>
      <c r="AA247" s="12"/>
      <c r="AB247" s="12"/>
    </row>
    <row r="248" spans="1:28" s="10" customFormat="1" ht="15" hidden="1">
      <c r="A248" s="9"/>
      <c r="B248" s="137"/>
      <c r="C248" s="142"/>
      <c r="D248" s="82" t="str">
        <f>IFERROR(VLOOKUP($C248,Code!$H:$K,2,FALSE),"")</f>
        <v/>
      </c>
      <c r="E248" s="83" t="str">
        <f>IFERROR(VLOOKUP($C248,Code!$H:$K,3,FALSE),"")</f>
        <v/>
      </c>
      <c r="F248" s="84" t="str">
        <f>IFERROR(VLOOKUP($C248,Code!$H:$K,4,FALSE),"")</f>
        <v/>
      </c>
      <c r="G248" s="128">
        <f>_xlfn.IFNA(((VLOOKUP($C248,Code!$H:$Q,9,FALSE))+(VLOOKUP($C248,Code!$H:$Q,10,FALSE)))/2*0.5/(((VLOOKUP($C248,Code!$H:$Q,7,FALSE))+(VLOOKUP($C248,Code!$H:$Q,8,FALSE)))/2),0)</f>
        <v>0</v>
      </c>
      <c r="H248" s="87" t="str">
        <f t="shared" si="32"/>
        <v/>
      </c>
      <c r="I248" s="128">
        <f>_xlfn.IFNA((VLOOKUP($C248,Code!$H:$Q,5,FALSE))/(((VLOOKUP($C248,Code!$H:$Q,7,FALSE))+(VLOOKUP($C248,Code!$H:$Q,8,FALSE)))/2)-G248,0)</f>
        <v>0</v>
      </c>
      <c r="J248" s="55" t="str">
        <f>IFERROR(POWER((VLOOKUP(C248,Code!H:W,12,FALSE))/(VLOOKUP(C248,Code!H:W,15,FALSE)),1/(P248-1))-1,"")</f>
        <v/>
      </c>
      <c r="K248" s="55" t="str">
        <f>IFERROR(POWER((VLOOKUP(C248,Code!H:W,13,FALSE))/(VLOOKUP(C248,Code!H:W,16,FALSE)),1/(P248-1))-1,"")</f>
        <v/>
      </c>
      <c r="L248" s="75" t="str">
        <f>IFERROR(VLOOKUP(C248,Code!H:W,13,FALSE)*4/VLOOKUP(C248,Code!H:W,12,FALSE),"")</f>
        <v/>
      </c>
      <c r="M248" s="55" t="str">
        <f t="shared" si="33"/>
        <v/>
      </c>
      <c r="N248" s="55" t="str">
        <f t="shared" si="34"/>
        <v/>
      </c>
      <c r="O248" s="55" t="str">
        <f t="shared" si="35"/>
        <v/>
      </c>
      <c r="P248" s="196" t="str">
        <f>IFERROR(YEARFRAC(VLOOKUP(C248,Code!H:W,11,FALSE),VLOOKUP(C248,Code!H:W,14,FALSE),3),"")</f>
        <v/>
      </c>
      <c r="Q248" s="2"/>
      <c r="R248" s="85" t="str">
        <f t="shared" ca="1" si="36"/>
        <v/>
      </c>
      <c r="S248" s="86" t="str">
        <f>IFERROR(VLOOKUP($C248,Code!$H:$Q,5,FALSE),"")</f>
        <v/>
      </c>
      <c r="T248" s="88" t="str">
        <f t="shared" ca="1" si="37"/>
        <v/>
      </c>
      <c r="U248" s="89" t="str">
        <f t="shared" ca="1" si="38"/>
        <v/>
      </c>
      <c r="V248" s="90" t="str">
        <f>IFERROR(VLOOKUP($C248,Code!$H:$Q,6,FALSE),"")</f>
        <v/>
      </c>
      <c r="W248" s="91" t="str">
        <f t="shared" ca="1" si="39"/>
        <v/>
      </c>
      <c r="X248" s="12"/>
      <c r="Y248" s="12"/>
      <c r="Z248" s="12"/>
      <c r="AA248" s="12"/>
      <c r="AB248" s="12"/>
    </row>
    <row r="249" spans="1:28" s="10" customFormat="1" ht="15" hidden="1">
      <c r="A249" s="9"/>
      <c r="B249" s="137"/>
      <c r="C249" s="142"/>
      <c r="D249" s="82" t="str">
        <f>IFERROR(VLOOKUP($C249,Code!$H:$K,2,FALSE),"")</f>
        <v/>
      </c>
      <c r="E249" s="83" t="str">
        <f>IFERROR(VLOOKUP($C249,Code!$H:$K,3,FALSE),"")</f>
        <v/>
      </c>
      <c r="F249" s="84" t="str">
        <f>IFERROR(VLOOKUP($C249,Code!$H:$K,4,FALSE),"")</f>
        <v/>
      </c>
      <c r="G249" s="128">
        <f>_xlfn.IFNA(((VLOOKUP($C249,Code!$H:$Q,9,FALSE))+(VLOOKUP($C249,Code!$H:$Q,10,FALSE)))/2*0.5/(((VLOOKUP($C249,Code!$H:$Q,7,FALSE))+(VLOOKUP($C249,Code!$H:$Q,8,FALSE)))/2),0)</f>
        <v>0</v>
      </c>
      <c r="H249" s="87" t="str">
        <f t="shared" si="32"/>
        <v/>
      </c>
      <c r="I249" s="128">
        <f>_xlfn.IFNA((VLOOKUP($C249,Code!$H:$Q,5,FALSE))/(((VLOOKUP($C249,Code!$H:$Q,7,FALSE))+(VLOOKUP($C249,Code!$H:$Q,8,FALSE)))/2)-G249,0)</f>
        <v>0</v>
      </c>
      <c r="J249" s="55" t="str">
        <f>IFERROR(POWER((VLOOKUP(C249,Code!H:W,12,FALSE))/(VLOOKUP(C249,Code!H:W,15,FALSE)),1/(P249-1))-1,"")</f>
        <v/>
      </c>
      <c r="K249" s="55" t="str">
        <f>IFERROR(POWER((VLOOKUP(C249,Code!H:W,13,FALSE))/(VLOOKUP(C249,Code!H:W,16,FALSE)),1/(P249-1))-1,"")</f>
        <v/>
      </c>
      <c r="L249" s="75" t="str">
        <f>IFERROR(VLOOKUP(C249,Code!H:W,13,FALSE)*4/VLOOKUP(C249,Code!H:W,12,FALSE),"")</f>
        <v/>
      </c>
      <c r="M249" s="55" t="str">
        <f t="shared" si="33"/>
        <v/>
      </c>
      <c r="N249" s="55" t="str">
        <f t="shared" si="34"/>
        <v/>
      </c>
      <c r="O249" s="55" t="str">
        <f t="shared" si="35"/>
        <v/>
      </c>
      <c r="P249" s="196" t="str">
        <f>IFERROR(YEARFRAC(VLOOKUP(C249,Code!H:W,11,FALSE),VLOOKUP(C249,Code!H:W,14,FALSE),3),"")</f>
        <v/>
      </c>
      <c r="Q249" s="2"/>
      <c r="R249" s="85" t="str">
        <f t="shared" ca="1" si="36"/>
        <v/>
      </c>
      <c r="S249" s="86" t="str">
        <f>IFERROR(VLOOKUP($C249,Code!$H:$Q,5,FALSE),"")</f>
        <v/>
      </c>
      <c r="T249" s="88" t="str">
        <f t="shared" ca="1" si="37"/>
        <v/>
      </c>
      <c r="U249" s="89" t="str">
        <f t="shared" ca="1" si="38"/>
        <v/>
      </c>
      <c r="V249" s="90" t="str">
        <f>IFERROR(VLOOKUP($C249,Code!$H:$Q,6,FALSE),"")</f>
        <v/>
      </c>
      <c r="W249" s="91" t="str">
        <f t="shared" ca="1" si="39"/>
        <v/>
      </c>
      <c r="X249" s="12"/>
      <c r="Y249" s="12"/>
      <c r="Z249" s="12"/>
      <c r="AA249" s="12"/>
      <c r="AB249" s="12"/>
    </row>
    <row r="250" spans="1:28" s="10" customFormat="1" ht="15" hidden="1">
      <c r="A250" s="9"/>
      <c r="B250" s="137"/>
      <c r="C250" s="142"/>
      <c r="D250" s="82" t="str">
        <f>IFERROR(VLOOKUP($C250,Code!$H:$K,2,FALSE),"")</f>
        <v/>
      </c>
      <c r="E250" s="83" t="str">
        <f>IFERROR(VLOOKUP($C250,Code!$H:$K,3,FALSE),"")</f>
        <v/>
      </c>
      <c r="F250" s="84" t="str">
        <f>IFERROR(VLOOKUP($C250,Code!$H:$K,4,FALSE),"")</f>
        <v/>
      </c>
      <c r="G250" s="128">
        <f>_xlfn.IFNA(((VLOOKUP($C250,Code!$H:$Q,9,FALSE))+(VLOOKUP($C250,Code!$H:$Q,10,FALSE)))/2*0.5/(((VLOOKUP($C250,Code!$H:$Q,7,FALSE))+(VLOOKUP($C250,Code!$H:$Q,8,FALSE)))/2),0)</f>
        <v>0</v>
      </c>
      <c r="H250" s="87" t="str">
        <f t="shared" si="32"/>
        <v/>
      </c>
      <c r="I250" s="128">
        <f>_xlfn.IFNA((VLOOKUP($C250,Code!$H:$Q,5,FALSE))/(((VLOOKUP($C250,Code!$H:$Q,7,FALSE))+(VLOOKUP($C250,Code!$H:$Q,8,FALSE)))/2)-G250,0)</f>
        <v>0</v>
      </c>
      <c r="J250" s="55" t="str">
        <f>IFERROR(POWER((VLOOKUP(C250,Code!H:W,12,FALSE))/(VLOOKUP(C250,Code!H:W,15,FALSE)),1/(P250-1))-1,"")</f>
        <v/>
      </c>
      <c r="K250" s="55" t="str">
        <f>IFERROR(POWER((VLOOKUP(C250,Code!H:W,13,FALSE))/(VLOOKUP(C250,Code!H:W,16,FALSE)),1/(P250-1))-1,"")</f>
        <v/>
      </c>
      <c r="L250" s="75" t="str">
        <f>IFERROR(VLOOKUP(C250,Code!H:W,13,FALSE)*4/VLOOKUP(C250,Code!H:W,12,FALSE),"")</f>
        <v/>
      </c>
      <c r="M250" s="55" t="str">
        <f t="shared" si="33"/>
        <v/>
      </c>
      <c r="N250" s="55" t="str">
        <f t="shared" si="34"/>
        <v/>
      </c>
      <c r="O250" s="55" t="str">
        <f t="shared" si="35"/>
        <v/>
      </c>
      <c r="P250" s="196" t="str">
        <f>IFERROR(YEARFRAC(VLOOKUP(C250,Code!H:W,11,FALSE),VLOOKUP(C250,Code!H:W,14,FALSE),3),"")</f>
        <v/>
      </c>
      <c r="Q250" s="2"/>
      <c r="R250" s="85" t="str">
        <f t="shared" ca="1" si="36"/>
        <v/>
      </c>
      <c r="S250" s="86" t="str">
        <f>IFERROR(VLOOKUP($C250,Code!$H:$Q,5,FALSE),"")</f>
        <v/>
      </c>
      <c r="T250" s="88" t="str">
        <f t="shared" ca="1" si="37"/>
        <v/>
      </c>
      <c r="U250" s="89" t="str">
        <f t="shared" ca="1" si="38"/>
        <v/>
      </c>
      <c r="V250" s="90" t="str">
        <f>IFERROR(VLOOKUP($C250,Code!$H:$Q,6,FALSE),"")</f>
        <v/>
      </c>
      <c r="W250" s="91" t="str">
        <f t="shared" ca="1" si="39"/>
        <v/>
      </c>
      <c r="X250" s="12"/>
      <c r="Y250" s="12"/>
      <c r="Z250" s="12"/>
      <c r="AA250" s="12"/>
      <c r="AB250" s="12"/>
    </row>
    <row r="251" spans="1:28" s="10" customFormat="1" ht="15" hidden="1">
      <c r="A251" s="9"/>
      <c r="B251" s="137"/>
      <c r="C251" s="142"/>
      <c r="D251" s="82" t="str">
        <f>IFERROR(VLOOKUP($C251,Code!$H:$K,2,FALSE),"")</f>
        <v/>
      </c>
      <c r="E251" s="83" t="str">
        <f>IFERROR(VLOOKUP($C251,Code!$H:$K,3,FALSE),"")</f>
        <v/>
      </c>
      <c r="F251" s="84" t="str">
        <f>IFERROR(VLOOKUP($C251,Code!$H:$K,4,FALSE),"")</f>
        <v/>
      </c>
      <c r="G251" s="128">
        <f>_xlfn.IFNA(((VLOOKUP($C251,Code!$H:$Q,9,FALSE))+(VLOOKUP($C251,Code!$H:$Q,10,FALSE)))/2*0.5/(((VLOOKUP($C251,Code!$H:$Q,7,FALSE))+(VLOOKUP($C251,Code!$H:$Q,8,FALSE)))/2),0)</f>
        <v>0</v>
      </c>
      <c r="H251" s="87" t="str">
        <f t="shared" si="32"/>
        <v/>
      </c>
      <c r="I251" s="128">
        <f>_xlfn.IFNA((VLOOKUP($C251,Code!$H:$Q,5,FALSE))/(((VLOOKUP($C251,Code!$H:$Q,7,FALSE))+(VLOOKUP($C251,Code!$H:$Q,8,FALSE)))/2)-G251,0)</f>
        <v>0</v>
      </c>
      <c r="J251" s="55" t="str">
        <f>IFERROR(POWER((VLOOKUP(C251,Code!H:W,12,FALSE))/(VLOOKUP(C251,Code!H:W,15,FALSE)),1/(P251-1))-1,"")</f>
        <v/>
      </c>
      <c r="K251" s="55" t="str">
        <f>IFERROR(POWER((VLOOKUP(C251,Code!H:W,13,FALSE))/(VLOOKUP(C251,Code!H:W,16,FALSE)),1/(P251-1))-1,"")</f>
        <v/>
      </c>
      <c r="L251" s="75" t="str">
        <f>IFERROR(VLOOKUP(C251,Code!H:W,13,FALSE)*4/VLOOKUP(C251,Code!H:W,12,FALSE),"")</f>
        <v/>
      </c>
      <c r="M251" s="55" t="str">
        <f t="shared" si="33"/>
        <v/>
      </c>
      <c r="N251" s="55" t="str">
        <f t="shared" si="34"/>
        <v/>
      </c>
      <c r="O251" s="55" t="str">
        <f t="shared" si="35"/>
        <v/>
      </c>
      <c r="P251" s="196" t="str">
        <f>IFERROR(YEARFRAC(VLOOKUP(C251,Code!H:W,11,FALSE),VLOOKUP(C251,Code!H:W,14,FALSE),3),"")</f>
        <v/>
      </c>
      <c r="Q251" s="2"/>
      <c r="R251" s="85" t="str">
        <f t="shared" ca="1" si="36"/>
        <v/>
      </c>
      <c r="S251" s="86" t="str">
        <f>IFERROR(VLOOKUP($C251,Code!$H:$Q,5,FALSE),"")</f>
        <v/>
      </c>
      <c r="T251" s="88" t="str">
        <f t="shared" ca="1" si="37"/>
        <v/>
      </c>
      <c r="U251" s="89" t="str">
        <f t="shared" ca="1" si="38"/>
        <v/>
      </c>
      <c r="V251" s="90" t="str">
        <f>IFERROR(VLOOKUP($C251,Code!$H:$Q,6,FALSE),"")</f>
        <v/>
      </c>
      <c r="W251" s="91" t="str">
        <f t="shared" ca="1" si="39"/>
        <v/>
      </c>
      <c r="X251" s="12"/>
      <c r="Y251" s="12"/>
      <c r="Z251" s="12"/>
      <c r="AA251" s="12"/>
      <c r="AB251" s="12"/>
    </row>
    <row r="252" spans="1:28" s="10" customFormat="1" ht="15" hidden="1">
      <c r="A252" s="9"/>
      <c r="B252" s="137"/>
      <c r="C252" s="142"/>
      <c r="D252" s="82" t="str">
        <f>IFERROR(VLOOKUP($C252,Code!$H:$K,2,FALSE),"")</f>
        <v/>
      </c>
      <c r="E252" s="83" t="str">
        <f>IFERROR(VLOOKUP($C252,Code!$H:$K,3,FALSE),"")</f>
        <v/>
      </c>
      <c r="F252" s="84" t="str">
        <f>IFERROR(VLOOKUP($C252,Code!$H:$K,4,FALSE),"")</f>
        <v/>
      </c>
      <c r="G252" s="128">
        <f>_xlfn.IFNA(((VLOOKUP($C252,Code!$H:$Q,9,FALSE))+(VLOOKUP($C252,Code!$H:$Q,10,FALSE)))/2*0.5/(((VLOOKUP($C252,Code!$H:$Q,7,FALSE))+(VLOOKUP($C252,Code!$H:$Q,8,FALSE)))/2),0)</f>
        <v>0</v>
      </c>
      <c r="H252" s="87" t="str">
        <f t="shared" si="32"/>
        <v/>
      </c>
      <c r="I252" s="128">
        <f>_xlfn.IFNA((VLOOKUP($C252,Code!$H:$Q,5,FALSE))/(((VLOOKUP($C252,Code!$H:$Q,7,FALSE))+(VLOOKUP($C252,Code!$H:$Q,8,FALSE)))/2)-G252,0)</f>
        <v>0</v>
      </c>
      <c r="J252" s="55" t="str">
        <f>IFERROR(POWER((VLOOKUP(C252,Code!H:W,12,FALSE))/(VLOOKUP(C252,Code!H:W,15,FALSE)),1/(P252-1))-1,"")</f>
        <v/>
      </c>
      <c r="K252" s="55" t="str">
        <f>IFERROR(POWER((VLOOKUP(C252,Code!H:W,13,FALSE))/(VLOOKUP(C252,Code!H:W,16,FALSE)),1/(P252-1))-1,"")</f>
        <v/>
      </c>
      <c r="L252" s="75" t="str">
        <f>IFERROR(VLOOKUP(C252,Code!H:W,13,FALSE)*4/VLOOKUP(C252,Code!H:W,12,FALSE),"")</f>
        <v/>
      </c>
      <c r="M252" s="55" t="str">
        <f t="shared" si="33"/>
        <v/>
      </c>
      <c r="N252" s="55" t="str">
        <f t="shared" si="34"/>
        <v/>
      </c>
      <c r="O252" s="55" t="str">
        <f t="shared" si="35"/>
        <v/>
      </c>
      <c r="P252" s="196" t="str">
        <f>IFERROR(YEARFRAC(VLOOKUP(C252,Code!H:W,11,FALSE),VLOOKUP(C252,Code!H:W,14,FALSE),3),"")</f>
        <v/>
      </c>
      <c r="Q252" s="2"/>
      <c r="R252" s="85" t="str">
        <f t="shared" ca="1" si="36"/>
        <v/>
      </c>
      <c r="S252" s="86" t="str">
        <f>IFERROR(VLOOKUP($C252,Code!$H:$Q,5,FALSE),"")</f>
        <v/>
      </c>
      <c r="T252" s="88" t="str">
        <f t="shared" ca="1" si="37"/>
        <v/>
      </c>
      <c r="U252" s="89" t="str">
        <f t="shared" ca="1" si="38"/>
        <v/>
      </c>
      <c r="V252" s="90" t="str">
        <f>IFERROR(VLOOKUP($C252,Code!$H:$Q,6,FALSE),"")</f>
        <v/>
      </c>
      <c r="W252" s="91" t="str">
        <f t="shared" ca="1" si="39"/>
        <v/>
      </c>
      <c r="X252" s="12"/>
      <c r="Y252" s="12"/>
      <c r="Z252" s="12"/>
      <c r="AA252" s="12"/>
      <c r="AB252" s="12"/>
    </row>
    <row r="253" spans="1:28" s="10" customFormat="1" ht="15" hidden="1">
      <c r="A253" s="9"/>
      <c r="B253" s="137"/>
      <c r="C253" s="142"/>
      <c r="D253" s="82" t="str">
        <f>IFERROR(VLOOKUP($C253,Code!$H:$K,2,FALSE),"")</f>
        <v/>
      </c>
      <c r="E253" s="83" t="str">
        <f>IFERROR(VLOOKUP($C253,Code!$H:$K,3,FALSE),"")</f>
        <v/>
      </c>
      <c r="F253" s="84" t="str">
        <f>IFERROR(VLOOKUP($C253,Code!$H:$K,4,FALSE),"")</f>
        <v/>
      </c>
      <c r="G253" s="128">
        <f>_xlfn.IFNA(((VLOOKUP($C253,Code!$H:$Q,9,FALSE))+(VLOOKUP($C253,Code!$H:$Q,10,FALSE)))/2*0.5/(((VLOOKUP($C253,Code!$H:$Q,7,FALSE))+(VLOOKUP($C253,Code!$H:$Q,8,FALSE)))/2),0)</f>
        <v>0</v>
      </c>
      <c r="H253" s="87" t="str">
        <f t="shared" si="32"/>
        <v/>
      </c>
      <c r="I253" s="128">
        <f>_xlfn.IFNA((VLOOKUP($C253,Code!$H:$Q,5,FALSE))/(((VLOOKUP($C253,Code!$H:$Q,7,FALSE))+(VLOOKUP($C253,Code!$H:$Q,8,FALSE)))/2)-G253,0)</f>
        <v>0</v>
      </c>
      <c r="J253" s="55" t="str">
        <f>IFERROR(POWER((VLOOKUP(C253,Code!H:W,12,FALSE))/(VLOOKUP(C253,Code!H:W,15,FALSE)),1/(P253-1))-1,"")</f>
        <v/>
      </c>
      <c r="K253" s="55" t="str">
        <f>IFERROR(POWER((VLOOKUP(C253,Code!H:W,13,FALSE))/(VLOOKUP(C253,Code!H:W,16,FALSE)),1/(P253-1))-1,"")</f>
        <v/>
      </c>
      <c r="L253" s="75" t="str">
        <f>IFERROR(VLOOKUP(C253,Code!H:W,13,FALSE)*4/VLOOKUP(C253,Code!H:W,12,FALSE),"")</f>
        <v/>
      </c>
      <c r="M253" s="55" t="str">
        <f t="shared" si="33"/>
        <v/>
      </c>
      <c r="N253" s="55" t="str">
        <f t="shared" si="34"/>
        <v/>
      </c>
      <c r="O253" s="55" t="str">
        <f t="shared" si="35"/>
        <v/>
      </c>
      <c r="P253" s="196" t="str">
        <f>IFERROR(YEARFRAC(VLOOKUP(C253,Code!H:W,11,FALSE),VLOOKUP(C253,Code!H:W,14,FALSE),3),"")</f>
        <v/>
      </c>
      <c r="Q253" s="2"/>
      <c r="R253" s="85" t="str">
        <f t="shared" ca="1" si="36"/>
        <v/>
      </c>
      <c r="S253" s="86" t="str">
        <f>IFERROR(VLOOKUP($C253,Code!$H:$Q,5,FALSE),"")</f>
        <v/>
      </c>
      <c r="T253" s="88" t="str">
        <f t="shared" ca="1" si="37"/>
        <v/>
      </c>
      <c r="U253" s="89" t="str">
        <f t="shared" ca="1" si="38"/>
        <v/>
      </c>
      <c r="V253" s="90" t="str">
        <f>IFERROR(VLOOKUP($C253,Code!$H:$Q,6,FALSE),"")</f>
        <v/>
      </c>
      <c r="W253" s="91" t="str">
        <f t="shared" ca="1" si="39"/>
        <v/>
      </c>
      <c r="X253" s="12"/>
      <c r="Y253" s="12"/>
      <c r="Z253" s="12"/>
      <c r="AA253" s="12"/>
      <c r="AB253" s="12"/>
    </row>
    <row r="254" spans="1:28" s="10" customFormat="1" ht="15" hidden="1">
      <c r="A254" s="9"/>
      <c r="B254" s="137"/>
      <c r="C254" s="142"/>
      <c r="D254" s="82" t="str">
        <f>IFERROR(VLOOKUP($C254,Code!$H:$K,2,FALSE),"")</f>
        <v/>
      </c>
      <c r="E254" s="83" t="str">
        <f>IFERROR(VLOOKUP($C254,Code!$H:$K,3,FALSE),"")</f>
        <v/>
      </c>
      <c r="F254" s="84" t="str">
        <f>IFERROR(VLOOKUP($C254,Code!$H:$K,4,FALSE),"")</f>
        <v/>
      </c>
      <c r="G254" s="128">
        <f>_xlfn.IFNA(((VLOOKUP($C254,Code!$H:$Q,9,FALSE))+(VLOOKUP($C254,Code!$H:$Q,10,FALSE)))/2*0.5/(((VLOOKUP($C254,Code!$H:$Q,7,FALSE))+(VLOOKUP($C254,Code!$H:$Q,8,FALSE)))/2),0)</f>
        <v>0</v>
      </c>
      <c r="H254" s="87" t="str">
        <f t="shared" si="32"/>
        <v/>
      </c>
      <c r="I254" s="128">
        <f>_xlfn.IFNA((VLOOKUP($C254,Code!$H:$Q,5,FALSE))/(((VLOOKUP($C254,Code!$H:$Q,7,FALSE))+(VLOOKUP($C254,Code!$H:$Q,8,FALSE)))/2)-G254,0)</f>
        <v>0</v>
      </c>
      <c r="J254" s="55" t="str">
        <f>IFERROR(POWER((VLOOKUP(C254,Code!H:W,12,FALSE))/(VLOOKUP(C254,Code!H:W,15,FALSE)),1/(P254-1))-1,"")</f>
        <v/>
      </c>
      <c r="K254" s="55" t="str">
        <f>IFERROR(POWER((VLOOKUP(C254,Code!H:W,13,FALSE))/(VLOOKUP(C254,Code!H:W,16,FALSE)),1/(P254-1))-1,"")</f>
        <v/>
      </c>
      <c r="L254" s="75" t="str">
        <f>IFERROR(VLOOKUP(C254,Code!H:W,13,FALSE)*4/VLOOKUP(C254,Code!H:W,12,FALSE),"")</f>
        <v/>
      </c>
      <c r="M254" s="55" t="str">
        <f t="shared" si="33"/>
        <v/>
      </c>
      <c r="N254" s="55" t="str">
        <f t="shared" si="34"/>
        <v/>
      </c>
      <c r="O254" s="55" t="str">
        <f t="shared" si="35"/>
        <v/>
      </c>
      <c r="P254" s="196" t="str">
        <f>IFERROR(YEARFRAC(VLOOKUP(C254,Code!H:W,11,FALSE),VLOOKUP(C254,Code!H:W,14,FALSE),3),"")</f>
        <v/>
      </c>
      <c r="Q254" s="2"/>
      <c r="R254" s="85" t="str">
        <f t="shared" ca="1" si="36"/>
        <v/>
      </c>
      <c r="S254" s="86" t="str">
        <f>IFERROR(VLOOKUP($C254,Code!$H:$Q,5,FALSE),"")</f>
        <v/>
      </c>
      <c r="T254" s="88" t="str">
        <f t="shared" ca="1" si="37"/>
        <v/>
      </c>
      <c r="U254" s="89" t="str">
        <f t="shared" ca="1" si="38"/>
        <v/>
      </c>
      <c r="V254" s="90" t="str">
        <f>IFERROR(VLOOKUP($C254,Code!$H:$Q,6,FALSE),"")</f>
        <v/>
      </c>
      <c r="W254" s="91" t="str">
        <f t="shared" ca="1" si="39"/>
        <v/>
      </c>
      <c r="X254" s="12"/>
      <c r="Y254" s="12"/>
      <c r="Z254" s="12"/>
      <c r="AA254" s="12"/>
      <c r="AB254" s="12"/>
    </row>
    <row r="255" spans="1:28" s="10" customFormat="1" ht="15" hidden="1">
      <c r="A255" s="9"/>
      <c r="B255" s="137"/>
      <c r="C255" s="142"/>
      <c r="D255" s="82" t="str">
        <f>IFERROR(VLOOKUP($C255,Code!$H:$K,2,FALSE),"")</f>
        <v/>
      </c>
      <c r="E255" s="83" t="str">
        <f>IFERROR(VLOOKUP($C255,Code!$H:$K,3,FALSE),"")</f>
        <v/>
      </c>
      <c r="F255" s="84" t="str">
        <f>IFERROR(VLOOKUP($C255,Code!$H:$K,4,FALSE),"")</f>
        <v/>
      </c>
      <c r="G255" s="128">
        <f>_xlfn.IFNA(((VLOOKUP($C255,Code!$H:$Q,9,FALSE))+(VLOOKUP($C255,Code!$H:$Q,10,FALSE)))/2*0.5/(((VLOOKUP($C255,Code!$H:$Q,7,FALSE))+(VLOOKUP($C255,Code!$H:$Q,8,FALSE)))/2),0)</f>
        <v>0</v>
      </c>
      <c r="H255" s="87" t="str">
        <f t="shared" si="32"/>
        <v/>
      </c>
      <c r="I255" s="128">
        <f>_xlfn.IFNA((VLOOKUP($C255,Code!$H:$Q,5,FALSE))/(((VLOOKUP($C255,Code!$H:$Q,7,FALSE))+(VLOOKUP($C255,Code!$H:$Q,8,FALSE)))/2)-G255,0)</f>
        <v>0</v>
      </c>
      <c r="J255" s="55" t="str">
        <f>IFERROR(POWER((VLOOKUP(C255,Code!H:W,12,FALSE))/(VLOOKUP(C255,Code!H:W,15,FALSE)),1/(P255-1))-1,"")</f>
        <v/>
      </c>
      <c r="K255" s="55" t="str">
        <f>IFERROR(POWER((VLOOKUP(C255,Code!H:W,13,FALSE))/(VLOOKUP(C255,Code!H:W,16,FALSE)),1/(P255-1))-1,"")</f>
        <v/>
      </c>
      <c r="L255" s="75" t="str">
        <f>IFERROR(VLOOKUP(C255,Code!H:W,13,FALSE)*4/VLOOKUP(C255,Code!H:W,12,FALSE),"")</f>
        <v/>
      </c>
      <c r="M255" s="55" t="str">
        <f t="shared" si="33"/>
        <v/>
      </c>
      <c r="N255" s="55" t="str">
        <f t="shared" si="34"/>
        <v/>
      </c>
      <c r="O255" s="55" t="str">
        <f t="shared" si="35"/>
        <v/>
      </c>
      <c r="P255" s="196" t="str">
        <f>IFERROR(YEARFRAC(VLOOKUP(C255,Code!H:W,11,FALSE),VLOOKUP(C255,Code!H:W,14,FALSE),3),"")</f>
        <v/>
      </c>
      <c r="Q255" s="2"/>
      <c r="R255" s="85" t="str">
        <f t="shared" ca="1" si="36"/>
        <v/>
      </c>
      <c r="S255" s="86" t="str">
        <f>IFERROR(VLOOKUP($C255,Code!$H:$Q,5,FALSE),"")</f>
        <v/>
      </c>
      <c r="T255" s="88" t="str">
        <f t="shared" ca="1" si="37"/>
        <v/>
      </c>
      <c r="U255" s="89" t="str">
        <f t="shared" ca="1" si="38"/>
        <v/>
      </c>
      <c r="V255" s="90" t="str">
        <f>IFERROR(VLOOKUP($C255,Code!$H:$Q,6,FALSE),"")</f>
        <v/>
      </c>
      <c r="W255" s="91" t="str">
        <f t="shared" ca="1" si="39"/>
        <v/>
      </c>
      <c r="X255" s="12"/>
      <c r="Y255" s="12"/>
      <c r="Z255" s="12"/>
      <c r="AA255" s="12"/>
      <c r="AB255" s="12"/>
    </row>
    <row r="256" spans="1:28" s="10" customFormat="1" ht="15" hidden="1">
      <c r="A256" s="9"/>
      <c r="B256" s="137"/>
      <c r="C256" s="142"/>
      <c r="D256" s="82" t="str">
        <f>IFERROR(VLOOKUP($C256,Code!$H:$K,2,FALSE),"")</f>
        <v/>
      </c>
      <c r="E256" s="83" t="str">
        <f>IFERROR(VLOOKUP($C256,Code!$H:$K,3,FALSE),"")</f>
        <v/>
      </c>
      <c r="F256" s="84" t="str">
        <f>IFERROR(VLOOKUP($C256,Code!$H:$K,4,FALSE),"")</f>
        <v/>
      </c>
      <c r="G256" s="128">
        <f>_xlfn.IFNA(((VLOOKUP($C256,Code!$H:$Q,9,FALSE))+(VLOOKUP($C256,Code!$H:$Q,10,FALSE)))/2*0.5/(((VLOOKUP($C256,Code!$H:$Q,7,FALSE))+(VLOOKUP($C256,Code!$H:$Q,8,FALSE)))/2),0)</f>
        <v>0</v>
      </c>
      <c r="H256" s="87" t="str">
        <f t="shared" si="32"/>
        <v/>
      </c>
      <c r="I256" s="128">
        <f>_xlfn.IFNA((VLOOKUP($C256,Code!$H:$Q,5,FALSE))/(((VLOOKUP($C256,Code!$H:$Q,7,FALSE))+(VLOOKUP($C256,Code!$H:$Q,8,FALSE)))/2)-G256,0)</f>
        <v>0</v>
      </c>
      <c r="J256" s="55" t="str">
        <f>IFERROR(POWER((VLOOKUP(C256,Code!H:W,12,FALSE))/(VLOOKUP(C256,Code!H:W,15,FALSE)),1/(P256-1))-1,"")</f>
        <v/>
      </c>
      <c r="K256" s="55" t="str">
        <f>IFERROR(POWER((VLOOKUP(C256,Code!H:W,13,FALSE))/(VLOOKUP(C256,Code!H:W,16,FALSE)),1/(P256-1))-1,"")</f>
        <v/>
      </c>
      <c r="L256" s="75" t="str">
        <f>IFERROR(VLOOKUP(C256,Code!H:W,13,FALSE)*4/VLOOKUP(C256,Code!H:W,12,FALSE),"")</f>
        <v/>
      </c>
      <c r="M256" s="55" t="str">
        <f t="shared" si="33"/>
        <v/>
      </c>
      <c r="N256" s="55" t="str">
        <f t="shared" si="34"/>
        <v/>
      </c>
      <c r="O256" s="55" t="str">
        <f t="shared" si="35"/>
        <v/>
      </c>
      <c r="P256" s="196" t="str">
        <f>IFERROR(YEARFRAC(VLOOKUP(C256,Code!H:W,11,FALSE),VLOOKUP(C256,Code!H:W,14,FALSE),3),"")</f>
        <v/>
      </c>
      <c r="Q256" s="2"/>
      <c r="R256" s="85" t="str">
        <f t="shared" ca="1" si="36"/>
        <v/>
      </c>
      <c r="S256" s="86" t="str">
        <f>IFERROR(VLOOKUP($C256,Code!$H:$Q,5,FALSE),"")</f>
        <v/>
      </c>
      <c r="T256" s="88" t="str">
        <f t="shared" ca="1" si="37"/>
        <v/>
      </c>
      <c r="U256" s="89" t="str">
        <f t="shared" ca="1" si="38"/>
        <v/>
      </c>
      <c r="V256" s="90" t="str">
        <f>IFERROR(VLOOKUP($C256,Code!$H:$Q,6,FALSE),"")</f>
        <v/>
      </c>
      <c r="W256" s="91" t="str">
        <f t="shared" ca="1" si="39"/>
        <v/>
      </c>
      <c r="X256" s="12"/>
      <c r="Y256" s="12"/>
      <c r="Z256" s="12"/>
      <c r="AA256" s="12"/>
      <c r="AB256" s="12"/>
    </row>
    <row r="257" spans="1:28" s="10" customFormat="1" ht="15" hidden="1">
      <c r="A257" s="9"/>
      <c r="B257" s="137"/>
      <c r="C257" s="142"/>
      <c r="D257" s="82" t="str">
        <f>IFERROR(VLOOKUP($C257,Code!$H:$K,2,FALSE),"")</f>
        <v/>
      </c>
      <c r="E257" s="83" t="str">
        <f>IFERROR(VLOOKUP($C257,Code!$H:$K,3,FALSE),"")</f>
        <v/>
      </c>
      <c r="F257" s="84" t="str">
        <f>IFERROR(VLOOKUP($C257,Code!$H:$K,4,FALSE),"")</f>
        <v/>
      </c>
      <c r="G257" s="128">
        <f>_xlfn.IFNA(((VLOOKUP($C257,Code!$H:$Q,9,FALSE))+(VLOOKUP($C257,Code!$H:$Q,10,FALSE)))/2*0.5/(((VLOOKUP($C257,Code!$H:$Q,7,FALSE))+(VLOOKUP($C257,Code!$H:$Q,8,FALSE)))/2),0)</f>
        <v>0</v>
      </c>
      <c r="H257" s="87" t="str">
        <f t="shared" si="32"/>
        <v/>
      </c>
      <c r="I257" s="128">
        <f>_xlfn.IFNA((VLOOKUP($C257,Code!$H:$Q,5,FALSE))/(((VLOOKUP($C257,Code!$H:$Q,7,FALSE))+(VLOOKUP($C257,Code!$H:$Q,8,FALSE)))/2)-G257,0)</f>
        <v>0</v>
      </c>
      <c r="J257" s="55" t="str">
        <f>IFERROR(POWER((VLOOKUP(C257,Code!H:W,12,FALSE))/(VLOOKUP(C257,Code!H:W,15,FALSE)),1/(P257-1))-1,"")</f>
        <v/>
      </c>
      <c r="K257" s="55" t="str">
        <f>IFERROR(POWER((VLOOKUP(C257,Code!H:W,13,FALSE))/(VLOOKUP(C257,Code!H:W,16,FALSE)),1/(P257-1))-1,"")</f>
        <v/>
      </c>
      <c r="L257" s="75" t="str">
        <f>IFERROR(VLOOKUP(C257,Code!H:W,13,FALSE)*4/VLOOKUP(C257,Code!H:W,12,FALSE),"")</f>
        <v/>
      </c>
      <c r="M257" s="55" t="str">
        <f t="shared" si="33"/>
        <v/>
      </c>
      <c r="N257" s="55" t="str">
        <f t="shared" si="34"/>
        <v/>
      </c>
      <c r="O257" s="55" t="str">
        <f t="shared" si="35"/>
        <v/>
      </c>
      <c r="P257" s="196" t="str">
        <f>IFERROR(YEARFRAC(VLOOKUP(C257,Code!H:W,11,FALSE),VLOOKUP(C257,Code!H:W,14,FALSE),3),"")</f>
        <v/>
      </c>
      <c r="Q257" s="2"/>
      <c r="R257" s="85" t="str">
        <f t="shared" ca="1" si="36"/>
        <v/>
      </c>
      <c r="S257" s="86" t="str">
        <f>IFERROR(VLOOKUP($C257,Code!$H:$Q,5,FALSE),"")</f>
        <v/>
      </c>
      <c r="T257" s="88" t="str">
        <f t="shared" ca="1" si="37"/>
        <v/>
      </c>
      <c r="U257" s="89" t="str">
        <f t="shared" ca="1" si="38"/>
        <v/>
      </c>
      <c r="V257" s="90" t="str">
        <f>IFERROR(VLOOKUP($C257,Code!$H:$Q,6,FALSE),"")</f>
        <v/>
      </c>
      <c r="W257" s="91" t="str">
        <f t="shared" ca="1" si="39"/>
        <v/>
      </c>
      <c r="X257" s="12"/>
      <c r="Y257" s="12"/>
      <c r="Z257" s="12"/>
      <c r="AA257" s="12"/>
      <c r="AB257" s="12"/>
    </row>
    <row r="258" spans="1:28" s="10" customFormat="1" ht="15" hidden="1">
      <c r="A258" s="9"/>
      <c r="B258" s="137"/>
      <c r="C258" s="142"/>
      <c r="D258" s="82" t="str">
        <f>IFERROR(VLOOKUP($C258,Code!$H:$K,2,FALSE),"")</f>
        <v/>
      </c>
      <c r="E258" s="83" t="str">
        <f>IFERROR(VLOOKUP($C258,Code!$H:$K,3,FALSE),"")</f>
        <v/>
      </c>
      <c r="F258" s="84" t="str">
        <f>IFERROR(VLOOKUP($C258,Code!$H:$K,4,FALSE),"")</f>
        <v/>
      </c>
      <c r="G258" s="128">
        <f>_xlfn.IFNA(((VLOOKUP($C258,Code!$H:$Q,9,FALSE))+(VLOOKUP($C258,Code!$H:$Q,10,FALSE)))/2*0.5/(((VLOOKUP($C258,Code!$H:$Q,7,FALSE))+(VLOOKUP($C258,Code!$H:$Q,8,FALSE)))/2),0)</f>
        <v>0</v>
      </c>
      <c r="H258" s="87" t="str">
        <f t="shared" si="32"/>
        <v/>
      </c>
      <c r="I258" s="128">
        <f>_xlfn.IFNA((VLOOKUP($C258,Code!$H:$Q,5,FALSE))/(((VLOOKUP($C258,Code!$H:$Q,7,FALSE))+(VLOOKUP($C258,Code!$H:$Q,8,FALSE)))/2)-G258,0)</f>
        <v>0</v>
      </c>
      <c r="J258" s="55" t="str">
        <f>IFERROR(POWER((VLOOKUP(C258,Code!H:W,12,FALSE))/(VLOOKUP(C258,Code!H:W,15,FALSE)),1/(P258-1))-1,"")</f>
        <v/>
      </c>
      <c r="K258" s="55" t="str">
        <f>IFERROR(POWER((VLOOKUP(C258,Code!H:W,13,FALSE))/(VLOOKUP(C258,Code!H:W,16,FALSE)),1/(P258-1))-1,"")</f>
        <v/>
      </c>
      <c r="L258" s="75" t="str">
        <f>IFERROR(VLOOKUP(C258,Code!H:W,13,FALSE)*4/VLOOKUP(C258,Code!H:W,12,FALSE),"")</f>
        <v/>
      </c>
      <c r="M258" s="55" t="str">
        <f t="shared" si="33"/>
        <v/>
      </c>
      <c r="N258" s="55" t="str">
        <f t="shared" si="34"/>
        <v/>
      </c>
      <c r="O258" s="55" t="str">
        <f t="shared" si="35"/>
        <v/>
      </c>
      <c r="P258" s="196" t="str">
        <f>IFERROR(YEARFRAC(VLOOKUP(C258,Code!H:W,11,FALSE),VLOOKUP(C258,Code!H:W,14,FALSE),3),"")</f>
        <v/>
      </c>
      <c r="Q258" s="2"/>
      <c r="R258" s="85" t="str">
        <f t="shared" ca="1" si="36"/>
        <v/>
      </c>
      <c r="S258" s="86" t="str">
        <f>IFERROR(VLOOKUP($C258,Code!$H:$Q,5,FALSE),"")</f>
        <v/>
      </c>
      <c r="T258" s="88" t="str">
        <f t="shared" ca="1" si="37"/>
        <v/>
      </c>
      <c r="U258" s="89" t="str">
        <f t="shared" ca="1" si="38"/>
        <v/>
      </c>
      <c r="V258" s="90" t="str">
        <f>IFERROR(VLOOKUP($C258,Code!$H:$Q,6,FALSE),"")</f>
        <v/>
      </c>
      <c r="W258" s="91" t="str">
        <f t="shared" ca="1" si="39"/>
        <v/>
      </c>
      <c r="X258" s="12"/>
      <c r="Y258" s="12"/>
      <c r="Z258" s="12"/>
      <c r="AA258" s="12"/>
      <c r="AB258" s="12"/>
    </row>
    <row r="259" spans="1:28" s="10" customFormat="1" ht="15" hidden="1">
      <c r="A259" s="9"/>
      <c r="B259" s="137"/>
      <c r="C259" s="142"/>
      <c r="D259" s="82" t="str">
        <f>IFERROR(VLOOKUP($C259,Code!$H:$K,2,FALSE),"")</f>
        <v/>
      </c>
      <c r="E259" s="83" t="str">
        <f>IFERROR(VLOOKUP($C259,Code!$H:$K,3,FALSE),"")</f>
        <v/>
      </c>
      <c r="F259" s="84" t="str">
        <f>IFERROR(VLOOKUP($C259,Code!$H:$K,4,FALSE),"")</f>
        <v/>
      </c>
      <c r="G259" s="128">
        <f>_xlfn.IFNA(((VLOOKUP($C259,Code!$H:$Q,9,FALSE))+(VLOOKUP($C259,Code!$H:$Q,10,FALSE)))/2*0.5/(((VLOOKUP($C259,Code!$H:$Q,7,FALSE))+(VLOOKUP($C259,Code!$H:$Q,8,FALSE)))/2),0)</f>
        <v>0</v>
      </c>
      <c r="H259" s="87" t="str">
        <f t="shared" si="32"/>
        <v/>
      </c>
      <c r="I259" s="128">
        <f>_xlfn.IFNA((VLOOKUP($C259,Code!$H:$Q,5,FALSE))/(((VLOOKUP($C259,Code!$H:$Q,7,FALSE))+(VLOOKUP($C259,Code!$H:$Q,8,FALSE)))/2)-G259,0)</f>
        <v>0</v>
      </c>
      <c r="J259" s="55" t="str">
        <f>IFERROR(POWER((VLOOKUP(C259,Code!H:W,12,FALSE))/(VLOOKUP(C259,Code!H:W,15,FALSE)),1/(P259-1))-1,"")</f>
        <v/>
      </c>
      <c r="K259" s="55" t="str">
        <f>IFERROR(POWER((VLOOKUP(C259,Code!H:W,13,FALSE))/(VLOOKUP(C259,Code!H:W,16,FALSE)),1/(P259-1))-1,"")</f>
        <v/>
      </c>
      <c r="L259" s="75" t="str">
        <f>IFERROR(VLOOKUP(C259,Code!H:W,13,FALSE)*4/VLOOKUP(C259,Code!H:W,12,FALSE),"")</f>
        <v/>
      </c>
      <c r="M259" s="55" t="str">
        <f t="shared" si="33"/>
        <v/>
      </c>
      <c r="N259" s="55" t="str">
        <f t="shared" si="34"/>
        <v/>
      </c>
      <c r="O259" s="55" t="str">
        <f t="shared" si="35"/>
        <v/>
      </c>
      <c r="P259" s="196" t="str">
        <f>IFERROR(YEARFRAC(VLOOKUP(C259,Code!H:W,11,FALSE),VLOOKUP(C259,Code!H:W,14,FALSE),3),"")</f>
        <v/>
      </c>
      <c r="Q259" s="2"/>
      <c r="R259" s="85" t="str">
        <f t="shared" ca="1" si="36"/>
        <v/>
      </c>
      <c r="S259" s="86" t="str">
        <f>IFERROR(VLOOKUP($C259,Code!$H:$Q,5,FALSE),"")</f>
        <v/>
      </c>
      <c r="T259" s="88" t="str">
        <f t="shared" ca="1" si="37"/>
        <v/>
      </c>
      <c r="U259" s="89" t="str">
        <f t="shared" ca="1" si="38"/>
        <v/>
      </c>
      <c r="V259" s="90" t="str">
        <f>IFERROR(VLOOKUP($C259,Code!$H:$Q,6,FALSE),"")</f>
        <v/>
      </c>
      <c r="W259" s="91" t="str">
        <f t="shared" ca="1" si="39"/>
        <v/>
      </c>
      <c r="X259" s="12"/>
      <c r="Y259" s="12"/>
      <c r="Z259" s="12"/>
      <c r="AA259" s="12"/>
      <c r="AB259" s="12"/>
    </row>
    <row r="260" spans="1:28" s="10" customFormat="1" ht="15" hidden="1">
      <c r="A260" s="9"/>
      <c r="B260" s="137"/>
      <c r="C260" s="142"/>
      <c r="D260" s="82" t="str">
        <f>IFERROR(VLOOKUP($C260,Code!$H:$K,2,FALSE),"")</f>
        <v/>
      </c>
      <c r="E260" s="83" t="str">
        <f>IFERROR(VLOOKUP($C260,Code!$H:$K,3,FALSE),"")</f>
        <v/>
      </c>
      <c r="F260" s="84" t="str">
        <f>IFERROR(VLOOKUP($C260,Code!$H:$K,4,FALSE),"")</f>
        <v/>
      </c>
      <c r="G260" s="128">
        <f>_xlfn.IFNA(((VLOOKUP($C260,Code!$H:$Q,9,FALSE))+(VLOOKUP($C260,Code!$H:$Q,10,FALSE)))/2*0.5/(((VLOOKUP($C260,Code!$H:$Q,7,FALSE))+(VLOOKUP($C260,Code!$H:$Q,8,FALSE)))/2),0)</f>
        <v>0</v>
      </c>
      <c r="H260" s="87" t="str">
        <f t="shared" ref="H260:H323" si="40">IFERROR(IF(G260&gt;9E+306,"",IF(G260&gt;70%,"XL",IF(G260&gt;60%,"L",IF(G260&gt;50%,"M",IF(G260&gt;0%,"S",""))))),"")</f>
        <v/>
      </c>
      <c r="I260" s="128">
        <f>_xlfn.IFNA((VLOOKUP($C260,Code!$H:$Q,5,FALSE))/(((VLOOKUP($C260,Code!$H:$Q,7,FALSE))+(VLOOKUP($C260,Code!$H:$Q,8,FALSE)))/2)-G260,0)</f>
        <v>0</v>
      </c>
      <c r="J260" s="55" t="str">
        <f>IFERROR(POWER((VLOOKUP(C260,Code!H:W,12,FALSE))/(VLOOKUP(C260,Code!H:W,15,FALSE)),1/(P260-1))-1,"")</f>
        <v/>
      </c>
      <c r="K260" s="55" t="str">
        <f>IFERROR(POWER((VLOOKUP(C260,Code!H:W,13,FALSE))/(VLOOKUP(C260,Code!H:W,16,FALSE)),1/(P260-1))-1,"")</f>
        <v/>
      </c>
      <c r="L260" s="75" t="str">
        <f>IFERROR(VLOOKUP(C260,Code!H:W,13,FALSE)*4/VLOOKUP(C260,Code!H:W,12,FALSE),"")</f>
        <v/>
      </c>
      <c r="M260" s="55" t="str">
        <f t="shared" ref="M260:M323" si="41">IF(SUM(J260:K260)=0,"",SUM(J260:K260))</f>
        <v/>
      </c>
      <c r="N260" s="55" t="str">
        <f t="shared" ref="N260:N323" si="42">IFERROR(IF(L260&gt;3%,IF((K260+L260)&gt;12%,"Venture","-"),"-"),"")</f>
        <v/>
      </c>
      <c r="O260" s="55" t="str">
        <f t="shared" ref="O260:O323" si="43">IFERROR(IF(OR(L260&lt;3%,L260=""),IF((K260+L260)&gt;15%,"Value","-"),"-"),"")</f>
        <v/>
      </c>
      <c r="P260" s="196" t="str">
        <f>IFERROR(YEARFRAC(VLOOKUP(C260,Code!H:W,11,FALSE),VLOOKUP(C260,Code!H:W,14,FALSE),3),"")</f>
        <v/>
      </c>
      <c r="Q260" s="2"/>
      <c r="R260" s="85" t="str">
        <f t="shared" ref="R260:R323" ca="1" si="44">IFERROR(IF(OR(_xlfn.DAYS(Q260,TODAY())+1&lt;0,C260=0),"",_xlfn.DAYS(Q260,TODAY())+1),"")</f>
        <v/>
      </c>
      <c r="S260" s="86" t="str">
        <f>IFERROR(VLOOKUP($C260,Code!$H:$Q,5,FALSE),"")</f>
        <v/>
      </c>
      <c r="T260" s="88" t="str">
        <f t="shared" ref="T260:T323" ca="1" si="45">IFERROR(IF(V260*S260*SQRT(R260/365)=0,"",V260*S260*SQRT(R260/365)),"")</f>
        <v/>
      </c>
      <c r="U260" s="89" t="str">
        <f t="shared" ref="U260:U323" ca="1" si="46">IFERROR(V260-T260,"")</f>
        <v/>
      </c>
      <c r="V260" s="90" t="str">
        <f>IFERROR(VLOOKUP($C260,Code!$H:$Q,6,FALSE),"")</f>
        <v/>
      </c>
      <c r="W260" s="91" t="str">
        <f t="shared" ref="W260:W323" ca="1" si="47">IFERROR(V260+T260,"")</f>
        <v/>
      </c>
      <c r="X260" s="12"/>
      <c r="Y260" s="12"/>
      <c r="Z260" s="12"/>
      <c r="AA260" s="12"/>
      <c r="AB260" s="12"/>
    </row>
    <row r="261" spans="1:28" s="10" customFormat="1" ht="15" hidden="1">
      <c r="A261" s="9"/>
      <c r="B261" s="137"/>
      <c r="C261" s="142"/>
      <c r="D261" s="82" t="str">
        <f>IFERROR(VLOOKUP($C261,Code!$H:$K,2,FALSE),"")</f>
        <v/>
      </c>
      <c r="E261" s="83" t="str">
        <f>IFERROR(VLOOKUP($C261,Code!$H:$K,3,FALSE),"")</f>
        <v/>
      </c>
      <c r="F261" s="84" t="str">
        <f>IFERROR(VLOOKUP($C261,Code!$H:$K,4,FALSE),"")</f>
        <v/>
      </c>
      <c r="G261" s="128">
        <f>_xlfn.IFNA(((VLOOKUP($C261,Code!$H:$Q,9,FALSE))+(VLOOKUP($C261,Code!$H:$Q,10,FALSE)))/2*0.5/(((VLOOKUP($C261,Code!$H:$Q,7,FALSE))+(VLOOKUP($C261,Code!$H:$Q,8,FALSE)))/2),0)</f>
        <v>0</v>
      </c>
      <c r="H261" s="87" t="str">
        <f t="shared" si="40"/>
        <v/>
      </c>
      <c r="I261" s="128">
        <f>_xlfn.IFNA((VLOOKUP($C261,Code!$H:$Q,5,FALSE))/(((VLOOKUP($C261,Code!$H:$Q,7,FALSE))+(VLOOKUP($C261,Code!$H:$Q,8,FALSE)))/2)-G261,0)</f>
        <v>0</v>
      </c>
      <c r="J261" s="55" t="str">
        <f>IFERROR(POWER((VLOOKUP(C261,Code!H:W,12,FALSE))/(VLOOKUP(C261,Code!H:W,15,FALSE)),1/(P261-1))-1,"")</f>
        <v/>
      </c>
      <c r="K261" s="55" t="str">
        <f>IFERROR(POWER((VLOOKUP(C261,Code!H:W,13,FALSE))/(VLOOKUP(C261,Code!H:W,16,FALSE)),1/(P261-1))-1,"")</f>
        <v/>
      </c>
      <c r="L261" s="75" t="str">
        <f>IFERROR(VLOOKUP(C261,Code!H:W,13,FALSE)*4/VLOOKUP(C261,Code!H:W,12,FALSE),"")</f>
        <v/>
      </c>
      <c r="M261" s="55" t="str">
        <f t="shared" si="41"/>
        <v/>
      </c>
      <c r="N261" s="55" t="str">
        <f t="shared" si="42"/>
        <v/>
      </c>
      <c r="O261" s="55" t="str">
        <f t="shared" si="43"/>
        <v/>
      </c>
      <c r="P261" s="196" t="str">
        <f>IFERROR(YEARFRAC(VLOOKUP(C261,Code!H:W,11,FALSE),VLOOKUP(C261,Code!H:W,14,FALSE),3),"")</f>
        <v/>
      </c>
      <c r="Q261" s="2"/>
      <c r="R261" s="85" t="str">
        <f t="shared" ca="1" si="44"/>
        <v/>
      </c>
      <c r="S261" s="86" t="str">
        <f>IFERROR(VLOOKUP($C261,Code!$H:$Q,5,FALSE),"")</f>
        <v/>
      </c>
      <c r="T261" s="88" t="str">
        <f t="shared" ca="1" si="45"/>
        <v/>
      </c>
      <c r="U261" s="89" t="str">
        <f t="shared" ca="1" si="46"/>
        <v/>
      </c>
      <c r="V261" s="90" t="str">
        <f>IFERROR(VLOOKUP($C261,Code!$H:$Q,6,FALSE),"")</f>
        <v/>
      </c>
      <c r="W261" s="91" t="str">
        <f t="shared" ca="1" si="47"/>
        <v/>
      </c>
      <c r="X261" s="12"/>
      <c r="Y261" s="12"/>
      <c r="Z261" s="12"/>
      <c r="AA261" s="12"/>
      <c r="AB261" s="12"/>
    </row>
    <row r="262" spans="1:28" s="10" customFormat="1" ht="15" hidden="1">
      <c r="A262" s="9"/>
      <c r="B262" s="137"/>
      <c r="C262" s="142"/>
      <c r="D262" s="82" t="str">
        <f>IFERROR(VLOOKUP($C262,Code!$H:$K,2,FALSE),"")</f>
        <v/>
      </c>
      <c r="E262" s="83" t="str">
        <f>IFERROR(VLOOKUP($C262,Code!$H:$K,3,FALSE),"")</f>
        <v/>
      </c>
      <c r="F262" s="84" t="str">
        <f>IFERROR(VLOOKUP($C262,Code!$H:$K,4,FALSE),"")</f>
        <v/>
      </c>
      <c r="G262" s="128">
        <f>_xlfn.IFNA(((VLOOKUP($C262,Code!$H:$Q,9,FALSE))+(VLOOKUP($C262,Code!$H:$Q,10,FALSE)))/2*0.5/(((VLOOKUP($C262,Code!$H:$Q,7,FALSE))+(VLOOKUP($C262,Code!$H:$Q,8,FALSE)))/2),0)</f>
        <v>0</v>
      </c>
      <c r="H262" s="87" t="str">
        <f t="shared" si="40"/>
        <v/>
      </c>
      <c r="I262" s="128">
        <f>_xlfn.IFNA((VLOOKUP($C262,Code!$H:$Q,5,FALSE))/(((VLOOKUP($C262,Code!$H:$Q,7,FALSE))+(VLOOKUP($C262,Code!$H:$Q,8,FALSE)))/2)-G262,0)</f>
        <v>0</v>
      </c>
      <c r="J262" s="55" t="str">
        <f>IFERROR(POWER((VLOOKUP(C262,Code!H:W,12,FALSE))/(VLOOKUP(C262,Code!H:W,15,FALSE)),1/(P262-1))-1,"")</f>
        <v/>
      </c>
      <c r="K262" s="55" t="str">
        <f>IFERROR(POWER((VLOOKUP(C262,Code!H:W,13,FALSE))/(VLOOKUP(C262,Code!H:W,16,FALSE)),1/(P262-1))-1,"")</f>
        <v/>
      </c>
      <c r="L262" s="75" t="str">
        <f>IFERROR(VLOOKUP(C262,Code!H:W,13,FALSE)*4/VLOOKUP(C262,Code!H:W,12,FALSE),"")</f>
        <v/>
      </c>
      <c r="M262" s="55" t="str">
        <f t="shared" si="41"/>
        <v/>
      </c>
      <c r="N262" s="55" t="str">
        <f t="shared" si="42"/>
        <v/>
      </c>
      <c r="O262" s="55" t="str">
        <f t="shared" si="43"/>
        <v/>
      </c>
      <c r="P262" s="196" t="str">
        <f>IFERROR(YEARFRAC(VLOOKUP(C262,Code!H:W,11,FALSE),VLOOKUP(C262,Code!H:W,14,FALSE),3),"")</f>
        <v/>
      </c>
      <c r="Q262" s="2"/>
      <c r="R262" s="85" t="str">
        <f t="shared" ca="1" si="44"/>
        <v/>
      </c>
      <c r="S262" s="86" t="str">
        <f>IFERROR(VLOOKUP($C262,Code!$H:$Q,5,FALSE),"")</f>
        <v/>
      </c>
      <c r="T262" s="88" t="str">
        <f t="shared" ca="1" si="45"/>
        <v/>
      </c>
      <c r="U262" s="89" t="str">
        <f t="shared" ca="1" si="46"/>
        <v/>
      </c>
      <c r="V262" s="90" t="str">
        <f>IFERROR(VLOOKUP($C262,Code!$H:$Q,6,FALSE),"")</f>
        <v/>
      </c>
      <c r="W262" s="91" t="str">
        <f t="shared" ca="1" si="47"/>
        <v/>
      </c>
      <c r="X262" s="12"/>
      <c r="Y262" s="12"/>
      <c r="Z262" s="12"/>
      <c r="AA262" s="12"/>
      <c r="AB262" s="12"/>
    </row>
    <row r="263" spans="1:28" s="10" customFormat="1" ht="15" hidden="1">
      <c r="A263" s="9"/>
      <c r="B263" s="137"/>
      <c r="C263" s="142"/>
      <c r="D263" s="82" t="str">
        <f>IFERROR(VLOOKUP($C263,Code!$H:$K,2,FALSE),"")</f>
        <v/>
      </c>
      <c r="E263" s="83" t="str">
        <f>IFERROR(VLOOKUP($C263,Code!$H:$K,3,FALSE),"")</f>
        <v/>
      </c>
      <c r="F263" s="84" t="str">
        <f>IFERROR(VLOOKUP($C263,Code!$H:$K,4,FALSE),"")</f>
        <v/>
      </c>
      <c r="G263" s="128">
        <f>_xlfn.IFNA(((VLOOKUP($C263,Code!$H:$Q,9,FALSE))+(VLOOKUP($C263,Code!$H:$Q,10,FALSE)))/2*0.5/(((VLOOKUP($C263,Code!$H:$Q,7,FALSE))+(VLOOKUP($C263,Code!$H:$Q,8,FALSE)))/2),0)</f>
        <v>0</v>
      </c>
      <c r="H263" s="87" t="str">
        <f t="shared" si="40"/>
        <v/>
      </c>
      <c r="I263" s="128">
        <f>_xlfn.IFNA((VLOOKUP($C263,Code!$H:$Q,5,FALSE))/(((VLOOKUP($C263,Code!$H:$Q,7,FALSE))+(VLOOKUP($C263,Code!$H:$Q,8,FALSE)))/2)-G263,0)</f>
        <v>0</v>
      </c>
      <c r="J263" s="55" t="str">
        <f>IFERROR(POWER((VLOOKUP(C263,Code!H:W,12,FALSE))/(VLOOKUP(C263,Code!H:W,15,FALSE)),1/(P263-1))-1,"")</f>
        <v/>
      </c>
      <c r="K263" s="55" t="str">
        <f>IFERROR(POWER((VLOOKUP(C263,Code!H:W,13,FALSE))/(VLOOKUP(C263,Code!H:W,16,FALSE)),1/(P263-1))-1,"")</f>
        <v/>
      </c>
      <c r="L263" s="75" t="str">
        <f>IFERROR(VLOOKUP(C263,Code!H:W,13,FALSE)*4/VLOOKUP(C263,Code!H:W,12,FALSE),"")</f>
        <v/>
      </c>
      <c r="M263" s="55" t="str">
        <f t="shared" si="41"/>
        <v/>
      </c>
      <c r="N263" s="55" t="str">
        <f t="shared" si="42"/>
        <v/>
      </c>
      <c r="O263" s="55" t="str">
        <f t="shared" si="43"/>
        <v/>
      </c>
      <c r="P263" s="196" t="str">
        <f>IFERROR(YEARFRAC(VLOOKUP(C263,Code!H:W,11,FALSE),VLOOKUP(C263,Code!H:W,14,FALSE),3),"")</f>
        <v/>
      </c>
      <c r="Q263" s="2"/>
      <c r="R263" s="85" t="str">
        <f t="shared" ca="1" si="44"/>
        <v/>
      </c>
      <c r="S263" s="86" t="str">
        <f>IFERROR(VLOOKUP($C263,Code!$H:$Q,5,FALSE),"")</f>
        <v/>
      </c>
      <c r="T263" s="88" t="str">
        <f t="shared" ca="1" si="45"/>
        <v/>
      </c>
      <c r="U263" s="89" t="str">
        <f t="shared" ca="1" si="46"/>
        <v/>
      </c>
      <c r="V263" s="90" t="str">
        <f>IFERROR(VLOOKUP($C263,Code!$H:$Q,6,FALSE),"")</f>
        <v/>
      </c>
      <c r="W263" s="91" t="str">
        <f t="shared" ca="1" si="47"/>
        <v/>
      </c>
      <c r="X263" s="12"/>
      <c r="Y263" s="12"/>
      <c r="Z263" s="12"/>
      <c r="AA263" s="12"/>
      <c r="AB263" s="12"/>
    </row>
    <row r="264" spans="1:28" s="10" customFormat="1" ht="15" hidden="1">
      <c r="A264" s="9"/>
      <c r="B264" s="137"/>
      <c r="C264" s="142"/>
      <c r="D264" s="82" t="str">
        <f>IFERROR(VLOOKUP($C264,Code!$H:$K,2,FALSE),"")</f>
        <v/>
      </c>
      <c r="E264" s="83" t="str">
        <f>IFERROR(VLOOKUP($C264,Code!$H:$K,3,FALSE),"")</f>
        <v/>
      </c>
      <c r="F264" s="84" t="str">
        <f>IFERROR(VLOOKUP($C264,Code!$H:$K,4,FALSE),"")</f>
        <v/>
      </c>
      <c r="G264" s="128">
        <f>_xlfn.IFNA(((VLOOKUP($C264,Code!$H:$Q,9,FALSE))+(VLOOKUP($C264,Code!$H:$Q,10,FALSE)))/2*0.5/(((VLOOKUP($C264,Code!$H:$Q,7,FALSE))+(VLOOKUP($C264,Code!$H:$Q,8,FALSE)))/2),0)</f>
        <v>0</v>
      </c>
      <c r="H264" s="87" t="str">
        <f t="shared" si="40"/>
        <v/>
      </c>
      <c r="I264" s="128">
        <f>_xlfn.IFNA((VLOOKUP($C264,Code!$H:$Q,5,FALSE))/(((VLOOKUP($C264,Code!$H:$Q,7,FALSE))+(VLOOKUP($C264,Code!$H:$Q,8,FALSE)))/2)-G264,0)</f>
        <v>0</v>
      </c>
      <c r="J264" s="55" t="str">
        <f>IFERROR(POWER((VLOOKUP(C264,Code!H:W,12,FALSE))/(VLOOKUP(C264,Code!H:W,15,FALSE)),1/(P264-1))-1,"")</f>
        <v/>
      </c>
      <c r="K264" s="55" t="str">
        <f>IFERROR(POWER((VLOOKUP(C264,Code!H:W,13,FALSE))/(VLOOKUP(C264,Code!H:W,16,FALSE)),1/(P264-1))-1,"")</f>
        <v/>
      </c>
      <c r="L264" s="75" t="str">
        <f>IFERROR(VLOOKUP(C264,Code!H:W,13,FALSE)*4/VLOOKUP(C264,Code!H:W,12,FALSE),"")</f>
        <v/>
      </c>
      <c r="M264" s="55" t="str">
        <f t="shared" si="41"/>
        <v/>
      </c>
      <c r="N264" s="55" t="str">
        <f t="shared" si="42"/>
        <v/>
      </c>
      <c r="O264" s="55" t="str">
        <f t="shared" si="43"/>
        <v/>
      </c>
      <c r="P264" s="196" t="str">
        <f>IFERROR(YEARFRAC(VLOOKUP(C264,Code!H:W,11,FALSE),VLOOKUP(C264,Code!H:W,14,FALSE),3),"")</f>
        <v/>
      </c>
      <c r="Q264" s="2"/>
      <c r="R264" s="85" t="str">
        <f t="shared" ca="1" si="44"/>
        <v/>
      </c>
      <c r="S264" s="86" t="str">
        <f>IFERROR(VLOOKUP($C264,Code!$H:$Q,5,FALSE),"")</f>
        <v/>
      </c>
      <c r="T264" s="88" t="str">
        <f t="shared" ca="1" si="45"/>
        <v/>
      </c>
      <c r="U264" s="89" t="str">
        <f t="shared" ca="1" si="46"/>
        <v/>
      </c>
      <c r="V264" s="90" t="str">
        <f>IFERROR(VLOOKUP($C264,Code!$H:$Q,6,FALSE),"")</f>
        <v/>
      </c>
      <c r="W264" s="91" t="str">
        <f t="shared" ca="1" si="47"/>
        <v/>
      </c>
      <c r="X264" s="12"/>
      <c r="Y264" s="12"/>
      <c r="Z264" s="12"/>
      <c r="AA264" s="12"/>
      <c r="AB264" s="12"/>
    </row>
    <row r="265" spans="1:28" s="10" customFormat="1" ht="15" hidden="1">
      <c r="A265" s="9"/>
      <c r="B265" s="137"/>
      <c r="C265" s="142"/>
      <c r="D265" s="82" t="str">
        <f>IFERROR(VLOOKUP($C265,Code!$H:$K,2,FALSE),"")</f>
        <v/>
      </c>
      <c r="E265" s="83" t="str">
        <f>IFERROR(VLOOKUP($C265,Code!$H:$K,3,FALSE),"")</f>
        <v/>
      </c>
      <c r="F265" s="84" t="str">
        <f>IFERROR(VLOOKUP($C265,Code!$H:$K,4,FALSE),"")</f>
        <v/>
      </c>
      <c r="G265" s="128">
        <f>_xlfn.IFNA(((VLOOKUP($C265,Code!$H:$Q,9,FALSE))+(VLOOKUP($C265,Code!$H:$Q,10,FALSE)))/2*0.5/(((VLOOKUP($C265,Code!$H:$Q,7,FALSE))+(VLOOKUP($C265,Code!$H:$Q,8,FALSE)))/2),0)</f>
        <v>0</v>
      </c>
      <c r="H265" s="87" t="str">
        <f t="shared" si="40"/>
        <v/>
      </c>
      <c r="I265" s="128">
        <f>_xlfn.IFNA((VLOOKUP($C265,Code!$H:$Q,5,FALSE))/(((VLOOKUP($C265,Code!$H:$Q,7,FALSE))+(VLOOKUP($C265,Code!$H:$Q,8,FALSE)))/2)-G265,0)</f>
        <v>0</v>
      </c>
      <c r="J265" s="55" t="str">
        <f>IFERROR(POWER((VLOOKUP(C265,Code!H:W,12,FALSE))/(VLOOKUP(C265,Code!H:W,15,FALSE)),1/(P265-1))-1,"")</f>
        <v/>
      </c>
      <c r="K265" s="55" t="str">
        <f>IFERROR(POWER((VLOOKUP(C265,Code!H:W,13,FALSE))/(VLOOKUP(C265,Code!H:W,16,FALSE)),1/(P265-1))-1,"")</f>
        <v/>
      </c>
      <c r="L265" s="75" t="str">
        <f>IFERROR(VLOOKUP(C265,Code!H:W,13,FALSE)*4/VLOOKUP(C265,Code!H:W,12,FALSE),"")</f>
        <v/>
      </c>
      <c r="M265" s="55" t="str">
        <f t="shared" si="41"/>
        <v/>
      </c>
      <c r="N265" s="55" t="str">
        <f t="shared" si="42"/>
        <v/>
      </c>
      <c r="O265" s="55" t="str">
        <f t="shared" si="43"/>
        <v/>
      </c>
      <c r="P265" s="196" t="str">
        <f>IFERROR(YEARFRAC(VLOOKUP(C265,Code!H:W,11,FALSE),VLOOKUP(C265,Code!H:W,14,FALSE),3),"")</f>
        <v/>
      </c>
      <c r="Q265" s="2"/>
      <c r="R265" s="85" t="str">
        <f t="shared" ca="1" si="44"/>
        <v/>
      </c>
      <c r="S265" s="86" t="str">
        <f>IFERROR(VLOOKUP($C265,Code!$H:$Q,5,FALSE),"")</f>
        <v/>
      </c>
      <c r="T265" s="88" t="str">
        <f t="shared" ca="1" si="45"/>
        <v/>
      </c>
      <c r="U265" s="89" t="str">
        <f t="shared" ca="1" si="46"/>
        <v/>
      </c>
      <c r="V265" s="90" t="str">
        <f>IFERROR(VLOOKUP($C265,Code!$H:$Q,6,FALSE),"")</f>
        <v/>
      </c>
      <c r="W265" s="91" t="str">
        <f t="shared" ca="1" si="47"/>
        <v/>
      </c>
      <c r="X265" s="12"/>
      <c r="Y265" s="12"/>
      <c r="Z265" s="12"/>
      <c r="AA265" s="12"/>
      <c r="AB265" s="12"/>
    </row>
    <row r="266" spans="1:28" s="10" customFormat="1" ht="15" hidden="1">
      <c r="A266" s="9"/>
      <c r="B266" s="137"/>
      <c r="C266" s="142"/>
      <c r="D266" s="82" t="str">
        <f>IFERROR(VLOOKUP($C266,Code!$H:$K,2,FALSE),"")</f>
        <v/>
      </c>
      <c r="E266" s="83" t="str">
        <f>IFERROR(VLOOKUP($C266,Code!$H:$K,3,FALSE),"")</f>
        <v/>
      </c>
      <c r="F266" s="84" t="str">
        <f>IFERROR(VLOOKUP($C266,Code!$H:$K,4,FALSE),"")</f>
        <v/>
      </c>
      <c r="G266" s="128">
        <f>_xlfn.IFNA(((VLOOKUP($C266,Code!$H:$Q,9,FALSE))+(VLOOKUP($C266,Code!$H:$Q,10,FALSE)))/2*0.5/(((VLOOKUP($C266,Code!$H:$Q,7,FALSE))+(VLOOKUP($C266,Code!$H:$Q,8,FALSE)))/2),0)</f>
        <v>0</v>
      </c>
      <c r="H266" s="87" t="str">
        <f t="shared" si="40"/>
        <v/>
      </c>
      <c r="I266" s="128">
        <f>_xlfn.IFNA((VLOOKUP($C266,Code!$H:$Q,5,FALSE))/(((VLOOKUP($C266,Code!$H:$Q,7,FALSE))+(VLOOKUP($C266,Code!$H:$Q,8,FALSE)))/2)-G266,0)</f>
        <v>0</v>
      </c>
      <c r="J266" s="55" t="str">
        <f>IFERROR(POWER((VLOOKUP(C266,Code!H:W,12,FALSE))/(VLOOKUP(C266,Code!H:W,15,FALSE)),1/(P266-1))-1,"")</f>
        <v/>
      </c>
      <c r="K266" s="55" t="str">
        <f>IFERROR(POWER((VLOOKUP(C266,Code!H:W,13,FALSE))/(VLOOKUP(C266,Code!H:W,16,FALSE)),1/(P266-1))-1,"")</f>
        <v/>
      </c>
      <c r="L266" s="75" t="str">
        <f>IFERROR(VLOOKUP(C266,Code!H:W,13,FALSE)*4/VLOOKUP(C266,Code!H:W,12,FALSE),"")</f>
        <v/>
      </c>
      <c r="M266" s="55" t="str">
        <f t="shared" si="41"/>
        <v/>
      </c>
      <c r="N266" s="55" t="str">
        <f t="shared" si="42"/>
        <v/>
      </c>
      <c r="O266" s="55" t="str">
        <f t="shared" si="43"/>
        <v/>
      </c>
      <c r="P266" s="196" t="str">
        <f>IFERROR(YEARFRAC(VLOOKUP(C266,Code!H:W,11,FALSE),VLOOKUP(C266,Code!H:W,14,FALSE),3),"")</f>
        <v/>
      </c>
      <c r="Q266" s="2"/>
      <c r="R266" s="85" t="str">
        <f t="shared" ca="1" si="44"/>
        <v/>
      </c>
      <c r="S266" s="86" t="str">
        <f>IFERROR(VLOOKUP($C266,Code!$H:$Q,5,FALSE),"")</f>
        <v/>
      </c>
      <c r="T266" s="88" t="str">
        <f t="shared" ca="1" si="45"/>
        <v/>
      </c>
      <c r="U266" s="89" t="str">
        <f t="shared" ca="1" si="46"/>
        <v/>
      </c>
      <c r="V266" s="90" t="str">
        <f>IFERROR(VLOOKUP($C266,Code!$H:$Q,6,FALSE),"")</f>
        <v/>
      </c>
      <c r="W266" s="91" t="str">
        <f t="shared" ca="1" si="47"/>
        <v/>
      </c>
      <c r="X266" s="12"/>
      <c r="Y266" s="12"/>
      <c r="Z266" s="12"/>
      <c r="AA266" s="12"/>
      <c r="AB266" s="12"/>
    </row>
    <row r="267" spans="1:28" s="10" customFormat="1" ht="15" hidden="1">
      <c r="A267" s="9"/>
      <c r="B267" s="137"/>
      <c r="C267" s="142"/>
      <c r="D267" s="82" t="str">
        <f>IFERROR(VLOOKUP($C267,Code!$H:$K,2,FALSE),"")</f>
        <v/>
      </c>
      <c r="E267" s="83" t="str">
        <f>IFERROR(VLOOKUP($C267,Code!$H:$K,3,FALSE),"")</f>
        <v/>
      </c>
      <c r="F267" s="84" t="str">
        <f>IFERROR(VLOOKUP($C267,Code!$H:$K,4,FALSE),"")</f>
        <v/>
      </c>
      <c r="G267" s="128">
        <f>_xlfn.IFNA(((VLOOKUP($C267,Code!$H:$Q,9,FALSE))+(VLOOKUP($C267,Code!$H:$Q,10,FALSE)))/2*0.5/(((VLOOKUP($C267,Code!$H:$Q,7,FALSE))+(VLOOKUP($C267,Code!$H:$Q,8,FALSE)))/2),0)</f>
        <v>0</v>
      </c>
      <c r="H267" s="87" t="str">
        <f t="shared" si="40"/>
        <v/>
      </c>
      <c r="I267" s="128">
        <f>_xlfn.IFNA((VLOOKUP($C267,Code!$H:$Q,5,FALSE))/(((VLOOKUP($C267,Code!$H:$Q,7,FALSE))+(VLOOKUP($C267,Code!$H:$Q,8,FALSE)))/2)-G267,0)</f>
        <v>0</v>
      </c>
      <c r="J267" s="55" t="str">
        <f>IFERROR(POWER((VLOOKUP(C267,Code!H:W,12,FALSE))/(VLOOKUP(C267,Code!H:W,15,FALSE)),1/(P267-1))-1,"")</f>
        <v/>
      </c>
      <c r="K267" s="55" t="str">
        <f>IFERROR(POWER((VLOOKUP(C267,Code!H:W,13,FALSE))/(VLOOKUP(C267,Code!H:W,16,FALSE)),1/(P267-1))-1,"")</f>
        <v/>
      </c>
      <c r="L267" s="75" t="str">
        <f>IFERROR(VLOOKUP(C267,Code!H:W,13,FALSE)*4/VLOOKUP(C267,Code!H:W,12,FALSE),"")</f>
        <v/>
      </c>
      <c r="M267" s="55" t="str">
        <f t="shared" si="41"/>
        <v/>
      </c>
      <c r="N267" s="55" t="str">
        <f t="shared" si="42"/>
        <v/>
      </c>
      <c r="O267" s="55" t="str">
        <f t="shared" si="43"/>
        <v/>
      </c>
      <c r="P267" s="196" t="str">
        <f>IFERROR(YEARFRAC(VLOOKUP(C267,Code!H:W,11,FALSE),VLOOKUP(C267,Code!H:W,14,FALSE),3),"")</f>
        <v/>
      </c>
      <c r="Q267" s="2"/>
      <c r="R267" s="85" t="str">
        <f t="shared" ca="1" si="44"/>
        <v/>
      </c>
      <c r="S267" s="86" t="str">
        <f>IFERROR(VLOOKUP($C267,Code!$H:$Q,5,FALSE),"")</f>
        <v/>
      </c>
      <c r="T267" s="88" t="str">
        <f t="shared" ca="1" si="45"/>
        <v/>
      </c>
      <c r="U267" s="89" t="str">
        <f t="shared" ca="1" si="46"/>
        <v/>
      </c>
      <c r="V267" s="90" t="str">
        <f>IFERROR(VLOOKUP($C267,Code!$H:$Q,6,FALSE),"")</f>
        <v/>
      </c>
      <c r="W267" s="91" t="str">
        <f t="shared" ca="1" si="47"/>
        <v/>
      </c>
      <c r="X267" s="12"/>
      <c r="Y267" s="12"/>
      <c r="Z267" s="12"/>
      <c r="AA267" s="12"/>
      <c r="AB267" s="12"/>
    </row>
    <row r="268" spans="1:28" s="10" customFormat="1" ht="15" hidden="1">
      <c r="A268" s="9"/>
      <c r="B268" s="137"/>
      <c r="C268" s="142"/>
      <c r="D268" s="82" t="str">
        <f>IFERROR(VLOOKUP($C268,Code!$H:$K,2,FALSE),"")</f>
        <v/>
      </c>
      <c r="E268" s="83" t="str">
        <f>IFERROR(VLOOKUP($C268,Code!$H:$K,3,FALSE),"")</f>
        <v/>
      </c>
      <c r="F268" s="84" t="str">
        <f>IFERROR(VLOOKUP($C268,Code!$H:$K,4,FALSE),"")</f>
        <v/>
      </c>
      <c r="G268" s="128">
        <f>_xlfn.IFNA(((VLOOKUP($C268,Code!$H:$Q,9,FALSE))+(VLOOKUP($C268,Code!$H:$Q,10,FALSE)))/2*0.5/(((VLOOKUP($C268,Code!$H:$Q,7,FALSE))+(VLOOKUP($C268,Code!$H:$Q,8,FALSE)))/2),0)</f>
        <v>0</v>
      </c>
      <c r="H268" s="87" t="str">
        <f t="shared" si="40"/>
        <v/>
      </c>
      <c r="I268" s="128">
        <f>_xlfn.IFNA((VLOOKUP($C268,Code!$H:$Q,5,FALSE))/(((VLOOKUP($C268,Code!$H:$Q,7,FALSE))+(VLOOKUP($C268,Code!$H:$Q,8,FALSE)))/2)-G268,0)</f>
        <v>0</v>
      </c>
      <c r="J268" s="55" t="str">
        <f>IFERROR(POWER((VLOOKUP(C268,Code!H:W,12,FALSE))/(VLOOKUP(C268,Code!H:W,15,FALSE)),1/(P268-1))-1,"")</f>
        <v/>
      </c>
      <c r="K268" s="55" t="str">
        <f>IFERROR(POWER((VLOOKUP(C268,Code!H:W,13,FALSE))/(VLOOKUP(C268,Code!H:W,16,FALSE)),1/(P268-1))-1,"")</f>
        <v/>
      </c>
      <c r="L268" s="75" t="str">
        <f>IFERROR(VLOOKUP(C268,Code!H:W,13,FALSE)*4/VLOOKUP(C268,Code!H:W,12,FALSE),"")</f>
        <v/>
      </c>
      <c r="M268" s="55" t="str">
        <f t="shared" si="41"/>
        <v/>
      </c>
      <c r="N268" s="55" t="str">
        <f t="shared" si="42"/>
        <v/>
      </c>
      <c r="O268" s="55" t="str">
        <f t="shared" si="43"/>
        <v/>
      </c>
      <c r="P268" s="196" t="str">
        <f>IFERROR(YEARFRAC(VLOOKUP(C268,Code!H:W,11,FALSE),VLOOKUP(C268,Code!H:W,14,FALSE),3),"")</f>
        <v/>
      </c>
      <c r="Q268" s="2"/>
      <c r="R268" s="85" t="str">
        <f t="shared" ca="1" si="44"/>
        <v/>
      </c>
      <c r="S268" s="86" t="str">
        <f>IFERROR(VLOOKUP($C268,Code!$H:$Q,5,FALSE),"")</f>
        <v/>
      </c>
      <c r="T268" s="88" t="str">
        <f t="shared" ca="1" si="45"/>
        <v/>
      </c>
      <c r="U268" s="89" t="str">
        <f t="shared" ca="1" si="46"/>
        <v/>
      </c>
      <c r="V268" s="90" t="str">
        <f>IFERROR(VLOOKUP($C268,Code!$H:$Q,6,FALSE),"")</f>
        <v/>
      </c>
      <c r="W268" s="91" t="str">
        <f t="shared" ca="1" si="47"/>
        <v/>
      </c>
      <c r="X268" s="12"/>
      <c r="Y268" s="12"/>
      <c r="Z268" s="12"/>
      <c r="AA268" s="12"/>
      <c r="AB268" s="12"/>
    </row>
    <row r="269" spans="1:28" s="10" customFormat="1" ht="15" hidden="1">
      <c r="A269" s="9"/>
      <c r="B269" s="137"/>
      <c r="C269" s="142"/>
      <c r="D269" s="82" t="str">
        <f>IFERROR(VLOOKUP($C269,Code!$H:$K,2,FALSE),"")</f>
        <v/>
      </c>
      <c r="E269" s="83" t="str">
        <f>IFERROR(VLOOKUP($C269,Code!$H:$K,3,FALSE),"")</f>
        <v/>
      </c>
      <c r="F269" s="84" t="str">
        <f>IFERROR(VLOOKUP($C269,Code!$H:$K,4,FALSE),"")</f>
        <v/>
      </c>
      <c r="G269" s="128">
        <f>_xlfn.IFNA(((VLOOKUP($C269,Code!$H:$Q,9,FALSE))+(VLOOKUP($C269,Code!$H:$Q,10,FALSE)))/2*0.5/(((VLOOKUP($C269,Code!$H:$Q,7,FALSE))+(VLOOKUP($C269,Code!$H:$Q,8,FALSE)))/2),0)</f>
        <v>0</v>
      </c>
      <c r="H269" s="87" t="str">
        <f t="shared" si="40"/>
        <v/>
      </c>
      <c r="I269" s="128">
        <f>_xlfn.IFNA((VLOOKUP($C269,Code!$H:$Q,5,FALSE))/(((VLOOKUP($C269,Code!$H:$Q,7,FALSE))+(VLOOKUP($C269,Code!$H:$Q,8,FALSE)))/2)-G269,0)</f>
        <v>0</v>
      </c>
      <c r="J269" s="55" t="str">
        <f>IFERROR(POWER((VLOOKUP(C269,Code!H:W,12,FALSE))/(VLOOKUP(C269,Code!H:W,15,FALSE)),1/(P269-1))-1,"")</f>
        <v/>
      </c>
      <c r="K269" s="55" t="str">
        <f>IFERROR(POWER((VLOOKUP(C269,Code!H:W,13,FALSE))/(VLOOKUP(C269,Code!H:W,16,FALSE)),1/(P269-1))-1,"")</f>
        <v/>
      </c>
      <c r="L269" s="75" t="str">
        <f>IFERROR(VLOOKUP(C269,Code!H:W,13,FALSE)*4/VLOOKUP(C269,Code!H:W,12,FALSE),"")</f>
        <v/>
      </c>
      <c r="M269" s="55" t="str">
        <f t="shared" si="41"/>
        <v/>
      </c>
      <c r="N269" s="55" t="str">
        <f t="shared" si="42"/>
        <v/>
      </c>
      <c r="O269" s="55" t="str">
        <f t="shared" si="43"/>
        <v/>
      </c>
      <c r="P269" s="196" t="str">
        <f>IFERROR(YEARFRAC(VLOOKUP(C269,Code!H:W,11,FALSE),VLOOKUP(C269,Code!H:W,14,FALSE),3),"")</f>
        <v/>
      </c>
      <c r="Q269" s="2"/>
      <c r="R269" s="85" t="str">
        <f t="shared" ca="1" si="44"/>
        <v/>
      </c>
      <c r="S269" s="86" t="str">
        <f>IFERROR(VLOOKUP($C269,Code!$H:$Q,5,FALSE),"")</f>
        <v/>
      </c>
      <c r="T269" s="88" t="str">
        <f t="shared" ca="1" si="45"/>
        <v/>
      </c>
      <c r="U269" s="89" t="str">
        <f t="shared" ca="1" si="46"/>
        <v/>
      </c>
      <c r="V269" s="90" t="str">
        <f>IFERROR(VLOOKUP($C269,Code!$H:$Q,6,FALSE),"")</f>
        <v/>
      </c>
      <c r="W269" s="91" t="str">
        <f t="shared" ca="1" si="47"/>
        <v/>
      </c>
      <c r="X269" s="12"/>
      <c r="Y269" s="12"/>
      <c r="Z269" s="12"/>
      <c r="AA269" s="12"/>
      <c r="AB269" s="12"/>
    </row>
    <row r="270" spans="1:28" s="10" customFormat="1" ht="15" hidden="1">
      <c r="A270" s="9"/>
      <c r="B270" s="137"/>
      <c r="C270" s="142"/>
      <c r="D270" s="82" t="str">
        <f>IFERROR(VLOOKUP($C270,Code!$H:$K,2,FALSE),"")</f>
        <v/>
      </c>
      <c r="E270" s="83" t="str">
        <f>IFERROR(VLOOKUP($C270,Code!$H:$K,3,FALSE),"")</f>
        <v/>
      </c>
      <c r="F270" s="84" t="str">
        <f>IFERROR(VLOOKUP($C270,Code!$H:$K,4,FALSE),"")</f>
        <v/>
      </c>
      <c r="G270" s="128">
        <f>_xlfn.IFNA(((VLOOKUP($C270,Code!$H:$Q,9,FALSE))+(VLOOKUP($C270,Code!$H:$Q,10,FALSE)))/2*0.5/(((VLOOKUP($C270,Code!$H:$Q,7,FALSE))+(VLOOKUP($C270,Code!$H:$Q,8,FALSE)))/2),0)</f>
        <v>0</v>
      </c>
      <c r="H270" s="87" t="str">
        <f t="shared" si="40"/>
        <v/>
      </c>
      <c r="I270" s="128">
        <f>_xlfn.IFNA((VLOOKUP($C270,Code!$H:$Q,5,FALSE))/(((VLOOKUP($C270,Code!$H:$Q,7,FALSE))+(VLOOKUP($C270,Code!$H:$Q,8,FALSE)))/2)-G270,0)</f>
        <v>0</v>
      </c>
      <c r="J270" s="55" t="str">
        <f>IFERROR(POWER((VLOOKUP(C270,Code!H:W,12,FALSE))/(VLOOKUP(C270,Code!H:W,15,FALSE)),1/(P270-1))-1,"")</f>
        <v/>
      </c>
      <c r="K270" s="55" t="str">
        <f>IFERROR(POWER((VLOOKUP(C270,Code!H:W,13,FALSE))/(VLOOKUP(C270,Code!H:W,16,FALSE)),1/(P270-1))-1,"")</f>
        <v/>
      </c>
      <c r="L270" s="75" t="str">
        <f>IFERROR(VLOOKUP(C270,Code!H:W,13,FALSE)*4/VLOOKUP(C270,Code!H:W,12,FALSE),"")</f>
        <v/>
      </c>
      <c r="M270" s="55" t="str">
        <f t="shared" si="41"/>
        <v/>
      </c>
      <c r="N270" s="55" t="str">
        <f t="shared" si="42"/>
        <v/>
      </c>
      <c r="O270" s="55" t="str">
        <f t="shared" si="43"/>
        <v/>
      </c>
      <c r="P270" s="196" t="str">
        <f>IFERROR(YEARFRAC(VLOOKUP(C270,Code!H:W,11,FALSE),VLOOKUP(C270,Code!H:W,14,FALSE),3),"")</f>
        <v/>
      </c>
      <c r="Q270" s="2"/>
      <c r="R270" s="85" t="str">
        <f t="shared" ca="1" si="44"/>
        <v/>
      </c>
      <c r="S270" s="86" t="str">
        <f>IFERROR(VLOOKUP($C270,Code!$H:$Q,5,FALSE),"")</f>
        <v/>
      </c>
      <c r="T270" s="88" t="str">
        <f t="shared" ca="1" si="45"/>
        <v/>
      </c>
      <c r="U270" s="89" t="str">
        <f t="shared" ca="1" si="46"/>
        <v/>
      </c>
      <c r="V270" s="90" t="str">
        <f>IFERROR(VLOOKUP($C270,Code!$H:$Q,6,FALSE),"")</f>
        <v/>
      </c>
      <c r="W270" s="91" t="str">
        <f t="shared" ca="1" si="47"/>
        <v/>
      </c>
      <c r="X270" s="12"/>
      <c r="Y270" s="12"/>
      <c r="Z270" s="12"/>
      <c r="AA270" s="12"/>
      <c r="AB270" s="12"/>
    </row>
    <row r="271" spans="1:28" s="10" customFormat="1" ht="15" hidden="1">
      <c r="A271" s="9"/>
      <c r="B271" s="137"/>
      <c r="C271" s="142"/>
      <c r="D271" s="82" t="str">
        <f>IFERROR(VLOOKUP($C271,Code!$H:$K,2,FALSE),"")</f>
        <v/>
      </c>
      <c r="E271" s="83" t="str">
        <f>IFERROR(VLOOKUP($C271,Code!$H:$K,3,FALSE),"")</f>
        <v/>
      </c>
      <c r="F271" s="84" t="str">
        <f>IFERROR(VLOOKUP($C271,Code!$H:$K,4,FALSE),"")</f>
        <v/>
      </c>
      <c r="G271" s="128">
        <f>_xlfn.IFNA(((VLOOKUP($C271,Code!$H:$Q,9,FALSE))+(VLOOKUP($C271,Code!$H:$Q,10,FALSE)))/2*0.5/(((VLOOKUP($C271,Code!$H:$Q,7,FALSE))+(VLOOKUP($C271,Code!$H:$Q,8,FALSE)))/2),0)</f>
        <v>0</v>
      </c>
      <c r="H271" s="87" t="str">
        <f t="shared" si="40"/>
        <v/>
      </c>
      <c r="I271" s="128">
        <f>_xlfn.IFNA((VLOOKUP($C271,Code!$H:$Q,5,FALSE))/(((VLOOKUP($C271,Code!$H:$Q,7,FALSE))+(VLOOKUP($C271,Code!$H:$Q,8,FALSE)))/2)-G271,0)</f>
        <v>0</v>
      </c>
      <c r="J271" s="55" t="str">
        <f>IFERROR(POWER((VLOOKUP(C271,Code!H:W,12,FALSE))/(VLOOKUP(C271,Code!H:W,15,FALSE)),1/(P271-1))-1,"")</f>
        <v/>
      </c>
      <c r="K271" s="55" t="str">
        <f>IFERROR(POWER((VLOOKUP(C271,Code!H:W,13,FALSE))/(VLOOKUP(C271,Code!H:W,16,FALSE)),1/(P271-1))-1,"")</f>
        <v/>
      </c>
      <c r="L271" s="75" t="str">
        <f>IFERROR(VLOOKUP(C271,Code!H:W,13,FALSE)*4/VLOOKUP(C271,Code!H:W,12,FALSE),"")</f>
        <v/>
      </c>
      <c r="M271" s="55" t="str">
        <f t="shared" si="41"/>
        <v/>
      </c>
      <c r="N271" s="55" t="str">
        <f t="shared" si="42"/>
        <v/>
      </c>
      <c r="O271" s="55" t="str">
        <f t="shared" si="43"/>
        <v/>
      </c>
      <c r="P271" s="196" t="str">
        <f>IFERROR(YEARFRAC(VLOOKUP(C271,Code!H:W,11,FALSE),VLOOKUP(C271,Code!H:W,14,FALSE),3),"")</f>
        <v/>
      </c>
      <c r="Q271" s="2"/>
      <c r="R271" s="85" t="str">
        <f t="shared" ca="1" si="44"/>
        <v/>
      </c>
      <c r="S271" s="86" t="str">
        <f>IFERROR(VLOOKUP($C271,Code!$H:$Q,5,FALSE),"")</f>
        <v/>
      </c>
      <c r="T271" s="88" t="str">
        <f t="shared" ca="1" si="45"/>
        <v/>
      </c>
      <c r="U271" s="89" t="str">
        <f t="shared" ca="1" si="46"/>
        <v/>
      </c>
      <c r="V271" s="90" t="str">
        <f>IFERROR(VLOOKUP($C271,Code!$H:$Q,6,FALSE),"")</f>
        <v/>
      </c>
      <c r="W271" s="91" t="str">
        <f t="shared" ca="1" si="47"/>
        <v/>
      </c>
      <c r="X271" s="12"/>
      <c r="Y271" s="12"/>
      <c r="Z271" s="12"/>
      <c r="AA271" s="12"/>
      <c r="AB271" s="12"/>
    </row>
    <row r="272" spans="1:28" s="10" customFormat="1" ht="15" hidden="1">
      <c r="A272" s="9"/>
      <c r="B272" s="137"/>
      <c r="C272" s="142"/>
      <c r="D272" s="82" t="str">
        <f>IFERROR(VLOOKUP($C272,Code!$H:$K,2,FALSE),"")</f>
        <v/>
      </c>
      <c r="E272" s="83" t="str">
        <f>IFERROR(VLOOKUP($C272,Code!$H:$K,3,FALSE),"")</f>
        <v/>
      </c>
      <c r="F272" s="84" t="str">
        <f>IFERROR(VLOOKUP($C272,Code!$H:$K,4,FALSE),"")</f>
        <v/>
      </c>
      <c r="G272" s="128">
        <f>_xlfn.IFNA(((VLOOKUP($C272,Code!$H:$Q,9,FALSE))+(VLOOKUP($C272,Code!$H:$Q,10,FALSE)))/2*0.5/(((VLOOKUP($C272,Code!$H:$Q,7,FALSE))+(VLOOKUP($C272,Code!$H:$Q,8,FALSE)))/2),0)</f>
        <v>0</v>
      </c>
      <c r="H272" s="87" t="str">
        <f t="shared" si="40"/>
        <v/>
      </c>
      <c r="I272" s="128">
        <f>_xlfn.IFNA((VLOOKUP($C272,Code!$H:$Q,5,FALSE))/(((VLOOKUP($C272,Code!$H:$Q,7,FALSE))+(VLOOKUP($C272,Code!$H:$Q,8,FALSE)))/2)-G272,0)</f>
        <v>0</v>
      </c>
      <c r="J272" s="55" t="str">
        <f>IFERROR(POWER((VLOOKUP(C272,Code!H:W,12,FALSE))/(VLOOKUP(C272,Code!H:W,15,FALSE)),1/(P272-1))-1,"")</f>
        <v/>
      </c>
      <c r="K272" s="55" t="str">
        <f>IFERROR(POWER((VLOOKUP(C272,Code!H:W,13,FALSE))/(VLOOKUP(C272,Code!H:W,16,FALSE)),1/(P272-1))-1,"")</f>
        <v/>
      </c>
      <c r="L272" s="75" t="str">
        <f>IFERROR(VLOOKUP(C272,Code!H:W,13,FALSE)*4/VLOOKUP(C272,Code!H:W,12,FALSE),"")</f>
        <v/>
      </c>
      <c r="M272" s="55" t="str">
        <f t="shared" si="41"/>
        <v/>
      </c>
      <c r="N272" s="55" t="str">
        <f t="shared" si="42"/>
        <v/>
      </c>
      <c r="O272" s="55" t="str">
        <f t="shared" si="43"/>
        <v/>
      </c>
      <c r="P272" s="196" t="str">
        <f>IFERROR(YEARFRAC(VLOOKUP(C272,Code!H:W,11,FALSE),VLOOKUP(C272,Code!H:W,14,FALSE),3),"")</f>
        <v/>
      </c>
      <c r="Q272" s="2"/>
      <c r="R272" s="85" t="str">
        <f t="shared" ca="1" si="44"/>
        <v/>
      </c>
      <c r="S272" s="86" t="str">
        <f>IFERROR(VLOOKUP($C272,Code!$H:$Q,5,FALSE),"")</f>
        <v/>
      </c>
      <c r="T272" s="88" t="str">
        <f t="shared" ca="1" si="45"/>
        <v/>
      </c>
      <c r="U272" s="89" t="str">
        <f t="shared" ca="1" si="46"/>
        <v/>
      </c>
      <c r="V272" s="90" t="str">
        <f>IFERROR(VLOOKUP($C272,Code!$H:$Q,6,FALSE),"")</f>
        <v/>
      </c>
      <c r="W272" s="91" t="str">
        <f t="shared" ca="1" si="47"/>
        <v/>
      </c>
      <c r="X272" s="12"/>
      <c r="Y272" s="12"/>
      <c r="Z272" s="12"/>
      <c r="AA272" s="12"/>
      <c r="AB272" s="12"/>
    </row>
    <row r="273" spans="1:28" s="10" customFormat="1" ht="15" hidden="1">
      <c r="A273" s="9"/>
      <c r="B273" s="137"/>
      <c r="C273" s="142"/>
      <c r="D273" s="82" t="str">
        <f>IFERROR(VLOOKUP($C273,Code!$H:$K,2,FALSE),"")</f>
        <v/>
      </c>
      <c r="E273" s="83" t="str">
        <f>IFERROR(VLOOKUP($C273,Code!$H:$K,3,FALSE),"")</f>
        <v/>
      </c>
      <c r="F273" s="84" t="str">
        <f>IFERROR(VLOOKUP($C273,Code!$H:$K,4,FALSE),"")</f>
        <v/>
      </c>
      <c r="G273" s="128">
        <f>_xlfn.IFNA(((VLOOKUP($C273,Code!$H:$Q,9,FALSE))+(VLOOKUP($C273,Code!$H:$Q,10,FALSE)))/2*0.5/(((VLOOKUP($C273,Code!$H:$Q,7,FALSE))+(VLOOKUP($C273,Code!$H:$Q,8,FALSE)))/2),0)</f>
        <v>0</v>
      </c>
      <c r="H273" s="87" t="str">
        <f t="shared" si="40"/>
        <v/>
      </c>
      <c r="I273" s="128">
        <f>_xlfn.IFNA((VLOOKUP($C273,Code!$H:$Q,5,FALSE))/(((VLOOKUP($C273,Code!$H:$Q,7,FALSE))+(VLOOKUP($C273,Code!$H:$Q,8,FALSE)))/2)-G273,0)</f>
        <v>0</v>
      </c>
      <c r="J273" s="55" t="str">
        <f>IFERROR(POWER((VLOOKUP(C273,Code!H:W,12,FALSE))/(VLOOKUP(C273,Code!H:W,15,FALSE)),1/(P273-1))-1,"")</f>
        <v/>
      </c>
      <c r="K273" s="55" t="str">
        <f>IFERROR(POWER((VLOOKUP(C273,Code!H:W,13,FALSE))/(VLOOKUP(C273,Code!H:W,16,FALSE)),1/(P273-1))-1,"")</f>
        <v/>
      </c>
      <c r="L273" s="75" t="str">
        <f>IFERROR(VLOOKUP(C273,Code!H:W,13,FALSE)*4/VLOOKUP(C273,Code!H:W,12,FALSE),"")</f>
        <v/>
      </c>
      <c r="M273" s="55" t="str">
        <f t="shared" si="41"/>
        <v/>
      </c>
      <c r="N273" s="55" t="str">
        <f t="shared" si="42"/>
        <v/>
      </c>
      <c r="O273" s="55" t="str">
        <f t="shared" si="43"/>
        <v/>
      </c>
      <c r="P273" s="196" t="str">
        <f>IFERROR(YEARFRAC(VLOOKUP(C273,Code!H:W,11,FALSE),VLOOKUP(C273,Code!H:W,14,FALSE),3),"")</f>
        <v/>
      </c>
      <c r="Q273" s="2"/>
      <c r="R273" s="85" t="str">
        <f t="shared" ca="1" si="44"/>
        <v/>
      </c>
      <c r="S273" s="86" t="str">
        <f>IFERROR(VLOOKUP($C273,Code!$H:$Q,5,FALSE),"")</f>
        <v/>
      </c>
      <c r="T273" s="88" t="str">
        <f t="shared" ca="1" si="45"/>
        <v/>
      </c>
      <c r="U273" s="89" t="str">
        <f t="shared" ca="1" si="46"/>
        <v/>
      </c>
      <c r="V273" s="90" t="str">
        <f>IFERROR(VLOOKUP($C273,Code!$H:$Q,6,FALSE),"")</f>
        <v/>
      </c>
      <c r="W273" s="91" t="str">
        <f t="shared" ca="1" si="47"/>
        <v/>
      </c>
      <c r="X273" s="12"/>
      <c r="Y273" s="12"/>
      <c r="Z273" s="12"/>
      <c r="AA273" s="12"/>
      <c r="AB273" s="12"/>
    </row>
    <row r="274" spans="1:28" s="10" customFormat="1" ht="15" hidden="1">
      <c r="A274" s="9"/>
      <c r="B274" s="137"/>
      <c r="C274" s="142"/>
      <c r="D274" s="82" t="str">
        <f>IFERROR(VLOOKUP($C274,Code!$H:$K,2,FALSE),"")</f>
        <v/>
      </c>
      <c r="E274" s="83" t="str">
        <f>IFERROR(VLOOKUP($C274,Code!$H:$K,3,FALSE),"")</f>
        <v/>
      </c>
      <c r="F274" s="84" t="str">
        <f>IFERROR(VLOOKUP($C274,Code!$H:$K,4,FALSE),"")</f>
        <v/>
      </c>
      <c r="G274" s="128">
        <f>_xlfn.IFNA(((VLOOKUP($C274,Code!$H:$Q,9,FALSE))+(VLOOKUP($C274,Code!$H:$Q,10,FALSE)))/2*0.5/(((VLOOKUP($C274,Code!$H:$Q,7,FALSE))+(VLOOKUP($C274,Code!$H:$Q,8,FALSE)))/2),0)</f>
        <v>0</v>
      </c>
      <c r="H274" s="87" t="str">
        <f t="shared" si="40"/>
        <v/>
      </c>
      <c r="I274" s="128">
        <f>_xlfn.IFNA((VLOOKUP($C274,Code!$H:$Q,5,FALSE))/(((VLOOKUP($C274,Code!$H:$Q,7,FALSE))+(VLOOKUP($C274,Code!$H:$Q,8,FALSE)))/2)-G274,0)</f>
        <v>0</v>
      </c>
      <c r="J274" s="55" t="str">
        <f>IFERROR(POWER((VLOOKUP(C274,Code!H:W,12,FALSE))/(VLOOKUP(C274,Code!H:W,15,FALSE)),1/(P274-1))-1,"")</f>
        <v/>
      </c>
      <c r="K274" s="55" t="str">
        <f>IFERROR(POWER((VLOOKUP(C274,Code!H:W,13,FALSE))/(VLOOKUP(C274,Code!H:W,16,FALSE)),1/(P274-1))-1,"")</f>
        <v/>
      </c>
      <c r="L274" s="75" t="str">
        <f>IFERROR(VLOOKUP(C274,Code!H:W,13,FALSE)*4/VLOOKUP(C274,Code!H:W,12,FALSE),"")</f>
        <v/>
      </c>
      <c r="M274" s="55" t="str">
        <f t="shared" si="41"/>
        <v/>
      </c>
      <c r="N274" s="55" t="str">
        <f t="shared" si="42"/>
        <v/>
      </c>
      <c r="O274" s="55" t="str">
        <f t="shared" si="43"/>
        <v/>
      </c>
      <c r="P274" s="196" t="str">
        <f>IFERROR(YEARFRAC(VLOOKUP(C274,Code!H:W,11,FALSE),VLOOKUP(C274,Code!H:W,14,FALSE),3),"")</f>
        <v/>
      </c>
      <c r="Q274" s="2"/>
      <c r="R274" s="85" t="str">
        <f t="shared" ca="1" si="44"/>
        <v/>
      </c>
      <c r="S274" s="86" t="str">
        <f>IFERROR(VLOOKUP($C274,Code!$H:$Q,5,FALSE),"")</f>
        <v/>
      </c>
      <c r="T274" s="88" t="str">
        <f t="shared" ca="1" si="45"/>
        <v/>
      </c>
      <c r="U274" s="89" t="str">
        <f t="shared" ca="1" si="46"/>
        <v/>
      </c>
      <c r="V274" s="90" t="str">
        <f>IFERROR(VLOOKUP($C274,Code!$H:$Q,6,FALSE),"")</f>
        <v/>
      </c>
      <c r="W274" s="91" t="str">
        <f t="shared" ca="1" si="47"/>
        <v/>
      </c>
      <c r="X274" s="12"/>
      <c r="Y274" s="12"/>
      <c r="Z274" s="12"/>
      <c r="AA274" s="12"/>
      <c r="AB274" s="12"/>
    </row>
    <row r="275" spans="1:28" s="10" customFormat="1" ht="15" hidden="1">
      <c r="A275" s="9"/>
      <c r="B275" s="137"/>
      <c r="C275" s="142"/>
      <c r="D275" s="82" t="str">
        <f>IFERROR(VLOOKUP($C275,Code!$H:$K,2,FALSE),"")</f>
        <v/>
      </c>
      <c r="E275" s="83" t="str">
        <f>IFERROR(VLOOKUP($C275,Code!$H:$K,3,FALSE),"")</f>
        <v/>
      </c>
      <c r="F275" s="84" t="str">
        <f>IFERROR(VLOOKUP($C275,Code!$H:$K,4,FALSE),"")</f>
        <v/>
      </c>
      <c r="G275" s="128">
        <f>_xlfn.IFNA(((VLOOKUP($C275,Code!$H:$Q,9,FALSE))+(VLOOKUP($C275,Code!$H:$Q,10,FALSE)))/2*0.5/(((VLOOKUP($C275,Code!$H:$Q,7,FALSE))+(VLOOKUP($C275,Code!$H:$Q,8,FALSE)))/2),0)</f>
        <v>0</v>
      </c>
      <c r="H275" s="87" t="str">
        <f t="shared" si="40"/>
        <v/>
      </c>
      <c r="I275" s="128">
        <f>_xlfn.IFNA((VLOOKUP($C275,Code!$H:$Q,5,FALSE))/(((VLOOKUP($C275,Code!$H:$Q,7,FALSE))+(VLOOKUP($C275,Code!$H:$Q,8,FALSE)))/2)-G275,0)</f>
        <v>0</v>
      </c>
      <c r="J275" s="55" t="str">
        <f>IFERROR(POWER((VLOOKUP(C275,Code!H:W,12,FALSE))/(VLOOKUP(C275,Code!H:W,15,FALSE)),1/(P275-1))-1,"")</f>
        <v/>
      </c>
      <c r="K275" s="55" t="str">
        <f>IFERROR(POWER((VLOOKUP(C275,Code!H:W,13,FALSE))/(VLOOKUP(C275,Code!H:W,16,FALSE)),1/(P275-1))-1,"")</f>
        <v/>
      </c>
      <c r="L275" s="75" t="str">
        <f>IFERROR(VLOOKUP(C275,Code!H:W,13,FALSE)*4/VLOOKUP(C275,Code!H:W,12,FALSE),"")</f>
        <v/>
      </c>
      <c r="M275" s="55" t="str">
        <f t="shared" si="41"/>
        <v/>
      </c>
      <c r="N275" s="55" t="str">
        <f t="shared" si="42"/>
        <v/>
      </c>
      <c r="O275" s="55" t="str">
        <f t="shared" si="43"/>
        <v/>
      </c>
      <c r="P275" s="196" t="str">
        <f>IFERROR(YEARFRAC(VLOOKUP(C275,Code!H:W,11,FALSE),VLOOKUP(C275,Code!H:W,14,FALSE),3),"")</f>
        <v/>
      </c>
      <c r="Q275" s="2"/>
      <c r="R275" s="85" t="str">
        <f t="shared" ca="1" si="44"/>
        <v/>
      </c>
      <c r="S275" s="86" t="str">
        <f>IFERROR(VLOOKUP($C275,Code!$H:$Q,5,FALSE),"")</f>
        <v/>
      </c>
      <c r="T275" s="88" t="str">
        <f t="shared" ca="1" si="45"/>
        <v/>
      </c>
      <c r="U275" s="89" t="str">
        <f t="shared" ca="1" si="46"/>
        <v/>
      </c>
      <c r="V275" s="90" t="str">
        <f>IFERROR(VLOOKUP($C275,Code!$H:$Q,6,FALSE),"")</f>
        <v/>
      </c>
      <c r="W275" s="91" t="str">
        <f t="shared" ca="1" si="47"/>
        <v/>
      </c>
      <c r="X275" s="12"/>
      <c r="Y275" s="12"/>
      <c r="Z275" s="12"/>
      <c r="AA275" s="12"/>
      <c r="AB275" s="12"/>
    </row>
    <row r="276" spans="1:28" s="10" customFormat="1" ht="15" hidden="1">
      <c r="A276" s="9"/>
      <c r="B276" s="137"/>
      <c r="C276" s="142"/>
      <c r="D276" s="82" t="str">
        <f>IFERROR(VLOOKUP($C276,Code!$H:$K,2,FALSE),"")</f>
        <v/>
      </c>
      <c r="E276" s="83" t="str">
        <f>IFERROR(VLOOKUP($C276,Code!$H:$K,3,FALSE),"")</f>
        <v/>
      </c>
      <c r="F276" s="84" t="str">
        <f>IFERROR(VLOOKUP($C276,Code!$H:$K,4,FALSE),"")</f>
        <v/>
      </c>
      <c r="G276" s="128">
        <f>_xlfn.IFNA(((VLOOKUP($C276,Code!$H:$Q,9,FALSE))+(VLOOKUP($C276,Code!$H:$Q,10,FALSE)))/2*0.5/(((VLOOKUP($C276,Code!$H:$Q,7,FALSE))+(VLOOKUP($C276,Code!$H:$Q,8,FALSE)))/2),0)</f>
        <v>0</v>
      </c>
      <c r="H276" s="87" t="str">
        <f t="shared" si="40"/>
        <v/>
      </c>
      <c r="I276" s="128">
        <f>_xlfn.IFNA((VLOOKUP($C276,Code!$H:$Q,5,FALSE))/(((VLOOKUP($C276,Code!$H:$Q,7,FALSE))+(VLOOKUP($C276,Code!$H:$Q,8,FALSE)))/2)-G276,0)</f>
        <v>0</v>
      </c>
      <c r="J276" s="55" t="str">
        <f>IFERROR(POWER((VLOOKUP(C276,Code!H:W,12,FALSE))/(VLOOKUP(C276,Code!H:W,15,FALSE)),1/(P276-1))-1,"")</f>
        <v/>
      </c>
      <c r="K276" s="55" t="str">
        <f>IFERROR(POWER((VLOOKUP(C276,Code!H:W,13,FALSE))/(VLOOKUP(C276,Code!H:W,16,FALSE)),1/(P276-1))-1,"")</f>
        <v/>
      </c>
      <c r="L276" s="75" t="str">
        <f>IFERROR(VLOOKUP(C276,Code!H:W,13,FALSE)*4/VLOOKUP(C276,Code!H:W,12,FALSE),"")</f>
        <v/>
      </c>
      <c r="M276" s="55" t="str">
        <f t="shared" si="41"/>
        <v/>
      </c>
      <c r="N276" s="55" t="str">
        <f t="shared" si="42"/>
        <v/>
      </c>
      <c r="O276" s="55" t="str">
        <f t="shared" si="43"/>
        <v/>
      </c>
      <c r="P276" s="196" t="str">
        <f>IFERROR(YEARFRAC(VLOOKUP(C276,Code!H:W,11,FALSE),VLOOKUP(C276,Code!H:W,14,FALSE),3),"")</f>
        <v/>
      </c>
      <c r="Q276" s="2"/>
      <c r="R276" s="85" t="str">
        <f t="shared" ca="1" si="44"/>
        <v/>
      </c>
      <c r="S276" s="86" t="str">
        <f>IFERROR(VLOOKUP($C276,Code!$H:$Q,5,FALSE),"")</f>
        <v/>
      </c>
      <c r="T276" s="88" t="str">
        <f t="shared" ca="1" si="45"/>
        <v/>
      </c>
      <c r="U276" s="89" t="str">
        <f t="shared" ca="1" si="46"/>
        <v/>
      </c>
      <c r="V276" s="90" t="str">
        <f>IFERROR(VLOOKUP($C276,Code!$H:$Q,6,FALSE),"")</f>
        <v/>
      </c>
      <c r="W276" s="91" t="str">
        <f t="shared" ca="1" si="47"/>
        <v/>
      </c>
      <c r="X276" s="12"/>
      <c r="Y276" s="12"/>
      <c r="Z276" s="12"/>
      <c r="AA276" s="12"/>
      <c r="AB276" s="12"/>
    </row>
    <row r="277" spans="1:28" s="10" customFormat="1" ht="15" hidden="1">
      <c r="A277" s="9"/>
      <c r="B277" s="137"/>
      <c r="C277" s="142"/>
      <c r="D277" s="82" t="str">
        <f>IFERROR(VLOOKUP($C277,Code!$H:$K,2,FALSE),"")</f>
        <v/>
      </c>
      <c r="E277" s="83" t="str">
        <f>IFERROR(VLOOKUP($C277,Code!$H:$K,3,FALSE),"")</f>
        <v/>
      </c>
      <c r="F277" s="84" t="str">
        <f>IFERROR(VLOOKUP($C277,Code!$H:$K,4,FALSE),"")</f>
        <v/>
      </c>
      <c r="G277" s="128">
        <f>_xlfn.IFNA(((VLOOKUP($C277,Code!$H:$Q,9,FALSE))+(VLOOKUP($C277,Code!$H:$Q,10,FALSE)))/2*0.5/(((VLOOKUP($C277,Code!$H:$Q,7,FALSE))+(VLOOKUP($C277,Code!$H:$Q,8,FALSE)))/2),0)</f>
        <v>0</v>
      </c>
      <c r="H277" s="87" t="str">
        <f t="shared" si="40"/>
        <v/>
      </c>
      <c r="I277" s="128">
        <f>_xlfn.IFNA((VLOOKUP($C277,Code!$H:$Q,5,FALSE))/(((VLOOKUP($C277,Code!$H:$Q,7,FALSE))+(VLOOKUP($C277,Code!$H:$Q,8,FALSE)))/2)-G277,0)</f>
        <v>0</v>
      </c>
      <c r="J277" s="55" t="str">
        <f>IFERROR(POWER((VLOOKUP(C277,Code!H:W,12,FALSE))/(VLOOKUP(C277,Code!H:W,15,FALSE)),1/(P277-1))-1,"")</f>
        <v/>
      </c>
      <c r="K277" s="55" t="str">
        <f>IFERROR(POWER((VLOOKUP(C277,Code!H:W,13,FALSE))/(VLOOKUP(C277,Code!H:W,16,FALSE)),1/(P277-1))-1,"")</f>
        <v/>
      </c>
      <c r="L277" s="75" t="str">
        <f>IFERROR(VLOOKUP(C277,Code!H:W,13,FALSE)*4/VLOOKUP(C277,Code!H:W,12,FALSE),"")</f>
        <v/>
      </c>
      <c r="M277" s="55" t="str">
        <f t="shared" si="41"/>
        <v/>
      </c>
      <c r="N277" s="55" t="str">
        <f t="shared" si="42"/>
        <v/>
      </c>
      <c r="O277" s="55" t="str">
        <f t="shared" si="43"/>
        <v/>
      </c>
      <c r="P277" s="196" t="str">
        <f>IFERROR(YEARFRAC(VLOOKUP(C277,Code!H:W,11,FALSE),VLOOKUP(C277,Code!H:W,14,FALSE),3),"")</f>
        <v/>
      </c>
      <c r="Q277" s="2"/>
      <c r="R277" s="85" t="str">
        <f t="shared" ca="1" si="44"/>
        <v/>
      </c>
      <c r="S277" s="86" t="str">
        <f>IFERROR(VLOOKUP($C277,Code!$H:$Q,5,FALSE),"")</f>
        <v/>
      </c>
      <c r="T277" s="88" t="str">
        <f t="shared" ca="1" si="45"/>
        <v/>
      </c>
      <c r="U277" s="89" t="str">
        <f t="shared" ca="1" si="46"/>
        <v/>
      </c>
      <c r="V277" s="90" t="str">
        <f>IFERROR(VLOOKUP($C277,Code!$H:$Q,6,FALSE),"")</f>
        <v/>
      </c>
      <c r="W277" s="91" t="str">
        <f t="shared" ca="1" si="47"/>
        <v/>
      </c>
      <c r="X277" s="12"/>
      <c r="Y277" s="12"/>
      <c r="Z277" s="12"/>
      <c r="AA277" s="12"/>
      <c r="AB277" s="12"/>
    </row>
    <row r="278" spans="1:28" s="10" customFormat="1" ht="15" hidden="1">
      <c r="A278" s="9"/>
      <c r="B278" s="137"/>
      <c r="C278" s="142"/>
      <c r="D278" s="82" t="str">
        <f>IFERROR(VLOOKUP($C278,Code!$H:$K,2,FALSE),"")</f>
        <v/>
      </c>
      <c r="E278" s="83" t="str">
        <f>IFERROR(VLOOKUP($C278,Code!$H:$K,3,FALSE),"")</f>
        <v/>
      </c>
      <c r="F278" s="84" t="str">
        <f>IFERROR(VLOOKUP($C278,Code!$H:$K,4,FALSE),"")</f>
        <v/>
      </c>
      <c r="G278" s="128">
        <f>_xlfn.IFNA(((VLOOKUP($C278,Code!$H:$Q,9,FALSE))+(VLOOKUP($C278,Code!$H:$Q,10,FALSE)))/2*0.5/(((VLOOKUP($C278,Code!$H:$Q,7,FALSE))+(VLOOKUP($C278,Code!$H:$Q,8,FALSE)))/2),0)</f>
        <v>0</v>
      </c>
      <c r="H278" s="87" t="str">
        <f t="shared" si="40"/>
        <v/>
      </c>
      <c r="I278" s="128">
        <f>_xlfn.IFNA((VLOOKUP($C278,Code!$H:$Q,5,FALSE))/(((VLOOKUP($C278,Code!$H:$Q,7,FALSE))+(VLOOKUP($C278,Code!$H:$Q,8,FALSE)))/2)-G278,0)</f>
        <v>0</v>
      </c>
      <c r="J278" s="55" t="str">
        <f>IFERROR(POWER((VLOOKUP(C278,Code!H:W,12,FALSE))/(VLOOKUP(C278,Code!H:W,15,FALSE)),1/(P278-1))-1,"")</f>
        <v/>
      </c>
      <c r="K278" s="55" t="str">
        <f>IFERROR(POWER((VLOOKUP(C278,Code!H:W,13,FALSE))/(VLOOKUP(C278,Code!H:W,16,FALSE)),1/(P278-1))-1,"")</f>
        <v/>
      </c>
      <c r="L278" s="75" t="str">
        <f>IFERROR(VLOOKUP(C278,Code!H:W,13,FALSE)*4/VLOOKUP(C278,Code!H:W,12,FALSE),"")</f>
        <v/>
      </c>
      <c r="M278" s="55" t="str">
        <f t="shared" si="41"/>
        <v/>
      </c>
      <c r="N278" s="55" t="str">
        <f t="shared" si="42"/>
        <v/>
      </c>
      <c r="O278" s="55" t="str">
        <f t="shared" si="43"/>
        <v/>
      </c>
      <c r="P278" s="196" t="str">
        <f>IFERROR(YEARFRAC(VLOOKUP(C278,Code!H:W,11,FALSE),VLOOKUP(C278,Code!H:W,14,FALSE),3),"")</f>
        <v/>
      </c>
      <c r="Q278" s="2"/>
      <c r="R278" s="85" t="str">
        <f t="shared" ca="1" si="44"/>
        <v/>
      </c>
      <c r="S278" s="86" t="str">
        <f>IFERROR(VLOOKUP($C278,Code!$H:$Q,5,FALSE),"")</f>
        <v/>
      </c>
      <c r="T278" s="88" t="str">
        <f t="shared" ca="1" si="45"/>
        <v/>
      </c>
      <c r="U278" s="89" t="str">
        <f t="shared" ca="1" si="46"/>
        <v/>
      </c>
      <c r="V278" s="90" t="str">
        <f>IFERROR(VLOOKUP($C278,Code!$H:$Q,6,FALSE),"")</f>
        <v/>
      </c>
      <c r="W278" s="91" t="str">
        <f t="shared" ca="1" si="47"/>
        <v/>
      </c>
      <c r="X278" s="12"/>
      <c r="Y278" s="12"/>
      <c r="Z278" s="12"/>
      <c r="AA278" s="12"/>
      <c r="AB278" s="12"/>
    </row>
    <row r="279" spans="1:28" s="10" customFormat="1" ht="15" hidden="1">
      <c r="A279" s="9"/>
      <c r="B279" s="137"/>
      <c r="C279" s="142"/>
      <c r="D279" s="82" t="str">
        <f>IFERROR(VLOOKUP($C279,Code!$H:$K,2,FALSE),"")</f>
        <v/>
      </c>
      <c r="E279" s="83" t="str">
        <f>IFERROR(VLOOKUP($C279,Code!$H:$K,3,FALSE),"")</f>
        <v/>
      </c>
      <c r="F279" s="84" t="str">
        <f>IFERROR(VLOOKUP($C279,Code!$H:$K,4,FALSE),"")</f>
        <v/>
      </c>
      <c r="G279" s="128">
        <f>_xlfn.IFNA(((VLOOKUP($C279,Code!$H:$Q,9,FALSE))+(VLOOKUP($C279,Code!$H:$Q,10,FALSE)))/2*0.5/(((VLOOKUP($C279,Code!$H:$Q,7,FALSE))+(VLOOKUP($C279,Code!$H:$Q,8,FALSE)))/2),0)</f>
        <v>0</v>
      </c>
      <c r="H279" s="87" t="str">
        <f t="shared" si="40"/>
        <v/>
      </c>
      <c r="I279" s="128">
        <f>_xlfn.IFNA((VLOOKUP($C279,Code!$H:$Q,5,FALSE))/(((VLOOKUP($C279,Code!$H:$Q,7,FALSE))+(VLOOKUP($C279,Code!$H:$Q,8,FALSE)))/2)-G279,0)</f>
        <v>0</v>
      </c>
      <c r="J279" s="55" t="str">
        <f>IFERROR(POWER((VLOOKUP(C279,Code!H:W,12,FALSE))/(VLOOKUP(C279,Code!H:W,15,FALSE)),1/(P279-1))-1,"")</f>
        <v/>
      </c>
      <c r="K279" s="55" t="str">
        <f>IFERROR(POWER((VLOOKUP(C279,Code!H:W,13,FALSE))/(VLOOKUP(C279,Code!H:W,16,FALSE)),1/(P279-1))-1,"")</f>
        <v/>
      </c>
      <c r="L279" s="75" t="str">
        <f>IFERROR(VLOOKUP(C279,Code!H:W,13,FALSE)*4/VLOOKUP(C279,Code!H:W,12,FALSE),"")</f>
        <v/>
      </c>
      <c r="M279" s="55" t="str">
        <f t="shared" si="41"/>
        <v/>
      </c>
      <c r="N279" s="55" t="str">
        <f t="shared" si="42"/>
        <v/>
      </c>
      <c r="O279" s="55" t="str">
        <f t="shared" si="43"/>
        <v/>
      </c>
      <c r="P279" s="196" t="str">
        <f>IFERROR(YEARFRAC(VLOOKUP(C279,Code!H:W,11,FALSE),VLOOKUP(C279,Code!H:W,14,FALSE),3),"")</f>
        <v/>
      </c>
      <c r="Q279" s="2"/>
      <c r="R279" s="85" t="str">
        <f t="shared" ca="1" si="44"/>
        <v/>
      </c>
      <c r="S279" s="86" t="str">
        <f>IFERROR(VLOOKUP($C279,Code!$H:$Q,5,FALSE),"")</f>
        <v/>
      </c>
      <c r="T279" s="88" t="str">
        <f t="shared" ca="1" si="45"/>
        <v/>
      </c>
      <c r="U279" s="89" t="str">
        <f t="shared" ca="1" si="46"/>
        <v/>
      </c>
      <c r="V279" s="90" t="str">
        <f>IFERROR(VLOOKUP($C279,Code!$H:$Q,6,FALSE),"")</f>
        <v/>
      </c>
      <c r="W279" s="91" t="str">
        <f t="shared" ca="1" si="47"/>
        <v/>
      </c>
      <c r="X279" s="12"/>
      <c r="Y279" s="12"/>
      <c r="Z279" s="12"/>
      <c r="AA279" s="12"/>
      <c r="AB279" s="12"/>
    </row>
    <row r="280" spans="1:28" s="10" customFormat="1" ht="15" hidden="1">
      <c r="A280" s="9"/>
      <c r="B280" s="137"/>
      <c r="C280" s="142"/>
      <c r="D280" s="82" t="str">
        <f>IFERROR(VLOOKUP($C280,Code!$H:$K,2,FALSE),"")</f>
        <v/>
      </c>
      <c r="E280" s="83" t="str">
        <f>IFERROR(VLOOKUP($C280,Code!$H:$K,3,FALSE),"")</f>
        <v/>
      </c>
      <c r="F280" s="84" t="str">
        <f>IFERROR(VLOOKUP($C280,Code!$H:$K,4,FALSE),"")</f>
        <v/>
      </c>
      <c r="G280" s="128">
        <f>_xlfn.IFNA(((VLOOKUP($C280,Code!$H:$Q,9,FALSE))+(VLOOKUP($C280,Code!$H:$Q,10,FALSE)))/2*0.5/(((VLOOKUP($C280,Code!$H:$Q,7,FALSE))+(VLOOKUP($C280,Code!$H:$Q,8,FALSE)))/2),0)</f>
        <v>0</v>
      </c>
      <c r="H280" s="87" t="str">
        <f t="shared" si="40"/>
        <v/>
      </c>
      <c r="I280" s="128">
        <f>_xlfn.IFNA((VLOOKUP($C280,Code!$H:$Q,5,FALSE))/(((VLOOKUP($C280,Code!$H:$Q,7,FALSE))+(VLOOKUP($C280,Code!$H:$Q,8,FALSE)))/2)-G280,0)</f>
        <v>0</v>
      </c>
      <c r="J280" s="55" t="str">
        <f>IFERROR(POWER((VLOOKUP(C280,Code!H:W,12,FALSE))/(VLOOKUP(C280,Code!H:W,15,FALSE)),1/(P280-1))-1,"")</f>
        <v/>
      </c>
      <c r="K280" s="55" t="str">
        <f>IFERROR(POWER((VLOOKUP(C280,Code!H:W,13,FALSE))/(VLOOKUP(C280,Code!H:W,16,FALSE)),1/(P280-1))-1,"")</f>
        <v/>
      </c>
      <c r="L280" s="75" t="str">
        <f>IFERROR(VLOOKUP(C280,Code!H:W,13,FALSE)*4/VLOOKUP(C280,Code!H:W,12,FALSE),"")</f>
        <v/>
      </c>
      <c r="M280" s="55" t="str">
        <f t="shared" si="41"/>
        <v/>
      </c>
      <c r="N280" s="55" t="str">
        <f t="shared" si="42"/>
        <v/>
      </c>
      <c r="O280" s="55" t="str">
        <f t="shared" si="43"/>
        <v/>
      </c>
      <c r="P280" s="196" t="str">
        <f>IFERROR(YEARFRAC(VLOOKUP(C280,Code!H:W,11,FALSE),VLOOKUP(C280,Code!H:W,14,FALSE),3),"")</f>
        <v/>
      </c>
      <c r="Q280" s="2"/>
      <c r="R280" s="85" t="str">
        <f t="shared" ca="1" si="44"/>
        <v/>
      </c>
      <c r="S280" s="86" t="str">
        <f>IFERROR(VLOOKUP($C280,Code!$H:$Q,5,FALSE),"")</f>
        <v/>
      </c>
      <c r="T280" s="88" t="str">
        <f t="shared" ca="1" si="45"/>
        <v/>
      </c>
      <c r="U280" s="89" t="str">
        <f t="shared" ca="1" si="46"/>
        <v/>
      </c>
      <c r="V280" s="90" t="str">
        <f>IFERROR(VLOOKUP($C280,Code!$H:$Q,6,FALSE),"")</f>
        <v/>
      </c>
      <c r="W280" s="91" t="str">
        <f t="shared" ca="1" si="47"/>
        <v/>
      </c>
      <c r="X280" s="12"/>
      <c r="Y280" s="12"/>
      <c r="Z280" s="12"/>
      <c r="AA280" s="12"/>
      <c r="AB280" s="12"/>
    </row>
    <row r="281" spans="1:28" s="10" customFormat="1" ht="15" hidden="1">
      <c r="A281" s="9"/>
      <c r="B281" s="137"/>
      <c r="C281" s="142"/>
      <c r="D281" s="82" t="str">
        <f>IFERROR(VLOOKUP($C281,Code!$H:$K,2,FALSE),"")</f>
        <v/>
      </c>
      <c r="E281" s="83" t="str">
        <f>IFERROR(VLOOKUP($C281,Code!$H:$K,3,FALSE),"")</f>
        <v/>
      </c>
      <c r="F281" s="84" t="str">
        <f>IFERROR(VLOOKUP($C281,Code!$H:$K,4,FALSE),"")</f>
        <v/>
      </c>
      <c r="G281" s="128">
        <f>_xlfn.IFNA(((VLOOKUP($C281,Code!$H:$Q,9,FALSE))+(VLOOKUP($C281,Code!$H:$Q,10,FALSE)))/2*0.5/(((VLOOKUP($C281,Code!$H:$Q,7,FALSE))+(VLOOKUP($C281,Code!$H:$Q,8,FALSE)))/2),0)</f>
        <v>0</v>
      </c>
      <c r="H281" s="87" t="str">
        <f t="shared" si="40"/>
        <v/>
      </c>
      <c r="I281" s="128">
        <f>_xlfn.IFNA((VLOOKUP($C281,Code!$H:$Q,5,FALSE))/(((VLOOKUP($C281,Code!$H:$Q,7,FALSE))+(VLOOKUP($C281,Code!$H:$Q,8,FALSE)))/2)-G281,0)</f>
        <v>0</v>
      </c>
      <c r="J281" s="55" t="str">
        <f>IFERROR(POWER((VLOOKUP(C281,Code!H:W,12,FALSE))/(VLOOKUP(C281,Code!H:W,15,FALSE)),1/(P281-1))-1,"")</f>
        <v/>
      </c>
      <c r="K281" s="55" t="str">
        <f>IFERROR(POWER((VLOOKUP(C281,Code!H:W,13,FALSE))/(VLOOKUP(C281,Code!H:W,16,FALSE)),1/(P281-1))-1,"")</f>
        <v/>
      </c>
      <c r="L281" s="75" t="str">
        <f>IFERROR(VLOOKUP(C281,Code!H:W,13,FALSE)*4/VLOOKUP(C281,Code!H:W,12,FALSE),"")</f>
        <v/>
      </c>
      <c r="M281" s="55" t="str">
        <f t="shared" si="41"/>
        <v/>
      </c>
      <c r="N281" s="55" t="str">
        <f t="shared" si="42"/>
        <v/>
      </c>
      <c r="O281" s="55" t="str">
        <f t="shared" si="43"/>
        <v/>
      </c>
      <c r="P281" s="196" t="str">
        <f>IFERROR(YEARFRAC(VLOOKUP(C281,Code!H:W,11,FALSE),VLOOKUP(C281,Code!H:W,14,FALSE),3),"")</f>
        <v/>
      </c>
      <c r="Q281" s="2"/>
      <c r="R281" s="85" t="str">
        <f t="shared" ca="1" si="44"/>
        <v/>
      </c>
      <c r="S281" s="86" t="str">
        <f>IFERROR(VLOOKUP($C281,Code!$H:$Q,5,FALSE),"")</f>
        <v/>
      </c>
      <c r="T281" s="88" t="str">
        <f t="shared" ca="1" si="45"/>
        <v/>
      </c>
      <c r="U281" s="89" t="str">
        <f t="shared" ca="1" si="46"/>
        <v/>
      </c>
      <c r="V281" s="90" t="str">
        <f>IFERROR(VLOOKUP($C281,Code!$H:$Q,6,FALSE),"")</f>
        <v/>
      </c>
      <c r="W281" s="91" t="str">
        <f t="shared" ca="1" si="47"/>
        <v/>
      </c>
      <c r="X281" s="12"/>
      <c r="Y281" s="12"/>
      <c r="Z281" s="12"/>
      <c r="AA281" s="12"/>
      <c r="AB281" s="12"/>
    </row>
    <row r="282" spans="1:28" s="10" customFormat="1" ht="15" hidden="1">
      <c r="A282" s="9"/>
      <c r="B282" s="137"/>
      <c r="C282" s="142"/>
      <c r="D282" s="82" t="str">
        <f>IFERROR(VLOOKUP($C282,Code!$H:$K,2,FALSE),"")</f>
        <v/>
      </c>
      <c r="E282" s="83" t="str">
        <f>IFERROR(VLOOKUP($C282,Code!$H:$K,3,FALSE),"")</f>
        <v/>
      </c>
      <c r="F282" s="84" t="str">
        <f>IFERROR(VLOOKUP($C282,Code!$H:$K,4,FALSE),"")</f>
        <v/>
      </c>
      <c r="G282" s="128">
        <f>_xlfn.IFNA(((VLOOKUP($C282,Code!$H:$Q,9,FALSE))+(VLOOKUP($C282,Code!$H:$Q,10,FALSE)))/2*0.5/(((VLOOKUP($C282,Code!$H:$Q,7,FALSE))+(VLOOKUP($C282,Code!$H:$Q,8,FALSE)))/2),0)</f>
        <v>0</v>
      </c>
      <c r="H282" s="87" t="str">
        <f t="shared" si="40"/>
        <v/>
      </c>
      <c r="I282" s="128">
        <f>_xlfn.IFNA((VLOOKUP($C282,Code!$H:$Q,5,FALSE))/(((VLOOKUP($C282,Code!$H:$Q,7,FALSE))+(VLOOKUP($C282,Code!$H:$Q,8,FALSE)))/2)-G282,0)</f>
        <v>0</v>
      </c>
      <c r="J282" s="55" t="str">
        <f>IFERROR(POWER((VLOOKUP(C282,Code!H:W,12,FALSE))/(VLOOKUP(C282,Code!H:W,15,FALSE)),1/(P282-1))-1,"")</f>
        <v/>
      </c>
      <c r="K282" s="55" t="str">
        <f>IFERROR(POWER((VLOOKUP(C282,Code!H:W,13,FALSE))/(VLOOKUP(C282,Code!H:W,16,FALSE)),1/(P282-1))-1,"")</f>
        <v/>
      </c>
      <c r="L282" s="75" t="str">
        <f>IFERROR(VLOOKUP(C282,Code!H:W,13,FALSE)*4/VLOOKUP(C282,Code!H:W,12,FALSE),"")</f>
        <v/>
      </c>
      <c r="M282" s="55" t="str">
        <f t="shared" si="41"/>
        <v/>
      </c>
      <c r="N282" s="55" t="str">
        <f t="shared" si="42"/>
        <v/>
      </c>
      <c r="O282" s="55" t="str">
        <f t="shared" si="43"/>
        <v/>
      </c>
      <c r="P282" s="196" t="str">
        <f>IFERROR(YEARFRAC(VLOOKUP(C282,Code!H:W,11,FALSE),VLOOKUP(C282,Code!H:W,14,FALSE),3),"")</f>
        <v/>
      </c>
      <c r="Q282" s="2"/>
      <c r="R282" s="85" t="str">
        <f t="shared" ca="1" si="44"/>
        <v/>
      </c>
      <c r="S282" s="86" t="str">
        <f>IFERROR(VLOOKUP($C282,Code!$H:$Q,5,FALSE),"")</f>
        <v/>
      </c>
      <c r="T282" s="88" t="str">
        <f t="shared" ca="1" si="45"/>
        <v/>
      </c>
      <c r="U282" s="89" t="str">
        <f t="shared" ca="1" si="46"/>
        <v/>
      </c>
      <c r="V282" s="90" t="str">
        <f>IFERROR(VLOOKUP($C282,Code!$H:$Q,6,FALSE),"")</f>
        <v/>
      </c>
      <c r="W282" s="91" t="str">
        <f t="shared" ca="1" si="47"/>
        <v/>
      </c>
      <c r="X282" s="12"/>
      <c r="Y282" s="12"/>
      <c r="Z282" s="12"/>
      <c r="AA282" s="12"/>
      <c r="AB282" s="12"/>
    </row>
    <row r="283" spans="1:28" s="10" customFormat="1" ht="15" hidden="1">
      <c r="A283" s="9"/>
      <c r="B283" s="137"/>
      <c r="C283" s="142"/>
      <c r="D283" s="82" t="str">
        <f>IFERROR(VLOOKUP($C283,Code!$H:$K,2,FALSE),"")</f>
        <v/>
      </c>
      <c r="E283" s="83" t="str">
        <f>IFERROR(VLOOKUP($C283,Code!$H:$K,3,FALSE),"")</f>
        <v/>
      </c>
      <c r="F283" s="84" t="str">
        <f>IFERROR(VLOOKUP($C283,Code!$H:$K,4,FALSE),"")</f>
        <v/>
      </c>
      <c r="G283" s="128">
        <f>_xlfn.IFNA(((VLOOKUP($C283,Code!$H:$Q,9,FALSE))+(VLOOKUP($C283,Code!$H:$Q,10,FALSE)))/2*0.5/(((VLOOKUP($C283,Code!$H:$Q,7,FALSE))+(VLOOKUP($C283,Code!$H:$Q,8,FALSE)))/2),0)</f>
        <v>0</v>
      </c>
      <c r="H283" s="87" t="str">
        <f t="shared" si="40"/>
        <v/>
      </c>
      <c r="I283" s="128">
        <f>_xlfn.IFNA((VLOOKUP($C283,Code!$H:$Q,5,FALSE))/(((VLOOKUP($C283,Code!$H:$Q,7,FALSE))+(VLOOKUP($C283,Code!$H:$Q,8,FALSE)))/2)-G283,0)</f>
        <v>0</v>
      </c>
      <c r="J283" s="55" t="str">
        <f>IFERROR(POWER((VLOOKUP(C283,Code!H:W,12,FALSE))/(VLOOKUP(C283,Code!H:W,15,FALSE)),1/(P283-1))-1,"")</f>
        <v/>
      </c>
      <c r="K283" s="55" t="str">
        <f>IFERROR(POWER((VLOOKUP(C283,Code!H:W,13,FALSE))/(VLOOKUP(C283,Code!H:W,16,FALSE)),1/(P283-1))-1,"")</f>
        <v/>
      </c>
      <c r="L283" s="75" t="str">
        <f>IFERROR(VLOOKUP(C283,Code!H:W,13,FALSE)*4/VLOOKUP(C283,Code!H:W,12,FALSE),"")</f>
        <v/>
      </c>
      <c r="M283" s="55" t="str">
        <f t="shared" si="41"/>
        <v/>
      </c>
      <c r="N283" s="55" t="str">
        <f t="shared" si="42"/>
        <v/>
      </c>
      <c r="O283" s="55" t="str">
        <f t="shared" si="43"/>
        <v/>
      </c>
      <c r="P283" s="196" t="str">
        <f>IFERROR(YEARFRAC(VLOOKUP(C283,Code!H:W,11,FALSE),VLOOKUP(C283,Code!H:W,14,FALSE),3),"")</f>
        <v/>
      </c>
      <c r="Q283" s="2"/>
      <c r="R283" s="85" t="str">
        <f t="shared" ca="1" si="44"/>
        <v/>
      </c>
      <c r="S283" s="86" t="str">
        <f>IFERROR(VLOOKUP($C283,Code!$H:$Q,5,FALSE),"")</f>
        <v/>
      </c>
      <c r="T283" s="88" t="str">
        <f t="shared" ca="1" si="45"/>
        <v/>
      </c>
      <c r="U283" s="89" t="str">
        <f t="shared" ca="1" si="46"/>
        <v/>
      </c>
      <c r="V283" s="90" t="str">
        <f>IFERROR(VLOOKUP($C283,Code!$H:$Q,6,FALSE),"")</f>
        <v/>
      </c>
      <c r="W283" s="91" t="str">
        <f t="shared" ca="1" si="47"/>
        <v/>
      </c>
      <c r="X283" s="12"/>
      <c r="Y283" s="12"/>
      <c r="Z283" s="12"/>
      <c r="AA283" s="12"/>
      <c r="AB283" s="12"/>
    </row>
    <row r="284" spans="1:28" s="10" customFormat="1" ht="15" hidden="1">
      <c r="A284" s="9"/>
      <c r="B284" s="137"/>
      <c r="C284" s="142"/>
      <c r="D284" s="82" t="str">
        <f>IFERROR(VLOOKUP($C284,Code!$H:$K,2,FALSE),"")</f>
        <v/>
      </c>
      <c r="E284" s="83" t="str">
        <f>IFERROR(VLOOKUP($C284,Code!$H:$K,3,FALSE),"")</f>
        <v/>
      </c>
      <c r="F284" s="84" t="str">
        <f>IFERROR(VLOOKUP($C284,Code!$H:$K,4,FALSE),"")</f>
        <v/>
      </c>
      <c r="G284" s="128">
        <f>_xlfn.IFNA(((VLOOKUP($C284,Code!$H:$Q,9,FALSE))+(VLOOKUP($C284,Code!$H:$Q,10,FALSE)))/2*0.5/(((VLOOKUP($C284,Code!$H:$Q,7,FALSE))+(VLOOKUP($C284,Code!$H:$Q,8,FALSE)))/2),0)</f>
        <v>0</v>
      </c>
      <c r="H284" s="87" t="str">
        <f t="shared" si="40"/>
        <v/>
      </c>
      <c r="I284" s="128">
        <f>_xlfn.IFNA((VLOOKUP($C284,Code!$H:$Q,5,FALSE))/(((VLOOKUP($C284,Code!$H:$Q,7,FALSE))+(VLOOKUP($C284,Code!$H:$Q,8,FALSE)))/2)-G284,0)</f>
        <v>0</v>
      </c>
      <c r="J284" s="55" t="str">
        <f>IFERROR(POWER((VLOOKUP(C284,Code!H:W,12,FALSE))/(VLOOKUP(C284,Code!H:W,15,FALSE)),1/(P284-1))-1,"")</f>
        <v/>
      </c>
      <c r="K284" s="55" t="str">
        <f>IFERROR(POWER((VLOOKUP(C284,Code!H:W,13,FALSE))/(VLOOKUP(C284,Code!H:W,16,FALSE)),1/(P284-1))-1,"")</f>
        <v/>
      </c>
      <c r="L284" s="75" t="str">
        <f>IFERROR(VLOOKUP(C284,Code!H:W,13,FALSE)*4/VLOOKUP(C284,Code!H:W,12,FALSE),"")</f>
        <v/>
      </c>
      <c r="M284" s="55" t="str">
        <f t="shared" si="41"/>
        <v/>
      </c>
      <c r="N284" s="55" t="str">
        <f t="shared" si="42"/>
        <v/>
      </c>
      <c r="O284" s="55" t="str">
        <f t="shared" si="43"/>
        <v/>
      </c>
      <c r="P284" s="196" t="str">
        <f>IFERROR(YEARFRAC(VLOOKUP(C284,Code!H:W,11,FALSE),VLOOKUP(C284,Code!H:W,14,FALSE),3),"")</f>
        <v/>
      </c>
      <c r="Q284" s="2"/>
      <c r="R284" s="85" t="str">
        <f t="shared" ca="1" si="44"/>
        <v/>
      </c>
      <c r="S284" s="86" t="str">
        <f>IFERROR(VLOOKUP($C284,Code!$H:$Q,5,FALSE),"")</f>
        <v/>
      </c>
      <c r="T284" s="88" t="str">
        <f t="shared" ca="1" si="45"/>
        <v/>
      </c>
      <c r="U284" s="89" t="str">
        <f t="shared" ca="1" si="46"/>
        <v/>
      </c>
      <c r="V284" s="90" t="str">
        <f>IFERROR(VLOOKUP($C284,Code!$H:$Q,6,FALSE),"")</f>
        <v/>
      </c>
      <c r="W284" s="91" t="str">
        <f t="shared" ca="1" si="47"/>
        <v/>
      </c>
      <c r="X284" s="12"/>
      <c r="Y284" s="12"/>
      <c r="Z284" s="12"/>
      <c r="AA284" s="12"/>
      <c r="AB284" s="12"/>
    </row>
    <row r="285" spans="1:28" s="10" customFormat="1" ht="15" hidden="1">
      <c r="A285" s="9"/>
      <c r="B285" s="137"/>
      <c r="C285" s="142"/>
      <c r="D285" s="82" t="str">
        <f>IFERROR(VLOOKUP($C285,Code!$H:$K,2,FALSE),"")</f>
        <v/>
      </c>
      <c r="E285" s="83" t="str">
        <f>IFERROR(VLOOKUP($C285,Code!$H:$K,3,FALSE),"")</f>
        <v/>
      </c>
      <c r="F285" s="84" t="str">
        <f>IFERROR(VLOOKUP($C285,Code!$H:$K,4,FALSE),"")</f>
        <v/>
      </c>
      <c r="G285" s="128">
        <f>_xlfn.IFNA(((VLOOKUP($C285,Code!$H:$Q,9,FALSE))+(VLOOKUP($C285,Code!$H:$Q,10,FALSE)))/2*0.5/(((VLOOKUP($C285,Code!$H:$Q,7,FALSE))+(VLOOKUP($C285,Code!$H:$Q,8,FALSE)))/2),0)</f>
        <v>0</v>
      </c>
      <c r="H285" s="87" t="str">
        <f t="shared" si="40"/>
        <v/>
      </c>
      <c r="I285" s="128">
        <f>_xlfn.IFNA((VLOOKUP($C285,Code!$H:$Q,5,FALSE))/(((VLOOKUP($C285,Code!$H:$Q,7,FALSE))+(VLOOKUP($C285,Code!$H:$Q,8,FALSE)))/2)-G285,0)</f>
        <v>0</v>
      </c>
      <c r="J285" s="55" t="str">
        <f>IFERROR(POWER((VLOOKUP(C285,Code!H:W,12,FALSE))/(VLOOKUP(C285,Code!H:W,15,FALSE)),1/(P285-1))-1,"")</f>
        <v/>
      </c>
      <c r="K285" s="55" t="str">
        <f>IFERROR(POWER((VLOOKUP(C285,Code!H:W,13,FALSE))/(VLOOKUP(C285,Code!H:W,16,FALSE)),1/(P285-1))-1,"")</f>
        <v/>
      </c>
      <c r="L285" s="75" t="str">
        <f>IFERROR(VLOOKUP(C285,Code!H:W,13,FALSE)*4/VLOOKUP(C285,Code!H:W,12,FALSE),"")</f>
        <v/>
      </c>
      <c r="M285" s="55" t="str">
        <f t="shared" si="41"/>
        <v/>
      </c>
      <c r="N285" s="55" t="str">
        <f t="shared" si="42"/>
        <v/>
      </c>
      <c r="O285" s="55" t="str">
        <f t="shared" si="43"/>
        <v/>
      </c>
      <c r="P285" s="196" t="str">
        <f>IFERROR(YEARFRAC(VLOOKUP(C285,Code!H:W,11,FALSE),VLOOKUP(C285,Code!H:W,14,FALSE),3),"")</f>
        <v/>
      </c>
      <c r="Q285" s="2"/>
      <c r="R285" s="85" t="str">
        <f t="shared" ca="1" si="44"/>
        <v/>
      </c>
      <c r="S285" s="86" t="str">
        <f>IFERROR(VLOOKUP($C285,Code!$H:$Q,5,FALSE),"")</f>
        <v/>
      </c>
      <c r="T285" s="88" t="str">
        <f t="shared" ca="1" si="45"/>
        <v/>
      </c>
      <c r="U285" s="89" t="str">
        <f t="shared" ca="1" si="46"/>
        <v/>
      </c>
      <c r="V285" s="90" t="str">
        <f>IFERROR(VLOOKUP($C285,Code!$H:$Q,6,FALSE),"")</f>
        <v/>
      </c>
      <c r="W285" s="91" t="str">
        <f t="shared" ca="1" si="47"/>
        <v/>
      </c>
      <c r="X285" s="12"/>
      <c r="Y285" s="12"/>
      <c r="Z285" s="12"/>
      <c r="AA285" s="12"/>
      <c r="AB285" s="12"/>
    </row>
    <row r="286" spans="1:28" s="10" customFormat="1" ht="15" hidden="1">
      <c r="A286" s="9"/>
      <c r="B286" s="137"/>
      <c r="C286" s="142"/>
      <c r="D286" s="82" t="str">
        <f>IFERROR(VLOOKUP($C286,Code!$H:$K,2,FALSE),"")</f>
        <v/>
      </c>
      <c r="E286" s="83" t="str">
        <f>IFERROR(VLOOKUP($C286,Code!$H:$K,3,FALSE),"")</f>
        <v/>
      </c>
      <c r="F286" s="84" t="str">
        <f>IFERROR(VLOOKUP($C286,Code!$H:$K,4,FALSE),"")</f>
        <v/>
      </c>
      <c r="G286" s="128">
        <f>_xlfn.IFNA(((VLOOKUP($C286,Code!$H:$Q,9,FALSE))+(VLOOKUP($C286,Code!$H:$Q,10,FALSE)))/2*0.5/(((VLOOKUP($C286,Code!$H:$Q,7,FALSE))+(VLOOKUP($C286,Code!$H:$Q,8,FALSE)))/2),0)</f>
        <v>0</v>
      </c>
      <c r="H286" s="87" t="str">
        <f t="shared" si="40"/>
        <v/>
      </c>
      <c r="I286" s="128">
        <f>_xlfn.IFNA((VLOOKUP($C286,Code!$H:$Q,5,FALSE))/(((VLOOKUP($C286,Code!$H:$Q,7,FALSE))+(VLOOKUP($C286,Code!$H:$Q,8,FALSE)))/2)-G286,0)</f>
        <v>0</v>
      </c>
      <c r="J286" s="55" t="str">
        <f>IFERROR(POWER((VLOOKUP(C286,Code!H:W,12,FALSE))/(VLOOKUP(C286,Code!H:W,15,FALSE)),1/(P286-1))-1,"")</f>
        <v/>
      </c>
      <c r="K286" s="55" t="str">
        <f>IFERROR(POWER((VLOOKUP(C286,Code!H:W,13,FALSE))/(VLOOKUP(C286,Code!H:W,16,FALSE)),1/(P286-1))-1,"")</f>
        <v/>
      </c>
      <c r="L286" s="75" t="str">
        <f>IFERROR(VLOOKUP(C286,Code!H:W,13,FALSE)*4/VLOOKUP(C286,Code!H:W,12,FALSE),"")</f>
        <v/>
      </c>
      <c r="M286" s="55" t="str">
        <f t="shared" si="41"/>
        <v/>
      </c>
      <c r="N286" s="55" t="str">
        <f t="shared" si="42"/>
        <v/>
      </c>
      <c r="O286" s="55" t="str">
        <f t="shared" si="43"/>
        <v/>
      </c>
      <c r="P286" s="196" t="str">
        <f>IFERROR(YEARFRAC(VLOOKUP(C286,Code!H:W,11,FALSE),VLOOKUP(C286,Code!H:W,14,FALSE),3),"")</f>
        <v/>
      </c>
      <c r="Q286" s="2"/>
      <c r="R286" s="85" t="str">
        <f t="shared" ca="1" si="44"/>
        <v/>
      </c>
      <c r="S286" s="86" t="str">
        <f>IFERROR(VLOOKUP($C286,Code!$H:$Q,5,FALSE),"")</f>
        <v/>
      </c>
      <c r="T286" s="88" t="str">
        <f t="shared" ca="1" si="45"/>
        <v/>
      </c>
      <c r="U286" s="89" t="str">
        <f t="shared" ca="1" si="46"/>
        <v/>
      </c>
      <c r="V286" s="90" t="str">
        <f>IFERROR(VLOOKUP($C286,Code!$H:$Q,6,FALSE),"")</f>
        <v/>
      </c>
      <c r="W286" s="91" t="str">
        <f t="shared" ca="1" si="47"/>
        <v/>
      </c>
      <c r="X286" s="12"/>
      <c r="Y286" s="12"/>
      <c r="Z286" s="12"/>
      <c r="AA286" s="12"/>
      <c r="AB286" s="12"/>
    </row>
    <row r="287" spans="1:28" s="10" customFormat="1" ht="15" hidden="1">
      <c r="A287" s="9"/>
      <c r="B287" s="137"/>
      <c r="C287" s="142"/>
      <c r="D287" s="82" t="str">
        <f>IFERROR(VLOOKUP($C287,Code!$H:$K,2,FALSE),"")</f>
        <v/>
      </c>
      <c r="E287" s="83" t="str">
        <f>IFERROR(VLOOKUP($C287,Code!$H:$K,3,FALSE),"")</f>
        <v/>
      </c>
      <c r="F287" s="84" t="str">
        <f>IFERROR(VLOOKUP($C287,Code!$H:$K,4,FALSE),"")</f>
        <v/>
      </c>
      <c r="G287" s="128">
        <f>_xlfn.IFNA(((VLOOKUP($C287,Code!$H:$Q,9,FALSE))+(VLOOKUP($C287,Code!$H:$Q,10,FALSE)))/2*0.5/(((VLOOKUP($C287,Code!$H:$Q,7,FALSE))+(VLOOKUP($C287,Code!$H:$Q,8,FALSE)))/2),0)</f>
        <v>0</v>
      </c>
      <c r="H287" s="87" t="str">
        <f t="shared" si="40"/>
        <v/>
      </c>
      <c r="I287" s="128">
        <f>_xlfn.IFNA((VLOOKUP($C287,Code!$H:$Q,5,FALSE))/(((VLOOKUP($C287,Code!$H:$Q,7,FALSE))+(VLOOKUP($C287,Code!$H:$Q,8,FALSE)))/2)-G287,0)</f>
        <v>0</v>
      </c>
      <c r="J287" s="55" t="str">
        <f>IFERROR(POWER((VLOOKUP(C287,Code!H:W,12,FALSE))/(VLOOKUP(C287,Code!H:W,15,FALSE)),1/(P287-1))-1,"")</f>
        <v/>
      </c>
      <c r="K287" s="55" t="str">
        <f>IFERROR(POWER((VLOOKUP(C287,Code!H:W,13,FALSE))/(VLOOKUP(C287,Code!H:W,16,FALSE)),1/(P287-1))-1,"")</f>
        <v/>
      </c>
      <c r="L287" s="75" t="str">
        <f>IFERROR(VLOOKUP(C287,Code!H:W,13,FALSE)*4/VLOOKUP(C287,Code!H:W,12,FALSE),"")</f>
        <v/>
      </c>
      <c r="M287" s="55" t="str">
        <f t="shared" si="41"/>
        <v/>
      </c>
      <c r="N287" s="55" t="str">
        <f t="shared" si="42"/>
        <v/>
      </c>
      <c r="O287" s="55" t="str">
        <f t="shared" si="43"/>
        <v/>
      </c>
      <c r="P287" s="196" t="str">
        <f>IFERROR(YEARFRAC(VLOOKUP(C287,Code!H:W,11,FALSE),VLOOKUP(C287,Code!H:W,14,FALSE),3),"")</f>
        <v/>
      </c>
      <c r="Q287" s="2"/>
      <c r="R287" s="85" t="str">
        <f t="shared" ca="1" si="44"/>
        <v/>
      </c>
      <c r="S287" s="86" t="str">
        <f>IFERROR(VLOOKUP($C287,Code!$H:$Q,5,FALSE),"")</f>
        <v/>
      </c>
      <c r="T287" s="88" t="str">
        <f t="shared" ca="1" si="45"/>
        <v/>
      </c>
      <c r="U287" s="89" t="str">
        <f t="shared" ca="1" si="46"/>
        <v/>
      </c>
      <c r="V287" s="90" t="str">
        <f>IFERROR(VLOOKUP($C287,Code!$H:$Q,6,FALSE),"")</f>
        <v/>
      </c>
      <c r="W287" s="91" t="str">
        <f t="shared" ca="1" si="47"/>
        <v/>
      </c>
      <c r="X287" s="12"/>
      <c r="Y287" s="12"/>
      <c r="Z287" s="12"/>
      <c r="AA287" s="12"/>
      <c r="AB287" s="12"/>
    </row>
    <row r="288" spans="1:28" s="10" customFormat="1" ht="15" hidden="1">
      <c r="A288" s="9"/>
      <c r="B288" s="137"/>
      <c r="C288" s="142"/>
      <c r="D288" s="82" t="str">
        <f>IFERROR(VLOOKUP($C288,Code!$H:$K,2,FALSE),"")</f>
        <v/>
      </c>
      <c r="E288" s="83" t="str">
        <f>IFERROR(VLOOKUP($C288,Code!$H:$K,3,FALSE),"")</f>
        <v/>
      </c>
      <c r="F288" s="84" t="str">
        <f>IFERROR(VLOOKUP($C288,Code!$H:$K,4,FALSE),"")</f>
        <v/>
      </c>
      <c r="G288" s="128">
        <f>_xlfn.IFNA(((VLOOKUP($C288,Code!$H:$Q,9,FALSE))+(VLOOKUP($C288,Code!$H:$Q,10,FALSE)))/2*0.5/(((VLOOKUP($C288,Code!$H:$Q,7,FALSE))+(VLOOKUP($C288,Code!$H:$Q,8,FALSE)))/2),0)</f>
        <v>0</v>
      </c>
      <c r="H288" s="87" t="str">
        <f t="shared" si="40"/>
        <v/>
      </c>
      <c r="I288" s="128">
        <f>_xlfn.IFNA((VLOOKUP($C288,Code!$H:$Q,5,FALSE))/(((VLOOKUP($C288,Code!$H:$Q,7,FALSE))+(VLOOKUP($C288,Code!$H:$Q,8,FALSE)))/2)-G288,0)</f>
        <v>0</v>
      </c>
      <c r="J288" s="55" t="str">
        <f>IFERROR(POWER((VLOOKUP(C288,Code!H:W,12,FALSE))/(VLOOKUP(C288,Code!H:W,15,FALSE)),1/(P288-1))-1,"")</f>
        <v/>
      </c>
      <c r="K288" s="55" t="str">
        <f>IFERROR(POWER((VLOOKUP(C288,Code!H:W,13,FALSE))/(VLOOKUP(C288,Code!H:W,16,FALSE)),1/(P288-1))-1,"")</f>
        <v/>
      </c>
      <c r="L288" s="75" t="str">
        <f>IFERROR(VLOOKUP(C288,Code!H:W,13,FALSE)*4/VLOOKUP(C288,Code!H:W,12,FALSE),"")</f>
        <v/>
      </c>
      <c r="M288" s="55" t="str">
        <f t="shared" si="41"/>
        <v/>
      </c>
      <c r="N288" s="55" t="str">
        <f t="shared" si="42"/>
        <v/>
      </c>
      <c r="O288" s="55" t="str">
        <f t="shared" si="43"/>
        <v/>
      </c>
      <c r="P288" s="196" t="str">
        <f>IFERROR(YEARFRAC(VLOOKUP(C288,Code!H:W,11,FALSE),VLOOKUP(C288,Code!H:W,14,FALSE),3),"")</f>
        <v/>
      </c>
      <c r="Q288" s="2"/>
      <c r="R288" s="85" t="str">
        <f t="shared" ca="1" si="44"/>
        <v/>
      </c>
      <c r="S288" s="86" t="str">
        <f>IFERROR(VLOOKUP($C288,Code!$H:$Q,5,FALSE),"")</f>
        <v/>
      </c>
      <c r="T288" s="88" t="str">
        <f t="shared" ca="1" si="45"/>
        <v/>
      </c>
      <c r="U288" s="89" t="str">
        <f t="shared" ca="1" si="46"/>
        <v/>
      </c>
      <c r="V288" s="90" t="str">
        <f>IFERROR(VLOOKUP($C288,Code!$H:$Q,6,FALSE),"")</f>
        <v/>
      </c>
      <c r="W288" s="91" t="str">
        <f t="shared" ca="1" si="47"/>
        <v/>
      </c>
      <c r="X288" s="12"/>
      <c r="Y288" s="12"/>
      <c r="Z288" s="12"/>
      <c r="AA288" s="12"/>
      <c r="AB288" s="12"/>
    </row>
    <row r="289" spans="1:28" s="10" customFormat="1" ht="15" hidden="1">
      <c r="A289" s="9"/>
      <c r="B289" s="137"/>
      <c r="C289" s="142"/>
      <c r="D289" s="82" t="str">
        <f>IFERROR(VLOOKUP($C289,Code!$H:$K,2,FALSE),"")</f>
        <v/>
      </c>
      <c r="E289" s="83" t="str">
        <f>IFERROR(VLOOKUP($C289,Code!$H:$K,3,FALSE),"")</f>
        <v/>
      </c>
      <c r="F289" s="84" t="str">
        <f>IFERROR(VLOOKUP($C289,Code!$H:$K,4,FALSE),"")</f>
        <v/>
      </c>
      <c r="G289" s="128">
        <f>_xlfn.IFNA(((VLOOKUP($C289,Code!$H:$Q,9,FALSE))+(VLOOKUP($C289,Code!$H:$Q,10,FALSE)))/2*0.5/(((VLOOKUP($C289,Code!$H:$Q,7,FALSE))+(VLOOKUP($C289,Code!$H:$Q,8,FALSE)))/2),0)</f>
        <v>0</v>
      </c>
      <c r="H289" s="87" t="str">
        <f t="shared" si="40"/>
        <v/>
      </c>
      <c r="I289" s="128">
        <f>_xlfn.IFNA((VLOOKUP($C289,Code!$H:$Q,5,FALSE))/(((VLOOKUP($C289,Code!$H:$Q,7,FALSE))+(VLOOKUP($C289,Code!$H:$Q,8,FALSE)))/2)-G289,0)</f>
        <v>0</v>
      </c>
      <c r="J289" s="55" t="str">
        <f>IFERROR(POWER((VLOOKUP(C289,Code!H:W,12,FALSE))/(VLOOKUP(C289,Code!H:W,15,FALSE)),1/(P289-1))-1,"")</f>
        <v/>
      </c>
      <c r="K289" s="55" t="str">
        <f>IFERROR(POWER((VLOOKUP(C289,Code!H:W,13,FALSE))/(VLOOKUP(C289,Code!H:W,16,FALSE)),1/(P289-1))-1,"")</f>
        <v/>
      </c>
      <c r="L289" s="75" t="str">
        <f>IFERROR(VLOOKUP(C289,Code!H:W,13,FALSE)*4/VLOOKUP(C289,Code!H:W,12,FALSE),"")</f>
        <v/>
      </c>
      <c r="M289" s="55" t="str">
        <f t="shared" si="41"/>
        <v/>
      </c>
      <c r="N289" s="55" t="str">
        <f t="shared" si="42"/>
        <v/>
      </c>
      <c r="O289" s="55" t="str">
        <f t="shared" si="43"/>
        <v/>
      </c>
      <c r="P289" s="196" t="str">
        <f>IFERROR(YEARFRAC(VLOOKUP(C289,Code!H:W,11,FALSE),VLOOKUP(C289,Code!H:W,14,FALSE),3),"")</f>
        <v/>
      </c>
      <c r="Q289" s="2"/>
      <c r="R289" s="85" t="str">
        <f t="shared" ca="1" si="44"/>
        <v/>
      </c>
      <c r="S289" s="86" t="str">
        <f>IFERROR(VLOOKUP($C289,Code!$H:$Q,5,FALSE),"")</f>
        <v/>
      </c>
      <c r="T289" s="88" t="str">
        <f t="shared" ca="1" si="45"/>
        <v/>
      </c>
      <c r="U289" s="89" t="str">
        <f t="shared" ca="1" si="46"/>
        <v/>
      </c>
      <c r="V289" s="90" t="str">
        <f>IFERROR(VLOOKUP($C289,Code!$H:$Q,6,FALSE),"")</f>
        <v/>
      </c>
      <c r="W289" s="91" t="str">
        <f t="shared" ca="1" si="47"/>
        <v/>
      </c>
      <c r="X289" s="12"/>
      <c r="Y289" s="12"/>
      <c r="Z289" s="12"/>
      <c r="AA289" s="12"/>
      <c r="AB289" s="12"/>
    </row>
    <row r="290" spans="1:28" s="10" customFormat="1" ht="15" hidden="1">
      <c r="A290" s="9"/>
      <c r="B290" s="137"/>
      <c r="C290" s="142"/>
      <c r="D290" s="82" t="str">
        <f>IFERROR(VLOOKUP($C290,Code!$H:$K,2,FALSE),"")</f>
        <v/>
      </c>
      <c r="E290" s="83" t="str">
        <f>IFERROR(VLOOKUP($C290,Code!$H:$K,3,FALSE),"")</f>
        <v/>
      </c>
      <c r="F290" s="84" t="str">
        <f>IFERROR(VLOOKUP($C290,Code!$H:$K,4,FALSE),"")</f>
        <v/>
      </c>
      <c r="G290" s="128">
        <f>_xlfn.IFNA(((VLOOKUP($C290,Code!$H:$Q,9,FALSE))+(VLOOKUP($C290,Code!$H:$Q,10,FALSE)))/2*0.5/(((VLOOKUP($C290,Code!$H:$Q,7,FALSE))+(VLOOKUP($C290,Code!$H:$Q,8,FALSE)))/2),0)</f>
        <v>0</v>
      </c>
      <c r="H290" s="87" t="str">
        <f t="shared" si="40"/>
        <v/>
      </c>
      <c r="I290" s="128">
        <f>_xlfn.IFNA((VLOOKUP($C290,Code!$H:$Q,5,FALSE))/(((VLOOKUP($C290,Code!$H:$Q,7,FALSE))+(VLOOKUP($C290,Code!$H:$Q,8,FALSE)))/2)-G290,0)</f>
        <v>0</v>
      </c>
      <c r="J290" s="55" t="str">
        <f>IFERROR(POWER((VLOOKUP(C290,Code!H:W,12,FALSE))/(VLOOKUP(C290,Code!H:W,15,FALSE)),1/(P290-1))-1,"")</f>
        <v/>
      </c>
      <c r="K290" s="55" t="str">
        <f>IFERROR(POWER((VLOOKUP(C290,Code!H:W,13,FALSE))/(VLOOKUP(C290,Code!H:W,16,FALSE)),1/(P290-1))-1,"")</f>
        <v/>
      </c>
      <c r="L290" s="75" t="str">
        <f>IFERROR(VLOOKUP(C290,Code!H:W,13,FALSE)*4/VLOOKUP(C290,Code!H:W,12,FALSE),"")</f>
        <v/>
      </c>
      <c r="M290" s="55" t="str">
        <f t="shared" si="41"/>
        <v/>
      </c>
      <c r="N290" s="55" t="str">
        <f t="shared" si="42"/>
        <v/>
      </c>
      <c r="O290" s="55" t="str">
        <f t="shared" si="43"/>
        <v/>
      </c>
      <c r="P290" s="196" t="str">
        <f>IFERROR(YEARFRAC(VLOOKUP(C290,Code!H:W,11,FALSE),VLOOKUP(C290,Code!H:W,14,FALSE),3),"")</f>
        <v/>
      </c>
      <c r="Q290" s="2"/>
      <c r="R290" s="85" t="str">
        <f t="shared" ca="1" si="44"/>
        <v/>
      </c>
      <c r="S290" s="86" t="str">
        <f>IFERROR(VLOOKUP($C290,Code!$H:$Q,5,FALSE),"")</f>
        <v/>
      </c>
      <c r="T290" s="88" t="str">
        <f t="shared" ca="1" si="45"/>
        <v/>
      </c>
      <c r="U290" s="89" t="str">
        <f t="shared" ca="1" si="46"/>
        <v/>
      </c>
      <c r="V290" s="90" t="str">
        <f>IFERROR(VLOOKUP($C290,Code!$H:$Q,6,FALSE),"")</f>
        <v/>
      </c>
      <c r="W290" s="91" t="str">
        <f t="shared" ca="1" si="47"/>
        <v/>
      </c>
      <c r="X290" s="12"/>
      <c r="Y290" s="12"/>
      <c r="Z290" s="12"/>
      <c r="AA290" s="12"/>
      <c r="AB290" s="12"/>
    </row>
    <row r="291" spans="1:28" s="10" customFormat="1" ht="15" hidden="1">
      <c r="A291" s="9"/>
      <c r="B291" s="137"/>
      <c r="C291" s="142"/>
      <c r="D291" s="82" t="str">
        <f>IFERROR(VLOOKUP($C291,Code!$H:$K,2,FALSE),"")</f>
        <v/>
      </c>
      <c r="E291" s="83" t="str">
        <f>IFERROR(VLOOKUP($C291,Code!$H:$K,3,FALSE),"")</f>
        <v/>
      </c>
      <c r="F291" s="84" t="str">
        <f>IFERROR(VLOOKUP($C291,Code!$H:$K,4,FALSE),"")</f>
        <v/>
      </c>
      <c r="G291" s="128">
        <f>_xlfn.IFNA(((VLOOKUP($C291,Code!$H:$Q,9,FALSE))+(VLOOKUP($C291,Code!$H:$Q,10,FALSE)))/2*0.5/(((VLOOKUP($C291,Code!$H:$Q,7,FALSE))+(VLOOKUP($C291,Code!$H:$Q,8,FALSE)))/2),0)</f>
        <v>0</v>
      </c>
      <c r="H291" s="87" t="str">
        <f t="shared" si="40"/>
        <v/>
      </c>
      <c r="I291" s="128">
        <f>_xlfn.IFNA((VLOOKUP($C291,Code!$H:$Q,5,FALSE))/(((VLOOKUP($C291,Code!$H:$Q,7,FALSE))+(VLOOKUP($C291,Code!$H:$Q,8,FALSE)))/2)-G291,0)</f>
        <v>0</v>
      </c>
      <c r="J291" s="55" t="str">
        <f>IFERROR(POWER((VLOOKUP(C291,Code!H:W,12,FALSE))/(VLOOKUP(C291,Code!H:W,15,FALSE)),1/(P291-1))-1,"")</f>
        <v/>
      </c>
      <c r="K291" s="55" t="str">
        <f>IFERROR(POWER((VLOOKUP(C291,Code!H:W,13,FALSE))/(VLOOKUP(C291,Code!H:W,16,FALSE)),1/(P291-1))-1,"")</f>
        <v/>
      </c>
      <c r="L291" s="75" t="str">
        <f>IFERROR(VLOOKUP(C291,Code!H:W,13,FALSE)*4/VLOOKUP(C291,Code!H:W,12,FALSE),"")</f>
        <v/>
      </c>
      <c r="M291" s="55" t="str">
        <f t="shared" si="41"/>
        <v/>
      </c>
      <c r="N291" s="55" t="str">
        <f t="shared" si="42"/>
        <v/>
      </c>
      <c r="O291" s="55" t="str">
        <f t="shared" si="43"/>
        <v/>
      </c>
      <c r="P291" s="196" t="str">
        <f>IFERROR(YEARFRAC(VLOOKUP(C291,Code!H:W,11,FALSE),VLOOKUP(C291,Code!H:W,14,FALSE),3),"")</f>
        <v/>
      </c>
      <c r="Q291" s="2"/>
      <c r="R291" s="85" t="str">
        <f t="shared" ca="1" si="44"/>
        <v/>
      </c>
      <c r="S291" s="86" t="str">
        <f>IFERROR(VLOOKUP($C291,Code!$H:$Q,5,FALSE),"")</f>
        <v/>
      </c>
      <c r="T291" s="88" t="str">
        <f t="shared" ca="1" si="45"/>
        <v/>
      </c>
      <c r="U291" s="89" t="str">
        <f t="shared" ca="1" si="46"/>
        <v/>
      </c>
      <c r="V291" s="90" t="str">
        <f>IFERROR(VLOOKUP($C291,Code!$H:$Q,6,FALSE),"")</f>
        <v/>
      </c>
      <c r="W291" s="91" t="str">
        <f t="shared" ca="1" si="47"/>
        <v/>
      </c>
      <c r="X291" s="12"/>
      <c r="Y291" s="12"/>
      <c r="Z291" s="12"/>
      <c r="AA291" s="12"/>
      <c r="AB291" s="12"/>
    </row>
    <row r="292" spans="1:28" s="10" customFormat="1" ht="15" hidden="1">
      <c r="A292" s="9"/>
      <c r="B292" s="137"/>
      <c r="C292" s="142"/>
      <c r="D292" s="82" t="str">
        <f>IFERROR(VLOOKUP($C292,Code!$H:$K,2,FALSE),"")</f>
        <v/>
      </c>
      <c r="E292" s="83" t="str">
        <f>IFERROR(VLOOKUP($C292,Code!$H:$K,3,FALSE),"")</f>
        <v/>
      </c>
      <c r="F292" s="84" t="str">
        <f>IFERROR(VLOOKUP($C292,Code!$H:$K,4,FALSE),"")</f>
        <v/>
      </c>
      <c r="G292" s="128">
        <f>_xlfn.IFNA(((VLOOKUP($C292,Code!$H:$Q,9,FALSE))+(VLOOKUP($C292,Code!$H:$Q,10,FALSE)))/2*0.5/(((VLOOKUP($C292,Code!$H:$Q,7,FALSE))+(VLOOKUP($C292,Code!$H:$Q,8,FALSE)))/2),0)</f>
        <v>0</v>
      </c>
      <c r="H292" s="87" t="str">
        <f t="shared" si="40"/>
        <v/>
      </c>
      <c r="I292" s="128">
        <f>_xlfn.IFNA((VLOOKUP($C292,Code!$H:$Q,5,FALSE))/(((VLOOKUP($C292,Code!$H:$Q,7,FALSE))+(VLOOKUP($C292,Code!$H:$Q,8,FALSE)))/2)-G292,0)</f>
        <v>0</v>
      </c>
      <c r="J292" s="55" t="str">
        <f>IFERROR(POWER((VLOOKUP(C292,Code!H:W,12,FALSE))/(VLOOKUP(C292,Code!H:W,15,FALSE)),1/(P292-1))-1,"")</f>
        <v/>
      </c>
      <c r="K292" s="55" t="str">
        <f>IFERROR(POWER((VLOOKUP(C292,Code!H:W,13,FALSE))/(VLOOKUP(C292,Code!H:W,16,FALSE)),1/(P292-1))-1,"")</f>
        <v/>
      </c>
      <c r="L292" s="75" t="str">
        <f>IFERROR(VLOOKUP(C292,Code!H:W,13,FALSE)*4/VLOOKUP(C292,Code!H:W,12,FALSE),"")</f>
        <v/>
      </c>
      <c r="M292" s="55" t="str">
        <f t="shared" si="41"/>
        <v/>
      </c>
      <c r="N292" s="55" t="str">
        <f t="shared" si="42"/>
        <v/>
      </c>
      <c r="O292" s="55" t="str">
        <f t="shared" si="43"/>
        <v/>
      </c>
      <c r="P292" s="196" t="str">
        <f>IFERROR(YEARFRAC(VLOOKUP(C292,Code!H:W,11,FALSE),VLOOKUP(C292,Code!H:W,14,FALSE),3),"")</f>
        <v/>
      </c>
      <c r="Q292" s="2"/>
      <c r="R292" s="85" t="str">
        <f t="shared" ca="1" si="44"/>
        <v/>
      </c>
      <c r="S292" s="86" t="str">
        <f>IFERROR(VLOOKUP($C292,Code!$H:$Q,5,FALSE),"")</f>
        <v/>
      </c>
      <c r="T292" s="88" t="str">
        <f t="shared" ca="1" si="45"/>
        <v/>
      </c>
      <c r="U292" s="89" t="str">
        <f t="shared" ca="1" si="46"/>
        <v/>
      </c>
      <c r="V292" s="90" t="str">
        <f>IFERROR(VLOOKUP($C292,Code!$H:$Q,6,FALSE),"")</f>
        <v/>
      </c>
      <c r="W292" s="91" t="str">
        <f t="shared" ca="1" si="47"/>
        <v/>
      </c>
      <c r="X292" s="12"/>
      <c r="Y292" s="12"/>
      <c r="Z292" s="12"/>
      <c r="AA292" s="12"/>
      <c r="AB292" s="12"/>
    </row>
    <row r="293" spans="1:28" s="10" customFormat="1" ht="15" hidden="1">
      <c r="A293" s="9"/>
      <c r="B293" s="137"/>
      <c r="C293" s="142"/>
      <c r="D293" s="82" t="str">
        <f>IFERROR(VLOOKUP($C293,Code!$H:$K,2,FALSE),"")</f>
        <v/>
      </c>
      <c r="E293" s="83" t="str">
        <f>IFERROR(VLOOKUP($C293,Code!$H:$K,3,FALSE),"")</f>
        <v/>
      </c>
      <c r="F293" s="84" t="str">
        <f>IFERROR(VLOOKUP($C293,Code!$H:$K,4,FALSE),"")</f>
        <v/>
      </c>
      <c r="G293" s="128">
        <f>_xlfn.IFNA(((VLOOKUP($C293,Code!$H:$Q,9,FALSE))+(VLOOKUP($C293,Code!$H:$Q,10,FALSE)))/2*0.5/(((VLOOKUP($C293,Code!$H:$Q,7,FALSE))+(VLOOKUP($C293,Code!$H:$Q,8,FALSE)))/2),0)</f>
        <v>0</v>
      </c>
      <c r="H293" s="87" t="str">
        <f t="shared" si="40"/>
        <v/>
      </c>
      <c r="I293" s="128">
        <f>_xlfn.IFNA((VLOOKUP($C293,Code!$H:$Q,5,FALSE))/(((VLOOKUP($C293,Code!$H:$Q,7,FALSE))+(VLOOKUP($C293,Code!$H:$Q,8,FALSE)))/2)-G293,0)</f>
        <v>0</v>
      </c>
      <c r="J293" s="55" t="str">
        <f>IFERROR(POWER((VLOOKUP(C293,Code!H:W,12,FALSE))/(VLOOKUP(C293,Code!H:W,15,FALSE)),1/(P293-1))-1,"")</f>
        <v/>
      </c>
      <c r="K293" s="55" t="str">
        <f>IFERROR(POWER((VLOOKUP(C293,Code!H:W,13,FALSE))/(VLOOKUP(C293,Code!H:W,16,FALSE)),1/(P293-1))-1,"")</f>
        <v/>
      </c>
      <c r="L293" s="75" t="str">
        <f>IFERROR(VLOOKUP(C293,Code!H:W,13,FALSE)*4/VLOOKUP(C293,Code!H:W,12,FALSE),"")</f>
        <v/>
      </c>
      <c r="M293" s="55" t="str">
        <f t="shared" si="41"/>
        <v/>
      </c>
      <c r="N293" s="55" t="str">
        <f t="shared" si="42"/>
        <v/>
      </c>
      <c r="O293" s="55" t="str">
        <f t="shared" si="43"/>
        <v/>
      </c>
      <c r="P293" s="196" t="str">
        <f>IFERROR(YEARFRAC(VLOOKUP(C293,Code!H:W,11,FALSE),VLOOKUP(C293,Code!H:W,14,FALSE),3),"")</f>
        <v/>
      </c>
      <c r="Q293" s="2"/>
      <c r="R293" s="85" t="str">
        <f t="shared" ca="1" si="44"/>
        <v/>
      </c>
      <c r="S293" s="86" t="str">
        <f>IFERROR(VLOOKUP($C293,Code!$H:$Q,5,FALSE),"")</f>
        <v/>
      </c>
      <c r="T293" s="88" t="str">
        <f t="shared" ca="1" si="45"/>
        <v/>
      </c>
      <c r="U293" s="89" t="str">
        <f t="shared" ca="1" si="46"/>
        <v/>
      </c>
      <c r="V293" s="90" t="str">
        <f>IFERROR(VLOOKUP($C293,Code!$H:$Q,6,FALSE),"")</f>
        <v/>
      </c>
      <c r="W293" s="91" t="str">
        <f t="shared" ca="1" si="47"/>
        <v/>
      </c>
      <c r="X293" s="12"/>
      <c r="Y293" s="12"/>
      <c r="Z293" s="12"/>
      <c r="AA293" s="12"/>
      <c r="AB293" s="12"/>
    </row>
    <row r="294" spans="1:28" s="10" customFormat="1" ht="15" hidden="1">
      <c r="A294" s="9"/>
      <c r="B294" s="137"/>
      <c r="C294" s="142"/>
      <c r="D294" s="82" t="str">
        <f>IFERROR(VLOOKUP($C294,Code!$H:$K,2,FALSE),"")</f>
        <v/>
      </c>
      <c r="E294" s="83" t="str">
        <f>IFERROR(VLOOKUP($C294,Code!$H:$K,3,FALSE),"")</f>
        <v/>
      </c>
      <c r="F294" s="84" t="str">
        <f>IFERROR(VLOOKUP($C294,Code!$H:$K,4,FALSE),"")</f>
        <v/>
      </c>
      <c r="G294" s="128">
        <f>_xlfn.IFNA(((VLOOKUP($C294,Code!$H:$Q,9,FALSE))+(VLOOKUP($C294,Code!$H:$Q,10,FALSE)))/2*0.5/(((VLOOKUP($C294,Code!$H:$Q,7,FALSE))+(VLOOKUP($C294,Code!$H:$Q,8,FALSE)))/2),0)</f>
        <v>0</v>
      </c>
      <c r="H294" s="87" t="str">
        <f t="shared" si="40"/>
        <v/>
      </c>
      <c r="I294" s="128">
        <f>_xlfn.IFNA((VLOOKUP($C294,Code!$H:$Q,5,FALSE))/(((VLOOKUP($C294,Code!$H:$Q,7,FALSE))+(VLOOKUP($C294,Code!$H:$Q,8,FALSE)))/2)-G294,0)</f>
        <v>0</v>
      </c>
      <c r="J294" s="55" t="str">
        <f>IFERROR(POWER((VLOOKUP(C294,Code!H:W,12,FALSE))/(VLOOKUP(C294,Code!H:W,15,FALSE)),1/(P294-1))-1,"")</f>
        <v/>
      </c>
      <c r="K294" s="55" t="str">
        <f>IFERROR(POWER((VLOOKUP(C294,Code!H:W,13,FALSE))/(VLOOKUP(C294,Code!H:W,16,FALSE)),1/(P294-1))-1,"")</f>
        <v/>
      </c>
      <c r="L294" s="75" t="str">
        <f>IFERROR(VLOOKUP(C294,Code!H:W,13,FALSE)*4/VLOOKUP(C294,Code!H:W,12,FALSE),"")</f>
        <v/>
      </c>
      <c r="M294" s="55" t="str">
        <f t="shared" si="41"/>
        <v/>
      </c>
      <c r="N294" s="55" t="str">
        <f t="shared" si="42"/>
        <v/>
      </c>
      <c r="O294" s="55" t="str">
        <f t="shared" si="43"/>
        <v/>
      </c>
      <c r="P294" s="196" t="str">
        <f>IFERROR(YEARFRAC(VLOOKUP(C294,Code!H:W,11,FALSE),VLOOKUP(C294,Code!H:W,14,FALSE),3),"")</f>
        <v/>
      </c>
      <c r="Q294" s="2"/>
      <c r="R294" s="85" t="str">
        <f t="shared" ca="1" si="44"/>
        <v/>
      </c>
      <c r="S294" s="86" t="str">
        <f>IFERROR(VLOOKUP($C294,Code!$H:$Q,5,FALSE),"")</f>
        <v/>
      </c>
      <c r="T294" s="88" t="str">
        <f t="shared" ca="1" si="45"/>
        <v/>
      </c>
      <c r="U294" s="89" t="str">
        <f t="shared" ca="1" si="46"/>
        <v/>
      </c>
      <c r="V294" s="90" t="str">
        <f>IFERROR(VLOOKUP($C294,Code!$H:$Q,6,FALSE),"")</f>
        <v/>
      </c>
      <c r="W294" s="91" t="str">
        <f t="shared" ca="1" si="47"/>
        <v/>
      </c>
      <c r="X294" s="12"/>
      <c r="Y294" s="12"/>
      <c r="Z294" s="12"/>
      <c r="AA294" s="12"/>
      <c r="AB294" s="12"/>
    </row>
    <row r="295" spans="1:28" s="10" customFormat="1" ht="15" hidden="1">
      <c r="A295" s="9"/>
      <c r="B295" s="137"/>
      <c r="C295" s="142"/>
      <c r="D295" s="82" t="str">
        <f>IFERROR(VLOOKUP($C295,Code!$H:$K,2,FALSE),"")</f>
        <v/>
      </c>
      <c r="E295" s="83" t="str">
        <f>IFERROR(VLOOKUP($C295,Code!$H:$K,3,FALSE),"")</f>
        <v/>
      </c>
      <c r="F295" s="84" t="str">
        <f>IFERROR(VLOOKUP($C295,Code!$H:$K,4,FALSE),"")</f>
        <v/>
      </c>
      <c r="G295" s="128">
        <f>_xlfn.IFNA(((VLOOKUP($C295,Code!$H:$Q,9,FALSE))+(VLOOKUP($C295,Code!$H:$Q,10,FALSE)))/2*0.5/(((VLOOKUP($C295,Code!$H:$Q,7,FALSE))+(VLOOKUP($C295,Code!$H:$Q,8,FALSE)))/2),0)</f>
        <v>0</v>
      </c>
      <c r="H295" s="87" t="str">
        <f t="shared" si="40"/>
        <v/>
      </c>
      <c r="I295" s="128">
        <f>_xlfn.IFNA((VLOOKUP($C295,Code!$H:$Q,5,FALSE))/(((VLOOKUP($C295,Code!$H:$Q,7,FALSE))+(VLOOKUP($C295,Code!$H:$Q,8,FALSE)))/2)-G295,0)</f>
        <v>0</v>
      </c>
      <c r="J295" s="55" t="str">
        <f>IFERROR(POWER((VLOOKUP(C295,Code!H:W,12,FALSE))/(VLOOKUP(C295,Code!H:W,15,FALSE)),1/(P295-1))-1,"")</f>
        <v/>
      </c>
      <c r="K295" s="55" t="str">
        <f>IFERROR(POWER((VLOOKUP(C295,Code!H:W,13,FALSE))/(VLOOKUP(C295,Code!H:W,16,FALSE)),1/(P295-1))-1,"")</f>
        <v/>
      </c>
      <c r="L295" s="75" t="str">
        <f>IFERROR(VLOOKUP(C295,Code!H:W,13,FALSE)*4/VLOOKUP(C295,Code!H:W,12,FALSE),"")</f>
        <v/>
      </c>
      <c r="M295" s="55" t="str">
        <f t="shared" si="41"/>
        <v/>
      </c>
      <c r="N295" s="55" t="str">
        <f t="shared" si="42"/>
        <v/>
      </c>
      <c r="O295" s="55" t="str">
        <f t="shared" si="43"/>
        <v/>
      </c>
      <c r="P295" s="196" t="str">
        <f>IFERROR(YEARFRAC(VLOOKUP(C295,Code!H:W,11,FALSE),VLOOKUP(C295,Code!H:W,14,FALSE),3),"")</f>
        <v/>
      </c>
      <c r="Q295" s="2"/>
      <c r="R295" s="85" t="str">
        <f t="shared" ca="1" si="44"/>
        <v/>
      </c>
      <c r="S295" s="86" t="str">
        <f>IFERROR(VLOOKUP($C295,Code!$H:$Q,5,FALSE),"")</f>
        <v/>
      </c>
      <c r="T295" s="88" t="str">
        <f t="shared" ca="1" si="45"/>
        <v/>
      </c>
      <c r="U295" s="89" t="str">
        <f t="shared" ca="1" si="46"/>
        <v/>
      </c>
      <c r="V295" s="90" t="str">
        <f>IFERROR(VLOOKUP($C295,Code!$H:$Q,6,FALSE),"")</f>
        <v/>
      </c>
      <c r="W295" s="91" t="str">
        <f t="shared" ca="1" si="47"/>
        <v/>
      </c>
      <c r="X295" s="12"/>
      <c r="Y295" s="12"/>
      <c r="Z295" s="12"/>
      <c r="AA295" s="12"/>
      <c r="AB295" s="12"/>
    </row>
    <row r="296" spans="1:28" s="10" customFormat="1" ht="15" hidden="1">
      <c r="A296" s="9"/>
      <c r="B296" s="137"/>
      <c r="C296" s="142"/>
      <c r="D296" s="82" t="str">
        <f>IFERROR(VLOOKUP($C296,Code!$H:$K,2,FALSE),"")</f>
        <v/>
      </c>
      <c r="E296" s="83" t="str">
        <f>IFERROR(VLOOKUP($C296,Code!$H:$K,3,FALSE),"")</f>
        <v/>
      </c>
      <c r="F296" s="84" t="str">
        <f>IFERROR(VLOOKUP($C296,Code!$H:$K,4,FALSE),"")</f>
        <v/>
      </c>
      <c r="G296" s="128">
        <f>_xlfn.IFNA(((VLOOKUP($C296,Code!$H:$Q,9,FALSE))+(VLOOKUP($C296,Code!$H:$Q,10,FALSE)))/2*0.5/(((VLOOKUP($C296,Code!$H:$Q,7,FALSE))+(VLOOKUP($C296,Code!$H:$Q,8,FALSE)))/2),0)</f>
        <v>0</v>
      </c>
      <c r="H296" s="87" t="str">
        <f t="shared" si="40"/>
        <v/>
      </c>
      <c r="I296" s="128">
        <f>_xlfn.IFNA((VLOOKUP($C296,Code!$H:$Q,5,FALSE))/(((VLOOKUP($C296,Code!$H:$Q,7,FALSE))+(VLOOKUP($C296,Code!$H:$Q,8,FALSE)))/2)-G296,0)</f>
        <v>0</v>
      </c>
      <c r="J296" s="55" t="str">
        <f>IFERROR(POWER((VLOOKUP(C296,Code!H:W,12,FALSE))/(VLOOKUP(C296,Code!H:W,15,FALSE)),1/(P296-1))-1,"")</f>
        <v/>
      </c>
      <c r="K296" s="55" t="str">
        <f>IFERROR(POWER((VLOOKUP(C296,Code!H:W,13,FALSE))/(VLOOKUP(C296,Code!H:W,16,FALSE)),1/(P296-1))-1,"")</f>
        <v/>
      </c>
      <c r="L296" s="75" t="str">
        <f>IFERROR(VLOOKUP(C296,Code!H:W,13,FALSE)*4/VLOOKUP(C296,Code!H:W,12,FALSE),"")</f>
        <v/>
      </c>
      <c r="M296" s="55" t="str">
        <f t="shared" si="41"/>
        <v/>
      </c>
      <c r="N296" s="55" t="str">
        <f t="shared" si="42"/>
        <v/>
      </c>
      <c r="O296" s="55" t="str">
        <f t="shared" si="43"/>
        <v/>
      </c>
      <c r="P296" s="196" t="str">
        <f>IFERROR(YEARFRAC(VLOOKUP(C296,Code!H:W,11,FALSE),VLOOKUP(C296,Code!H:W,14,FALSE),3),"")</f>
        <v/>
      </c>
      <c r="Q296" s="2"/>
      <c r="R296" s="85" t="str">
        <f t="shared" ca="1" si="44"/>
        <v/>
      </c>
      <c r="S296" s="86" t="str">
        <f>IFERROR(VLOOKUP($C296,Code!$H:$Q,5,FALSE),"")</f>
        <v/>
      </c>
      <c r="T296" s="88" t="str">
        <f t="shared" ca="1" si="45"/>
        <v/>
      </c>
      <c r="U296" s="89" t="str">
        <f t="shared" ca="1" si="46"/>
        <v/>
      </c>
      <c r="V296" s="90" t="str">
        <f>IFERROR(VLOOKUP($C296,Code!$H:$Q,6,FALSE),"")</f>
        <v/>
      </c>
      <c r="W296" s="91" t="str">
        <f t="shared" ca="1" si="47"/>
        <v/>
      </c>
      <c r="X296" s="12"/>
      <c r="Y296" s="12"/>
      <c r="Z296" s="12"/>
      <c r="AA296" s="12"/>
      <c r="AB296" s="12"/>
    </row>
    <row r="297" spans="1:28" s="10" customFormat="1" ht="15" hidden="1">
      <c r="A297" s="9"/>
      <c r="B297" s="137"/>
      <c r="C297" s="142"/>
      <c r="D297" s="82" t="str">
        <f>IFERROR(VLOOKUP($C297,Code!$H:$K,2,FALSE),"")</f>
        <v/>
      </c>
      <c r="E297" s="83" t="str">
        <f>IFERROR(VLOOKUP($C297,Code!$H:$K,3,FALSE),"")</f>
        <v/>
      </c>
      <c r="F297" s="84" t="str">
        <f>IFERROR(VLOOKUP($C297,Code!$H:$K,4,FALSE),"")</f>
        <v/>
      </c>
      <c r="G297" s="128">
        <f>_xlfn.IFNA(((VLOOKUP($C297,Code!$H:$Q,9,FALSE))+(VLOOKUP($C297,Code!$H:$Q,10,FALSE)))/2*0.5/(((VLOOKUP($C297,Code!$H:$Q,7,FALSE))+(VLOOKUP($C297,Code!$H:$Q,8,FALSE)))/2),0)</f>
        <v>0</v>
      </c>
      <c r="H297" s="87" t="str">
        <f t="shared" si="40"/>
        <v/>
      </c>
      <c r="I297" s="128">
        <f>_xlfn.IFNA((VLOOKUP($C297,Code!$H:$Q,5,FALSE))/(((VLOOKUP($C297,Code!$H:$Q,7,FALSE))+(VLOOKUP($C297,Code!$H:$Q,8,FALSE)))/2)-G297,0)</f>
        <v>0</v>
      </c>
      <c r="J297" s="55" t="str">
        <f>IFERROR(POWER((VLOOKUP(C297,Code!H:W,12,FALSE))/(VLOOKUP(C297,Code!H:W,15,FALSE)),1/(P297-1))-1,"")</f>
        <v/>
      </c>
      <c r="K297" s="55" t="str">
        <f>IFERROR(POWER((VLOOKUP(C297,Code!H:W,13,FALSE))/(VLOOKUP(C297,Code!H:W,16,FALSE)),1/(P297-1))-1,"")</f>
        <v/>
      </c>
      <c r="L297" s="75" t="str">
        <f>IFERROR(VLOOKUP(C297,Code!H:W,13,FALSE)*4/VLOOKUP(C297,Code!H:W,12,FALSE),"")</f>
        <v/>
      </c>
      <c r="M297" s="55" t="str">
        <f t="shared" si="41"/>
        <v/>
      </c>
      <c r="N297" s="55" t="str">
        <f t="shared" si="42"/>
        <v/>
      </c>
      <c r="O297" s="55" t="str">
        <f t="shared" si="43"/>
        <v/>
      </c>
      <c r="P297" s="196" t="str">
        <f>IFERROR(YEARFRAC(VLOOKUP(C297,Code!H:W,11,FALSE),VLOOKUP(C297,Code!H:W,14,FALSE),3),"")</f>
        <v/>
      </c>
      <c r="Q297" s="2"/>
      <c r="R297" s="85" t="str">
        <f t="shared" ca="1" si="44"/>
        <v/>
      </c>
      <c r="S297" s="86" t="str">
        <f>IFERROR(VLOOKUP($C297,Code!$H:$Q,5,FALSE),"")</f>
        <v/>
      </c>
      <c r="T297" s="88" t="str">
        <f t="shared" ca="1" si="45"/>
        <v/>
      </c>
      <c r="U297" s="89" t="str">
        <f t="shared" ca="1" si="46"/>
        <v/>
      </c>
      <c r="V297" s="90" t="str">
        <f>IFERROR(VLOOKUP($C297,Code!$H:$Q,6,FALSE),"")</f>
        <v/>
      </c>
      <c r="W297" s="91" t="str">
        <f t="shared" ca="1" si="47"/>
        <v/>
      </c>
      <c r="X297" s="12"/>
      <c r="Y297" s="12"/>
      <c r="Z297" s="12"/>
      <c r="AA297" s="12"/>
      <c r="AB297" s="12"/>
    </row>
    <row r="298" spans="1:28" s="10" customFormat="1" ht="15" hidden="1">
      <c r="A298" s="9"/>
      <c r="B298" s="137"/>
      <c r="C298" s="142"/>
      <c r="D298" s="82" t="str">
        <f>IFERROR(VLOOKUP($C298,Code!$H:$K,2,FALSE),"")</f>
        <v/>
      </c>
      <c r="E298" s="83" t="str">
        <f>IFERROR(VLOOKUP($C298,Code!$H:$K,3,FALSE),"")</f>
        <v/>
      </c>
      <c r="F298" s="84" t="str">
        <f>IFERROR(VLOOKUP($C298,Code!$H:$K,4,FALSE),"")</f>
        <v/>
      </c>
      <c r="G298" s="128">
        <f>_xlfn.IFNA(((VLOOKUP($C298,Code!$H:$Q,9,FALSE))+(VLOOKUP($C298,Code!$H:$Q,10,FALSE)))/2*0.5/(((VLOOKUP($C298,Code!$H:$Q,7,FALSE))+(VLOOKUP($C298,Code!$H:$Q,8,FALSE)))/2),0)</f>
        <v>0</v>
      </c>
      <c r="H298" s="87" t="str">
        <f t="shared" si="40"/>
        <v/>
      </c>
      <c r="I298" s="128">
        <f>_xlfn.IFNA((VLOOKUP($C298,Code!$H:$Q,5,FALSE))/(((VLOOKUP($C298,Code!$H:$Q,7,FALSE))+(VLOOKUP($C298,Code!$H:$Q,8,FALSE)))/2)-G298,0)</f>
        <v>0</v>
      </c>
      <c r="J298" s="55" t="str">
        <f>IFERROR(POWER((VLOOKUP(C298,Code!H:W,12,FALSE))/(VLOOKUP(C298,Code!H:W,15,FALSE)),1/(P298-1))-1,"")</f>
        <v/>
      </c>
      <c r="K298" s="55" t="str">
        <f>IFERROR(POWER((VLOOKUP(C298,Code!H:W,13,FALSE))/(VLOOKUP(C298,Code!H:W,16,FALSE)),1/(P298-1))-1,"")</f>
        <v/>
      </c>
      <c r="L298" s="75" t="str">
        <f>IFERROR(VLOOKUP(C298,Code!H:W,13,FALSE)*4/VLOOKUP(C298,Code!H:W,12,FALSE),"")</f>
        <v/>
      </c>
      <c r="M298" s="55" t="str">
        <f t="shared" si="41"/>
        <v/>
      </c>
      <c r="N298" s="55" t="str">
        <f t="shared" si="42"/>
        <v/>
      </c>
      <c r="O298" s="55" t="str">
        <f t="shared" si="43"/>
        <v/>
      </c>
      <c r="P298" s="196" t="str">
        <f>IFERROR(YEARFRAC(VLOOKUP(C298,Code!H:W,11,FALSE),VLOOKUP(C298,Code!H:W,14,FALSE),3),"")</f>
        <v/>
      </c>
      <c r="Q298" s="2"/>
      <c r="R298" s="85" t="str">
        <f t="shared" ca="1" si="44"/>
        <v/>
      </c>
      <c r="S298" s="86" t="str">
        <f>IFERROR(VLOOKUP($C298,Code!$H:$Q,5,FALSE),"")</f>
        <v/>
      </c>
      <c r="T298" s="88" t="str">
        <f t="shared" ca="1" si="45"/>
        <v/>
      </c>
      <c r="U298" s="89" t="str">
        <f t="shared" ca="1" si="46"/>
        <v/>
      </c>
      <c r="V298" s="90" t="str">
        <f>IFERROR(VLOOKUP($C298,Code!$H:$Q,6,FALSE),"")</f>
        <v/>
      </c>
      <c r="W298" s="91" t="str">
        <f t="shared" ca="1" si="47"/>
        <v/>
      </c>
      <c r="X298" s="12"/>
      <c r="Y298" s="12"/>
      <c r="Z298" s="12"/>
      <c r="AA298" s="12"/>
      <c r="AB298" s="12"/>
    </row>
    <row r="299" spans="1:28" s="10" customFormat="1" ht="15" hidden="1">
      <c r="A299" s="9"/>
      <c r="B299" s="137"/>
      <c r="C299" s="142"/>
      <c r="D299" s="82" t="str">
        <f>IFERROR(VLOOKUP($C299,Code!$H:$K,2,FALSE),"")</f>
        <v/>
      </c>
      <c r="E299" s="83" t="str">
        <f>IFERROR(VLOOKUP($C299,Code!$H:$K,3,FALSE),"")</f>
        <v/>
      </c>
      <c r="F299" s="84" t="str">
        <f>IFERROR(VLOOKUP($C299,Code!$H:$K,4,FALSE),"")</f>
        <v/>
      </c>
      <c r="G299" s="128">
        <f>_xlfn.IFNA(((VLOOKUP($C299,Code!$H:$Q,9,FALSE))+(VLOOKUP($C299,Code!$H:$Q,10,FALSE)))/2*0.5/(((VLOOKUP($C299,Code!$H:$Q,7,FALSE))+(VLOOKUP($C299,Code!$H:$Q,8,FALSE)))/2),0)</f>
        <v>0</v>
      </c>
      <c r="H299" s="87" t="str">
        <f t="shared" si="40"/>
        <v/>
      </c>
      <c r="I299" s="128">
        <f>_xlfn.IFNA((VLOOKUP($C299,Code!$H:$Q,5,FALSE))/(((VLOOKUP($C299,Code!$H:$Q,7,FALSE))+(VLOOKUP($C299,Code!$H:$Q,8,FALSE)))/2)-G299,0)</f>
        <v>0</v>
      </c>
      <c r="J299" s="55" t="str">
        <f>IFERROR(POWER((VLOOKUP(C299,Code!H:W,12,FALSE))/(VLOOKUP(C299,Code!H:W,15,FALSE)),1/(P299-1))-1,"")</f>
        <v/>
      </c>
      <c r="K299" s="55" t="str">
        <f>IFERROR(POWER((VLOOKUP(C299,Code!H:W,13,FALSE))/(VLOOKUP(C299,Code!H:W,16,FALSE)),1/(P299-1))-1,"")</f>
        <v/>
      </c>
      <c r="L299" s="75" t="str">
        <f>IFERROR(VLOOKUP(C299,Code!H:W,13,FALSE)*4/VLOOKUP(C299,Code!H:W,12,FALSE),"")</f>
        <v/>
      </c>
      <c r="M299" s="55" t="str">
        <f t="shared" si="41"/>
        <v/>
      </c>
      <c r="N299" s="55" t="str">
        <f t="shared" si="42"/>
        <v/>
      </c>
      <c r="O299" s="55" t="str">
        <f t="shared" si="43"/>
        <v/>
      </c>
      <c r="P299" s="196" t="str">
        <f>IFERROR(YEARFRAC(VLOOKUP(C299,Code!H:W,11,FALSE),VLOOKUP(C299,Code!H:W,14,FALSE),3),"")</f>
        <v/>
      </c>
      <c r="Q299" s="2"/>
      <c r="R299" s="85" t="str">
        <f t="shared" ca="1" si="44"/>
        <v/>
      </c>
      <c r="S299" s="86" t="str">
        <f>IFERROR(VLOOKUP($C299,Code!$H:$Q,5,FALSE),"")</f>
        <v/>
      </c>
      <c r="T299" s="88" t="str">
        <f t="shared" ca="1" si="45"/>
        <v/>
      </c>
      <c r="U299" s="89" t="str">
        <f t="shared" ca="1" si="46"/>
        <v/>
      </c>
      <c r="V299" s="90" t="str">
        <f>IFERROR(VLOOKUP($C299,Code!$H:$Q,6,FALSE),"")</f>
        <v/>
      </c>
      <c r="W299" s="91" t="str">
        <f t="shared" ca="1" si="47"/>
        <v/>
      </c>
      <c r="X299" s="12"/>
      <c r="Y299" s="12"/>
      <c r="Z299" s="12"/>
      <c r="AA299" s="12"/>
      <c r="AB299" s="12"/>
    </row>
    <row r="300" spans="1:28" s="10" customFormat="1" ht="15" hidden="1">
      <c r="A300" s="9"/>
      <c r="B300" s="137"/>
      <c r="C300" s="142"/>
      <c r="D300" s="82" t="str">
        <f>IFERROR(VLOOKUP($C300,Code!$H:$K,2,FALSE),"")</f>
        <v/>
      </c>
      <c r="E300" s="83" t="str">
        <f>IFERROR(VLOOKUP($C300,Code!$H:$K,3,FALSE),"")</f>
        <v/>
      </c>
      <c r="F300" s="84" t="str">
        <f>IFERROR(VLOOKUP($C300,Code!$H:$K,4,FALSE),"")</f>
        <v/>
      </c>
      <c r="G300" s="128">
        <f>_xlfn.IFNA(((VLOOKUP($C300,Code!$H:$Q,9,FALSE))+(VLOOKUP($C300,Code!$H:$Q,10,FALSE)))/2*0.5/(((VLOOKUP($C300,Code!$H:$Q,7,FALSE))+(VLOOKUP($C300,Code!$H:$Q,8,FALSE)))/2),0)</f>
        <v>0</v>
      </c>
      <c r="H300" s="87" t="str">
        <f t="shared" si="40"/>
        <v/>
      </c>
      <c r="I300" s="128">
        <f>_xlfn.IFNA((VLOOKUP($C300,Code!$H:$Q,5,FALSE))/(((VLOOKUP($C300,Code!$H:$Q,7,FALSE))+(VLOOKUP($C300,Code!$H:$Q,8,FALSE)))/2)-G300,0)</f>
        <v>0</v>
      </c>
      <c r="J300" s="55" t="str">
        <f>IFERROR(POWER((VLOOKUP(C300,Code!H:W,12,FALSE))/(VLOOKUP(C300,Code!H:W,15,FALSE)),1/(P300-1))-1,"")</f>
        <v/>
      </c>
      <c r="K300" s="55" t="str">
        <f>IFERROR(POWER((VLOOKUP(C300,Code!H:W,13,FALSE))/(VLOOKUP(C300,Code!H:W,16,FALSE)),1/(P300-1))-1,"")</f>
        <v/>
      </c>
      <c r="L300" s="75" t="str">
        <f>IFERROR(VLOOKUP(C300,Code!H:W,13,FALSE)*4/VLOOKUP(C300,Code!H:W,12,FALSE),"")</f>
        <v/>
      </c>
      <c r="M300" s="55" t="str">
        <f t="shared" si="41"/>
        <v/>
      </c>
      <c r="N300" s="55" t="str">
        <f t="shared" si="42"/>
        <v/>
      </c>
      <c r="O300" s="55" t="str">
        <f t="shared" si="43"/>
        <v/>
      </c>
      <c r="P300" s="196" t="str">
        <f>IFERROR(YEARFRAC(VLOOKUP(C300,Code!H:W,11,FALSE),VLOOKUP(C300,Code!H:W,14,FALSE),3),"")</f>
        <v/>
      </c>
      <c r="Q300" s="2"/>
      <c r="R300" s="85" t="str">
        <f t="shared" ca="1" si="44"/>
        <v/>
      </c>
      <c r="S300" s="86" t="str">
        <f>IFERROR(VLOOKUP($C300,Code!$H:$Q,5,FALSE),"")</f>
        <v/>
      </c>
      <c r="T300" s="88" t="str">
        <f t="shared" ca="1" si="45"/>
        <v/>
      </c>
      <c r="U300" s="89" t="str">
        <f t="shared" ca="1" si="46"/>
        <v/>
      </c>
      <c r="V300" s="90" t="str">
        <f>IFERROR(VLOOKUP($C300,Code!$H:$Q,6,FALSE),"")</f>
        <v/>
      </c>
      <c r="W300" s="91" t="str">
        <f t="shared" ca="1" si="47"/>
        <v/>
      </c>
      <c r="X300" s="12"/>
      <c r="Y300" s="12"/>
      <c r="Z300" s="12"/>
      <c r="AA300" s="12"/>
      <c r="AB300" s="12"/>
    </row>
    <row r="301" spans="1:28" s="10" customFormat="1" ht="15" hidden="1">
      <c r="A301" s="9"/>
      <c r="B301" s="137"/>
      <c r="C301" s="142"/>
      <c r="D301" s="82" t="str">
        <f>IFERROR(VLOOKUP($C301,Code!$H:$K,2,FALSE),"")</f>
        <v/>
      </c>
      <c r="E301" s="83" t="str">
        <f>IFERROR(VLOOKUP($C301,Code!$H:$K,3,FALSE),"")</f>
        <v/>
      </c>
      <c r="F301" s="84" t="str">
        <f>IFERROR(VLOOKUP($C301,Code!$H:$K,4,FALSE),"")</f>
        <v/>
      </c>
      <c r="G301" s="128">
        <f>_xlfn.IFNA(((VLOOKUP($C301,Code!$H:$Q,9,FALSE))+(VLOOKUP($C301,Code!$H:$Q,10,FALSE)))/2*0.5/(((VLOOKUP($C301,Code!$H:$Q,7,FALSE))+(VLOOKUP($C301,Code!$H:$Q,8,FALSE)))/2),0)</f>
        <v>0</v>
      </c>
      <c r="H301" s="87" t="str">
        <f t="shared" si="40"/>
        <v/>
      </c>
      <c r="I301" s="128">
        <f>_xlfn.IFNA((VLOOKUP($C301,Code!$H:$Q,5,FALSE))/(((VLOOKUP($C301,Code!$H:$Q,7,FALSE))+(VLOOKUP($C301,Code!$H:$Q,8,FALSE)))/2)-G301,0)</f>
        <v>0</v>
      </c>
      <c r="J301" s="55" t="str">
        <f>IFERROR(POWER((VLOOKUP(C301,Code!H:W,12,FALSE))/(VLOOKUP(C301,Code!H:W,15,FALSE)),1/(P301-1))-1,"")</f>
        <v/>
      </c>
      <c r="K301" s="55" t="str">
        <f>IFERROR(POWER((VLOOKUP(C301,Code!H:W,13,FALSE))/(VLOOKUP(C301,Code!H:W,16,FALSE)),1/(P301-1))-1,"")</f>
        <v/>
      </c>
      <c r="L301" s="75" t="str">
        <f>IFERROR(VLOOKUP(C301,Code!H:W,13,FALSE)*4/VLOOKUP(C301,Code!H:W,12,FALSE),"")</f>
        <v/>
      </c>
      <c r="M301" s="55" t="str">
        <f t="shared" si="41"/>
        <v/>
      </c>
      <c r="N301" s="55" t="str">
        <f t="shared" si="42"/>
        <v/>
      </c>
      <c r="O301" s="55" t="str">
        <f t="shared" si="43"/>
        <v/>
      </c>
      <c r="P301" s="196" t="str">
        <f>IFERROR(YEARFRAC(VLOOKUP(C301,Code!H:W,11,FALSE),VLOOKUP(C301,Code!H:W,14,FALSE),3),"")</f>
        <v/>
      </c>
      <c r="Q301" s="2"/>
      <c r="R301" s="85" t="str">
        <f t="shared" ca="1" si="44"/>
        <v/>
      </c>
      <c r="S301" s="86" t="str">
        <f>IFERROR(VLOOKUP($C301,Code!$H:$Q,5,FALSE),"")</f>
        <v/>
      </c>
      <c r="T301" s="88" t="str">
        <f t="shared" ca="1" si="45"/>
        <v/>
      </c>
      <c r="U301" s="89" t="str">
        <f t="shared" ca="1" si="46"/>
        <v/>
      </c>
      <c r="V301" s="90" t="str">
        <f>IFERROR(VLOOKUP($C301,Code!$H:$Q,6,FALSE),"")</f>
        <v/>
      </c>
      <c r="W301" s="91" t="str">
        <f t="shared" ca="1" si="47"/>
        <v/>
      </c>
      <c r="X301" s="12"/>
      <c r="Y301" s="12"/>
      <c r="Z301" s="12"/>
      <c r="AA301" s="12"/>
      <c r="AB301" s="12"/>
    </row>
    <row r="302" spans="1:28" s="10" customFormat="1" ht="15" hidden="1">
      <c r="A302" s="9"/>
      <c r="B302" s="137"/>
      <c r="C302" s="142"/>
      <c r="D302" s="82" t="str">
        <f>IFERROR(VLOOKUP($C302,Code!$H:$K,2,FALSE),"")</f>
        <v/>
      </c>
      <c r="E302" s="83" t="str">
        <f>IFERROR(VLOOKUP($C302,Code!$H:$K,3,FALSE),"")</f>
        <v/>
      </c>
      <c r="F302" s="84" t="str">
        <f>IFERROR(VLOOKUP($C302,Code!$H:$K,4,FALSE),"")</f>
        <v/>
      </c>
      <c r="G302" s="128">
        <f>_xlfn.IFNA(((VLOOKUP($C302,Code!$H:$Q,9,FALSE))+(VLOOKUP($C302,Code!$H:$Q,10,FALSE)))/2*0.5/(((VLOOKUP($C302,Code!$H:$Q,7,FALSE))+(VLOOKUP($C302,Code!$H:$Q,8,FALSE)))/2),0)</f>
        <v>0</v>
      </c>
      <c r="H302" s="87" t="str">
        <f t="shared" si="40"/>
        <v/>
      </c>
      <c r="I302" s="128">
        <f>_xlfn.IFNA((VLOOKUP($C302,Code!$H:$Q,5,FALSE))/(((VLOOKUP($C302,Code!$H:$Q,7,FALSE))+(VLOOKUP($C302,Code!$H:$Q,8,FALSE)))/2)-G302,0)</f>
        <v>0</v>
      </c>
      <c r="J302" s="55" t="str">
        <f>IFERROR(POWER((VLOOKUP(C302,Code!H:W,12,FALSE))/(VLOOKUP(C302,Code!H:W,15,FALSE)),1/(P302-1))-1,"")</f>
        <v/>
      </c>
      <c r="K302" s="55" t="str">
        <f>IFERROR(POWER((VLOOKUP(C302,Code!H:W,13,FALSE))/(VLOOKUP(C302,Code!H:W,16,FALSE)),1/(P302-1))-1,"")</f>
        <v/>
      </c>
      <c r="L302" s="75" t="str">
        <f>IFERROR(VLOOKUP(C302,Code!H:W,13,FALSE)*4/VLOOKUP(C302,Code!H:W,12,FALSE),"")</f>
        <v/>
      </c>
      <c r="M302" s="55" t="str">
        <f t="shared" si="41"/>
        <v/>
      </c>
      <c r="N302" s="55" t="str">
        <f t="shared" si="42"/>
        <v/>
      </c>
      <c r="O302" s="55" t="str">
        <f t="shared" si="43"/>
        <v/>
      </c>
      <c r="P302" s="196" t="str">
        <f>IFERROR(YEARFRAC(VLOOKUP(C302,Code!H:W,11,FALSE),VLOOKUP(C302,Code!H:W,14,FALSE),3),"")</f>
        <v/>
      </c>
      <c r="Q302" s="2"/>
      <c r="R302" s="85" t="str">
        <f t="shared" ca="1" si="44"/>
        <v/>
      </c>
      <c r="S302" s="86" t="str">
        <f>IFERROR(VLOOKUP($C302,Code!$H:$Q,5,FALSE),"")</f>
        <v/>
      </c>
      <c r="T302" s="88" t="str">
        <f t="shared" ca="1" si="45"/>
        <v/>
      </c>
      <c r="U302" s="89" t="str">
        <f t="shared" ca="1" si="46"/>
        <v/>
      </c>
      <c r="V302" s="90" t="str">
        <f>IFERROR(VLOOKUP($C302,Code!$H:$Q,6,FALSE),"")</f>
        <v/>
      </c>
      <c r="W302" s="91" t="str">
        <f t="shared" ca="1" si="47"/>
        <v/>
      </c>
      <c r="X302" s="12"/>
      <c r="Y302" s="12"/>
      <c r="Z302" s="12"/>
      <c r="AA302" s="12"/>
      <c r="AB302" s="12"/>
    </row>
    <row r="303" spans="1:28" s="10" customFormat="1" ht="15" hidden="1">
      <c r="A303" s="9"/>
      <c r="B303" s="137"/>
      <c r="C303" s="142"/>
      <c r="D303" s="82" t="str">
        <f>IFERROR(VLOOKUP($C303,Code!$H:$K,2,FALSE),"")</f>
        <v/>
      </c>
      <c r="E303" s="83" t="str">
        <f>IFERROR(VLOOKUP($C303,Code!$H:$K,3,FALSE),"")</f>
        <v/>
      </c>
      <c r="F303" s="84" t="str">
        <f>IFERROR(VLOOKUP($C303,Code!$H:$K,4,FALSE),"")</f>
        <v/>
      </c>
      <c r="G303" s="128">
        <f>_xlfn.IFNA(((VLOOKUP($C303,Code!$H:$Q,9,FALSE))+(VLOOKUP($C303,Code!$H:$Q,10,FALSE)))/2*0.5/(((VLOOKUP($C303,Code!$H:$Q,7,FALSE))+(VLOOKUP($C303,Code!$H:$Q,8,FALSE)))/2),0)</f>
        <v>0</v>
      </c>
      <c r="H303" s="87" t="str">
        <f t="shared" si="40"/>
        <v/>
      </c>
      <c r="I303" s="128">
        <f>_xlfn.IFNA((VLOOKUP($C303,Code!$H:$Q,5,FALSE))/(((VLOOKUP($C303,Code!$H:$Q,7,FALSE))+(VLOOKUP($C303,Code!$H:$Q,8,FALSE)))/2)-G303,0)</f>
        <v>0</v>
      </c>
      <c r="J303" s="55" t="str">
        <f>IFERROR(POWER((VLOOKUP(C303,Code!H:W,12,FALSE))/(VLOOKUP(C303,Code!H:W,15,FALSE)),1/(P303-1))-1,"")</f>
        <v/>
      </c>
      <c r="K303" s="55" t="str">
        <f>IFERROR(POWER((VLOOKUP(C303,Code!H:W,13,FALSE))/(VLOOKUP(C303,Code!H:W,16,FALSE)),1/(P303-1))-1,"")</f>
        <v/>
      </c>
      <c r="L303" s="75" t="str">
        <f>IFERROR(VLOOKUP(C303,Code!H:W,13,FALSE)*4/VLOOKUP(C303,Code!H:W,12,FALSE),"")</f>
        <v/>
      </c>
      <c r="M303" s="55" t="str">
        <f t="shared" si="41"/>
        <v/>
      </c>
      <c r="N303" s="55" t="str">
        <f t="shared" si="42"/>
        <v/>
      </c>
      <c r="O303" s="55" t="str">
        <f t="shared" si="43"/>
        <v/>
      </c>
      <c r="P303" s="196" t="str">
        <f>IFERROR(YEARFRAC(VLOOKUP(C303,Code!H:W,11,FALSE),VLOOKUP(C303,Code!H:W,14,FALSE),3),"")</f>
        <v/>
      </c>
      <c r="Q303" s="2"/>
      <c r="R303" s="85" t="str">
        <f t="shared" ca="1" si="44"/>
        <v/>
      </c>
      <c r="S303" s="86" t="str">
        <f>IFERROR(VLOOKUP($C303,Code!$H:$Q,5,FALSE),"")</f>
        <v/>
      </c>
      <c r="T303" s="88" t="str">
        <f t="shared" ca="1" si="45"/>
        <v/>
      </c>
      <c r="U303" s="89" t="str">
        <f t="shared" ca="1" si="46"/>
        <v/>
      </c>
      <c r="V303" s="90" t="str">
        <f>IFERROR(VLOOKUP($C303,Code!$H:$Q,6,FALSE),"")</f>
        <v/>
      </c>
      <c r="W303" s="91" t="str">
        <f t="shared" ca="1" si="47"/>
        <v/>
      </c>
      <c r="X303" s="12"/>
      <c r="Y303" s="12"/>
      <c r="Z303" s="12"/>
      <c r="AA303" s="12"/>
      <c r="AB303" s="12"/>
    </row>
    <row r="304" spans="1:28" s="10" customFormat="1" ht="15" hidden="1">
      <c r="A304" s="9"/>
      <c r="B304" s="137"/>
      <c r="C304" s="142"/>
      <c r="D304" s="82" t="str">
        <f>IFERROR(VLOOKUP($C304,Code!$H:$K,2,FALSE),"")</f>
        <v/>
      </c>
      <c r="E304" s="83" t="str">
        <f>IFERROR(VLOOKUP($C304,Code!$H:$K,3,FALSE),"")</f>
        <v/>
      </c>
      <c r="F304" s="84" t="str">
        <f>IFERROR(VLOOKUP($C304,Code!$H:$K,4,FALSE),"")</f>
        <v/>
      </c>
      <c r="G304" s="128">
        <f>_xlfn.IFNA(((VLOOKUP($C304,Code!$H:$Q,9,FALSE))+(VLOOKUP($C304,Code!$H:$Q,10,FALSE)))/2*0.5/(((VLOOKUP($C304,Code!$H:$Q,7,FALSE))+(VLOOKUP($C304,Code!$H:$Q,8,FALSE)))/2),0)</f>
        <v>0</v>
      </c>
      <c r="H304" s="87" t="str">
        <f t="shared" si="40"/>
        <v/>
      </c>
      <c r="I304" s="128">
        <f>_xlfn.IFNA((VLOOKUP($C304,Code!$H:$Q,5,FALSE))/(((VLOOKUP($C304,Code!$H:$Q,7,FALSE))+(VLOOKUP($C304,Code!$H:$Q,8,FALSE)))/2)-G304,0)</f>
        <v>0</v>
      </c>
      <c r="J304" s="55" t="str">
        <f>IFERROR(POWER((VLOOKUP(C304,Code!H:W,12,FALSE))/(VLOOKUP(C304,Code!H:W,15,FALSE)),1/(P304-1))-1,"")</f>
        <v/>
      </c>
      <c r="K304" s="55" t="str">
        <f>IFERROR(POWER((VLOOKUP(C304,Code!H:W,13,FALSE))/(VLOOKUP(C304,Code!H:W,16,FALSE)),1/(P304-1))-1,"")</f>
        <v/>
      </c>
      <c r="L304" s="75" t="str">
        <f>IFERROR(VLOOKUP(C304,Code!H:W,13,FALSE)*4/VLOOKUP(C304,Code!H:W,12,FALSE),"")</f>
        <v/>
      </c>
      <c r="M304" s="55" t="str">
        <f t="shared" si="41"/>
        <v/>
      </c>
      <c r="N304" s="55" t="str">
        <f t="shared" si="42"/>
        <v/>
      </c>
      <c r="O304" s="55" t="str">
        <f t="shared" si="43"/>
        <v/>
      </c>
      <c r="P304" s="196" t="str">
        <f>IFERROR(YEARFRAC(VLOOKUP(C304,Code!H:W,11,FALSE),VLOOKUP(C304,Code!H:W,14,FALSE),3),"")</f>
        <v/>
      </c>
      <c r="Q304" s="2"/>
      <c r="R304" s="85" t="str">
        <f t="shared" ca="1" si="44"/>
        <v/>
      </c>
      <c r="S304" s="86" t="str">
        <f>IFERROR(VLOOKUP($C304,Code!$H:$Q,5,FALSE),"")</f>
        <v/>
      </c>
      <c r="T304" s="88" t="str">
        <f t="shared" ca="1" si="45"/>
        <v/>
      </c>
      <c r="U304" s="89" t="str">
        <f t="shared" ca="1" si="46"/>
        <v/>
      </c>
      <c r="V304" s="90" t="str">
        <f>IFERROR(VLOOKUP($C304,Code!$H:$Q,6,FALSE),"")</f>
        <v/>
      </c>
      <c r="W304" s="91" t="str">
        <f t="shared" ca="1" si="47"/>
        <v/>
      </c>
      <c r="X304" s="12"/>
      <c r="Y304" s="12"/>
      <c r="Z304" s="12"/>
      <c r="AA304" s="12"/>
      <c r="AB304" s="12"/>
    </row>
    <row r="305" spans="1:28" s="10" customFormat="1" ht="15" hidden="1">
      <c r="A305" s="9"/>
      <c r="B305" s="137"/>
      <c r="C305" s="142"/>
      <c r="D305" s="82" t="str">
        <f>IFERROR(VLOOKUP($C305,Code!$H:$K,2,FALSE),"")</f>
        <v/>
      </c>
      <c r="E305" s="83" t="str">
        <f>IFERROR(VLOOKUP($C305,Code!$H:$K,3,FALSE),"")</f>
        <v/>
      </c>
      <c r="F305" s="84" t="str">
        <f>IFERROR(VLOOKUP($C305,Code!$H:$K,4,FALSE),"")</f>
        <v/>
      </c>
      <c r="G305" s="128">
        <f>_xlfn.IFNA(((VLOOKUP($C305,Code!$H:$Q,9,FALSE))+(VLOOKUP($C305,Code!$H:$Q,10,FALSE)))/2*0.5/(((VLOOKUP($C305,Code!$H:$Q,7,FALSE))+(VLOOKUP($C305,Code!$H:$Q,8,FALSE)))/2),0)</f>
        <v>0</v>
      </c>
      <c r="H305" s="87" t="str">
        <f t="shared" si="40"/>
        <v/>
      </c>
      <c r="I305" s="128">
        <f>_xlfn.IFNA((VLOOKUP($C305,Code!$H:$Q,5,FALSE))/(((VLOOKUP($C305,Code!$H:$Q,7,FALSE))+(VLOOKUP($C305,Code!$H:$Q,8,FALSE)))/2)-G305,0)</f>
        <v>0</v>
      </c>
      <c r="J305" s="55" t="str">
        <f>IFERROR(POWER((VLOOKUP(C305,Code!H:W,12,FALSE))/(VLOOKUP(C305,Code!H:W,15,FALSE)),1/(P305-1))-1,"")</f>
        <v/>
      </c>
      <c r="K305" s="55" t="str">
        <f>IFERROR(POWER((VLOOKUP(C305,Code!H:W,13,FALSE))/(VLOOKUP(C305,Code!H:W,16,FALSE)),1/(P305-1))-1,"")</f>
        <v/>
      </c>
      <c r="L305" s="75" t="str">
        <f>IFERROR(VLOOKUP(C305,Code!H:W,13,FALSE)*4/VLOOKUP(C305,Code!H:W,12,FALSE),"")</f>
        <v/>
      </c>
      <c r="M305" s="55" t="str">
        <f t="shared" si="41"/>
        <v/>
      </c>
      <c r="N305" s="55" t="str">
        <f t="shared" si="42"/>
        <v/>
      </c>
      <c r="O305" s="55" t="str">
        <f t="shared" si="43"/>
        <v/>
      </c>
      <c r="P305" s="196" t="str">
        <f>IFERROR(YEARFRAC(VLOOKUP(C305,Code!H:W,11,FALSE),VLOOKUP(C305,Code!H:W,14,FALSE),3),"")</f>
        <v/>
      </c>
      <c r="Q305" s="2"/>
      <c r="R305" s="85" t="str">
        <f t="shared" ca="1" si="44"/>
        <v/>
      </c>
      <c r="S305" s="86" t="str">
        <f>IFERROR(VLOOKUP($C305,Code!$H:$Q,5,FALSE),"")</f>
        <v/>
      </c>
      <c r="T305" s="88" t="str">
        <f t="shared" ca="1" si="45"/>
        <v/>
      </c>
      <c r="U305" s="89" t="str">
        <f t="shared" ca="1" si="46"/>
        <v/>
      </c>
      <c r="V305" s="90" t="str">
        <f>IFERROR(VLOOKUP($C305,Code!$H:$Q,6,FALSE),"")</f>
        <v/>
      </c>
      <c r="W305" s="91" t="str">
        <f t="shared" ca="1" si="47"/>
        <v/>
      </c>
      <c r="X305" s="12"/>
      <c r="Y305" s="12"/>
      <c r="Z305" s="12"/>
      <c r="AA305" s="12"/>
      <c r="AB305" s="12"/>
    </row>
    <row r="306" spans="1:28" s="10" customFormat="1" ht="15" hidden="1">
      <c r="A306" s="9"/>
      <c r="B306" s="137"/>
      <c r="C306" s="142"/>
      <c r="D306" s="82" t="str">
        <f>IFERROR(VLOOKUP($C306,Code!$H:$K,2,FALSE),"")</f>
        <v/>
      </c>
      <c r="E306" s="83" t="str">
        <f>IFERROR(VLOOKUP($C306,Code!$H:$K,3,FALSE),"")</f>
        <v/>
      </c>
      <c r="F306" s="84" t="str">
        <f>IFERROR(VLOOKUP($C306,Code!$H:$K,4,FALSE),"")</f>
        <v/>
      </c>
      <c r="G306" s="128">
        <f>_xlfn.IFNA(((VLOOKUP($C306,Code!$H:$Q,9,FALSE))+(VLOOKUP($C306,Code!$H:$Q,10,FALSE)))/2*0.5/(((VLOOKUP($C306,Code!$H:$Q,7,FALSE))+(VLOOKUP($C306,Code!$H:$Q,8,FALSE)))/2),0)</f>
        <v>0</v>
      </c>
      <c r="H306" s="87" t="str">
        <f t="shared" si="40"/>
        <v/>
      </c>
      <c r="I306" s="128">
        <f>_xlfn.IFNA((VLOOKUP($C306,Code!$H:$Q,5,FALSE))/(((VLOOKUP($C306,Code!$H:$Q,7,FALSE))+(VLOOKUP($C306,Code!$H:$Q,8,FALSE)))/2)-G306,0)</f>
        <v>0</v>
      </c>
      <c r="J306" s="55" t="str">
        <f>IFERROR(POWER((VLOOKUP(C306,Code!H:W,12,FALSE))/(VLOOKUP(C306,Code!H:W,15,FALSE)),1/(P306-1))-1,"")</f>
        <v/>
      </c>
      <c r="K306" s="55" t="str">
        <f>IFERROR(POWER((VLOOKUP(C306,Code!H:W,13,FALSE))/(VLOOKUP(C306,Code!H:W,16,FALSE)),1/(P306-1))-1,"")</f>
        <v/>
      </c>
      <c r="L306" s="75" t="str">
        <f>IFERROR(VLOOKUP(C306,Code!H:W,13,FALSE)*4/VLOOKUP(C306,Code!H:W,12,FALSE),"")</f>
        <v/>
      </c>
      <c r="M306" s="55" t="str">
        <f t="shared" si="41"/>
        <v/>
      </c>
      <c r="N306" s="55" t="str">
        <f t="shared" si="42"/>
        <v/>
      </c>
      <c r="O306" s="55" t="str">
        <f t="shared" si="43"/>
        <v/>
      </c>
      <c r="P306" s="196" t="str">
        <f>IFERROR(YEARFRAC(VLOOKUP(C306,Code!H:W,11,FALSE),VLOOKUP(C306,Code!H:W,14,FALSE),3),"")</f>
        <v/>
      </c>
      <c r="Q306" s="2"/>
      <c r="R306" s="85" t="str">
        <f t="shared" ca="1" si="44"/>
        <v/>
      </c>
      <c r="S306" s="86" t="str">
        <f>IFERROR(VLOOKUP($C306,Code!$H:$Q,5,FALSE),"")</f>
        <v/>
      </c>
      <c r="T306" s="88" t="str">
        <f t="shared" ca="1" si="45"/>
        <v/>
      </c>
      <c r="U306" s="89" t="str">
        <f t="shared" ca="1" si="46"/>
        <v/>
      </c>
      <c r="V306" s="90" t="str">
        <f>IFERROR(VLOOKUP($C306,Code!$H:$Q,6,FALSE),"")</f>
        <v/>
      </c>
      <c r="W306" s="91" t="str">
        <f t="shared" ca="1" si="47"/>
        <v/>
      </c>
      <c r="X306" s="12"/>
      <c r="Y306" s="12"/>
      <c r="Z306" s="12"/>
      <c r="AA306" s="12"/>
      <c r="AB306" s="12"/>
    </row>
    <row r="307" spans="1:28" s="10" customFormat="1" ht="15" hidden="1">
      <c r="A307" s="9"/>
      <c r="B307" s="137"/>
      <c r="C307" s="142"/>
      <c r="D307" s="82" t="str">
        <f>IFERROR(VLOOKUP($C307,Code!$H:$K,2,FALSE),"")</f>
        <v/>
      </c>
      <c r="E307" s="83" t="str">
        <f>IFERROR(VLOOKUP($C307,Code!$H:$K,3,FALSE),"")</f>
        <v/>
      </c>
      <c r="F307" s="84" t="str">
        <f>IFERROR(VLOOKUP($C307,Code!$H:$K,4,FALSE),"")</f>
        <v/>
      </c>
      <c r="G307" s="128">
        <f>_xlfn.IFNA(((VLOOKUP($C307,Code!$H:$Q,9,FALSE))+(VLOOKUP($C307,Code!$H:$Q,10,FALSE)))/2*0.5/(((VLOOKUP($C307,Code!$H:$Q,7,FALSE))+(VLOOKUP($C307,Code!$H:$Q,8,FALSE)))/2),0)</f>
        <v>0</v>
      </c>
      <c r="H307" s="87" t="str">
        <f t="shared" si="40"/>
        <v/>
      </c>
      <c r="I307" s="128">
        <f>_xlfn.IFNA((VLOOKUP($C307,Code!$H:$Q,5,FALSE))/(((VLOOKUP($C307,Code!$H:$Q,7,FALSE))+(VLOOKUP($C307,Code!$H:$Q,8,FALSE)))/2)-G307,0)</f>
        <v>0</v>
      </c>
      <c r="J307" s="55" t="str">
        <f>IFERROR(POWER((VLOOKUP(C307,Code!H:W,12,FALSE))/(VLOOKUP(C307,Code!H:W,15,FALSE)),1/(P307-1))-1,"")</f>
        <v/>
      </c>
      <c r="K307" s="55" t="str">
        <f>IFERROR(POWER((VLOOKUP(C307,Code!H:W,13,FALSE))/(VLOOKUP(C307,Code!H:W,16,FALSE)),1/(P307-1))-1,"")</f>
        <v/>
      </c>
      <c r="L307" s="75" t="str">
        <f>IFERROR(VLOOKUP(C307,Code!H:W,13,FALSE)*4/VLOOKUP(C307,Code!H:W,12,FALSE),"")</f>
        <v/>
      </c>
      <c r="M307" s="55" t="str">
        <f t="shared" si="41"/>
        <v/>
      </c>
      <c r="N307" s="55" t="str">
        <f t="shared" si="42"/>
        <v/>
      </c>
      <c r="O307" s="55" t="str">
        <f t="shared" si="43"/>
        <v/>
      </c>
      <c r="P307" s="196" t="str">
        <f>IFERROR(YEARFRAC(VLOOKUP(C307,Code!H:W,11,FALSE),VLOOKUP(C307,Code!H:W,14,FALSE),3),"")</f>
        <v/>
      </c>
      <c r="Q307" s="2"/>
      <c r="R307" s="85" t="str">
        <f t="shared" ca="1" si="44"/>
        <v/>
      </c>
      <c r="S307" s="86" t="str">
        <f>IFERROR(VLOOKUP($C307,Code!$H:$Q,5,FALSE),"")</f>
        <v/>
      </c>
      <c r="T307" s="88" t="str">
        <f t="shared" ca="1" si="45"/>
        <v/>
      </c>
      <c r="U307" s="89" t="str">
        <f t="shared" ca="1" si="46"/>
        <v/>
      </c>
      <c r="V307" s="90" t="str">
        <f>IFERROR(VLOOKUP($C307,Code!$H:$Q,6,FALSE),"")</f>
        <v/>
      </c>
      <c r="W307" s="91" t="str">
        <f t="shared" ca="1" si="47"/>
        <v/>
      </c>
      <c r="X307" s="12"/>
      <c r="Y307" s="12"/>
      <c r="Z307" s="12"/>
      <c r="AA307" s="12"/>
      <c r="AB307" s="12"/>
    </row>
    <row r="308" spans="1:28" s="10" customFormat="1" ht="15" hidden="1">
      <c r="A308" s="9"/>
      <c r="B308" s="137"/>
      <c r="C308" s="142"/>
      <c r="D308" s="82" t="str">
        <f>IFERROR(VLOOKUP($C308,Code!$H:$K,2,FALSE),"")</f>
        <v/>
      </c>
      <c r="E308" s="83" t="str">
        <f>IFERROR(VLOOKUP($C308,Code!$H:$K,3,FALSE),"")</f>
        <v/>
      </c>
      <c r="F308" s="84" t="str">
        <f>IFERROR(VLOOKUP($C308,Code!$H:$K,4,FALSE),"")</f>
        <v/>
      </c>
      <c r="G308" s="128">
        <f>_xlfn.IFNA(((VLOOKUP($C308,Code!$H:$Q,9,FALSE))+(VLOOKUP($C308,Code!$H:$Q,10,FALSE)))/2*0.5/(((VLOOKUP($C308,Code!$H:$Q,7,FALSE))+(VLOOKUP($C308,Code!$H:$Q,8,FALSE)))/2),0)</f>
        <v>0</v>
      </c>
      <c r="H308" s="87" t="str">
        <f t="shared" si="40"/>
        <v/>
      </c>
      <c r="I308" s="128">
        <f>_xlfn.IFNA((VLOOKUP($C308,Code!$H:$Q,5,FALSE))/(((VLOOKUP($C308,Code!$H:$Q,7,FALSE))+(VLOOKUP($C308,Code!$H:$Q,8,FALSE)))/2)-G308,0)</f>
        <v>0</v>
      </c>
      <c r="J308" s="55" t="str">
        <f>IFERROR(POWER((VLOOKUP(C308,Code!H:W,12,FALSE))/(VLOOKUP(C308,Code!H:W,15,FALSE)),1/(P308-1))-1,"")</f>
        <v/>
      </c>
      <c r="K308" s="55" t="str">
        <f>IFERROR(POWER((VLOOKUP(C308,Code!H:W,13,FALSE))/(VLOOKUP(C308,Code!H:W,16,FALSE)),1/(P308-1))-1,"")</f>
        <v/>
      </c>
      <c r="L308" s="75" t="str">
        <f>IFERROR(VLOOKUP(C308,Code!H:W,13,FALSE)*4/VLOOKUP(C308,Code!H:W,12,FALSE),"")</f>
        <v/>
      </c>
      <c r="M308" s="55" t="str">
        <f t="shared" si="41"/>
        <v/>
      </c>
      <c r="N308" s="55" t="str">
        <f t="shared" si="42"/>
        <v/>
      </c>
      <c r="O308" s="55" t="str">
        <f t="shared" si="43"/>
        <v/>
      </c>
      <c r="P308" s="196" t="str">
        <f>IFERROR(YEARFRAC(VLOOKUP(C308,Code!H:W,11,FALSE),VLOOKUP(C308,Code!H:W,14,FALSE),3),"")</f>
        <v/>
      </c>
      <c r="Q308" s="2"/>
      <c r="R308" s="85" t="str">
        <f t="shared" ca="1" si="44"/>
        <v/>
      </c>
      <c r="S308" s="86" t="str">
        <f>IFERROR(VLOOKUP($C308,Code!$H:$Q,5,FALSE),"")</f>
        <v/>
      </c>
      <c r="T308" s="88" t="str">
        <f t="shared" ca="1" si="45"/>
        <v/>
      </c>
      <c r="U308" s="89" t="str">
        <f t="shared" ca="1" si="46"/>
        <v/>
      </c>
      <c r="V308" s="90" t="str">
        <f>IFERROR(VLOOKUP($C308,Code!$H:$Q,6,FALSE),"")</f>
        <v/>
      </c>
      <c r="W308" s="91" t="str">
        <f t="shared" ca="1" si="47"/>
        <v/>
      </c>
      <c r="X308" s="12"/>
      <c r="Y308" s="12"/>
      <c r="Z308" s="12"/>
      <c r="AA308" s="12"/>
      <c r="AB308" s="12"/>
    </row>
    <row r="309" spans="1:28" s="10" customFormat="1" ht="15" hidden="1">
      <c r="A309" s="9"/>
      <c r="B309" s="137"/>
      <c r="C309" s="142"/>
      <c r="D309" s="82" t="str">
        <f>IFERROR(VLOOKUP($C309,Code!$H:$K,2,FALSE),"")</f>
        <v/>
      </c>
      <c r="E309" s="83" t="str">
        <f>IFERROR(VLOOKUP($C309,Code!$H:$K,3,FALSE),"")</f>
        <v/>
      </c>
      <c r="F309" s="84" t="str">
        <f>IFERROR(VLOOKUP($C309,Code!$H:$K,4,FALSE),"")</f>
        <v/>
      </c>
      <c r="G309" s="128">
        <f>_xlfn.IFNA(((VLOOKUP($C309,Code!$H:$Q,9,FALSE))+(VLOOKUP($C309,Code!$H:$Q,10,FALSE)))/2*0.5/(((VLOOKUP($C309,Code!$H:$Q,7,FALSE))+(VLOOKUP($C309,Code!$H:$Q,8,FALSE)))/2),0)</f>
        <v>0</v>
      </c>
      <c r="H309" s="87" t="str">
        <f t="shared" si="40"/>
        <v/>
      </c>
      <c r="I309" s="128">
        <f>_xlfn.IFNA((VLOOKUP($C309,Code!$H:$Q,5,FALSE))/(((VLOOKUP($C309,Code!$H:$Q,7,FALSE))+(VLOOKUP($C309,Code!$H:$Q,8,FALSE)))/2)-G309,0)</f>
        <v>0</v>
      </c>
      <c r="J309" s="55" t="str">
        <f>IFERROR(POWER((VLOOKUP(C309,Code!H:W,12,FALSE))/(VLOOKUP(C309,Code!H:W,15,FALSE)),1/(P309-1))-1,"")</f>
        <v/>
      </c>
      <c r="K309" s="55" t="str">
        <f>IFERROR(POWER((VLOOKUP(C309,Code!H:W,13,FALSE))/(VLOOKUP(C309,Code!H:W,16,FALSE)),1/(P309-1))-1,"")</f>
        <v/>
      </c>
      <c r="L309" s="75" t="str">
        <f>IFERROR(VLOOKUP(C309,Code!H:W,13,FALSE)*4/VLOOKUP(C309,Code!H:W,12,FALSE),"")</f>
        <v/>
      </c>
      <c r="M309" s="55" t="str">
        <f t="shared" si="41"/>
        <v/>
      </c>
      <c r="N309" s="55" t="str">
        <f t="shared" si="42"/>
        <v/>
      </c>
      <c r="O309" s="55" t="str">
        <f t="shared" si="43"/>
        <v/>
      </c>
      <c r="P309" s="196" t="str">
        <f>IFERROR(YEARFRAC(VLOOKUP(C309,Code!H:W,11,FALSE),VLOOKUP(C309,Code!H:W,14,FALSE),3),"")</f>
        <v/>
      </c>
      <c r="Q309" s="2"/>
      <c r="R309" s="85" t="str">
        <f t="shared" ca="1" si="44"/>
        <v/>
      </c>
      <c r="S309" s="86" t="str">
        <f>IFERROR(VLOOKUP($C309,Code!$H:$Q,5,FALSE),"")</f>
        <v/>
      </c>
      <c r="T309" s="88" t="str">
        <f t="shared" ca="1" si="45"/>
        <v/>
      </c>
      <c r="U309" s="89" t="str">
        <f t="shared" ca="1" si="46"/>
        <v/>
      </c>
      <c r="V309" s="90" t="str">
        <f>IFERROR(VLOOKUP($C309,Code!$H:$Q,6,FALSE),"")</f>
        <v/>
      </c>
      <c r="W309" s="91" t="str">
        <f t="shared" ca="1" si="47"/>
        <v/>
      </c>
      <c r="X309" s="12"/>
      <c r="Y309" s="12"/>
      <c r="Z309" s="12"/>
      <c r="AA309" s="12"/>
      <c r="AB309" s="12"/>
    </row>
    <row r="310" spans="1:28" s="10" customFormat="1" ht="15" hidden="1">
      <c r="A310" s="9"/>
      <c r="B310" s="137"/>
      <c r="C310" s="142"/>
      <c r="D310" s="82" t="str">
        <f>IFERROR(VLOOKUP($C310,Code!$H:$K,2,FALSE),"")</f>
        <v/>
      </c>
      <c r="E310" s="83" t="str">
        <f>IFERROR(VLOOKUP($C310,Code!$H:$K,3,FALSE),"")</f>
        <v/>
      </c>
      <c r="F310" s="84" t="str">
        <f>IFERROR(VLOOKUP($C310,Code!$H:$K,4,FALSE),"")</f>
        <v/>
      </c>
      <c r="G310" s="128">
        <f>_xlfn.IFNA(((VLOOKUP($C310,Code!$H:$Q,9,FALSE))+(VLOOKUP($C310,Code!$H:$Q,10,FALSE)))/2*0.5/(((VLOOKUP($C310,Code!$H:$Q,7,FALSE))+(VLOOKUP($C310,Code!$H:$Q,8,FALSE)))/2),0)</f>
        <v>0</v>
      </c>
      <c r="H310" s="87" t="str">
        <f t="shared" si="40"/>
        <v/>
      </c>
      <c r="I310" s="128">
        <f>_xlfn.IFNA((VLOOKUP($C310,Code!$H:$Q,5,FALSE))/(((VLOOKUP($C310,Code!$H:$Q,7,FALSE))+(VLOOKUP($C310,Code!$H:$Q,8,FALSE)))/2)-G310,0)</f>
        <v>0</v>
      </c>
      <c r="J310" s="55" t="str">
        <f>IFERROR(POWER((VLOOKUP(C310,Code!H:W,12,FALSE))/(VLOOKUP(C310,Code!H:W,15,FALSE)),1/(P310-1))-1,"")</f>
        <v/>
      </c>
      <c r="K310" s="55" t="str">
        <f>IFERROR(POWER((VLOOKUP(C310,Code!H:W,13,FALSE))/(VLOOKUP(C310,Code!H:W,16,FALSE)),1/(P310-1))-1,"")</f>
        <v/>
      </c>
      <c r="L310" s="75" t="str">
        <f>IFERROR(VLOOKUP(C310,Code!H:W,13,FALSE)*4/VLOOKUP(C310,Code!H:W,12,FALSE),"")</f>
        <v/>
      </c>
      <c r="M310" s="55" t="str">
        <f t="shared" si="41"/>
        <v/>
      </c>
      <c r="N310" s="55" t="str">
        <f t="shared" si="42"/>
        <v/>
      </c>
      <c r="O310" s="55" t="str">
        <f t="shared" si="43"/>
        <v/>
      </c>
      <c r="P310" s="196" t="str">
        <f>IFERROR(YEARFRAC(VLOOKUP(C310,Code!H:W,11,FALSE),VLOOKUP(C310,Code!H:W,14,FALSE),3),"")</f>
        <v/>
      </c>
      <c r="Q310" s="2"/>
      <c r="R310" s="85" t="str">
        <f t="shared" ca="1" si="44"/>
        <v/>
      </c>
      <c r="S310" s="86" t="str">
        <f>IFERROR(VLOOKUP($C310,Code!$H:$Q,5,FALSE),"")</f>
        <v/>
      </c>
      <c r="T310" s="88" t="str">
        <f t="shared" ca="1" si="45"/>
        <v/>
      </c>
      <c r="U310" s="89" t="str">
        <f t="shared" ca="1" si="46"/>
        <v/>
      </c>
      <c r="V310" s="90" t="str">
        <f>IFERROR(VLOOKUP($C310,Code!$H:$Q,6,FALSE),"")</f>
        <v/>
      </c>
      <c r="W310" s="91" t="str">
        <f t="shared" ca="1" si="47"/>
        <v/>
      </c>
      <c r="X310" s="12"/>
      <c r="Y310" s="12"/>
      <c r="Z310" s="12"/>
      <c r="AA310" s="12"/>
      <c r="AB310" s="12"/>
    </row>
    <row r="311" spans="1:28" s="10" customFormat="1" ht="15" hidden="1">
      <c r="A311" s="9"/>
      <c r="B311" s="137"/>
      <c r="C311" s="142"/>
      <c r="D311" s="82" t="str">
        <f>IFERROR(VLOOKUP($C311,Code!$H:$K,2,FALSE),"")</f>
        <v/>
      </c>
      <c r="E311" s="83" t="str">
        <f>IFERROR(VLOOKUP($C311,Code!$H:$K,3,FALSE),"")</f>
        <v/>
      </c>
      <c r="F311" s="84" t="str">
        <f>IFERROR(VLOOKUP($C311,Code!$H:$K,4,FALSE),"")</f>
        <v/>
      </c>
      <c r="G311" s="128">
        <f>_xlfn.IFNA(((VLOOKUP($C311,Code!$H:$Q,9,FALSE))+(VLOOKUP($C311,Code!$H:$Q,10,FALSE)))/2*0.5/(((VLOOKUP($C311,Code!$H:$Q,7,FALSE))+(VLOOKUP($C311,Code!$H:$Q,8,FALSE)))/2),0)</f>
        <v>0</v>
      </c>
      <c r="H311" s="87" t="str">
        <f t="shared" si="40"/>
        <v/>
      </c>
      <c r="I311" s="128">
        <f>_xlfn.IFNA((VLOOKUP($C311,Code!$H:$Q,5,FALSE))/(((VLOOKUP($C311,Code!$H:$Q,7,FALSE))+(VLOOKUP($C311,Code!$H:$Q,8,FALSE)))/2)-G311,0)</f>
        <v>0</v>
      </c>
      <c r="J311" s="55" t="str">
        <f>IFERROR(POWER((VLOOKUP(C311,Code!H:W,12,FALSE))/(VLOOKUP(C311,Code!H:W,15,FALSE)),1/(P311-1))-1,"")</f>
        <v/>
      </c>
      <c r="K311" s="55" t="str">
        <f>IFERROR(POWER((VLOOKUP(C311,Code!H:W,13,FALSE))/(VLOOKUP(C311,Code!H:W,16,FALSE)),1/(P311-1))-1,"")</f>
        <v/>
      </c>
      <c r="L311" s="75" t="str">
        <f>IFERROR(VLOOKUP(C311,Code!H:W,13,FALSE)*4/VLOOKUP(C311,Code!H:W,12,FALSE),"")</f>
        <v/>
      </c>
      <c r="M311" s="55" t="str">
        <f t="shared" si="41"/>
        <v/>
      </c>
      <c r="N311" s="55" t="str">
        <f t="shared" si="42"/>
        <v/>
      </c>
      <c r="O311" s="55" t="str">
        <f t="shared" si="43"/>
        <v/>
      </c>
      <c r="P311" s="196" t="str">
        <f>IFERROR(YEARFRAC(VLOOKUP(C311,Code!H:W,11,FALSE),VLOOKUP(C311,Code!H:W,14,FALSE),3),"")</f>
        <v/>
      </c>
      <c r="Q311" s="2"/>
      <c r="R311" s="85" t="str">
        <f t="shared" ca="1" si="44"/>
        <v/>
      </c>
      <c r="S311" s="86" t="str">
        <f>IFERROR(VLOOKUP($C311,Code!$H:$Q,5,FALSE),"")</f>
        <v/>
      </c>
      <c r="T311" s="88" t="str">
        <f t="shared" ca="1" si="45"/>
        <v/>
      </c>
      <c r="U311" s="89" t="str">
        <f t="shared" ca="1" si="46"/>
        <v/>
      </c>
      <c r="V311" s="90" t="str">
        <f>IFERROR(VLOOKUP($C311,Code!$H:$Q,6,FALSE),"")</f>
        <v/>
      </c>
      <c r="W311" s="91" t="str">
        <f t="shared" ca="1" si="47"/>
        <v/>
      </c>
      <c r="X311" s="12"/>
      <c r="Y311" s="12"/>
      <c r="Z311" s="12"/>
      <c r="AA311" s="12"/>
      <c r="AB311" s="12"/>
    </row>
    <row r="312" spans="1:28" s="10" customFormat="1" ht="15" hidden="1">
      <c r="A312" s="9"/>
      <c r="B312" s="137"/>
      <c r="C312" s="142"/>
      <c r="D312" s="82" t="str">
        <f>IFERROR(VLOOKUP($C312,Code!$H:$K,2,FALSE),"")</f>
        <v/>
      </c>
      <c r="E312" s="83" t="str">
        <f>IFERROR(VLOOKUP($C312,Code!$H:$K,3,FALSE),"")</f>
        <v/>
      </c>
      <c r="F312" s="84" t="str">
        <f>IFERROR(VLOOKUP($C312,Code!$H:$K,4,FALSE),"")</f>
        <v/>
      </c>
      <c r="G312" s="128">
        <f>_xlfn.IFNA(((VLOOKUP($C312,Code!$H:$Q,9,FALSE))+(VLOOKUP($C312,Code!$H:$Q,10,FALSE)))/2*0.5/(((VLOOKUP($C312,Code!$H:$Q,7,FALSE))+(VLOOKUP($C312,Code!$H:$Q,8,FALSE)))/2),0)</f>
        <v>0</v>
      </c>
      <c r="H312" s="87" t="str">
        <f t="shared" si="40"/>
        <v/>
      </c>
      <c r="I312" s="128">
        <f>_xlfn.IFNA((VLOOKUP($C312,Code!$H:$Q,5,FALSE))/(((VLOOKUP($C312,Code!$H:$Q,7,FALSE))+(VLOOKUP($C312,Code!$H:$Q,8,FALSE)))/2)-G312,0)</f>
        <v>0</v>
      </c>
      <c r="J312" s="55" t="str">
        <f>IFERROR(POWER((VLOOKUP(C312,Code!H:W,12,FALSE))/(VLOOKUP(C312,Code!H:W,15,FALSE)),1/(P312-1))-1,"")</f>
        <v/>
      </c>
      <c r="K312" s="55" t="str">
        <f>IFERROR(POWER((VLOOKUP(C312,Code!H:W,13,FALSE))/(VLOOKUP(C312,Code!H:W,16,FALSE)),1/(P312-1))-1,"")</f>
        <v/>
      </c>
      <c r="L312" s="75" t="str">
        <f>IFERROR(VLOOKUP(C312,Code!H:W,13,FALSE)*4/VLOOKUP(C312,Code!H:W,12,FALSE),"")</f>
        <v/>
      </c>
      <c r="M312" s="55" t="str">
        <f t="shared" si="41"/>
        <v/>
      </c>
      <c r="N312" s="55" t="str">
        <f t="shared" si="42"/>
        <v/>
      </c>
      <c r="O312" s="55" t="str">
        <f t="shared" si="43"/>
        <v/>
      </c>
      <c r="P312" s="196" t="str">
        <f>IFERROR(YEARFRAC(VLOOKUP(C312,Code!H:W,11,FALSE),VLOOKUP(C312,Code!H:W,14,FALSE),3),"")</f>
        <v/>
      </c>
      <c r="Q312" s="2"/>
      <c r="R312" s="85" t="str">
        <f t="shared" ca="1" si="44"/>
        <v/>
      </c>
      <c r="S312" s="86" t="str">
        <f>IFERROR(VLOOKUP($C312,Code!$H:$Q,5,FALSE),"")</f>
        <v/>
      </c>
      <c r="T312" s="88" t="str">
        <f t="shared" ca="1" si="45"/>
        <v/>
      </c>
      <c r="U312" s="89" t="str">
        <f t="shared" ca="1" si="46"/>
        <v/>
      </c>
      <c r="V312" s="90" t="str">
        <f>IFERROR(VLOOKUP($C312,Code!$H:$Q,6,FALSE),"")</f>
        <v/>
      </c>
      <c r="W312" s="91" t="str">
        <f t="shared" ca="1" si="47"/>
        <v/>
      </c>
      <c r="X312" s="12"/>
      <c r="Y312" s="12"/>
      <c r="Z312" s="12"/>
      <c r="AA312" s="12"/>
      <c r="AB312" s="12"/>
    </row>
    <row r="313" spans="1:28" s="10" customFormat="1" ht="15" hidden="1">
      <c r="A313" s="9"/>
      <c r="B313" s="137"/>
      <c r="C313" s="142"/>
      <c r="D313" s="82" t="str">
        <f>IFERROR(VLOOKUP($C313,Code!$H:$K,2,FALSE),"")</f>
        <v/>
      </c>
      <c r="E313" s="83" t="str">
        <f>IFERROR(VLOOKUP($C313,Code!$H:$K,3,FALSE),"")</f>
        <v/>
      </c>
      <c r="F313" s="84" t="str">
        <f>IFERROR(VLOOKUP($C313,Code!$H:$K,4,FALSE),"")</f>
        <v/>
      </c>
      <c r="G313" s="128">
        <f>_xlfn.IFNA(((VLOOKUP($C313,Code!$H:$Q,9,FALSE))+(VLOOKUP($C313,Code!$H:$Q,10,FALSE)))/2*0.5/(((VLOOKUP($C313,Code!$H:$Q,7,FALSE))+(VLOOKUP($C313,Code!$H:$Q,8,FALSE)))/2),0)</f>
        <v>0</v>
      </c>
      <c r="H313" s="87" t="str">
        <f t="shared" si="40"/>
        <v/>
      </c>
      <c r="I313" s="128">
        <f>_xlfn.IFNA((VLOOKUP($C313,Code!$H:$Q,5,FALSE))/(((VLOOKUP($C313,Code!$H:$Q,7,FALSE))+(VLOOKUP($C313,Code!$H:$Q,8,FALSE)))/2)-G313,0)</f>
        <v>0</v>
      </c>
      <c r="J313" s="55" t="str">
        <f>IFERROR(POWER((VLOOKUP(C313,Code!H:W,12,FALSE))/(VLOOKUP(C313,Code!H:W,15,FALSE)),1/(P313-1))-1,"")</f>
        <v/>
      </c>
      <c r="K313" s="55" t="str">
        <f>IFERROR(POWER((VLOOKUP(C313,Code!H:W,13,FALSE))/(VLOOKUP(C313,Code!H:W,16,FALSE)),1/(P313-1))-1,"")</f>
        <v/>
      </c>
      <c r="L313" s="75" t="str">
        <f>IFERROR(VLOOKUP(C313,Code!H:W,13,FALSE)*4/VLOOKUP(C313,Code!H:W,12,FALSE),"")</f>
        <v/>
      </c>
      <c r="M313" s="55" t="str">
        <f t="shared" si="41"/>
        <v/>
      </c>
      <c r="N313" s="55" t="str">
        <f t="shared" si="42"/>
        <v/>
      </c>
      <c r="O313" s="55" t="str">
        <f t="shared" si="43"/>
        <v/>
      </c>
      <c r="P313" s="196" t="str">
        <f>IFERROR(YEARFRAC(VLOOKUP(C313,Code!H:W,11,FALSE),VLOOKUP(C313,Code!H:W,14,FALSE),3),"")</f>
        <v/>
      </c>
      <c r="Q313" s="2"/>
      <c r="R313" s="85" t="str">
        <f t="shared" ca="1" si="44"/>
        <v/>
      </c>
      <c r="S313" s="86" t="str">
        <f>IFERROR(VLOOKUP($C313,Code!$H:$Q,5,FALSE),"")</f>
        <v/>
      </c>
      <c r="T313" s="88" t="str">
        <f t="shared" ca="1" si="45"/>
        <v/>
      </c>
      <c r="U313" s="89" t="str">
        <f t="shared" ca="1" si="46"/>
        <v/>
      </c>
      <c r="V313" s="90" t="str">
        <f>IFERROR(VLOOKUP($C313,Code!$H:$Q,6,FALSE),"")</f>
        <v/>
      </c>
      <c r="W313" s="91" t="str">
        <f t="shared" ca="1" si="47"/>
        <v/>
      </c>
      <c r="X313" s="12"/>
      <c r="Y313" s="12"/>
      <c r="Z313" s="12"/>
      <c r="AA313" s="12"/>
      <c r="AB313" s="12"/>
    </row>
    <row r="314" spans="1:28" s="10" customFormat="1" ht="15" hidden="1">
      <c r="A314" s="9"/>
      <c r="B314" s="137"/>
      <c r="C314" s="142"/>
      <c r="D314" s="82" t="str">
        <f>IFERROR(VLOOKUP($C314,Code!$H:$K,2,FALSE),"")</f>
        <v/>
      </c>
      <c r="E314" s="83" t="str">
        <f>IFERROR(VLOOKUP($C314,Code!$H:$K,3,FALSE),"")</f>
        <v/>
      </c>
      <c r="F314" s="84" t="str">
        <f>IFERROR(VLOOKUP($C314,Code!$H:$K,4,FALSE),"")</f>
        <v/>
      </c>
      <c r="G314" s="128">
        <f>_xlfn.IFNA(((VLOOKUP($C314,Code!$H:$Q,9,FALSE))+(VLOOKUP($C314,Code!$H:$Q,10,FALSE)))/2*0.5/(((VLOOKUP($C314,Code!$H:$Q,7,FALSE))+(VLOOKUP($C314,Code!$H:$Q,8,FALSE)))/2),0)</f>
        <v>0</v>
      </c>
      <c r="H314" s="87" t="str">
        <f t="shared" si="40"/>
        <v/>
      </c>
      <c r="I314" s="128">
        <f>_xlfn.IFNA((VLOOKUP($C314,Code!$H:$Q,5,FALSE))/(((VLOOKUP($C314,Code!$H:$Q,7,FALSE))+(VLOOKUP($C314,Code!$H:$Q,8,FALSE)))/2)-G314,0)</f>
        <v>0</v>
      </c>
      <c r="J314" s="55" t="str">
        <f>IFERROR(POWER((VLOOKUP(C314,Code!H:W,12,FALSE))/(VLOOKUP(C314,Code!H:W,15,FALSE)),1/(P314-1))-1,"")</f>
        <v/>
      </c>
      <c r="K314" s="55" t="str">
        <f>IFERROR(POWER((VLOOKUP(C314,Code!H:W,13,FALSE))/(VLOOKUP(C314,Code!H:W,16,FALSE)),1/(P314-1))-1,"")</f>
        <v/>
      </c>
      <c r="L314" s="75" t="str">
        <f>IFERROR(VLOOKUP(C314,Code!H:W,13,FALSE)*4/VLOOKUP(C314,Code!H:W,12,FALSE),"")</f>
        <v/>
      </c>
      <c r="M314" s="55" t="str">
        <f t="shared" si="41"/>
        <v/>
      </c>
      <c r="N314" s="55" t="str">
        <f t="shared" si="42"/>
        <v/>
      </c>
      <c r="O314" s="55" t="str">
        <f t="shared" si="43"/>
        <v/>
      </c>
      <c r="P314" s="196" t="str">
        <f>IFERROR(YEARFRAC(VLOOKUP(C314,Code!H:W,11,FALSE),VLOOKUP(C314,Code!H:W,14,FALSE),3),"")</f>
        <v/>
      </c>
      <c r="Q314" s="2"/>
      <c r="R314" s="85" t="str">
        <f t="shared" ca="1" si="44"/>
        <v/>
      </c>
      <c r="S314" s="86" t="str">
        <f>IFERROR(VLOOKUP($C314,Code!$H:$Q,5,FALSE),"")</f>
        <v/>
      </c>
      <c r="T314" s="88" t="str">
        <f t="shared" ca="1" si="45"/>
        <v/>
      </c>
      <c r="U314" s="89" t="str">
        <f t="shared" ca="1" si="46"/>
        <v/>
      </c>
      <c r="V314" s="90" t="str">
        <f>IFERROR(VLOOKUP($C314,Code!$H:$Q,6,FALSE),"")</f>
        <v/>
      </c>
      <c r="W314" s="91" t="str">
        <f t="shared" ca="1" si="47"/>
        <v/>
      </c>
      <c r="X314" s="12"/>
      <c r="Y314" s="12"/>
      <c r="Z314" s="12"/>
      <c r="AA314" s="12"/>
      <c r="AB314" s="12"/>
    </row>
    <row r="315" spans="1:28" s="10" customFormat="1" ht="15" hidden="1">
      <c r="A315" s="9"/>
      <c r="B315" s="137"/>
      <c r="C315" s="142"/>
      <c r="D315" s="82" t="str">
        <f>IFERROR(VLOOKUP($C315,Code!$H:$K,2,FALSE),"")</f>
        <v/>
      </c>
      <c r="E315" s="83" t="str">
        <f>IFERROR(VLOOKUP($C315,Code!$H:$K,3,FALSE),"")</f>
        <v/>
      </c>
      <c r="F315" s="84" t="str">
        <f>IFERROR(VLOOKUP($C315,Code!$H:$K,4,FALSE),"")</f>
        <v/>
      </c>
      <c r="G315" s="128">
        <f>_xlfn.IFNA(((VLOOKUP($C315,Code!$H:$Q,9,FALSE))+(VLOOKUP($C315,Code!$H:$Q,10,FALSE)))/2*0.5/(((VLOOKUP($C315,Code!$H:$Q,7,FALSE))+(VLOOKUP($C315,Code!$H:$Q,8,FALSE)))/2),0)</f>
        <v>0</v>
      </c>
      <c r="H315" s="87" t="str">
        <f t="shared" si="40"/>
        <v/>
      </c>
      <c r="I315" s="128">
        <f>_xlfn.IFNA((VLOOKUP($C315,Code!$H:$Q,5,FALSE))/(((VLOOKUP($C315,Code!$H:$Q,7,FALSE))+(VLOOKUP($C315,Code!$H:$Q,8,FALSE)))/2)-G315,0)</f>
        <v>0</v>
      </c>
      <c r="J315" s="55" t="str">
        <f>IFERROR(POWER((VLOOKUP(C315,Code!H:W,12,FALSE))/(VLOOKUP(C315,Code!H:W,15,FALSE)),1/(P315-1))-1,"")</f>
        <v/>
      </c>
      <c r="K315" s="55" t="str">
        <f>IFERROR(POWER((VLOOKUP(C315,Code!H:W,13,FALSE))/(VLOOKUP(C315,Code!H:W,16,FALSE)),1/(P315-1))-1,"")</f>
        <v/>
      </c>
      <c r="L315" s="75" t="str">
        <f>IFERROR(VLOOKUP(C315,Code!H:W,13,FALSE)*4/VLOOKUP(C315,Code!H:W,12,FALSE),"")</f>
        <v/>
      </c>
      <c r="M315" s="55" t="str">
        <f t="shared" si="41"/>
        <v/>
      </c>
      <c r="N315" s="55" t="str">
        <f t="shared" si="42"/>
        <v/>
      </c>
      <c r="O315" s="55" t="str">
        <f t="shared" si="43"/>
        <v/>
      </c>
      <c r="P315" s="196" t="str">
        <f>IFERROR(YEARFRAC(VLOOKUP(C315,Code!H:W,11,FALSE),VLOOKUP(C315,Code!H:W,14,FALSE),3),"")</f>
        <v/>
      </c>
      <c r="Q315" s="2"/>
      <c r="R315" s="85" t="str">
        <f t="shared" ca="1" si="44"/>
        <v/>
      </c>
      <c r="S315" s="86" t="str">
        <f>IFERROR(VLOOKUP($C315,Code!$H:$Q,5,FALSE),"")</f>
        <v/>
      </c>
      <c r="T315" s="88" t="str">
        <f t="shared" ca="1" si="45"/>
        <v/>
      </c>
      <c r="U315" s="89" t="str">
        <f t="shared" ca="1" si="46"/>
        <v/>
      </c>
      <c r="V315" s="90" t="str">
        <f>IFERROR(VLOOKUP($C315,Code!$H:$Q,6,FALSE),"")</f>
        <v/>
      </c>
      <c r="W315" s="91" t="str">
        <f t="shared" ca="1" si="47"/>
        <v/>
      </c>
      <c r="X315" s="12"/>
      <c r="Y315" s="12"/>
      <c r="Z315" s="12"/>
      <c r="AA315" s="12"/>
      <c r="AB315" s="12"/>
    </row>
    <row r="316" spans="1:28" s="10" customFormat="1" ht="15" hidden="1">
      <c r="A316" s="9"/>
      <c r="B316" s="137"/>
      <c r="C316" s="142"/>
      <c r="D316" s="82" t="str">
        <f>IFERROR(VLOOKUP($C316,Code!$H:$K,2,FALSE),"")</f>
        <v/>
      </c>
      <c r="E316" s="83" t="str">
        <f>IFERROR(VLOOKUP($C316,Code!$H:$K,3,FALSE),"")</f>
        <v/>
      </c>
      <c r="F316" s="84" t="str">
        <f>IFERROR(VLOOKUP($C316,Code!$H:$K,4,FALSE),"")</f>
        <v/>
      </c>
      <c r="G316" s="128">
        <f>_xlfn.IFNA(((VLOOKUP($C316,Code!$H:$Q,9,FALSE))+(VLOOKUP($C316,Code!$H:$Q,10,FALSE)))/2*0.5/(((VLOOKUP($C316,Code!$H:$Q,7,FALSE))+(VLOOKUP($C316,Code!$H:$Q,8,FALSE)))/2),0)</f>
        <v>0</v>
      </c>
      <c r="H316" s="87" t="str">
        <f t="shared" si="40"/>
        <v/>
      </c>
      <c r="I316" s="128">
        <f>_xlfn.IFNA((VLOOKUP($C316,Code!$H:$Q,5,FALSE))/(((VLOOKUP($C316,Code!$H:$Q,7,FALSE))+(VLOOKUP($C316,Code!$H:$Q,8,FALSE)))/2)-G316,0)</f>
        <v>0</v>
      </c>
      <c r="J316" s="55" t="str">
        <f>IFERROR(POWER((VLOOKUP(C316,Code!H:W,12,FALSE))/(VLOOKUP(C316,Code!H:W,15,FALSE)),1/(P316-1))-1,"")</f>
        <v/>
      </c>
      <c r="K316" s="55" t="str">
        <f>IFERROR(POWER((VLOOKUP(C316,Code!H:W,13,FALSE))/(VLOOKUP(C316,Code!H:W,16,FALSE)),1/(P316-1))-1,"")</f>
        <v/>
      </c>
      <c r="L316" s="75" t="str">
        <f>IFERROR(VLOOKUP(C316,Code!H:W,13,FALSE)*4/VLOOKUP(C316,Code!H:W,12,FALSE),"")</f>
        <v/>
      </c>
      <c r="M316" s="55" t="str">
        <f t="shared" si="41"/>
        <v/>
      </c>
      <c r="N316" s="55" t="str">
        <f t="shared" si="42"/>
        <v/>
      </c>
      <c r="O316" s="55" t="str">
        <f t="shared" si="43"/>
        <v/>
      </c>
      <c r="P316" s="196" t="str">
        <f>IFERROR(YEARFRAC(VLOOKUP(C316,Code!H:W,11,FALSE),VLOOKUP(C316,Code!H:W,14,FALSE),3),"")</f>
        <v/>
      </c>
      <c r="Q316" s="2"/>
      <c r="R316" s="85" t="str">
        <f t="shared" ca="1" si="44"/>
        <v/>
      </c>
      <c r="S316" s="86" t="str">
        <f>IFERROR(VLOOKUP($C316,Code!$H:$Q,5,FALSE),"")</f>
        <v/>
      </c>
      <c r="T316" s="88" t="str">
        <f t="shared" ca="1" si="45"/>
        <v/>
      </c>
      <c r="U316" s="89" t="str">
        <f t="shared" ca="1" si="46"/>
        <v/>
      </c>
      <c r="V316" s="90" t="str">
        <f>IFERROR(VLOOKUP($C316,Code!$H:$Q,6,FALSE),"")</f>
        <v/>
      </c>
      <c r="W316" s="91" t="str">
        <f t="shared" ca="1" si="47"/>
        <v/>
      </c>
      <c r="X316" s="12"/>
      <c r="Y316" s="12"/>
      <c r="Z316" s="12"/>
      <c r="AA316" s="12"/>
      <c r="AB316" s="12"/>
    </row>
    <row r="317" spans="1:28" s="10" customFormat="1" ht="15" hidden="1">
      <c r="A317" s="9"/>
      <c r="B317" s="137"/>
      <c r="C317" s="142"/>
      <c r="D317" s="82" t="str">
        <f>IFERROR(VLOOKUP($C317,Code!$H:$K,2,FALSE),"")</f>
        <v/>
      </c>
      <c r="E317" s="83" t="str">
        <f>IFERROR(VLOOKUP($C317,Code!$H:$K,3,FALSE),"")</f>
        <v/>
      </c>
      <c r="F317" s="84" t="str">
        <f>IFERROR(VLOOKUP($C317,Code!$H:$K,4,FALSE),"")</f>
        <v/>
      </c>
      <c r="G317" s="128">
        <f>_xlfn.IFNA(((VLOOKUP($C317,Code!$H:$Q,9,FALSE))+(VLOOKUP($C317,Code!$H:$Q,10,FALSE)))/2*0.5/(((VLOOKUP($C317,Code!$H:$Q,7,FALSE))+(VLOOKUP($C317,Code!$H:$Q,8,FALSE)))/2),0)</f>
        <v>0</v>
      </c>
      <c r="H317" s="87" t="str">
        <f t="shared" si="40"/>
        <v/>
      </c>
      <c r="I317" s="128">
        <f>_xlfn.IFNA((VLOOKUP($C317,Code!$H:$Q,5,FALSE))/(((VLOOKUP($C317,Code!$H:$Q,7,FALSE))+(VLOOKUP($C317,Code!$H:$Q,8,FALSE)))/2)-G317,0)</f>
        <v>0</v>
      </c>
      <c r="J317" s="55" t="str">
        <f>IFERROR(POWER((VLOOKUP(C317,Code!H:W,12,FALSE))/(VLOOKUP(C317,Code!H:W,15,FALSE)),1/(P317-1))-1,"")</f>
        <v/>
      </c>
      <c r="K317" s="55" t="str">
        <f>IFERROR(POWER((VLOOKUP(C317,Code!H:W,13,FALSE))/(VLOOKUP(C317,Code!H:W,16,FALSE)),1/(P317-1))-1,"")</f>
        <v/>
      </c>
      <c r="L317" s="75" t="str">
        <f>IFERROR(VLOOKUP(C317,Code!H:W,13,FALSE)*4/VLOOKUP(C317,Code!H:W,12,FALSE),"")</f>
        <v/>
      </c>
      <c r="M317" s="55" t="str">
        <f t="shared" si="41"/>
        <v/>
      </c>
      <c r="N317" s="55" t="str">
        <f t="shared" si="42"/>
        <v/>
      </c>
      <c r="O317" s="55" t="str">
        <f t="shared" si="43"/>
        <v/>
      </c>
      <c r="P317" s="196" t="str">
        <f>IFERROR(YEARFRAC(VLOOKUP(C317,Code!H:W,11,FALSE),VLOOKUP(C317,Code!H:W,14,FALSE),3),"")</f>
        <v/>
      </c>
      <c r="Q317" s="2"/>
      <c r="R317" s="85" t="str">
        <f t="shared" ca="1" si="44"/>
        <v/>
      </c>
      <c r="S317" s="86" t="str">
        <f>IFERROR(VLOOKUP($C317,Code!$H:$Q,5,FALSE),"")</f>
        <v/>
      </c>
      <c r="T317" s="88" t="str">
        <f t="shared" ca="1" si="45"/>
        <v/>
      </c>
      <c r="U317" s="89" t="str">
        <f t="shared" ca="1" si="46"/>
        <v/>
      </c>
      <c r="V317" s="90" t="str">
        <f>IFERROR(VLOOKUP($C317,Code!$H:$Q,6,FALSE),"")</f>
        <v/>
      </c>
      <c r="W317" s="91" t="str">
        <f t="shared" ca="1" si="47"/>
        <v/>
      </c>
      <c r="X317" s="12"/>
      <c r="Y317" s="12"/>
      <c r="Z317" s="12"/>
      <c r="AA317" s="12"/>
      <c r="AB317" s="12"/>
    </row>
    <row r="318" spans="1:28" s="10" customFormat="1" ht="15" hidden="1">
      <c r="A318" s="9"/>
      <c r="B318" s="137"/>
      <c r="C318" s="142"/>
      <c r="D318" s="82" t="str">
        <f>IFERROR(VLOOKUP($C318,Code!$H:$K,2,FALSE),"")</f>
        <v/>
      </c>
      <c r="E318" s="83" t="str">
        <f>IFERROR(VLOOKUP($C318,Code!$H:$K,3,FALSE),"")</f>
        <v/>
      </c>
      <c r="F318" s="84" t="str">
        <f>IFERROR(VLOOKUP($C318,Code!$H:$K,4,FALSE),"")</f>
        <v/>
      </c>
      <c r="G318" s="128">
        <f>_xlfn.IFNA(((VLOOKUP($C318,Code!$H:$Q,9,FALSE))+(VLOOKUP($C318,Code!$H:$Q,10,FALSE)))/2*0.5/(((VLOOKUP($C318,Code!$H:$Q,7,FALSE))+(VLOOKUP($C318,Code!$H:$Q,8,FALSE)))/2),0)</f>
        <v>0</v>
      </c>
      <c r="H318" s="87" t="str">
        <f t="shared" si="40"/>
        <v/>
      </c>
      <c r="I318" s="128">
        <f>_xlfn.IFNA((VLOOKUP($C318,Code!$H:$Q,5,FALSE))/(((VLOOKUP($C318,Code!$H:$Q,7,FALSE))+(VLOOKUP($C318,Code!$H:$Q,8,FALSE)))/2)-G318,0)</f>
        <v>0</v>
      </c>
      <c r="J318" s="55" t="str">
        <f>IFERROR(POWER((VLOOKUP(C318,Code!H:W,12,FALSE))/(VLOOKUP(C318,Code!H:W,15,FALSE)),1/(P318-1))-1,"")</f>
        <v/>
      </c>
      <c r="K318" s="55" t="str">
        <f>IFERROR(POWER((VLOOKUP(C318,Code!H:W,13,FALSE))/(VLOOKUP(C318,Code!H:W,16,FALSE)),1/(P318-1))-1,"")</f>
        <v/>
      </c>
      <c r="L318" s="75" t="str">
        <f>IFERROR(VLOOKUP(C318,Code!H:W,13,FALSE)*4/VLOOKUP(C318,Code!H:W,12,FALSE),"")</f>
        <v/>
      </c>
      <c r="M318" s="55" t="str">
        <f t="shared" si="41"/>
        <v/>
      </c>
      <c r="N318" s="55" t="str">
        <f t="shared" si="42"/>
        <v/>
      </c>
      <c r="O318" s="55" t="str">
        <f t="shared" si="43"/>
        <v/>
      </c>
      <c r="P318" s="196" t="str">
        <f>IFERROR(YEARFRAC(VLOOKUP(C318,Code!H:W,11,FALSE),VLOOKUP(C318,Code!H:W,14,FALSE),3),"")</f>
        <v/>
      </c>
      <c r="Q318" s="2"/>
      <c r="R318" s="85" t="str">
        <f t="shared" ca="1" si="44"/>
        <v/>
      </c>
      <c r="S318" s="86" t="str">
        <f>IFERROR(VLOOKUP($C318,Code!$H:$Q,5,FALSE),"")</f>
        <v/>
      </c>
      <c r="T318" s="88" t="str">
        <f t="shared" ca="1" si="45"/>
        <v/>
      </c>
      <c r="U318" s="89" t="str">
        <f t="shared" ca="1" si="46"/>
        <v/>
      </c>
      <c r="V318" s="90" t="str">
        <f>IFERROR(VLOOKUP($C318,Code!$H:$Q,6,FALSE),"")</f>
        <v/>
      </c>
      <c r="W318" s="91" t="str">
        <f t="shared" ca="1" si="47"/>
        <v/>
      </c>
      <c r="X318" s="12"/>
      <c r="Y318" s="12"/>
      <c r="Z318" s="12"/>
      <c r="AA318" s="12"/>
      <c r="AB318" s="12"/>
    </row>
    <row r="319" spans="1:28" s="10" customFormat="1" ht="15" hidden="1">
      <c r="A319" s="9"/>
      <c r="B319" s="137"/>
      <c r="C319" s="142"/>
      <c r="D319" s="82" t="str">
        <f>IFERROR(VLOOKUP($C319,Code!$H:$K,2,FALSE),"")</f>
        <v/>
      </c>
      <c r="E319" s="83" t="str">
        <f>IFERROR(VLOOKUP($C319,Code!$H:$K,3,FALSE),"")</f>
        <v/>
      </c>
      <c r="F319" s="84" t="str">
        <f>IFERROR(VLOOKUP($C319,Code!$H:$K,4,FALSE),"")</f>
        <v/>
      </c>
      <c r="G319" s="128">
        <f>_xlfn.IFNA(((VLOOKUP($C319,Code!$H:$Q,9,FALSE))+(VLOOKUP($C319,Code!$H:$Q,10,FALSE)))/2*0.5/(((VLOOKUP($C319,Code!$H:$Q,7,FALSE))+(VLOOKUP($C319,Code!$H:$Q,8,FALSE)))/2),0)</f>
        <v>0</v>
      </c>
      <c r="H319" s="87" t="str">
        <f t="shared" si="40"/>
        <v/>
      </c>
      <c r="I319" s="128">
        <f>_xlfn.IFNA((VLOOKUP($C319,Code!$H:$Q,5,FALSE))/(((VLOOKUP($C319,Code!$H:$Q,7,FALSE))+(VLOOKUP($C319,Code!$H:$Q,8,FALSE)))/2)-G319,0)</f>
        <v>0</v>
      </c>
      <c r="J319" s="55" t="str">
        <f>IFERROR(POWER((VLOOKUP(C319,Code!H:W,12,FALSE))/(VLOOKUP(C319,Code!H:W,15,FALSE)),1/(P319-1))-1,"")</f>
        <v/>
      </c>
      <c r="K319" s="55" t="str">
        <f>IFERROR(POWER((VLOOKUP(C319,Code!H:W,13,FALSE))/(VLOOKUP(C319,Code!H:W,16,FALSE)),1/(P319-1))-1,"")</f>
        <v/>
      </c>
      <c r="L319" s="75" t="str">
        <f>IFERROR(VLOOKUP(C319,Code!H:W,13,FALSE)*4/VLOOKUP(C319,Code!H:W,12,FALSE),"")</f>
        <v/>
      </c>
      <c r="M319" s="55" t="str">
        <f t="shared" si="41"/>
        <v/>
      </c>
      <c r="N319" s="55" t="str">
        <f t="shared" si="42"/>
        <v/>
      </c>
      <c r="O319" s="55" t="str">
        <f t="shared" si="43"/>
        <v/>
      </c>
      <c r="P319" s="196" t="str">
        <f>IFERROR(YEARFRAC(VLOOKUP(C319,Code!H:W,11,FALSE),VLOOKUP(C319,Code!H:W,14,FALSE),3),"")</f>
        <v/>
      </c>
      <c r="Q319" s="2"/>
      <c r="R319" s="85" t="str">
        <f t="shared" ca="1" si="44"/>
        <v/>
      </c>
      <c r="S319" s="86" t="str">
        <f>IFERROR(VLOOKUP($C319,Code!$H:$Q,5,FALSE),"")</f>
        <v/>
      </c>
      <c r="T319" s="88" t="str">
        <f t="shared" ca="1" si="45"/>
        <v/>
      </c>
      <c r="U319" s="89" t="str">
        <f t="shared" ca="1" si="46"/>
        <v/>
      </c>
      <c r="V319" s="90" t="str">
        <f>IFERROR(VLOOKUP($C319,Code!$H:$Q,6,FALSE),"")</f>
        <v/>
      </c>
      <c r="W319" s="91" t="str">
        <f t="shared" ca="1" si="47"/>
        <v/>
      </c>
      <c r="X319" s="12"/>
      <c r="Y319" s="12"/>
      <c r="Z319" s="12"/>
      <c r="AA319" s="12"/>
      <c r="AB319" s="12"/>
    </row>
    <row r="320" spans="1:28" s="10" customFormat="1" ht="15" hidden="1">
      <c r="A320" s="9"/>
      <c r="B320" s="137"/>
      <c r="C320" s="142"/>
      <c r="D320" s="82" t="str">
        <f>IFERROR(VLOOKUP($C320,Code!$H:$K,2,FALSE),"")</f>
        <v/>
      </c>
      <c r="E320" s="83" t="str">
        <f>IFERROR(VLOOKUP($C320,Code!$H:$K,3,FALSE),"")</f>
        <v/>
      </c>
      <c r="F320" s="84" t="str">
        <f>IFERROR(VLOOKUP($C320,Code!$H:$K,4,FALSE),"")</f>
        <v/>
      </c>
      <c r="G320" s="128">
        <f>_xlfn.IFNA(((VLOOKUP($C320,Code!$H:$Q,9,FALSE))+(VLOOKUP($C320,Code!$H:$Q,10,FALSE)))/2*0.5/(((VLOOKUP($C320,Code!$H:$Q,7,FALSE))+(VLOOKUP($C320,Code!$H:$Q,8,FALSE)))/2),0)</f>
        <v>0</v>
      </c>
      <c r="H320" s="87" t="str">
        <f t="shared" si="40"/>
        <v/>
      </c>
      <c r="I320" s="128">
        <f>_xlfn.IFNA((VLOOKUP($C320,Code!$H:$Q,5,FALSE))/(((VLOOKUP($C320,Code!$H:$Q,7,FALSE))+(VLOOKUP($C320,Code!$H:$Q,8,FALSE)))/2)-G320,0)</f>
        <v>0</v>
      </c>
      <c r="J320" s="55" t="str">
        <f>IFERROR(POWER((VLOOKUP(C320,Code!H:W,12,FALSE))/(VLOOKUP(C320,Code!H:W,15,FALSE)),1/(P320-1))-1,"")</f>
        <v/>
      </c>
      <c r="K320" s="55" t="str">
        <f>IFERROR(POWER((VLOOKUP(C320,Code!H:W,13,FALSE))/(VLOOKUP(C320,Code!H:W,16,FALSE)),1/(P320-1))-1,"")</f>
        <v/>
      </c>
      <c r="L320" s="75" t="str">
        <f>IFERROR(VLOOKUP(C320,Code!H:W,13,FALSE)*4/VLOOKUP(C320,Code!H:W,12,FALSE),"")</f>
        <v/>
      </c>
      <c r="M320" s="55" t="str">
        <f t="shared" si="41"/>
        <v/>
      </c>
      <c r="N320" s="55" t="str">
        <f t="shared" si="42"/>
        <v/>
      </c>
      <c r="O320" s="55" t="str">
        <f t="shared" si="43"/>
        <v/>
      </c>
      <c r="P320" s="196" t="str">
        <f>IFERROR(YEARFRAC(VLOOKUP(C320,Code!H:W,11,FALSE),VLOOKUP(C320,Code!H:W,14,FALSE),3),"")</f>
        <v/>
      </c>
      <c r="Q320" s="2"/>
      <c r="R320" s="85" t="str">
        <f t="shared" ca="1" si="44"/>
        <v/>
      </c>
      <c r="S320" s="86" t="str">
        <f>IFERROR(VLOOKUP($C320,Code!$H:$Q,5,FALSE),"")</f>
        <v/>
      </c>
      <c r="T320" s="88" t="str">
        <f t="shared" ca="1" si="45"/>
        <v/>
      </c>
      <c r="U320" s="89" t="str">
        <f t="shared" ca="1" si="46"/>
        <v/>
      </c>
      <c r="V320" s="90" t="str">
        <f>IFERROR(VLOOKUP($C320,Code!$H:$Q,6,FALSE),"")</f>
        <v/>
      </c>
      <c r="W320" s="91" t="str">
        <f t="shared" ca="1" si="47"/>
        <v/>
      </c>
      <c r="X320" s="12"/>
      <c r="Y320" s="12"/>
      <c r="Z320" s="12"/>
      <c r="AA320" s="12"/>
      <c r="AB320" s="12"/>
    </row>
    <row r="321" spans="1:28" s="10" customFormat="1" ht="15" hidden="1">
      <c r="A321" s="9"/>
      <c r="B321" s="137"/>
      <c r="C321" s="142"/>
      <c r="D321" s="82" t="str">
        <f>IFERROR(VLOOKUP($C321,Code!$H:$K,2,FALSE),"")</f>
        <v/>
      </c>
      <c r="E321" s="83" t="str">
        <f>IFERROR(VLOOKUP($C321,Code!$H:$K,3,FALSE),"")</f>
        <v/>
      </c>
      <c r="F321" s="84" t="str">
        <f>IFERROR(VLOOKUP($C321,Code!$H:$K,4,FALSE),"")</f>
        <v/>
      </c>
      <c r="G321" s="128">
        <f>_xlfn.IFNA(((VLOOKUP($C321,Code!$H:$Q,9,FALSE))+(VLOOKUP($C321,Code!$H:$Q,10,FALSE)))/2*0.5/(((VLOOKUP($C321,Code!$H:$Q,7,FALSE))+(VLOOKUP($C321,Code!$H:$Q,8,FALSE)))/2),0)</f>
        <v>0</v>
      </c>
      <c r="H321" s="87" t="str">
        <f t="shared" si="40"/>
        <v/>
      </c>
      <c r="I321" s="128">
        <f>_xlfn.IFNA((VLOOKUP($C321,Code!$H:$Q,5,FALSE))/(((VLOOKUP($C321,Code!$H:$Q,7,FALSE))+(VLOOKUP($C321,Code!$H:$Q,8,FALSE)))/2)-G321,0)</f>
        <v>0</v>
      </c>
      <c r="J321" s="55" t="str">
        <f>IFERROR(POWER((VLOOKUP(C321,Code!H:W,12,FALSE))/(VLOOKUP(C321,Code!H:W,15,FALSE)),1/(P321-1))-1,"")</f>
        <v/>
      </c>
      <c r="K321" s="55" t="str">
        <f>IFERROR(POWER((VLOOKUP(C321,Code!H:W,13,FALSE))/(VLOOKUP(C321,Code!H:W,16,FALSE)),1/(P321-1))-1,"")</f>
        <v/>
      </c>
      <c r="L321" s="75" t="str">
        <f>IFERROR(VLOOKUP(C321,Code!H:W,13,FALSE)*4/VLOOKUP(C321,Code!H:W,12,FALSE),"")</f>
        <v/>
      </c>
      <c r="M321" s="55" t="str">
        <f t="shared" si="41"/>
        <v/>
      </c>
      <c r="N321" s="55" t="str">
        <f t="shared" si="42"/>
        <v/>
      </c>
      <c r="O321" s="55" t="str">
        <f t="shared" si="43"/>
        <v/>
      </c>
      <c r="P321" s="196" t="str">
        <f>IFERROR(YEARFRAC(VLOOKUP(C321,Code!H:W,11,FALSE),VLOOKUP(C321,Code!H:W,14,FALSE),3),"")</f>
        <v/>
      </c>
      <c r="Q321" s="2"/>
      <c r="R321" s="85" t="str">
        <f t="shared" ca="1" si="44"/>
        <v/>
      </c>
      <c r="S321" s="86" t="str">
        <f>IFERROR(VLOOKUP($C321,Code!$H:$Q,5,FALSE),"")</f>
        <v/>
      </c>
      <c r="T321" s="88" t="str">
        <f t="shared" ca="1" si="45"/>
        <v/>
      </c>
      <c r="U321" s="89" t="str">
        <f t="shared" ca="1" si="46"/>
        <v/>
      </c>
      <c r="V321" s="90" t="str">
        <f>IFERROR(VLOOKUP($C321,Code!$H:$Q,6,FALSE),"")</f>
        <v/>
      </c>
      <c r="W321" s="91" t="str">
        <f t="shared" ca="1" si="47"/>
        <v/>
      </c>
      <c r="X321" s="12"/>
      <c r="Y321" s="12"/>
      <c r="Z321" s="12"/>
      <c r="AA321" s="12"/>
      <c r="AB321" s="12"/>
    </row>
    <row r="322" spans="1:28" s="10" customFormat="1" ht="15" hidden="1">
      <c r="A322" s="9"/>
      <c r="B322" s="137"/>
      <c r="C322" s="142"/>
      <c r="D322" s="82" t="str">
        <f>IFERROR(VLOOKUP($C322,Code!$H:$K,2,FALSE),"")</f>
        <v/>
      </c>
      <c r="E322" s="83" t="str">
        <f>IFERROR(VLOOKUP($C322,Code!$H:$K,3,FALSE),"")</f>
        <v/>
      </c>
      <c r="F322" s="84" t="str">
        <f>IFERROR(VLOOKUP($C322,Code!$H:$K,4,FALSE),"")</f>
        <v/>
      </c>
      <c r="G322" s="128">
        <f>_xlfn.IFNA(((VLOOKUP($C322,Code!$H:$Q,9,FALSE))+(VLOOKUP($C322,Code!$H:$Q,10,FALSE)))/2*0.5/(((VLOOKUP($C322,Code!$H:$Q,7,FALSE))+(VLOOKUP($C322,Code!$H:$Q,8,FALSE)))/2),0)</f>
        <v>0</v>
      </c>
      <c r="H322" s="87" t="str">
        <f t="shared" si="40"/>
        <v/>
      </c>
      <c r="I322" s="128">
        <f>_xlfn.IFNA((VLOOKUP($C322,Code!$H:$Q,5,FALSE))/(((VLOOKUP($C322,Code!$H:$Q,7,FALSE))+(VLOOKUP($C322,Code!$H:$Q,8,FALSE)))/2)-G322,0)</f>
        <v>0</v>
      </c>
      <c r="J322" s="55" t="str">
        <f>IFERROR(POWER((VLOOKUP(C322,Code!H:W,12,FALSE))/(VLOOKUP(C322,Code!H:W,15,FALSE)),1/(P322-1))-1,"")</f>
        <v/>
      </c>
      <c r="K322" s="55" t="str">
        <f>IFERROR(POWER((VLOOKUP(C322,Code!H:W,13,FALSE))/(VLOOKUP(C322,Code!H:W,16,FALSE)),1/(P322-1))-1,"")</f>
        <v/>
      </c>
      <c r="L322" s="75" t="str">
        <f>IFERROR(VLOOKUP(C322,Code!H:W,13,FALSE)*4/VLOOKUP(C322,Code!H:W,12,FALSE),"")</f>
        <v/>
      </c>
      <c r="M322" s="55" t="str">
        <f t="shared" si="41"/>
        <v/>
      </c>
      <c r="N322" s="55" t="str">
        <f t="shared" si="42"/>
        <v/>
      </c>
      <c r="O322" s="55" t="str">
        <f t="shared" si="43"/>
        <v/>
      </c>
      <c r="P322" s="196" t="str">
        <f>IFERROR(YEARFRAC(VLOOKUP(C322,Code!H:W,11,FALSE),VLOOKUP(C322,Code!H:W,14,FALSE),3),"")</f>
        <v/>
      </c>
      <c r="Q322" s="2"/>
      <c r="R322" s="85" t="str">
        <f t="shared" ca="1" si="44"/>
        <v/>
      </c>
      <c r="S322" s="86" t="str">
        <f>IFERROR(VLOOKUP($C322,Code!$H:$Q,5,FALSE),"")</f>
        <v/>
      </c>
      <c r="T322" s="88" t="str">
        <f t="shared" ca="1" si="45"/>
        <v/>
      </c>
      <c r="U322" s="89" t="str">
        <f t="shared" ca="1" si="46"/>
        <v/>
      </c>
      <c r="V322" s="90" t="str">
        <f>IFERROR(VLOOKUP($C322,Code!$H:$Q,6,FALSE),"")</f>
        <v/>
      </c>
      <c r="W322" s="91" t="str">
        <f t="shared" ca="1" si="47"/>
        <v/>
      </c>
      <c r="X322" s="12"/>
      <c r="Y322" s="12"/>
      <c r="Z322" s="12"/>
      <c r="AA322" s="12"/>
      <c r="AB322" s="12"/>
    </row>
    <row r="323" spans="1:28" s="10" customFormat="1" ht="15" hidden="1">
      <c r="A323" s="9"/>
      <c r="B323" s="137"/>
      <c r="C323" s="142"/>
      <c r="D323" s="82" t="str">
        <f>IFERROR(VLOOKUP($C323,Code!$H:$K,2,FALSE),"")</f>
        <v/>
      </c>
      <c r="E323" s="83" t="str">
        <f>IFERROR(VLOOKUP($C323,Code!$H:$K,3,FALSE),"")</f>
        <v/>
      </c>
      <c r="F323" s="84" t="str">
        <f>IFERROR(VLOOKUP($C323,Code!$H:$K,4,FALSE),"")</f>
        <v/>
      </c>
      <c r="G323" s="128">
        <f>_xlfn.IFNA(((VLOOKUP($C323,Code!$H:$Q,9,FALSE))+(VLOOKUP($C323,Code!$H:$Q,10,FALSE)))/2*0.5/(((VLOOKUP($C323,Code!$H:$Q,7,FALSE))+(VLOOKUP($C323,Code!$H:$Q,8,FALSE)))/2),0)</f>
        <v>0</v>
      </c>
      <c r="H323" s="87" t="str">
        <f t="shared" si="40"/>
        <v/>
      </c>
      <c r="I323" s="128">
        <f>_xlfn.IFNA((VLOOKUP($C323,Code!$H:$Q,5,FALSE))/(((VLOOKUP($C323,Code!$H:$Q,7,FALSE))+(VLOOKUP($C323,Code!$H:$Q,8,FALSE)))/2)-G323,0)</f>
        <v>0</v>
      </c>
      <c r="J323" s="55" t="str">
        <f>IFERROR(POWER((VLOOKUP(C323,Code!H:W,12,FALSE))/(VLOOKUP(C323,Code!H:W,15,FALSE)),1/(P323-1))-1,"")</f>
        <v/>
      </c>
      <c r="K323" s="55" t="str">
        <f>IFERROR(POWER((VLOOKUP(C323,Code!H:W,13,FALSE))/(VLOOKUP(C323,Code!H:W,16,FALSE)),1/(P323-1))-1,"")</f>
        <v/>
      </c>
      <c r="L323" s="75" t="str">
        <f>IFERROR(VLOOKUP(C323,Code!H:W,13,FALSE)*4/VLOOKUP(C323,Code!H:W,12,FALSE),"")</f>
        <v/>
      </c>
      <c r="M323" s="55" t="str">
        <f t="shared" si="41"/>
        <v/>
      </c>
      <c r="N323" s="55" t="str">
        <f t="shared" si="42"/>
        <v/>
      </c>
      <c r="O323" s="55" t="str">
        <f t="shared" si="43"/>
        <v/>
      </c>
      <c r="P323" s="196" t="str">
        <f>IFERROR(YEARFRAC(VLOOKUP(C323,Code!H:W,11,FALSE),VLOOKUP(C323,Code!H:W,14,FALSE),3),"")</f>
        <v/>
      </c>
      <c r="Q323" s="2"/>
      <c r="R323" s="85" t="str">
        <f t="shared" ca="1" si="44"/>
        <v/>
      </c>
      <c r="S323" s="86" t="str">
        <f>IFERROR(VLOOKUP($C323,Code!$H:$Q,5,FALSE),"")</f>
        <v/>
      </c>
      <c r="T323" s="88" t="str">
        <f t="shared" ca="1" si="45"/>
        <v/>
      </c>
      <c r="U323" s="89" t="str">
        <f t="shared" ca="1" si="46"/>
        <v/>
      </c>
      <c r="V323" s="90" t="str">
        <f>IFERROR(VLOOKUP($C323,Code!$H:$Q,6,FALSE),"")</f>
        <v/>
      </c>
      <c r="W323" s="91" t="str">
        <f t="shared" ca="1" si="47"/>
        <v/>
      </c>
      <c r="X323" s="12"/>
      <c r="Y323" s="12"/>
      <c r="Z323" s="12"/>
      <c r="AA323" s="12"/>
      <c r="AB323" s="12"/>
    </row>
    <row r="324" spans="1:28" s="10" customFormat="1" ht="15" hidden="1">
      <c r="A324" s="9"/>
      <c r="B324" s="137"/>
      <c r="C324" s="142"/>
      <c r="D324" s="82" t="str">
        <f>IFERROR(VLOOKUP($C324,Code!$H:$K,2,FALSE),"")</f>
        <v/>
      </c>
      <c r="E324" s="83" t="str">
        <f>IFERROR(VLOOKUP($C324,Code!$H:$K,3,FALSE),"")</f>
        <v/>
      </c>
      <c r="F324" s="84" t="str">
        <f>IFERROR(VLOOKUP($C324,Code!$H:$K,4,FALSE),"")</f>
        <v/>
      </c>
      <c r="G324" s="128">
        <f>_xlfn.IFNA(((VLOOKUP($C324,Code!$H:$Q,9,FALSE))+(VLOOKUP($C324,Code!$H:$Q,10,FALSE)))/2*0.5/(((VLOOKUP($C324,Code!$H:$Q,7,FALSE))+(VLOOKUP($C324,Code!$H:$Q,8,FALSE)))/2),0)</f>
        <v>0</v>
      </c>
      <c r="H324" s="87" t="str">
        <f t="shared" ref="H324:H387" si="48">IFERROR(IF(G324&gt;9E+306,"",IF(G324&gt;70%,"XL",IF(G324&gt;60%,"L",IF(G324&gt;50%,"M",IF(G324&gt;0%,"S",""))))),"")</f>
        <v/>
      </c>
      <c r="I324" s="128">
        <f>_xlfn.IFNA((VLOOKUP($C324,Code!$H:$Q,5,FALSE))/(((VLOOKUP($C324,Code!$H:$Q,7,FALSE))+(VLOOKUP($C324,Code!$H:$Q,8,FALSE)))/2)-G324,0)</f>
        <v>0</v>
      </c>
      <c r="J324" s="55" t="str">
        <f>IFERROR(POWER((VLOOKUP(C324,Code!H:W,12,FALSE))/(VLOOKUP(C324,Code!H:W,15,FALSE)),1/(P324-1))-1,"")</f>
        <v/>
      </c>
      <c r="K324" s="55" t="str">
        <f>IFERROR(POWER((VLOOKUP(C324,Code!H:W,13,FALSE))/(VLOOKUP(C324,Code!H:W,16,FALSE)),1/(P324-1))-1,"")</f>
        <v/>
      </c>
      <c r="L324" s="75" t="str">
        <f>IFERROR(VLOOKUP(C324,Code!H:W,13,FALSE)*4/VLOOKUP(C324,Code!H:W,12,FALSE),"")</f>
        <v/>
      </c>
      <c r="M324" s="55" t="str">
        <f t="shared" ref="M324:M387" si="49">IF(SUM(J324:K324)=0,"",SUM(J324:K324))</f>
        <v/>
      </c>
      <c r="N324" s="55" t="str">
        <f t="shared" ref="N324:N387" si="50">IFERROR(IF(L324&gt;3%,IF((K324+L324)&gt;12%,"Venture","-"),"-"),"")</f>
        <v/>
      </c>
      <c r="O324" s="55" t="str">
        <f t="shared" ref="O324:O387" si="51">IFERROR(IF(OR(L324&lt;3%,L324=""),IF((K324+L324)&gt;15%,"Value","-"),"-"),"")</f>
        <v/>
      </c>
      <c r="P324" s="196" t="str">
        <f>IFERROR(YEARFRAC(VLOOKUP(C324,Code!H:W,11,FALSE),VLOOKUP(C324,Code!H:W,14,FALSE),3),"")</f>
        <v/>
      </c>
      <c r="Q324" s="2"/>
      <c r="R324" s="85" t="str">
        <f t="shared" ref="R324:R387" ca="1" si="52">IFERROR(IF(OR(_xlfn.DAYS(Q324,TODAY())+1&lt;0,C324=0),"",_xlfn.DAYS(Q324,TODAY())+1),"")</f>
        <v/>
      </c>
      <c r="S324" s="86" t="str">
        <f>IFERROR(VLOOKUP($C324,Code!$H:$Q,5,FALSE),"")</f>
        <v/>
      </c>
      <c r="T324" s="88" t="str">
        <f t="shared" ref="T324:T387" ca="1" si="53">IFERROR(IF(V324*S324*SQRT(R324/365)=0,"",V324*S324*SQRT(R324/365)),"")</f>
        <v/>
      </c>
      <c r="U324" s="89" t="str">
        <f t="shared" ref="U324:U387" ca="1" si="54">IFERROR(V324-T324,"")</f>
        <v/>
      </c>
      <c r="V324" s="90" t="str">
        <f>IFERROR(VLOOKUP($C324,Code!$H:$Q,6,FALSE),"")</f>
        <v/>
      </c>
      <c r="W324" s="91" t="str">
        <f t="shared" ref="W324:W387" ca="1" si="55">IFERROR(V324+T324,"")</f>
        <v/>
      </c>
      <c r="X324" s="12"/>
      <c r="Y324" s="12"/>
      <c r="Z324" s="12"/>
      <c r="AA324" s="12"/>
      <c r="AB324" s="12"/>
    </row>
    <row r="325" spans="1:28" s="10" customFormat="1" ht="15" hidden="1">
      <c r="A325" s="9"/>
      <c r="B325" s="137"/>
      <c r="C325" s="142"/>
      <c r="D325" s="82" t="str">
        <f>IFERROR(VLOOKUP($C325,Code!$H:$K,2,FALSE),"")</f>
        <v/>
      </c>
      <c r="E325" s="83" t="str">
        <f>IFERROR(VLOOKUP($C325,Code!$H:$K,3,FALSE),"")</f>
        <v/>
      </c>
      <c r="F325" s="84" t="str">
        <f>IFERROR(VLOOKUP($C325,Code!$H:$K,4,FALSE),"")</f>
        <v/>
      </c>
      <c r="G325" s="128">
        <f>_xlfn.IFNA(((VLOOKUP($C325,Code!$H:$Q,9,FALSE))+(VLOOKUP($C325,Code!$H:$Q,10,FALSE)))/2*0.5/(((VLOOKUP($C325,Code!$H:$Q,7,FALSE))+(VLOOKUP($C325,Code!$H:$Q,8,FALSE)))/2),0)</f>
        <v>0</v>
      </c>
      <c r="H325" s="87" t="str">
        <f t="shared" si="48"/>
        <v/>
      </c>
      <c r="I325" s="128">
        <f>_xlfn.IFNA((VLOOKUP($C325,Code!$H:$Q,5,FALSE))/(((VLOOKUP($C325,Code!$H:$Q,7,FALSE))+(VLOOKUP($C325,Code!$H:$Q,8,FALSE)))/2)-G325,0)</f>
        <v>0</v>
      </c>
      <c r="J325" s="55" t="str">
        <f>IFERROR(POWER((VLOOKUP(C325,Code!H:W,12,FALSE))/(VLOOKUP(C325,Code!H:W,15,FALSE)),1/(P325-1))-1,"")</f>
        <v/>
      </c>
      <c r="K325" s="55" t="str">
        <f>IFERROR(POWER((VLOOKUP(C325,Code!H:W,13,FALSE))/(VLOOKUP(C325,Code!H:W,16,FALSE)),1/(P325-1))-1,"")</f>
        <v/>
      </c>
      <c r="L325" s="75" t="str">
        <f>IFERROR(VLOOKUP(C325,Code!H:W,13,FALSE)*4/VLOOKUP(C325,Code!H:W,12,FALSE),"")</f>
        <v/>
      </c>
      <c r="M325" s="55" t="str">
        <f t="shared" si="49"/>
        <v/>
      </c>
      <c r="N325" s="55" t="str">
        <f t="shared" si="50"/>
        <v/>
      </c>
      <c r="O325" s="55" t="str">
        <f t="shared" si="51"/>
        <v/>
      </c>
      <c r="P325" s="196" t="str">
        <f>IFERROR(YEARFRAC(VLOOKUP(C325,Code!H:W,11,FALSE),VLOOKUP(C325,Code!H:W,14,FALSE),3),"")</f>
        <v/>
      </c>
      <c r="Q325" s="2"/>
      <c r="R325" s="85" t="str">
        <f t="shared" ca="1" si="52"/>
        <v/>
      </c>
      <c r="S325" s="86" t="str">
        <f>IFERROR(VLOOKUP($C325,Code!$H:$Q,5,FALSE),"")</f>
        <v/>
      </c>
      <c r="T325" s="88" t="str">
        <f t="shared" ca="1" si="53"/>
        <v/>
      </c>
      <c r="U325" s="89" t="str">
        <f t="shared" ca="1" si="54"/>
        <v/>
      </c>
      <c r="V325" s="90" t="str">
        <f>IFERROR(VLOOKUP($C325,Code!$H:$Q,6,FALSE),"")</f>
        <v/>
      </c>
      <c r="W325" s="91" t="str">
        <f t="shared" ca="1" si="55"/>
        <v/>
      </c>
      <c r="X325" s="12"/>
      <c r="Y325" s="12"/>
      <c r="Z325" s="12"/>
      <c r="AA325" s="12"/>
      <c r="AB325" s="12"/>
    </row>
    <row r="326" spans="1:28" s="10" customFormat="1" ht="15" hidden="1">
      <c r="A326" s="9"/>
      <c r="B326" s="137"/>
      <c r="C326" s="142"/>
      <c r="D326" s="82" t="str">
        <f>IFERROR(VLOOKUP($C326,Code!$H:$K,2,FALSE),"")</f>
        <v/>
      </c>
      <c r="E326" s="83" t="str">
        <f>IFERROR(VLOOKUP($C326,Code!$H:$K,3,FALSE),"")</f>
        <v/>
      </c>
      <c r="F326" s="84" t="str">
        <f>IFERROR(VLOOKUP($C326,Code!$H:$K,4,FALSE),"")</f>
        <v/>
      </c>
      <c r="G326" s="128">
        <f>_xlfn.IFNA(((VLOOKUP($C326,Code!$H:$Q,9,FALSE))+(VLOOKUP($C326,Code!$H:$Q,10,FALSE)))/2*0.5/(((VLOOKUP($C326,Code!$H:$Q,7,FALSE))+(VLOOKUP($C326,Code!$H:$Q,8,FALSE)))/2),0)</f>
        <v>0</v>
      </c>
      <c r="H326" s="87" t="str">
        <f t="shared" si="48"/>
        <v/>
      </c>
      <c r="I326" s="128">
        <f>_xlfn.IFNA((VLOOKUP($C326,Code!$H:$Q,5,FALSE))/(((VLOOKUP($C326,Code!$H:$Q,7,FALSE))+(VLOOKUP($C326,Code!$H:$Q,8,FALSE)))/2)-G326,0)</f>
        <v>0</v>
      </c>
      <c r="J326" s="55" t="str">
        <f>IFERROR(POWER((VLOOKUP(C326,Code!H:W,12,FALSE))/(VLOOKUP(C326,Code!H:W,15,FALSE)),1/(P326-1))-1,"")</f>
        <v/>
      </c>
      <c r="K326" s="55" t="str">
        <f>IFERROR(POWER((VLOOKUP(C326,Code!H:W,13,FALSE))/(VLOOKUP(C326,Code!H:W,16,FALSE)),1/(P326-1))-1,"")</f>
        <v/>
      </c>
      <c r="L326" s="75" t="str">
        <f>IFERROR(VLOOKUP(C326,Code!H:W,13,FALSE)*4/VLOOKUP(C326,Code!H:W,12,FALSE),"")</f>
        <v/>
      </c>
      <c r="M326" s="55" t="str">
        <f t="shared" si="49"/>
        <v/>
      </c>
      <c r="N326" s="55" t="str">
        <f t="shared" si="50"/>
        <v/>
      </c>
      <c r="O326" s="55" t="str">
        <f t="shared" si="51"/>
        <v/>
      </c>
      <c r="P326" s="196" t="str">
        <f>IFERROR(YEARFRAC(VLOOKUP(C326,Code!H:W,11,FALSE),VLOOKUP(C326,Code!H:W,14,FALSE),3),"")</f>
        <v/>
      </c>
      <c r="Q326" s="2"/>
      <c r="R326" s="85" t="str">
        <f t="shared" ca="1" si="52"/>
        <v/>
      </c>
      <c r="S326" s="86" t="str">
        <f>IFERROR(VLOOKUP($C326,Code!$H:$Q,5,FALSE),"")</f>
        <v/>
      </c>
      <c r="T326" s="88" t="str">
        <f t="shared" ca="1" si="53"/>
        <v/>
      </c>
      <c r="U326" s="89" t="str">
        <f t="shared" ca="1" si="54"/>
        <v/>
      </c>
      <c r="V326" s="90" t="str">
        <f>IFERROR(VLOOKUP($C326,Code!$H:$Q,6,FALSE),"")</f>
        <v/>
      </c>
      <c r="W326" s="91" t="str">
        <f t="shared" ca="1" si="55"/>
        <v/>
      </c>
      <c r="X326" s="12"/>
      <c r="Y326" s="12"/>
      <c r="Z326" s="12"/>
      <c r="AA326" s="12"/>
      <c r="AB326" s="12"/>
    </row>
    <row r="327" spans="1:28" s="10" customFormat="1" ht="15" hidden="1">
      <c r="A327" s="9"/>
      <c r="B327" s="137"/>
      <c r="C327" s="142"/>
      <c r="D327" s="82" t="str">
        <f>IFERROR(VLOOKUP($C327,Code!$H:$K,2,FALSE),"")</f>
        <v/>
      </c>
      <c r="E327" s="83" t="str">
        <f>IFERROR(VLOOKUP($C327,Code!$H:$K,3,FALSE),"")</f>
        <v/>
      </c>
      <c r="F327" s="84" t="str">
        <f>IFERROR(VLOOKUP($C327,Code!$H:$K,4,FALSE),"")</f>
        <v/>
      </c>
      <c r="G327" s="128">
        <f>_xlfn.IFNA(((VLOOKUP($C327,Code!$H:$Q,9,FALSE))+(VLOOKUP($C327,Code!$H:$Q,10,FALSE)))/2*0.5/(((VLOOKUP($C327,Code!$H:$Q,7,FALSE))+(VLOOKUP($C327,Code!$H:$Q,8,FALSE)))/2),0)</f>
        <v>0</v>
      </c>
      <c r="H327" s="87" t="str">
        <f t="shared" si="48"/>
        <v/>
      </c>
      <c r="I327" s="128">
        <f>_xlfn.IFNA((VLOOKUP($C327,Code!$H:$Q,5,FALSE))/(((VLOOKUP($C327,Code!$H:$Q,7,FALSE))+(VLOOKUP($C327,Code!$H:$Q,8,FALSE)))/2)-G327,0)</f>
        <v>0</v>
      </c>
      <c r="J327" s="55" t="str">
        <f>IFERROR(POWER((VLOOKUP(C327,Code!H:W,12,FALSE))/(VLOOKUP(C327,Code!H:W,15,FALSE)),1/(P327-1))-1,"")</f>
        <v/>
      </c>
      <c r="K327" s="55" t="str">
        <f>IFERROR(POWER((VLOOKUP(C327,Code!H:W,13,FALSE))/(VLOOKUP(C327,Code!H:W,16,FALSE)),1/(P327-1))-1,"")</f>
        <v/>
      </c>
      <c r="L327" s="75" t="str">
        <f>IFERROR(VLOOKUP(C327,Code!H:W,13,FALSE)*4/VLOOKUP(C327,Code!H:W,12,FALSE),"")</f>
        <v/>
      </c>
      <c r="M327" s="55" t="str">
        <f t="shared" si="49"/>
        <v/>
      </c>
      <c r="N327" s="55" t="str">
        <f t="shared" si="50"/>
        <v/>
      </c>
      <c r="O327" s="55" t="str">
        <f t="shared" si="51"/>
        <v/>
      </c>
      <c r="P327" s="196" t="str">
        <f>IFERROR(YEARFRAC(VLOOKUP(C327,Code!H:W,11,FALSE),VLOOKUP(C327,Code!H:W,14,FALSE),3),"")</f>
        <v/>
      </c>
      <c r="Q327" s="2"/>
      <c r="R327" s="85" t="str">
        <f t="shared" ca="1" si="52"/>
        <v/>
      </c>
      <c r="S327" s="86" t="str">
        <f>IFERROR(VLOOKUP($C327,Code!$H:$Q,5,FALSE),"")</f>
        <v/>
      </c>
      <c r="T327" s="88" t="str">
        <f t="shared" ca="1" si="53"/>
        <v/>
      </c>
      <c r="U327" s="89" t="str">
        <f t="shared" ca="1" si="54"/>
        <v/>
      </c>
      <c r="V327" s="90" t="str">
        <f>IFERROR(VLOOKUP($C327,Code!$H:$Q,6,FALSE),"")</f>
        <v/>
      </c>
      <c r="W327" s="91" t="str">
        <f t="shared" ca="1" si="55"/>
        <v/>
      </c>
      <c r="X327" s="12"/>
      <c r="Y327" s="12"/>
      <c r="Z327" s="12"/>
      <c r="AA327" s="12"/>
      <c r="AB327" s="12"/>
    </row>
    <row r="328" spans="1:28" s="10" customFormat="1" ht="15" hidden="1">
      <c r="A328" s="9"/>
      <c r="B328" s="137"/>
      <c r="C328" s="142"/>
      <c r="D328" s="82" t="str">
        <f>IFERROR(VLOOKUP($C328,Code!$H:$K,2,FALSE),"")</f>
        <v/>
      </c>
      <c r="E328" s="83" t="str">
        <f>IFERROR(VLOOKUP($C328,Code!$H:$K,3,FALSE),"")</f>
        <v/>
      </c>
      <c r="F328" s="84" t="str">
        <f>IFERROR(VLOOKUP($C328,Code!$H:$K,4,FALSE),"")</f>
        <v/>
      </c>
      <c r="G328" s="128">
        <f>_xlfn.IFNA(((VLOOKUP($C328,Code!$H:$Q,9,FALSE))+(VLOOKUP($C328,Code!$H:$Q,10,FALSE)))/2*0.5/(((VLOOKUP($C328,Code!$H:$Q,7,FALSE))+(VLOOKUP($C328,Code!$H:$Q,8,FALSE)))/2),0)</f>
        <v>0</v>
      </c>
      <c r="H328" s="87" t="str">
        <f t="shared" si="48"/>
        <v/>
      </c>
      <c r="I328" s="128">
        <f>_xlfn.IFNA((VLOOKUP($C328,Code!$H:$Q,5,FALSE))/(((VLOOKUP($C328,Code!$H:$Q,7,FALSE))+(VLOOKUP($C328,Code!$H:$Q,8,FALSE)))/2)-G328,0)</f>
        <v>0</v>
      </c>
      <c r="J328" s="55" t="str">
        <f>IFERROR(POWER((VLOOKUP(C328,Code!H:W,12,FALSE))/(VLOOKUP(C328,Code!H:W,15,FALSE)),1/(P328-1))-1,"")</f>
        <v/>
      </c>
      <c r="K328" s="55" t="str">
        <f>IFERROR(POWER((VLOOKUP(C328,Code!H:W,13,FALSE))/(VLOOKUP(C328,Code!H:W,16,FALSE)),1/(P328-1))-1,"")</f>
        <v/>
      </c>
      <c r="L328" s="75" t="str">
        <f>IFERROR(VLOOKUP(C328,Code!H:W,13,FALSE)*4/VLOOKUP(C328,Code!H:W,12,FALSE),"")</f>
        <v/>
      </c>
      <c r="M328" s="55" t="str">
        <f t="shared" si="49"/>
        <v/>
      </c>
      <c r="N328" s="55" t="str">
        <f t="shared" si="50"/>
        <v/>
      </c>
      <c r="O328" s="55" t="str">
        <f t="shared" si="51"/>
        <v/>
      </c>
      <c r="P328" s="196" t="str">
        <f>IFERROR(YEARFRAC(VLOOKUP(C328,Code!H:W,11,FALSE),VLOOKUP(C328,Code!H:W,14,FALSE),3),"")</f>
        <v/>
      </c>
      <c r="Q328" s="2"/>
      <c r="R328" s="85" t="str">
        <f t="shared" ca="1" si="52"/>
        <v/>
      </c>
      <c r="S328" s="86" t="str">
        <f>IFERROR(VLOOKUP($C328,Code!$H:$Q,5,FALSE),"")</f>
        <v/>
      </c>
      <c r="T328" s="88" t="str">
        <f t="shared" ca="1" si="53"/>
        <v/>
      </c>
      <c r="U328" s="89" t="str">
        <f t="shared" ca="1" si="54"/>
        <v/>
      </c>
      <c r="V328" s="90" t="str">
        <f>IFERROR(VLOOKUP($C328,Code!$H:$Q,6,FALSE),"")</f>
        <v/>
      </c>
      <c r="W328" s="91" t="str">
        <f t="shared" ca="1" si="55"/>
        <v/>
      </c>
      <c r="X328" s="12"/>
      <c r="Y328" s="12"/>
      <c r="Z328" s="12"/>
      <c r="AA328" s="12"/>
      <c r="AB328" s="12"/>
    </row>
    <row r="329" spans="1:28" s="10" customFormat="1" ht="15" hidden="1">
      <c r="A329" s="9"/>
      <c r="B329" s="137"/>
      <c r="C329" s="142"/>
      <c r="D329" s="82" t="str">
        <f>IFERROR(VLOOKUP($C329,Code!$H:$K,2,FALSE),"")</f>
        <v/>
      </c>
      <c r="E329" s="83" t="str">
        <f>IFERROR(VLOOKUP($C329,Code!$H:$K,3,FALSE),"")</f>
        <v/>
      </c>
      <c r="F329" s="84" t="str">
        <f>IFERROR(VLOOKUP($C329,Code!$H:$K,4,FALSE),"")</f>
        <v/>
      </c>
      <c r="G329" s="128">
        <f>_xlfn.IFNA(((VLOOKUP($C329,Code!$H:$Q,9,FALSE))+(VLOOKUP($C329,Code!$H:$Q,10,FALSE)))/2*0.5/(((VLOOKUP($C329,Code!$H:$Q,7,FALSE))+(VLOOKUP($C329,Code!$H:$Q,8,FALSE)))/2),0)</f>
        <v>0</v>
      </c>
      <c r="H329" s="87" t="str">
        <f t="shared" si="48"/>
        <v/>
      </c>
      <c r="I329" s="128">
        <f>_xlfn.IFNA((VLOOKUP($C329,Code!$H:$Q,5,FALSE))/(((VLOOKUP($C329,Code!$H:$Q,7,FALSE))+(VLOOKUP($C329,Code!$H:$Q,8,FALSE)))/2)-G329,0)</f>
        <v>0</v>
      </c>
      <c r="J329" s="55" t="str">
        <f>IFERROR(POWER((VLOOKUP(C329,Code!H:W,12,FALSE))/(VLOOKUP(C329,Code!H:W,15,FALSE)),1/(P329-1))-1,"")</f>
        <v/>
      </c>
      <c r="K329" s="55" t="str">
        <f>IFERROR(POWER((VLOOKUP(C329,Code!H:W,13,FALSE))/(VLOOKUP(C329,Code!H:W,16,FALSE)),1/(P329-1))-1,"")</f>
        <v/>
      </c>
      <c r="L329" s="75" t="str">
        <f>IFERROR(VLOOKUP(C329,Code!H:W,13,FALSE)*4/VLOOKUP(C329,Code!H:W,12,FALSE),"")</f>
        <v/>
      </c>
      <c r="M329" s="55" t="str">
        <f t="shared" si="49"/>
        <v/>
      </c>
      <c r="N329" s="55" t="str">
        <f t="shared" si="50"/>
        <v/>
      </c>
      <c r="O329" s="55" t="str">
        <f t="shared" si="51"/>
        <v/>
      </c>
      <c r="P329" s="196" t="str">
        <f>IFERROR(YEARFRAC(VLOOKUP(C329,Code!H:W,11,FALSE),VLOOKUP(C329,Code!H:W,14,FALSE),3),"")</f>
        <v/>
      </c>
      <c r="Q329" s="2"/>
      <c r="R329" s="85" t="str">
        <f t="shared" ca="1" si="52"/>
        <v/>
      </c>
      <c r="S329" s="86" t="str">
        <f>IFERROR(VLOOKUP($C329,Code!$H:$Q,5,FALSE),"")</f>
        <v/>
      </c>
      <c r="T329" s="88" t="str">
        <f t="shared" ca="1" si="53"/>
        <v/>
      </c>
      <c r="U329" s="89" t="str">
        <f t="shared" ca="1" si="54"/>
        <v/>
      </c>
      <c r="V329" s="90" t="str">
        <f>IFERROR(VLOOKUP($C329,Code!$H:$Q,6,FALSE),"")</f>
        <v/>
      </c>
      <c r="W329" s="91" t="str">
        <f t="shared" ca="1" si="55"/>
        <v/>
      </c>
      <c r="X329" s="12"/>
      <c r="Y329" s="12"/>
      <c r="Z329" s="12"/>
      <c r="AA329" s="12"/>
      <c r="AB329" s="12"/>
    </row>
    <row r="330" spans="1:28" s="10" customFormat="1" ht="15" hidden="1">
      <c r="A330" s="9"/>
      <c r="B330" s="137"/>
      <c r="C330" s="142"/>
      <c r="D330" s="82" t="str">
        <f>IFERROR(VLOOKUP($C330,Code!$H:$K,2,FALSE),"")</f>
        <v/>
      </c>
      <c r="E330" s="83" t="str">
        <f>IFERROR(VLOOKUP($C330,Code!$H:$K,3,FALSE),"")</f>
        <v/>
      </c>
      <c r="F330" s="84" t="str">
        <f>IFERROR(VLOOKUP($C330,Code!$H:$K,4,FALSE),"")</f>
        <v/>
      </c>
      <c r="G330" s="128">
        <f>_xlfn.IFNA(((VLOOKUP($C330,Code!$H:$Q,9,FALSE))+(VLOOKUP($C330,Code!$H:$Q,10,FALSE)))/2*0.5/(((VLOOKUP($C330,Code!$H:$Q,7,FALSE))+(VLOOKUP($C330,Code!$H:$Q,8,FALSE)))/2),0)</f>
        <v>0</v>
      </c>
      <c r="H330" s="87" t="str">
        <f t="shared" si="48"/>
        <v/>
      </c>
      <c r="I330" s="128">
        <f>_xlfn.IFNA((VLOOKUP($C330,Code!$H:$Q,5,FALSE))/(((VLOOKUP($C330,Code!$H:$Q,7,FALSE))+(VLOOKUP($C330,Code!$H:$Q,8,FALSE)))/2)-G330,0)</f>
        <v>0</v>
      </c>
      <c r="J330" s="55" t="str">
        <f>IFERROR(POWER((VLOOKUP(C330,Code!H:W,12,FALSE))/(VLOOKUP(C330,Code!H:W,15,FALSE)),1/(P330-1))-1,"")</f>
        <v/>
      </c>
      <c r="K330" s="55" t="str">
        <f>IFERROR(POWER((VLOOKUP(C330,Code!H:W,13,FALSE))/(VLOOKUP(C330,Code!H:W,16,FALSE)),1/(P330-1))-1,"")</f>
        <v/>
      </c>
      <c r="L330" s="75" t="str">
        <f>IFERROR(VLOOKUP(C330,Code!H:W,13,FALSE)*4/VLOOKUP(C330,Code!H:W,12,FALSE),"")</f>
        <v/>
      </c>
      <c r="M330" s="55" t="str">
        <f t="shared" si="49"/>
        <v/>
      </c>
      <c r="N330" s="55" t="str">
        <f t="shared" si="50"/>
        <v/>
      </c>
      <c r="O330" s="55" t="str">
        <f t="shared" si="51"/>
        <v/>
      </c>
      <c r="P330" s="196" t="str">
        <f>IFERROR(YEARFRAC(VLOOKUP(C330,Code!H:W,11,FALSE),VLOOKUP(C330,Code!H:W,14,FALSE),3),"")</f>
        <v/>
      </c>
      <c r="Q330" s="2"/>
      <c r="R330" s="85" t="str">
        <f t="shared" ca="1" si="52"/>
        <v/>
      </c>
      <c r="S330" s="86" t="str">
        <f>IFERROR(VLOOKUP($C330,Code!$H:$Q,5,FALSE),"")</f>
        <v/>
      </c>
      <c r="T330" s="88" t="str">
        <f t="shared" ca="1" si="53"/>
        <v/>
      </c>
      <c r="U330" s="89" t="str">
        <f t="shared" ca="1" si="54"/>
        <v/>
      </c>
      <c r="V330" s="90" t="str">
        <f>IFERROR(VLOOKUP($C330,Code!$H:$Q,6,FALSE),"")</f>
        <v/>
      </c>
      <c r="W330" s="91" t="str">
        <f t="shared" ca="1" si="55"/>
        <v/>
      </c>
      <c r="X330" s="12"/>
      <c r="Y330" s="12"/>
      <c r="Z330" s="12"/>
      <c r="AA330" s="12"/>
      <c r="AB330" s="12"/>
    </row>
    <row r="331" spans="1:28" s="10" customFormat="1" ht="15" hidden="1">
      <c r="A331" s="9"/>
      <c r="B331" s="138"/>
      <c r="C331" s="142"/>
      <c r="D331" s="82" t="str">
        <f>IFERROR(VLOOKUP($C331,Code!$H:$K,2,FALSE),"")</f>
        <v/>
      </c>
      <c r="E331" s="83" t="str">
        <f>IFERROR(VLOOKUP($C331,Code!$H:$K,3,FALSE),"")</f>
        <v/>
      </c>
      <c r="F331" s="84" t="str">
        <f>IFERROR(VLOOKUP($C331,Code!$H:$K,4,FALSE),"")</f>
        <v/>
      </c>
      <c r="G331" s="128">
        <f>_xlfn.IFNA(((VLOOKUP($C331,Code!$H:$Q,9,FALSE))+(VLOOKUP($C331,Code!$H:$Q,10,FALSE)))/2*0.5/(((VLOOKUP($C331,Code!$H:$Q,7,FALSE))+(VLOOKUP($C331,Code!$H:$Q,8,FALSE)))/2),0)</f>
        <v>0</v>
      </c>
      <c r="H331" s="87" t="str">
        <f t="shared" si="48"/>
        <v/>
      </c>
      <c r="I331" s="128">
        <f>_xlfn.IFNA((VLOOKUP($C331,Code!$H:$Q,5,FALSE))/(((VLOOKUP($C331,Code!$H:$Q,7,FALSE))+(VLOOKUP($C331,Code!$H:$Q,8,FALSE)))/2)-G331,0)</f>
        <v>0</v>
      </c>
      <c r="J331" s="55" t="str">
        <f>IFERROR(POWER((VLOOKUP(C331,Code!H:W,12,FALSE))/(VLOOKUP(C331,Code!H:W,15,FALSE)),1/(P331-1))-1,"")</f>
        <v/>
      </c>
      <c r="K331" s="55" t="str">
        <f>IFERROR(POWER((VLOOKUP(C331,Code!H:W,13,FALSE))/(VLOOKUP(C331,Code!H:W,16,FALSE)),1/(P331-1))-1,"")</f>
        <v/>
      </c>
      <c r="L331" s="75" t="str">
        <f>IFERROR(VLOOKUP(C331,Code!H:W,13,FALSE)*4/VLOOKUP(C331,Code!H:W,12,FALSE),"")</f>
        <v/>
      </c>
      <c r="M331" s="55" t="str">
        <f t="shared" si="49"/>
        <v/>
      </c>
      <c r="N331" s="55" t="str">
        <f t="shared" si="50"/>
        <v/>
      </c>
      <c r="O331" s="55" t="str">
        <f t="shared" si="51"/>
        <v/>
      </c>
      <c r="P331" s="196" t="str">
        <f>IFERROR(YEARFRAC(VLOOKUP(C331,Code!H:W,11,FALSE),VLOOKUP(C331,Code!H:W,14,FALSE),3),"")</f>
        <v/>
      </c>
      <c r="Q331" s="2"/>
      <c r="R331" s="85" t="str">
        <f t="shared" ca="1" si="52"/>
        <v/>
      </c>
      <c r="S331" s="86" t="str">
        <f>IFERROR(VLOOKUP($C331,Code!$H:$Q,5,FALSE),"")</f>
        <v/>
      </c>
      <c r="T331" s="88" t="str">
        <f t="shared" ca="1" si="53"/>
        <v/>
      </c>
      <c r="U331" s="89" t="str">
        <f t="shared" ca="1" si="54"/>
        <v/>
      </c>
      <c r="V331" s="90" t="str">
        <f>IFERROR(VLOOKUP($C331,Code!$H:$Q,6,FALSE),"")</f>
        <v/>
      </c>
      <c r="W331" s="91" t="str">
        <f t="shared" ca="1" si="55"/>
        <v/>
      </c>
      <c r="X331" s="12"/>
      <c r="Y331" s="12"/>
      <c r="Z331" s="12"/>
      <c r="AA331" s="12"/>
      <c r="AB331" s="12"/>
    </row>
    <row r="332" spans="1:28" s="10" customFormat="1" ht="15" hidden="1">
      <c r="A332" s="9"/>
      <c r="B332" s="137"/>
      <c r="C332" s="142"/>
      <c r="D332" s="82" t="str">
        <f>IFERROR(VLOOKUP($C332,Code!$H:$K,2,FALSE),"")</f>
        <v/>
      </c>
      <c r="E332" s="83" t="str">
        <f>IFERROR(VLOOKUP($C332,Code!$H:$K,3,FALSE),"")</f>
        <v/>
      </c>
      <c r="F332" s="84" t="str">
        <f>IFERROR(VLOOKUP($C332,Code!$H:$K,4,FALSE),"")</f>
        <v/>
      </c>
      <c r="G332" s="128">
        <f>_xlfn.IFNA(((VLOOKUP($C332,Code!$H:$Q,9,FALSE))+(VLOOKUP($C332,Code!$H:$Q,10,FALSE)))/2*0.5/(((VLOOKUP($C332,Code!$H:$Q,7,FALSE))+(VLOOKUP($C332,Code!$H:$Q,8,FALSE)))/2),0)</f>
        <v>0</v>
      </c>
      <c r="H332" s="87" t="str">
        <f t="shared" si="48"/>
        <v/>
      </c>
      <c r="I332" s="128">
        <f>_xlfn.IFNA((VLOOKUP($C332,Code!$H:$Q,5,FALSE))/(((VLOOKUP($C332,Code!$H:$Q,7,FALSE))+(VLOOKUP($C332,Code!$H:$Q,8,FALSE)))/2)-G332,0)</f>
        <v>0</v>
      </c>
      <c r="J332" s="55" t="str">
        <f>IFERROR(POWER((VLOOKUP(C332,Code!H:W,12,FALSE))/(VLOOKUP(C332,Code!H:W,15,FALSE)),1/(P332-1))-1,"")</f>
        <v/>
      </c>
      <c r="K332" s="55" t="str">
        <f>IFERROR(POWER((VLOOKUP(C332,Code!H:W,13,FALSE))/(VLOOKUP(C332,Code!H:W,16,FALSE)),1/(P332-1))-1,"")</f>
        <v/>
      </c>
      <c r="L332" s="75" t="str">
        <f>IFERROR(VLOOKUP(C332,Code!H:W,13,FALSE)*4/VLOOKUP(C332,Code!H:W,12,FALSE),"")</f>
        <v/>
      </c>
      <c r="M332" s="55" t="str">
        <f t="shared" si="49"/>
        <v/>
      </c>
      <c r="N332" s="55" t="str">
        <f t="shared" si="50"/>
        <v/>
      </c>
      <c r="O332" s="55" t="str">
        <f t="shared" si="51"/>
        <v/>
      </c>
      <c r="P332" s="196" t="str">
        <f>IFERROR(YEARFRAC(VLOOKUP(C332,Code!H:W,11,FALSE),VLOOKUP(C332,Code!H:W,14,FALSE),3),"")</f>
        <v/>
      </c>
      <c r="Q332" s="2"/>
      <c r="R332" s="85" t="str">
        <f t="shared" ca="1" si="52"/>
        <v/>
      </c>
      <c r="S332" s="86" t="str">
        <f>IFERROR(VLOOKUP($C332,Code!$H:$Q,5,FALSE),"")</f>
        <v/>
      </c>
      <c r="T332" s="88" t="str">
        <f t="shared" ca="1" si="53"/>
        <v/>
      </c>
      <c r="U332" s="89" t="str">
        <f t="shared" ca="1" si="54"/>
        <v/>
      </c>
      <c r="V332" s="90" t="str">
        <f>IFERROR(VLOOKUP($C332,Code!$H:$Q,6,FALSE),"")</f>
        <v/>
      </c>
      <c r="W332" s="91" t="str">
        <f t="shared" ca="1" si="55"/>
        <v/>
      </c>
      <c r="X332" s="12"/>
      <c r="Y332" s="12"/>
      <c r="Z332" s="12"/>
      <c r="AA332" s="12"/>
      <c r="AB332" s="12"/>
    </row>
    <row r="333" spans="1:28" s="10" customFormat="1" ht="15" hidden="1">
      <c r="A333" s="9"/>
      <c r="B333" s="137"/>
      <c r="C333" s="142"/>
      <c r="D333" s="82" t="str">
        <f>IFERROR(VLOOKUP($C333,Code!$H:$K,2,FALSE),"")</f>
        <v/>
      </c>
      <c r="E333" s="83" t="str">
        <f>IFERROR(VLOOKUP($C333,Code!$H:$K,3,FALSE),"")</f>
        <v/>
      </c>
      <c r="F333" s="84" t="str">
        <f>IFERROR(VLOOKUP($C333,Code!$H:$K,4,FALSE),"")</f>
        <v/>
      </c>
      <c r="G333" s="128">
        <f>_xlfn.IFNA(((VLOOKUP($C333,Code!$H:$Q,9,FALSE))+(VLOOKUP($C333,Code!$H:$Q,10,FALSE)))/2*0.5/(((VLOOKUP($C333,Code!$H:$Q,7,FALSE))+(VLOOKUP($C333,Code!$H:$Q,8,FALSE)))/2),0)</f>
        <v>0</v>
      </c>
      <c r="H333" s="87" t="str">
        <f t="shared" si="48"/>
        <v/>
      </c>
      <c r="I333" s="128">
        <f>_xlfn.IFNA((VLOOKUP($C333,Code!$H:$Q,5,FALSE))/(((VLOOKUP($C333,Code!$H:$Q,7,FALSE))+(VLOOKUP($C333,Code!$H:$Q,8,FALSE)))/2)-G333,0)</f>
        <v>0</v>
      </c>
      <c r="J333" s="55" t="str">
        <f>IFERROR(POWER((VLOOKUP(C333,Code!H:W,12,FALSE))/(VLOOKUP(C333,Code!H:W,15,FALSE)),1/(P333-1))-1,"")</f>
        <v/>
      </c>
      <c r="K333" s="55" t="str">
        <f>IFERROR(POWER((VLOOKUP(C333,Code!H:W,13,FALSE))/(VLOOKUP(C333,Code!H:W,16,FALSE)),1/(P333-1))-1,"")</f>
        <v/>
      </c>
      <c r="L333" s="75" t="str">
        <f>IFERROR(VLOOKUP(C333,Code!H:W,13,FALSE)*4/VLOOKUP(C333,Code!H:W,12,FALSE),"")</f>
        <v/>
      </c>
      <c r="M333" s="55" t="str">
        <f t="shared" si="49"/>
        <v/>
      </c>
      <c r="N333" s="55" t="str">
        <f t="shared" si="50"/>
        <v/>
      </c>
      <c r="O333" s="55" t="str">
        <f t="shared" si="51"/>
        <v/>
      </c>
      <c r="P333" s="196" t="str">
        <f>IFERROR(YEARFRAC(VLOOKUP(C333,Code!H:W,11,FALSE),VLOOKUP(C333,Code!H:W,14,FALSE),3),"")</f>
        <v/>
      </c>
      <c r="Q333" s="2"/>
      <c r="R333" s="85" t="str">
        <f t="shared" ca="1" si="52"/>
        <v/>
      </c>
      <c r="S333" s="86" t="str">
        <f>IFERROR(VLOOKUP($C333,Code!$H:$Q,5,FALSE),"")</f>
        <v/>
      </c>
      <c r="T333" s="88" t="str">
        <f t="shared" ca="1" si="53"/>
        <v/>
      </c>
      <c r="U333" s="89" t="str">
        <f t="shared" ca="1" si="54"/>
        <v/>
      </c>
      <c r="V333" s="90" t="str">
        <f>IFERROR(VLOOKUP($C333,Code!$H:$Q,6,FALSE),"")</f>
        <v/>
      </c>
      <c r="W333" s="91" t="str">
        <f t="shared" ca="1" si="55"/>
        <v/>
      </c>
      <c r="X333" s="12"/>
      <c r="Y333" s="12"/>
      <c r="Z333" s="12"/>
      <c r="AA333" s="12"/>
      <c r="AB333" s="12"/>
    </row>
    <row r="334" spans="1:28" s="10" customFormat="1" ht="15" hidden="1">
      <c r="A334" s="9"/>
      <c r="B334" s="137"/>
      <c r="C334" s="142"/>
      <c r="D334" s="82" t="str">
        <f>IFERROR(VLOOKUP($C334,Code!$H:$K,2,FALSE),"")</f>
        <v/>
      </c>
      <c r="E334" s="83" t="str">
        <f>IFERROR(VLOOKUP($C334,Code!$H:$K,3,FALSE),"")</f>
        <v/>
      </c>
      <c r="F334" s="84" t="str">
        <f>IFERROR(VLOOKUP($C334,Code!$H:$K,4,FALSE),"")</f>
        <v/>
      </c>
      <c r="G334" s="128">
        <f>_xlfn.IFNA(((VLOOKUP($C334,Code!$H:$Q,9,FALSE))+(VLOOKUP($C334,Code!$H:$Q,10,FALSE)))/2*0.5/(((VLOOKUP($C334,Code!$H:$Q,7,FALSE))+(VLOOKUP($C334,Code!$H:$Q,8,FALSE)))/2),0)</f>
        <v>0</v>
      </c>
      <c r="H334" s="87" t="str">
        <f t="shared" si="48"/>
        <v/>
      </c>
      <c r="I334" s="128">
        <f>_xlfn.IFNA((VLOOKUP($C334,Code!$H:$Q,5,FALSE))/(((VLOOKUP($C334,Code!$H:$Q,7,FALSE))+(VLOOKUP($C334,Code!$H:$Q,8,FALSE)))/2)-G334,0)</f>
        <v>0</v>
      </c>
      <c r="J334" s="55" t="str">
        <f>IFERROR(POWER((VLOOKUP(C334,Code!H:W,12,FALSE))/(VLOOKUP(C334,Code!H:W,15,FALSE)),1/(P334-1))-1,"")</f>
        <v/>
      </c>
      <c r="K334" s="55" t="str">
        <f>IFERROR(POWER((VLOOKUP(C334,Code!H:W,13,FALSE))/(VLOOKUP(C334,Code!H:W,16,FALSE)),1/(P334-1))-1,"")</f>
        <v/>
      </c>
      <c r="L334" s="75" t="str">
        <f>IFERROR(VLOOKUP(C334,Code!H:W,13,FALSE)*4/VLOOKUP(C334,Code!H:W,12,FALSE),"")</f>
        <v/>
      </c>
      <c r="M334" s="55" t="str">
        <f t="shared" si="49"/>
        <v/>
      </c>
      <c r="N334" s="55" t="str">
        <f t="shared" si="50"/>
        <v/>
      </c>
      <c r="O334" s="55" t="str">
        <f t="shared" si="51"/>
        <v/>
      </c>
      <c r="P334" s="196" t="str">
        <f>IFERROR(YEARFRAC(VLOOKUP(C334,Code!H:W,11,FALSE),VLOOKUP(C334,Code!H:W,14,FALSE),3),"")</f>
        <v/>
      </c>
      <c r="Q334" s="2"/>
      <c r="R334" s="85" t="str">
        <f t="shared" ca="1" si="52"/>
        <v/>
      </c>
      <c r="S334" s="86" t="str">
        <f>IFERROR(VLOOKUP($C334,Code!$H:$Q,5,FALSE),"")</f>
        <v/>
      </c>
      <c r="T334" s="88" t="str">
        <f t="shared" ca="1" si="53"/>
        <v/>
      </c>
      <c r="U334" s="89" t="str">
        <f t="shared" ca="1" si="54"/>
        <v/>
      </c>
      <c r="V334" s="90" t="str">
        <f>IFERROR(VLOOKUP($C334,Code!$H:$Q,6,FALSE),"")</f>
        <v/>
      </c>
      <c r="W334" s="91" t="str">
        <f t="shared" ca="1" si="55"/>
        <v/>
      </c>
      <c r="X334" s="12"/>
      <c r="Y334" s="12"/>
      <c r="Z334" s="12"/>
      <c r="AA334" s="12"/>
      <c r="AB334" s="12"/>
    </row>
    <row r="335" spans="1:28" s="10" customFormat="1" ht="15" hidden="1">
      <c r="A335" s="9"/>
      <c r="B335" s="137"/>
      <c r="C335" s="142"/>
      <c r="D335" s="82" t="str">
        <f>IFERROR(VLOOKUP($C335,Code!$H:$K,2,FALSE),"")</f>
        <v/>
      </c>
      <c r="E335" s="83" t="str">
        <f>IFERROR(VLOOKUP($C335,Code!$H:$K,3,FALSE),"")</f>
        <v/>
      </c>
      <c r="F335" s="84" t="str">
        <f>IFERROR(VLOOKUP($C335,Code!$H:$K,4,FALSE),"")</f>
        <v/>
      </c>
      <c r="G335" s="128">
        <f>_xlfn.IFNA(((VLOOKUP($C335,Code!$H:$Q,9,FALSE))+(VLOOKUP($C335,Code!$H:$Q,10,FALSE)))/2*0.5/(((VLOOKUP($C335,Code!$H:$Q,7,FALSE))+(VLOOKUP($C335,Code!$H:$Q,8,FALSE)))/2),0)</f>
        <v>0</v>
      </c>
      <c r="H335" s="87" t="str">
        <f t="shared" si="48"/>
        <v/>
      </c>
      <c r="I335" s="128">
        <f>_xlfn.IFNA((VLOOKUP($C335,Code!$H:$Q,5,FALSE))/(((VLOOKUP($C335,Code!$H:$Q,7,FALSE))+(VLOOKUP($C335,Code!$H:$Q,8,FALSE)))/2)-G335,0)</f>
        <v>0</v>
      </c>
      <c r="J335" s="55" t="str">
        <f>IFERROR(POWER((VLOOKUP(C335,Code!H:W,12,FALSE))/(VLOOKUP(C335,Code!H:W,15,FALSE)),1/(P335-1))-1,"")</f>
        <v/>
      </c>
      <c r="K335" s="55" t="str">
        <f>IFERROR(POWER((VLOOKUP(C335,Code!H:W,13,FALSE))/(VLOOKUP(C335,Code!H:W,16,FALSE)),1/(P335-1))-1,"")</f>
        <v/>
      </c>
      <c r="L335" s="75" t="str">
        <f>IFERROR(VLOOKUP(C335,Code!H:W,13,FALSE)*4/VLOOKUP(C335,Code!H:W,12,FALSE),"")</f>
        <v/>
      </c>
      <c r="M335" s="55" t="str">
        <f t="shared" si="49"/>
        <v/>
      </c>
      <c r="N335" s="55" t="str">
        <f t="shared" si="50"/>
        <v/>
      </c>
      <c r="O335" s="55" t="str">
        <f t="shared" si="51"/>
        <v/>
      </c>
      <c r="P335" s="196" t="str">
        <f>IFERROR(YEARFRAC(VLOOKUP(C335,Code!H:W,11,FALSE),VLOOKUP(C335,Code!H:W,14,FALSE),3),"")</f>
        <v/>
      </c>
      <c r="Q335" s="2"/>
      <c r="R335" s="85" t="str">
        <f t="shared" ca="1" si="52"/>
        <v/>
      </c>
      <c r="S335" s="86" t="str">
        <f>IFERROR(VLOOKUP($C335,Code!$H:$Q,5,FALSE),"")</f>
        <v/>
      </c>
      <c r="T335" s="88" t="str">
        <f t="shared" ca="1" si="53"/>
        <v/>
      </c>
      <c r="U335" s="89" t="str">
        <f t="shared" ca="1" si="54"/>
        <v/>
      </c>
      <c r="V335" s="90" t="str">
        <f>IFERROR(VLOOKUP($C335,Code!$H:$Q,6,FALSE),"")</f>
        <v/>
      </c>
      <c r="W335" s="91" t="str">
        <f t="shared" ca="1" si="55"/>
        <v/>
      </c>
      <c r="X335" s="12"/>
      <c r="Y335" s="12"/>
      <c r="Z335" s="12"/>
      <c r="AA335" s="12"/>
      <c r="AB335" s="12"/>
    </row>
    <row r="336" spans="1:28" s="10" customFormat="1" ht="15" hidden="1">
      <c r="A336" s="9"/>
      <c r="B336" s="137"/>
      <c r="C336" s="142"/>
      <c r="D336" s="82" t="str">
        <f>IFERROR(VLOOKUP($C336,Code!$H:$K,2,FALSE),"")</f>
        <v/>
      </c>
      <c r="E336" s="83" t="str">
        <f>IFERROR(VLOOKUP($C336,Code!$H:$K,3,FALSE),"")</f>
        <v/>
      </c>
      <c r="F336" s="84" t="str">
        <f>IFERROR(VLOOKUP($C336,Code!$H:$K,4,FALSE),"")</f>
        <v/>
      </c>
      <c r="G336" s="128">
        <f>_xlfn.IFNA(((VLOOKUP($C336,Code!$H:$Q,9,FALSE))+(VLOOKUP($C336,Code!$H:$Q,10,FALSE)))/2*0.5/(((VLOOKUP($C336,Code!$H:$Q,7,FALSE))+(VLOOKUP($C336,Code!$H:$Q,8,FALSE)))/2),0)</f>
        <v>0</v>
      </c>
      <c r="H336" s="87" t="str">
        <f t="shared" si="48"/>
        <v/>
      </c>
      <c r="I336" s="128">
        <f>_xlfn.IFNA((VLOOKUP($C336,Code!$H:$Q,5,FALSE))/(((VLOOKUP($C336,Code!$H:$Q,7,FALSE))+(VLOOKUP($C336,Code!$H:$Q,8,FALSE)))/2)-G336,0)</f>
        <v>0</v>
      </c>
      <c r="J336" s="55" t="str">
        <f>IFERROR(POWER((VLOOKUP(C336,Code!H:W,12,FALSE))/(VLOOKUP(C336,Code!H:W,15,FALSE)),1/(P336-1))-1,"")</f>
        <v/>
      </c>
      <c r="K336" s="55" t="str">
        <f>IFERROR(POWER((VLOOKUP(C336,Code!H:W,13,FALSE))/(VLOOKUP(C336,Code!H:W,16,FALSE)),1/(P336-1))-1,"")</f>
        <v/>
      </c>
      <c r="L336" s="75" t="str">
        <f>IFERROR(VLOOKUP(C336,Code!H:W,13,FALSE)*4/VLOOKUP(C336,Code!H:W,12,FALSE),"")</f>
        <v/>
      </c>
      <c r="M336" s="55" t="str">
        <f t="shared" si="49"/>
        <v/>
      </c>
      <c r="N336" s="55" t="str">
        <f t="shared" si="50"/>
        <v/>
      </c>
      <c r="O336" s="55" t="str">
        <f t="shared" si="51"/>
        <v/>
      </c>
      <c r="P336" s="196" t="str">
        <f>IFERROR(YEARFRAC(VLOOKUP(C336,Code!H:W,11,FALSE),VLOOKUP(C336,Code!H:W,14,FALSE),3),"")</f>
        <v/>
      </c>
      <c r="Q336" s="2"/>
      <c r="R336" s="85" t="str">
        <f t="shared" ca="1" si="52"/>
        <v/>
      </c>
      <c r="S336" s="86" t="str">
        <f>IFERROR(VLOOKUP($C336,Code!$H:$Q,5,FALSE),"")</f>
        <v/>
      </c>
      <c r="T336" s="88" t="str">
        <f t="shared" ca="1" si="53"/>
        <v/>
      </c>
      <c r="U336" s="89" t="str">
        <f t="shared" ca="1" si="54"/>
        <v/>
      </c>
      <c r="V336" s="90" t="str">
        <f>IFERROR(VLOOKUP($C336,Code!$H:$Q,6,FALSE),"")</f>
        <v/>
      </c>
      <c r="W336" s="91" t="str">
        <f t="shared" ca="1" si="55"/>
        <v/>
      </c>
      <c r="X336" s="12"/>
      <c r="Y336" s="12"/>
      <c r="Z336" s="12"/>
      <c r="AA336" s="12"/>
      <c r="AB336" s="12"/>
    </row>
    <row r="337" spans="1:28" s="10" customFormat="1" ht="15" hidden="1">
      <c r="A337" s="9"/>
      <c r="B337" s="137"/>
      <c r="C337" s="142"/>
      <c r="D337" s="82" t="str">
        <f>IFERROR(VLOOKUP($C337,Code!$H:$K,2,FALSE),"")</f>
        <v/>
      </c>
      <c r="E337" s="83" t="str">
        <f>IFERROR(VLOOKUP($C337,Code!$H:$K,3,FALSE),"")</f>
        <v/>
      </c>
      <c r="F337" s="84" t="str">
        <f>IFERROR(VLOOKUP($C337,Code!$H:$K,4,FALSE),"")</f>
        <v/>
      </c>
      <c r="G337" s="128">
        <f>_xlfn.IFNA(((VLOOKUP($C337,Code!$H:$Q,9,FALSE))+(VLOOKUP($C337,Code!$H:$Q,10,FALSE)))/2*0.5/(((VLOOKUP($C337,Code!$H:$Q,7,FALSE))+(VLOOKUP($C337,Code!$H:$Q,8,FALSE)))/2),0)</f>
        <v>0</v>
      </c>
      <c r="H337" s="87" t="str">
        <f t="shared" si="48"/>
        <v/>
      </c>
      <c r="I337" s="128">
        <f>_xlfn.IFNA((VLOOKUP($C337,Code!$H:$Q,5,FALSE))/(((VLOOKUP($C337,Code!$H:$Q,7,FALSE))+(VLOOKUP($C337,Code!$H:$Q,8,FALSE)))/2)-G337,0)</f>
        <v>0</v>
      </c>
      <c r="J337" s="55" t="str">
        <f>IFERROR(POWER((VLOOKUP(C337,Code!H:W,12,FALSE))/(VLOOKUP(C337,Code!H:W,15,FALSE)),1/(P337-1))-1,"")</f>
        <v/>
      </c>
      <c r="K337" s="55" t="str">
        <f>IFERROR(POWER((VLOOKUP(C337,Code!H:W,13,FALSE))/(VLOOKUP(C337,Code!H:W,16,FALSE)),1/(P337-1))-1,"")</f>
        <v/>
      </c>
      <c r="L337" s="75" t="str">
        <f>IFERROR(VLOOKUP(C337,Code!H:W,13,FALSE)*4/VLOOKUP(C337,Code!H:W,12,FALSE),"")</f>
        <v/>
      </c>
      <c r="M337" s="55" t="str">
        <f t="shared" si="49"/>
        <v/>
      </c>
      <c r="N337" s="55" t="str">
        <f t="shared" si="50"/>
        <v/>
      </c>
      <c r="O337" s="55" t="str">
        <f t="shared" si="51"/>
        <v/>
      </c>
      <c r="P337" s="196" t="str">
        <f>IFERROR(YEARFRAC(VLOOKUP(C337,Code!H:W,11,FALSE),VLOOKUP(C337,Code!H:W,14,FALSE),3),"")</f>
        <v/>
      </c>
      <c r="Q337" s="2"/>
      <c r="R337" s="85" t="str">
        <f t="shared" ca="1" si="52"/>
        <v/>
      </c>
      <c r="S337" s="86" t="str">
        <f>IFERROR(VLOOKUP($C337,Code!$H:$Q,5,FALSE),"")</f>
        <v/>
      </c>
      <c r="T337" s="88" t="str">
        <f t="shared" ca="1" si="53"/>
        <v/>
      </c>
      <c r="U337" s="89" t="str">
        <f t="shared" ca="1" si="54"/>
        <v/>
      </c>
      <c r="V337" s="90" t="str">
        <f>IFERROR(VLOOKUP($C337,Code!$H:$Q,6,FALSE),"")</f>
        <v/>
      </c>
      <c r="W337" s="91" t="str">
        <f t="shared" ca="1" si="55"/>
        <v/>
      </c>
      <c r="X337" s="12"/>
      <c r="Y337" s="12"/>
      <c r="Z337" s="12"/>
      <c r="AA337" s="12"/>
      <c r="AB337" s="12"/>
    </row>
    <row r="338" spans="1:28" s="10" customFormat="1" ht="15" hidden="1">
      <c r="A338" s="9"/>
      <c r="B338" s="137"/>
      <c r="C338" s="142"/>
      <c r="D338" s="82" t="str">
        <f>IFERROR(VLOOKUP($C338,Code!$H:$K,2,FALSE),"")</f>
        <v/>
      </c>
      <c r="E338" s="83" t="str">
        <f>IFERROR(VLOOKUP($C338,Code!$H:$K,3,FALSE),"")</f>
        <v/>
      </c>
      <c r="F338" s="84" t="str">
        <f>IFERROR(VLOOKUP($C338,Code!$H:$K,4,FALSE),"")</f>
        <v/>
      </c>
      <c r="G338" s="128">
        <f>_xlfn.IFNA(((VLOOKUP($C338,Code!$H:$Q,9,FALSE))+(VLOOKUP($C338,Code!$H:$Q,10,FALSE)))/2*0.5/(((VLOOKUP($C338,Code!$H:$Q,7,FALSE))+(VLOOKUP($C338,Code!$H:$Q,8,FALSE)))/2),0)</f>
        <v>0</v>
      </c>
      <c r="H338" s="87" t="str">
        <f t="shared" si="48"/>
        <v/>
      </c>
      <c r="I338" s="128">
        <f>_xlfn.IFNA((VLOOKUP($C338,Code!$H:$Q,5,FALSE))/(((VLOOKUP($C338,Code!$H:$Q,7,FALSE))+(VLOOKUP($C338,Code!$H:$Q,8,FALSE)))/2)-G338,0)</f>
        <v>0</v>
      </c>
      <c r="J338" s="55" t="str">
        <f>IFERROR(POWER((VLOOKUP(C338,Code!H:W,12,FALSE))/(VLOOKUP(C338,Code!H:W,15,FALSE)),1/(P338-1))-1,"")</f>
        <v/>
      </c>
      <c r="K338" s="55" t="str">
        <f>IFERROR(POWER((VLOOKUP(C338,Code!H:W,13,FALSE))/(VLOOKUP(C338,Code!H:W,16,FALSE)),1/(P338-1))-1,"")</f>
        <v/>
      </c>
      <c r="L338" s="75" t="str">
        <f>IFERROR(VLOOKUP(C338,Code!H:W,13,FALSE)*4/VLOOKUP(C338,Code!H:W,12,FALSE),"")</f>
        <v/>
      </c>
      <c r="M338" s="55" t="str">
        <f t="shared" si="49"/>
        <v/>
      </c>
      <c r="N338" s="55" t="str">
        <f t="shared" si="50"/>
        <v/>
      </c>
      <c r="O338" s="55" t="str">
        <f t="shared" si="51"/>
        <v/>
      </c>
      <c r="P338" s="196" t="str">
        <f>IFERROR(YEARFRAC(VLOOKUP(C338,Code!H:W,11,FALSE),VLOOKUP(C338,Code!H:W,14,FALSE),3),"")</f>
        <v/>
      </c>
      <c r="Q338" s="2"/>
      <c r="R338" s="85" t="str">
        <f t="shared" ca="1" si="52"/>
        <v/>
      </c>
      <c r="S338" s="86" t="str">
        <f>IFERROR(VLOOKUP($C338,Code!$H:$Q,5,FALSE),"")</f>
        <v/>
      </c>
      <c r="T338" s="88" t="str">
        <f t="shared" ca="1" si="53"/>
        <v/>
      </c>
      <c r="U338" s="89" t="str">
        <f t="shared" ca="1" si="54"/>
        <v/>
      </c>
      <c r="V338" s="90" t="str">
        <f>IFERROR(VLOOKUP($C338,Code!$H:$Q,6,FALSE),"")</f>
        <v/>
      </c>
      <c r="W338" s="91" t="str">
        <f t="shared" ca="1" si="55"/>
        <v/>
      </c>
      <c r="X338" s="12"/>
      <c r="Y338" s="12"/>
      <c r="Z338" s="12"/>
      <c r="AA338" s="12"/>
      <c r="AB338" s="12"/>
    </row>
    <row r="339" spans="1:28" s="10" customFormat="1" ht="15" hidden="1">
      <c r="A339" s="9"/>
      <c r="B339" s="137"/>
      <c r="C339" s="142"/>
      <c r="D339" s="82" t="str">
        <f>IFERROR(VLOOKUP($C339,Code!$H:$K,2,FALSE),"")</f>
        <v/>
      </c>
      <c r="E339" s="83" t="str">
        <f>IFERROR(VLOOKUP($C339,Code!$H:$K,3,FALSE),"")</f>
        <v/>
      </c>
      <c r="F339" s="84" t="str">
        <f>IFERROR(VLOOKUP($C339,Code!$H:$K,4,FALSE),"")</f>
        <v/>
      </c>
      <c r="G339" s="128">
        <f>_xlfn.IFNA(((VLOOKUP($C339,Code!$H:$Q,9,FALSE))+(VLOOKUP($C339,Code!$H:$Q,10,FALSE)))/2*0.5/(((VLOOKUP($C339,Code!$H:$Q,7,FALSE))+(VLOOKUP($C339,Code!$H:$Q,8,FALSE)))/2),0)</f>
        <v>0</v>
      </c>
      <c r="H339" s="87" t="str">
        <f t="shared" si="48"/>
        <v/>
      </c>
      <c r="I339" s="128">
        <f>_xlfn.IFNA((VLOOKUP($C339,Code!$H:$Q,5,FALSE))/(((VLOOKUP($C339,Code!$H:$Q,7,FALSE))+(VLOOKUP($C339,Code!$H:$Q,8,FALSE)))/2)-G339,0)</f>
        <v>0</v>
      </c>
      <c r="J339" s="55" t="str">
        <f>IFERROR(POWER((VLOOKUP(C339,Code!H:W,12,FALSE))/(VLOOKUP(C339,Code!H:W,15,FALSE)),1/(P339-1))-1,"")</f>
        <v/>
      </c>
      <c r="K339" s="55" t="str">
        <f>IFERROR(POWER((VLOOKUP(C339,Code!H:W,13,FALSE))/(VLOOKUP(C339,Code!H:W,16,FALSE)),1/(P339-1))-1,"")</f>
        <v/>
      </c>
      <c r="L339" s="75" t="str">
        <f>IFERROR(VLOOKUP(C339,Code!H:W,13,FALSE)*4/VLOOKUP(C339,Code!H:W,12,FALSE),"")</f>
        <v/>
      </c>
      <c r="M339" s="55" t="str">
        <f t="shared" si="49"/>
        <v/>
      </c>
      <c r="N339" s="55" t="str">
        <f t="shared" si="50"/>
        <v/>
      </c>
      <c r="O339" s="55" t="str">
        <f t="shared" si="51"/>
        <v/>
      </c>
      <c r="P339" s="196" t="str">
        <f>IFERROR(YEARFRAC(VLOOKUP(C339,Code!H:W,11,FALSE),VLOOKUP(C339,Code!H:W,14,FALSE),3),"")</f>
        <v/>
      </c>
      <c r="Q339" s="2"/>
      <c r="R339" s="85" t="str">
        <f t="shared" ca="1" si="52"/>
        <v/>
      </c>
      <c r="S339" s="86" t="str">
        <f>IFERROR(VLOOKUP($C339,Code!$H:$Q,5,FALSE),"")</f>
        <v/>
      </c>
      <c r="T339" s="88" t="str">
        <f t="shared" ca="1" si="53"/>
        <v/>
      </c>
      <c r="U339" s="89" t="str">
        <f t="shared" ca="1" si="54"/>
        <v/>
      </c>
      <c r="V339" s="90" t="str">
        <f>IFERROR(VLOOKUP($C339,Code!$H:$Q,6,FALSE),"")</f>
        <v/>
      </c>
      <c r="W339" s="91" t="str">
        <f t="shared" ca="1" si="55"/>
        <v/>
      </c>
      <c r="X339" s="12"/>
      <c r="Y339" s="12"/>
      <c r="Z339" s="12"/>
      <c r="AA339" s="12"/>
      <c r="AB339" s="12"/>
    </row>
    <row r="340" spans="1:28" s="10" customFormat="1" ht="15" hidden="1">
      <c r="A340" s="9"/>
      <c r="B340" s="137"/>
      <c r="C340" s="142"/>
      <c r="D340" s="82" t="str">
        <f>IFERROR(VLOOKUP($C340,Code!$H:$K,2,FALSE),"")</f>
        <v/>
      </c>
      <c r="E340" s="83" t="str">
        <f>IFERROR(VLOOKUP($C340,Code!$H:$K,3,FALSE),"")</f>
        <v/>
      </c>
      <c r="F340" s="84" t="str">
        <f>IFERROR(VLOOKUP($C340,Code!$H:$K,4,FALSE),"")</f>
        <v/>
      </c>
      <c r="G340" s="128">
        <f>_xlfn.IFNA(((VLOOKUP($C340,Code!$H:$Q,9,FALSE))+(VLOOKUP($C340,Code!$H:$Q,10,FALSE)))/2*0.5/(((VLOOKUP($C340,Code!$H:$Q,7,FALSE))+(VLOOKUP($C340,Code!$H:$Q,8,FALSE)))/2),0)</f>
        <v>0</v>
      </c>
      <c r="H340" s="87" t="str">
        <f t="shared" si="48"/>
        <v/>
      </c>
      <c r="I340" s="128">
        <f>_xlfn.IFNA((VLOOKUP($C340,Code!$H:$Q,5,FALSE))/(((VLOOKUP($C340,Code!$H:$Q,7,FALSE))+(VLOOKUP($C340,Code!$H:$Q,8,FALSE)))/2)-G340,0)</f>
        <v>0</v>
      </c>
      <c r="J340" s="55" t="str">
        <f>IFERROR(POWER((VLOOKUP(C340,Code!H:W,12,FALSE))/(VLOOKUP(C340,Code!H:W,15,FALSE)),1/(P340-1))-1,"")</f>
        <v/>
      </c>
      <c r="K340" s="55" t="str">
        <f>IFERROR(POWER((VLOOKUP(C340,Code!H:W,13,FALSE))/(VLOOKUP(C340,Code!H:W,16,FALSE)),1/(P340-1))-1,"")</f>
        <v/>
      </c>
      <c r="L340" s="75" t="str">
        <f>IFERROR(VLOOKUP(C340,Code!H:W,13,FALSE)*4/VLOOKUP(C340,Code!H:W,12,FALSE),"")</f>
        <v/>
      </c>
      <c r="M340" s="55" t="str">
        <f t="shared" si="49"/>
        <v/>
      </c>
      <c r="N340" s="55" t="str">
        <f t="shared" si="50"/>
        <v/>
      </c>
      <c r="O340" s="55" t="str">
        <f t="shared" si="51"/>
        <v/>
      </c>
      <c r="P340" s="196" t="str">
        <f>IFERROR(YEARFRAC(VLOOKUP(C340,Code!H:W,11,FALSE),VLOOKUP(C340,Code!H:W,14,FALSE),3),"")</f>
        <v/>
      </c>
      <c r="Q340" s="2"/>
      <c r="R340" s="85" t="str">
        <f t="shared" ca="1" si="52"/>
        <v/>
      </c>
      <c r="S340" s="86" t="str">
        <f>IFERROR(VLOOKUP($C340,Code!$H:$Q,5,FALSE),"")</f>
        <v/>
      </c>
      <c r="T340" s="88" t="str">
        <f t="shared" ca="1" si="53"/>
        <v/>
      </c>
      <c r="U340" s="89" t="str">
        <f t="shared" ca="1" si="54"/>
        <v/>
      </c>
      <c r="V340" s="90" t="str">
        <f>IFERROR(VLOOKUP($C340,Code!$H:$Q,6,FALSE),"")</f>
        <v/>
      </c>
      <c r="W340" s="91" t="str">
        <f t="shared" ca="1" si="55"/>
        <v/>
      </c>
      <c r="X340" s="12"/>
      <c r="Y340" s="12"/>
      <c r="Z340" s="12"/>
      <c r="AA340" s="12"/>
      <c r="AB340" s="12"/>
    </row>
    <row r="341" spans="1:28" s="10" customFormat="1" ht="15" hidden="1">
      <c r="A341" s="9"/>
      <c r="B341" s="137"/>
      <c r="C341" s="142"/>
      <c r="D341" s="82" t="str">
        <f>IFERROR(VLOOKUP($C341,Code!$H:$K,2,FALSE),"")</f>
        <v/>
      </c>
      <c r="E341" s="83" t="str">
        <f>IFERROR(VLOOKUP($C341,Code!$H:$K,3,FALSE),"")</f>
        <v/>
      </c>
      <c r="F341" s="84" t="str">
        <f>IFERROR(VLOOKUP($C341,Code!$H:$K,4,FALSE),"")</f>
        <v/>
      </c>
      <c r="G341" s="128">
        <f>_xlfn.IFNA(((VLOOKUP($C341,Code!$H:$Q,9,FALSE))+(VLOOKUP($C341,Code!$H:$Q,10,FALSE)))/2*0.5/(((VLOOKUP($C341,Code!$H:$Q,7,FALSE))+(VLOOKUP($C341,Code!$H:$Q,8,FALSE)))/2),0)</f>
        <v>0</v>
      </c>
      <c r="H341" s="87" t="str">
        <f t="shared" si="48"/>
        <v/>
      </c>
      <c r="I341" s="128">
        <f>_xlfn.IFNA((VLOOKUP($C341,Code!$H:$Q,5,FALSE))/(((VLOOKUP($C341,Code!$H:$Q,7,FALSE))+(VLOOKUP($C341,Code!$H:$Q,8,FALSE)))/2)-G341,0)</f>
        <v>0</v>
      </c>
      <c r="J341" s="55" t="str">
        <f>IFERROR(POWER((VLOOKUP(C341,Code!H:W,12,FALSE))/(VLOOKUP(C341,Code!H:W,15,FALSE)),1/(P341-1))-1,"")</f>
        <v/>
      </c>
      <c r="K341" s="55" t="str">
        <f>IFERROR(POWER((VLOOKUP(C341,Code!H:W,13,FALSE))/(VLOOKUP(C341,Code!H:W,16,FALSE)),1/(P341-1))-1,"")</f>
        <v/>
      </c>
      <c r="L341" s="75" t="str">
        <f>IFERROR(VLOOKUP(C341,Code!H:W,13,FALSE)*4/VLOOKUP(C341,Code!H:W,12,FALSE),"")</f>
        <v/>
      </c>
      <c r="M341" s="55" t="str">
        <f t="shared" si="49"/>
        <v/>
      </c>
      <c r="N341" s="55" t="str">
        <f t="shared" si="50"/>
        <v/>
      </c>
      <c r="O341" s="55" t="str">
        <f t="shared" si="51"/>
        <v/>
      </c>
      <c r="P341" s="196" t="str">
        <f>IFERROR(YEARFRAC(VLOOKUP(C341,Code!H:W,11,FALSE),VLOOKUP(C341,Code!H:W,14,FALSE),3),"")</f>
        <v/>
      </c>
      <c r="Q341" s="2"/>
      <c r="R341" s="85" t="str">
        <f t="shared" ca="1" si="52"/>
        <v/>
      </c>
      <c r="S341" s="86" t="str">
        <f>IFERROR(VLOOKUP($C341,Code!$H:$Q,5,FALSE),"")</f>
        <v/>
      </c>
      <c r="T341" s="88" t="str">
        <f t="shared" ca="1" si="53"/>
        <v/>
      </c>
      <c r="U341" s="89" t="str">
        <f t="shared" ca="1" si="54"/>
        <v/>
      </c>
      <c r="V341" s="90" t="str">
        <f>IFERROR(VLOOKUP($C341,Code!$H:$Q,6,FALSE),"")</f>
        <v/>
      </c>
      <c r="W341" s="91" t="str">
        <f t="shared" ca="1" si="55"/>
        <v/>
      </c>
      <c r="X341" s="12"/>
      <c r="Y341" s="12"/>
      <c r="Z341" s="12"/>
      <c r="AA341" s="12"/>
      <c r="AB341" s="12"/>
    </row>
    <row r="342" spans="1:28" s="10" customFormat="1" ht="15" hidden="1">
      <c r="A342" s="9"/>
      <c r="B342" s="137"/>
      <c r="C342" s="142"/>
      <c r="D342" s="82" t="str">
        <f>IFERROR(VLOOKUP($C342,Code!$H:$K,2,FALSE),"")</f>
        <v/>
      </c>
      <c r="E342" s="83" t="str">
        <f>IFERROR(VLOOKUP($C342,Code!$H:$K,3,FALSE),"")</f>
        <v/>
      </c>
      <c r="F342" s="84" t="str">
        <f>IFERROR(VLOOKUP($C342,Code!$H:$K,4,FALSE),"")</f>
        <v/>
      </c>
      <c r="G342" s="128">
        <f>_xlfn.IFNA(((VLOOKUP($C342,Code!$H:$Q,9,FALSE))+(VLOOKUP($C342,Code!$H:$Q,10,FALSE)))/2*0.5/(((VLOOKUP($C342,Code!$H:$Q,7,FALSE))+(VLOOKUP($C342,Code!$H:$Q,8,FALSE)))/2),0)</f>
        <v>0</v>
      </c>
      <c r="H342" s="87" t="str">
        <f t="shared" si="48"/>
        <v/>
      </c>
      <c r="I342" s="128">
        <f>_xlfn.IFNA((VLOOKUP($C342,Code!$H:$Q,5,FALSE))/(((VLOOKUP($C342,Code!$H:$Q,7,FALSE))+(VLOOKUP($C342,Code!$H:$Q,8,FALSE)))/2)-G342,0)</f>
        <v>0</v>
      </c>
      <c r="J342" s="55" t="str">
        <f>IFERROR(POWER((VLOOKUP(C342,Code!H:W,12,FALSE))/(VLOOKUP(C342,Code!H:W,15,FALSE)),1/(P342-1))-1,"")</f>
        <v/>
      </c>
      <c r="K342" s="55" t="str">
        <f>IFERROR(POWER((VLOOKUP(C342,Code!H:W,13,FALSE))/(VLOOKUP(C342,Code!H:W,16,FALSE)),1/(P342-1))-1,"")</f>
        <v/>
      </c>
      <c r="L342" s="75" t="str">
        <f>IFERROR(VLOOKUP(C342,Code!H:W,13,FALSE)*4/VLOOKUP(C342,Code!H:W,12,FALSE),"")</f>
        <v/>
      </c>
      <c r="M342" s="55" t="str">
        <f t="shared" si="49"/>
        <v/>
      </c>
      <c r="N342" s="55" t="str">
        <f t="shared" si="50"/>
        <v/>
      </c>
      <c r="O342" s="55" t="str">
        <f t="shared" si="51"/>
        <v/>
      </c>
      <c r="P342" s="196" t="str">
        <f>IFERROR(YEARFRAC(VLOOKUP(C342,Code!H:W,11,FALSE),VLOOKUP(C342,Code!H:W,14,FALSE),3),"")</f>
        <v/>
      </c>
      <c r="Q342" s="2"/>
      <c r="R342" s="85" t="str">
        <f t="shared" ca="1" si="52"/>
        <v/>
      </c>
      <c r="S342" s="86" t="str">
        <f>IFERROR(VLOOKUP($C342,Code!$H:$Q,5,FALSE),"")</f>
        <v/>
      </c>
      <c r="T342" s="88" t="str">
        <f t="shared" ca="1" si="53"/>
        <v/>
      </c>
      <c r="U342" s="89" t="str">
        <f t="shared" ca="1" si="54"/>
        <v/>
      </c>
      <c r="V342" s="90" t="str">
        <f>IFERROR(VLOOKUP($C342,Code!$H:$Q,6,FALSE),"")</f>
        <v/>
      </c>
      <c r="W342" s="91" t="str">
        <f t="shared" ca="1" si="55"/>
        <v/>
      </c>
      <c r="X342" s="12"/>
      <c r="Y342" s="12"/>
      <c r="Z342" s="12"/>
      <c r="AA342" s="12"/>
      <c r="AB342" s="12"/>
    </row>
    <row r="343" spans="1:28" s="10" customFormat="1" ht="15" hidden="1">
      <c r="A343" s="9"/>
      <c r="B343" s="137"/>
      <c r="C343" s="142"/>
      <c r="D343" s="82" t="str">
        <f>IFERROR(VLOOKUP($C343,Code!$H:$K,2,FALSE),"")</f>
        <v/>
      </c>
      <c r="E343" s="83" t="str">
        <f>IFERROR(VLOOKUP($C343,Code!$H:$K,3,FALSE),"")</f>
        <v/>
      </c>
      <c r="F343" s="84" t="str">
        <f>IFERROR(VLOOKUP($C343,Code!$H:$K,4,FALSE),"")</f>
        <v/>
      </c>
      <c r="G343" s="128">
        <f>_xlfn.IFNA(((VLOOKUP($C343,Code!$H:$Q,9,FALSE))+(VLOOKUP($C343,Code!$H:$Q,10,FALSE)))/2*0.5/(((VLOOKUP($C343,Code!$H:$Q,7,FALSE))+(VLOOKUP($C343,Code!$H:$Q,8,FALSE)))/2),0)</f>
        <v>0</v>
      </c>
      <c r="H343" s="87" t="str">
        <f t="shared" si="48"/>
        <v/>
      </c>
      <c r="I343" s="128">
        <f>_xlfn.IFNA((VLOOKUP($C343,Code!$H:$Q,5,FALSE))/(((VLOOKUP($C343,Code!$H:$Q,7,FALSE))+(VLOOKUP($C343,Code!$H:$Q,8,FALSE)))/2)-G343,0)</f>
        <v>0</v>
      </c>
      <c r="J343" s="55" t="str">
        <f>IFERROR(POWER((VLOOKUP(C343,Code!H:W,12,FALSE))/(VLOOKUP(C343,Code!H:W,15,FALSE)),1/(P343-1))-1,"")</f>
        <v/>
      </c>
      <c r="K343" s="55" t="str">
        <f>IFERROR(POWER((VLOOKUP(C343,Code!H:W,13,FALSE))/(VLOOKUP(C343,Code!H:W,16,FALSE)),1/(P343-1))-1,"")</f>
        <v/>
      </c>
      <c r="L343" s="75" t="str">
        <f>IFERROR(VLOOKUP(C343,Code!H:W,13,FALSE)*4/VLOOKUP(C343,Code!H:W,12,FALSE),"")</f>
        <v/>
      </c>
      <c r="M343" s="55" t="str">
        <f t="shared" si="49"/>
        <v/>
      </c>
      <c r="N343" s="55" t="str">
        <f t="shared" si="50"/>
        <v/>
      </c>
      <c r="O343" s="55" t="str">
        <f t="shared" si="51"/>
        <v/>
      </c>
      <c r="P343" s="196" t="str">
        <f>IFERROR(YEARFRAC(VLOOKUP(C343,Code!H:W,11,FALSE),VLOOKUP(C343,Code!H:W,14,FALSE),3),"")</f>
        <v/>
      </c>
      <c r="Q343" s="2"/>
      <c r="R343" s="85" t="str">
        <f t="shared" ca="1" si="52"/>
        <v/>
      </c>
      <c r="S343" s="86" t="str">
        <f>IFERROR(VLOOKUP($C343,Code!$H:$Q,5,FALSE),"")</f>
        <v/>
      </c>
      <c r="T343" s="88" t="str">
        <f t="shared" ca="1" si="53"/>
        <v/>
      </c>
      <c r="U343" s="89" t="str">
        <f t="shared" ca="1" si="54"/>
        <v/>
      </c>
      <c r="V343" s="90" t="str">
        <f>IFERROR(VLOOKUP($C343,Code!$H:$Q,6,FALSE),"")</f>
        <v/>
      </c>
      <c r="W343" s="91" t="str">
        <f t="shared" ca="1" si="55"/>
        <v/>
      </c>
      <c r="X343" s="12"/>
      <c r="Y343" s="12"/>
      <c r="Z343" s="12"/>
      <c r="AA343" s="12"/>
      <c r="AB343" s="12"/>
    </row>
    <row r="344" spans="1:28" s="10" customFormat="1" ht="15" hidden="1">
      <c r="A344" s="9"/>
      <c r="B344" s="137"/>
      <c r="C344" s="142"/>
      <c r="D344" s="82" t="str">
        <f>IFERROR(VLOOKUP($C344,Code!$H:$K,2,FALSE),"")</f>
        <v/>
      </c>
      <c r="E344" s="83" t="str">
        <f>IFERROR(VLOOKUP($C344,Code!$H:$K,3,FALSE),"")</f>
        <v/>
      </c>
      <c r="F344" s="84" t="str">
        <f>IFERROR(VLOOKUP($C344,Code!$H:$K,4,FALSE),"")</f>
        <v/>
      </c>
      <c r="G344" s="128">
        <f>_xlfn.IFNA(((VLOOKUP($C344,Code!$H:$Q,9,FALSE))+(VLOOKUP($C344,Code!$H:$Q,10,FALSE)))/2*0.5/(((VLOOKUP($C344,Code!$H:$Q,7,FALSE))+(VLOOKUP($C344,Code!$H:$Q,8,FALSE)))/2),0)</f>
        <v>0</v>
      </c>
      <c r="H344" s="87" t="str">
        <f t="shared" si="48"/>
        <v/>
      </c>
      <c r="I344" s="128">
        <f>_xlfn.IFNA((VLOOKUP($C344,Code!$H:$Q,5,FALSE))/(((VLOOKUP($C344,Code!$H:$Q,7,FALSE))+(VLOOKUP($C344,Code!$H:$Q,8,FALSE)))/2)-G344,0)</f>
        <v>0</v>
      </c>
      <c r="J344" s="55" t="str">
        <f>IFERROR(POWER((VLOOKUP(C344,Code!H:W,12,FALSE))/(VLOOKUP(C344,Code!H:W,15,FALSE)),1/(P344-1))-1,"")</f>
        <v/>
      </c>
      <c r="K344" s="55" t="str">
        <f>IFERROR(POWER((VLOOKUP(C344,Code!H:W,13,FALSE))/(VLOOKUP(C344,Code!H:W,16,FALSE)),1/(P344-1))-1,"")</f>
        <v/>
      </c>
      <c r="L344" s="75" t="str">
        <f>IFERROR(VLOOKUP(C344,Code!H:W,13,FALSE)*4/VLOOKUP(C344,Code!H:W,12,FALSE),"")</f>
        <v/>
      </c>
      <c r="M344" s="55" t="str">
        <f t="shared" si="49"/>
        <v/>
      </c>
      <c r="N344" s="55" t="str">
        <f t="shared" si="50"/>
        <v/>
      </c>
      <c r="O344" s="55" t="str">
        <f t="shared" si="51"/>
        <v/>
      </c>
      <c r="P344" s="196" t="str">
        <f>IFERROR(YEARFRAC(VLOOKUP(C344,Code!H:W,11,FALSE),VLOOKUP(C344,Code!H:W,14,FALSE),3),"")</f>
        <v/>
      </c>
      <c r="Q344" s="2"/>
      <c r="R344" s="85" t="str">
        <f t="shared" ca="1" si="52"/>
        <v/>
      </c>
      <c r="S344" s="86" t="str">
        <f>IFERROR(VLOOKUP($C344,Code!$H:$Q,5,FALSE),"")</f>
        <v/>
      </c>
      <c r="T344" s="88" t="str">
        <f t="shared" ca="1" si="53"/>
        <v/>
      </c>
      <c r="U344" s="89" t="str">
        <f t="shared" ca="1" si="54"/>
        <v/>
      </c>
      <c r="V344" s="90" t="str">
        <f>IFERROR(VLOOKUP($C344,Code!$H:$Q,6,FALSE),"")</f>
        <v/>
      </c>
      <c r="W344" s="91" t="str">
        <f t="shared" ca="1" si="55"/>
        <v/>
      </c>
      <c r="X344" s="12"/>
      <c r="Y344" s="12"/>
      <c r="Z344" s="12"/>
      <c r="AA344" s="12"/>
      <c r="AB344" s="12"/>
    </row>
    <row r="345" spans="1:28" s="10" customFormat="1" ht="15" hidden="1">
      <c r="A345" s="9"/>
      <c r="B345" s="137"/>
      <c r="C345" s="142"/>
      <c r="D345" s="82" t="str">
        <f>IFERROR(VLOOKUP($C345,Code!$H:$K,2,FALSE),"")</f>
        <v/>
      </c>
      <c r="E345" s="83" t="str">
        <f>IFERROR(VLOOKUP($C345,Code!$H:$K,3,FALSE),"")</f>
        <v/>
      </c>
      <c r="F345" s="84" t="str">
        <f>IFERROR(VLOOKUP($C345,Code!$H:$K,4,FALSE),"")</f>
        <v/>
      </c>
      <c r="G345" s="128">
        <f>_xlfn.IFNA(((VLOOKUP($C345,Code!$H:$Q,9,FALSE))+(VLOOKUP($C345,Code!$H:$Q,10,FALSE)))/2*0.5/(((VLOOKUP($C345,Code!$H:$Q,7,FALSE))+(VLOOKUP($C345,Code!$H:$Q,8,FALSE)))/2),0)</f>
        <v>0</v>
      </c>
      <c r="H345" s="87" t="str">
        <f t="shared" si="48"/>
        <v/>
      </c>
      <c r="I345" s="128">
        <f>_xlfn.IFNA((VLOOKUP($C345,Code!$H:$Q,5,FALSE))/(((VLOOKUP($C345,Code!$H:$Q,7,FALSE))+(VLOOKUP($C345,Code!$H:$Q,8,FALSE)))/2)-G345,0)</f>
        <v>0</v>
      </c>
      <c r="J345" s="55" t="str">
        <f>IFERROR(POWER((VLOOKUP(C345,Code!H:W,12,FALSE))/(VLOOKUP(C345,Code!H:W,15,FALSE)),1/(P345-1))-1,"")</f>
        <v/>
      </c>
      <c r="K345" s="55" t="str">
        <f>IFERROR(POWER((VLOOKUP(C345,Code!H:W,13,FALSE))/(VLOOKUP(C345,Code!H:W,16,FALSE)),1/(P345-1))-1,"")</f>
        <v/>
      </c>
      <c r="L345" s="75" t="str">
        <f>IFERROR(VLOOKUP(C345,Code!H:W,13,FALSE)*4/VLOOKUP(C345,Code!H:W,12,FALSE),"")</f>
        <v/>
      </c>
      <c r="M345" s="55" t="str">
        <f t="shared" si="49"/>
        <v/>
      </c>
      <c r="N345" s="55" t="str">
        <f t="shared" si="50"/>
        <v/>
      </c>
      <c r="O345" s="55" t="str">
        <f t="shared" si="51"/>
        <v/>
      </c>
      <c r="P345" s="196" t="str">
        <f>IFERROR(YEARFRAC(VLOOKUP(C345,Code!H:W,11,FALSE),VLOOKUP(C345,Code!H:W,14,FALSE),3),"")</f>
        <v/>
      </c>
      <c r="Q345" s="2"/>
      <c r="R345" s="85" t="str">
        <f t="shared" ca="1" si="52"/>
        <v/>
      </c>
      <c r="S345" s="86" t="str">
        <f>IFERROR(VLOOKUP($C345,Code!$H:$Q,5,FALSE),"")</f>
        <v/>
      </c>
      <c r="T345" s="88" t="str">
        <f t="shared" ca="1" si="53"/>
        <v/>
      </c>
      <c r="U345" s="89" t="str">
        <f t="shared" ca="1" si="54"/>
        <v/>
      </c>
      <c r="V345" s="90" t="str">
        <f>IFERROR(VLOOKUP($C345,Code!$H:$Q,6,FALSE),"")</f>
        <v/>
      </c>
      <c r="W345" s="91" t="str">
        <f t="shared" ca="1" si="55"/>
        <v/>
      </c>
      <c r="X345" s="12"/>
      <c r="Y345" s="12"/>
      <c r="Z345" s="12"/>
      <c r="AA345" s="12"/>
      <c r="AB345" s="12"/>
    </row>
    <row r="346" spans="1:28" s="10" customFormat="1" ht="15" hidden="1">
      <c r="A346" s="9"/>
      <c r="B346" s="137"/>
      <c r="C346" s="142"/>
      <c r="D346" s="82" t="str">
        <f>IFERROR(VLOOKUP($C346,Code!$H:$K,2,FALSE),"")</f>
        <v/>
      </c>
      <c r="E346" s="83" t="str">
        <f>IFERROR(VLOOKUP($C346,Code!$H:$K,3,FALSE),"")</f>
        <v/>
      </c>
      <c r="F346" s="84" t="str">
        <f>IFERROR(VLOOKUP($C346,Code!$H:$K,4,FALSE),"")</f>
        <v/>
      </c>
      <c r="G346" s="128">
        <f>_xlfn.IFNA(((VLOOKUP($C346,Code!$H:$Q,9,FALSE))+(VLOOKUP($C346,Code!$H:$Q,10,FALSE)))/2*0.5/(((VLOOKUP($C346,Code!$H:$Q,7,FALSE))+(VLOOKUP($C346,Code!$H:$Q,8,FALSE)))/2),0)</f>
        <v>0</v>
      </c>
      <c r="H346" s="87" t="str">
        <f t="shared" si="48"/>
        <v/>
      </c>
      <c r="I346" s="128">
        <f>_xlfn.IFNA((VLOOKUP($C346,Code!$H:$Q,5,FALSE))/(((VLOOKUP($C346,Code!$H:$Q,7,FALSE))+(VLOOKUP($C346,Code!$H:$Q,8,FALSE)))/2)-G346,0)</f>
        <v>0</v>
      </c>
      <c r="J346" s="55" t="str">
        <f>IFERROR(POWER((VLOOKUP(C346,Code!H:W,12,FALSE))/(VLOOKUP(C346,Code!H:W,15,FALSE)),1/(P346-1))-1,"")</f>
        <v/>
      </c>
      <c r="K346" s="55" t="str">
        <f>IFERROR(POWER((VLOOKUP(C346,Code!H:W,13,FALSE))/(VLOOKUP(C346,Code!H:W,16,FALSE)),1/(P346-1))-1,"")</f>
        <v/>
      </c>
      <c r="L346" s="75" t="str">
        <f>IFERROR(VLOOKUP(C346,Code!H:W,13,FALSE)*4/VLOOKUP(C346,Code!H:W,12,FALSE),"")</f>
        <v/>
      </c>
      <c r="M346" s="55" t="str">
        <f t="shared" si="49"/>
        <v/>
      </c>
      <c r="N346" s="55" t="str">
        <f t="shared" si="50"/>
        <v/>
      </c>
      <c r="O346" s="55" t="str">
        <f t="shared" si="51"/>
        <v/>
      </c>
      <c r="P346" s="196" t="str">
        <f>IFERROR(YEARFRAC(VLOOKUP(C346,Code!H:W,11,FALSE),VLOOKUP(C346,Code!H:W,14,FALSE),3),"")</f>
        <v/>
      </c>
      <c r="Q346" s="2"/>
      <c r="R346" s="85" t="str">
        <f t="shared" ca="1" si="52"/>
        <v/>
      </c>
      <c r="S346" s="86" t="str">
        <f>IFERROR(VLOOKUP($C346,Code!$H:$Q,5,FALSE),"")</f>
        <v/>
      </c>
      <c r="T346" s="88" t="str">
        <f t="shared" ca="1" si="53"/>
        <v/>
      </c>
      <c r="U346" s="89" t="str">
        <f t="shared" ca="1" si="54"/>
        <v/>
      </c>
      <c r="V346" s="90" t="str">
        <f>IFERROR(VLOOKUP($C346,Code!$H:$Q,6,FALSE),"")</f>
        <v/>
      </c>
      <c r="W346" s="91" t="str">
        <f t="shared" ca="1" si="55"/>
        <v/>
      </c>
      <c r="X346" s="12"/>
      <c r="Y346" s="12"/>
      <c r="Z346" s="12"/>
      <c r="AA346" s="12"/>
      <c r="AB346" s="12"/>
    </row>
    <row r="347" spans="1:28" s="10" customFormat="1" ht="15" hidden="1">
      <c r="A347" s="9"/>
      <c r="B347" s="137"/>
      <c r="C347" s="142"/>
      <c r="D347" s="82" t="str">
        <f>IFERROR(VLOOKUP($C347,Code!$H:$K,2,FALSE),"")</f>
        <v/>
      </c>
      <c r="E347" s="83" t="str">
        <f>IFERROR(VLOOKUP($C347,Code!$H:$K,3,FALSE),"")</f>
        <v/>
      </c>
      <c r="F347" s="84" t="str">
        <f>IFERROR(VLOOKUP($C347,Code!$H:$K,4,FALSE),"")</f>
        <v/>
      </c>
      <c r="G347" s="128">
        <f>_xlfn.IFNA(((VLOOKUP($C347,Code!$H:$Q,9,FALSE))+(VLOOKUP($C347,Code!$H:$Q,10,FALSE)))/2*0.5/(((VLOOKUP($C347,Code!$H:$Q,7,FALSE))+(VLOOKUP($C347,Code!$H:$Q,8,FALSE)))/2),0)</f>
        <v>0</v>
      </c>
      <c r="H347" s="87" t="str">
        <f t="shared" si="48"/>
        <v/>
      </c>
      <c r="I347" s="128">
        <f>_xlfn.IFNA((VLOOKUP($C347,Code!$H:$Q,5,FALSE))/(((VLOOKUP($C347,Code!$H:$Q,7,FALSE))+(VLOOKUP($C347,Code!$H:$Q,8,FALSE)))/2)-G347,0)</f>
        <v>0</v>
      </c>
      <c r="J347" s="55" t="str">
        <f>IFERROR(POWER((VLOOKUP(C347,Code!H:W,12,FALSE))/(VLOOKUP(C347,Code!H:W,15,FALSE)),1/(P347-1))-1,"")</f>
        <v/>
      </c>
      <c r="K347" s="55" t="str">
        <f>IFERROR(POWER((VLOOKUP(C347,Code!H:W,13,FALSE))/(VLOOKUP(C347,Code!H:W,16,FALSE)),1/(P347-1))-1,"")</f>
        <v/>
      </c>
      <c r="L347" s="75" t="str">
        <f>IFERROR(VLOOKUP(C347,Code!H:W,13,FALSE)*4/VLOOKUP(C347,Code!H:W,12,FALSE),"")</f>
        <v/>
      </c>
      <c r="M347" s="55" t="str">
        <f t="shared" si="49"/>
        <v/>
      </c>
      <c r="N347" s="55" t="str">
        <f t="shared" si="50"/>
        <v/>
      </c>
      <c r="O347" s="55" t="str">
        <f t="shared" si="51"/>
        <v/>
      </c>
      <c r="P347" s="196" t="str">
        <f>IFERROR(YEARFRAC(VLOOKUP(C347,Code!H:W,11,FALSE),VLOOKUP(C347,Code!H:W,14,FALSE),3),"")</f>
        <v/>
      </c>
      <c r="Q347" s="2"/>
      <c r="R347" s="85" t="str">
        <f t="shared" ca="1" si="52"/>
        <v/>
      </c>
      <c r="S347" s="86" t="str">
        <f>IFERROR(VLOOKUP($C347,Code!$H:$Q,5,FALSE),"")</f>
        <v/>
      </c>
      <c r="T347" s="88" t="str">
        <f t="shared" ca="1" si="53"/>
        <v/>
      </c>
      <c r="U347" s="89" t="str">
        <f t="shared" ca="1" si="54"/>
        <v/>
      </c>
      <c r="V347" s="90" t="str">
        <f>IFERROR(VLOOKUP($C347,Code!$H:$Q,6,FALSE),"")</f>
        <v/>
      </c>
      <c r="W347" s="91" t="str">
        <f t="shared" ca="1" si="55"/>
        <v/>
      </c>
      <c r="X347" s="12"/>
      <c r="Y347" s="12"/>
      <c r="Z347" s="12"/>
      <c r="AA347" s="12"/>
      <c r="AB347" s="12"/>
    </row>
    <row r="348" spans="1:28" s="10" customFormat="1" ht="15" hidden="1">
      <c r="A348" s="9"/>
      <c r="B348" s="137"/>
      <c r="C348" s="142"/>
      <c r="D348" s="82" t="str">
        <f>IFERROR(VLOOKUP($C348,Code!$H:$K,2,FALSE),"")</f>
        <v/>
      </c>
      <c r="E348" s="83" t="str">
        <f>IFERROR(VLOOKUP($C348,Code!$H:$K,3,FALSE),"")</f>
        <v/>
      </c>
      <c r="F348" s="84" t="str">
        <f>IFERROR(VLOOKUP($C348,Code!$H:$K,4,FALSE),"")</f>
        <v/>
      </c>
      <c r="G348" s="128">
        <f>_xlfn.IFNA(((VLOOKUP($C348,Code!$H:$Q,9,FALSE))+(VLOOKUP($C348,Code!$H:$Q,10,FALSE)))/2*0.5/(((VLOOKUP($C348,Code!$H:$Q,7,FALSE))+(VLOOKUP($C348,Code!$H:$Q,8,FALSE)))/2),0)</f>
        <v>0</v>
      </c>
      <c r="H348" s="87" t="str">
        <f t="shared" si="48"/>
        <v/>
      </c>
      <c r="I348" s="128">
        <f>_xlfn.IFNA((VLOOKUP($C348,Code!$H:$Q,5,FALSE))/(((VLOOKUP($C348,Code!$H:$Q,7,FALSE))+(VLOOKUP($C348,Code!$H:$Q,8,FALSE)))/2)-G348,0)</f>
        <v>0</v>
      </c>
      <c r="J348" s="55" t="str">
        <f>IFERROR(POWER((VLOOKUP(C348,Code!H:W,12,FALSE))/(VLOOKUP(C348,Code!H:W,15,FALSE)),1/(P348-1))-1,"")</f>
        <v/>
      </c>
      <c r="K348" s="55" t="str">
        <f>IFERROR(POWER((VLOOKUP(C348,Code!H:W,13,FALSE))/(VLOOKUP(C348,Code!H:W,16,FALSE)),1/(P348-1))-1,"")</f>
        <v/>
      </c>
      <c r="L348" s="75" t="str">
        <f>IFERROR(VLOOKUP(C348,Code!H:W,13,FALSE)*4/VLOOKUP(C348,Code!H:W,12,FALSE),"")</f>
        <v/>
      </c>
      <c r="M348" s="55" t="str">
        <f t="shared" si="49"/>
        <v/>
      </c>
      <c r="N348" s="55" t="str">
        <f t="shared" si="50"/>
        <v/>
      </c>
      <c r="O348" s="55" t="str">
        <f t="shared" si="51"/>
        <v/>
      </c>
      <c r="P348" s="196" t="str">
        <f>IFERROR(YEARFRAC(VLOOKUP(C348,Code!H:W,11,FALSE),VLOOKUP(C348,Code!H:W,14,FALSE),3),"")</f>
        <v/>
      </c>
      <c r="Q348" s="2"/>
      <c r="R348" s="85" t="str">
        <f t="shared" ca="1" si="52"/>
        <v/>
      </c>
      <c r="S348" s="86" t="str">
        <f>IFERROR(VLOOKUP($C348,Code!$H:$Q,5,FALSE),"")</f>
        <v/>
      </c>
      <c r="T348" s="88" t="str">
        <f t="shared" ca="1" si="53"/>
        <v/>
      </c>
      <c r="U348" s="89" t="str">
        <f t="shared" ca="1" si="54"/>
        <v/>
      </c>
      <c r="V348" s="90" t="str">
        <f>IFERROR(VLOOKUP($C348,Code!$H:$Q,6,FALSE),"")</f>
        <v/>
      </c>
      <c r="W348" s="91" t="str">
        <f t="shared" ca="1" si="55"/>
        <v/>
      </c>
      <c r="X348" s="12"/>
      <c r="Y348" s="12"/>
      <c r="Z348" s="12"/>
      <c r="AA348" s="12"/>
      <c r="AB348" s="12"/>
    </row>
    <row r="349" spans="1:28" s="10" customFormat="1" ht="15" hidden="1">
      <c r="A349" s="9"/>
      <c r="B349" s="137"/>
      <c r="C349" s="142"/>
      <c r="D349" s="82" t="str">
        <f>IFERROR(VLOOKUP($C349,Code!$H:$K,2,FALSE),"")</f>
        <v/>
      </c>
      <c r="E349" s="83" t="str">
        <f>IFERROR(VLOOKUP($C349,Code!$H:$K,3,FALSE),"")</f>
        <v/>
      </c>
      <c r="F349" s="84" t="str">
        <f>IFERROR(VLOOKUP($C349,Code!$H:$K,4,FALSE),"")</f>
        <v/>
      </c>
      <c r="G349" s="128">
        <f>_xlfn.IFNA(((VLOOKUP($C349,Code!$H:$Q,9,FALSE))+(VLOOKUP($C349,Code!$H:$Q,10,FALSE)))/2*0.5/(((VLOOKUP($C349,Code!$H:$Q,7,FALSE))+(VLOOKUP($C349,Code!$H:$Q,8,FALSE)))/2),0)</f>
        <v>0</v>
      </c>
      <c r="H349" s="87" t="str">
        <f t="shared" si="48"/>
        <v/>
      </c>
      <c r="I349" s="128">
        <f>_xlfn.IFNA((VLOOKUP($C349,Code!$H:$Q,5,FALSE))/(((VLOOKUP($C349,Code!$H:$Q,7,FALSE))+(VLOOKUP($C349,Code!$H:$Q,8,FALSE)))/2)-G349,0)</f>
        <v>0</v>
      </c>
      <c r="J349" s="55" t="str">
        <f>IFERROR(POWER((VLOOKUP(C349,Code!H:W,12,FALSE))/(VLOOKUP(C349,Code!H:W,15,FALSE)),1/(P349-1))-1,"")</f>
        <v/>
      </c>
      <c r="K349" s="55" t="str">
        <f>IFERROR(POWER((VLOOKUP(C349,Code!H:W,13,FALSE))/(VLOOKUP(C349,Code!H:W,16,FALSE)),1/(P349-1))-1,"")</f>
        <v/>
      </c>
      <c r="L349" s="75" t="str">
        <f>IFERROR(VLOOKUP(C349,Code!H:W,13,FALSE)*4/VLOOKUP(C349,Code!H:W,12,FALSE),"")</f>
        <v/>
      </c>
      <c r="M349" s="55" t="str">
        <f t="shared" si="49"/>
        <v/>
      </c>
      <c r="N349" s="55" t="str">
        <f t="shared" si="50"/>
        <v/>
      </c>
      <c r="O349" s="55" t="str">
        <f t="shared" si="51"/>
        <v/>
      </c>
      <c r="P349" s="196" t="str">
        <f>IFERROR(YEARFRAC(VLOOKUP(C349,Code!H:W,11,FALSE),VLOOKUP(C349,Code!H:W,14,FALSE),3),"")</f>
        <v/>
      </c>
      <c r="Q349" s="2"/>
      <c r="R349" s="85" t="str">
        <f t="shared" ca="1" si="52"/>
        <v/>
      </c>
      <c r="S349" s="86" t="str">
        <f>IFERROR(VLOOKUP($C349,Code!$H:$Q,5,FALSE),"")</f>
        <v/>
      </c>
      <c r="T349" s="88" t="str">
        <f t="shared" ca="1" si="53"/>
        <v/>
      </c>
      <c r="U349" s="89" t="str">
        <f t="shared" ca="1" si="54"/>
        <v/>
      </c>
      <c r="V349" s="90" t="str">
        <f>IFERROR(VLOOKUP($C349,Code!$H:$Q,6,FALSE),"")</f>
        <v/>
      </c>
      <c r="W349" s="91" t="str">
        <f t="shared" ca="1" si="55"/>
        <v/>
      </c>
      <c r="X349" s="12"/>
      <c r="Y349" s="12"/>
      <c r="Z349" s="12"/>
      <c r="AA349" s="12"/>
      <c r="AB349" s="12"/>
    </row>
    <row r="350" spans="1:28" s="10" customFormat="1" ht="15" hidden="1">
      <c r="A350" s="9"/>
      <c r="B350" s="137"/>
      <c r="C350" s="142"/>
      <c r="D350" s="82" t="str">
        <f>IFERROR(VLOOKUP($C350,Code!$H:$K,2,FALSE),"")</f>
        <v/>
      </c>
      <c r="E350" s="83" t="str">
        <f>IFERROR(VLOOKUP($C350,Code!$H:$K,3,FALSE),"")</f>
        <v/>
      </c>
      <c r="F350" s="84" t="str">
        <f>IFERROR(VLOOKUP($C350,Code!$H:$K,4,FALSE),"")</f>
        <v/>
      </c>
      <c r="G350" s="128">
        <f>_xlfn.IFNA(((VLOOKUP($C350,Code!$H:$Q,9,FALSE))+(VLOOKUP($C350,Code!$H:$Q,10,FALSE)))/2*0.5/(((VLOOKUP($C350,Code!$H:$Q,7,FALSE))+(VLOOKUP($C350,Code!$H:$Q,8,FALSE)))/2),0)</f>
        <v>0</v>
      </c>
      <c r="H350" s="87" t="str">
        <f t="shared" si="48"/>
        <v/>
      </c>
      <c r="I350" s="128">
        <f>_xlfn.IFNA((VLOOKUP($C350,Code!$H:$Q,5,FALSE))/(((VLOOKUP($C350,Code!$H:$Q,7,FALSE))+(VLOOKUP($C350,Code!$H:$Q,8,FALSE)))/2)-G350,0)</f>
        <v>0</v>
      </c>
      <c r="J350" s="55" t="str">
        <f>IFERROR(POWER((VLOOKUP(C350,Code!H:W,12,FALSE))/(VLOOKUP(C350,Code!H:W,15,FALSE)),1/(P350-1))-1,"")</f>
        <v/>
      </c>
      <c r="K350" s="55" t="str">
        <f>IFERROR(POWER((VLOOKUP(C350,Code!H:W,13,FALSE))/(VLOOKUP(C350,Code!H:W,16,FALSE)),1/(P350-1))-1,"")</f>
        <v/>
      </c>
      <c r="L350" s="75" t="str">
        <f>IFERROR(VLOOKUP(C350,Code!H:W,13,FALSE)*4/VLOOKUP(C350,Code!H:W,12,FALSE),"")</f>
        <v/>
      </c>
      <c r="M350" s="55" t="str">
        <f t="shared" si="49"/>
        <v/>
      </c>
      <c r="N350" s="55" t="str">
        <f t="shared" si="50"/>
        <v/>
      </c>
      <c r="O350" s="55" t="str">
        <f t="shared" si="51"/>
        <v/>
      </c>
      <c r="P350" s="196" t="str">
        <f>IFERROR(YEARFRAC(VLOOKUP(C350,Code!H:W,11,FALSE),VLOOKUP(C350,Code!H:W,14,FALSE),3),"")</f>
        <v/>
      </c>
      <c r="Q350" s="2"/>
      <c r="R350" s="85" t="str">
        <f t="shared" ca="1" si="52"/>
        <v/>
      </c>
      <c r="S350" s="86" t="str">
        <f>IFERROR(VLOOKUP($C350,Code!$H:$Q,5,FALSE),"")</f>
        <v/>
      </c>
      <c r="T350" s="88" t="str">
        <f t="shared" ca="1" si="53"/>
        <v/>
      </c>
      <c r="U350" s="89" t="str">
        <f t="shared" ca="1" si="54"/>
        <v/>
      </c>
      <c r="V350" s="90" t="str">
        <f>IFERROR(VLOOKUP($C350,Code!$H:$Q,6,FALSE),"")</f>
        <v/>
      </c>
      <c r="W350" s="91" t="str">
        <f t="shared" ca="1" si="55"/>
        <v/>
      </c>
      <c r="X350" s="12"/>
      <c r="Y350" s="12"/>
      <c r="Z350" s="12"/>
      <c r="AA350" s="12"/>
      <c r="AB350" s="12"/>
    </row>
    <row r="351" spans="1:28" s="10" customFormat="1" ht="15" hidden="1">
      <c r="A351" s="9"/>
      <c r="B351" s="137"/>
      <c r="C351" s="142"/>
      <c r="D351" s="82" t="str">
        <f>IFERROR(VLOOKUP($C351,Code!$H:$K,2,FALSE),"")</f>
        <v/>
      </c>
      <c r="E351" s="83" t="str">
        <f>IFERROR(VLOOKUP($C351,Code!$H:$K,3,FALSE),"")</f>
        <v/>
      </c>
      <c r="F351" s="84" t="str">
        <f>IFERROR(VLOOKUP($C351,Code!$H:$K,4,FALSE),"")</f>
        <v/>
      </c>
      <c r="G351" s="128">
        <f>_xlfn.IFNA(((VLOOKUP($C351,Code!$H:$Q,9,FALSE))+(VLOOKUP($C351,Code!$H:$Q,10,FALSE)))/2*0.5/(((VLOOKUP($C351,Code!$H:$Q,7,FALSE))+(VLOOKUP($C351,Code!$H:$Q,8,FALSE)))/2),0)</f>
        <v>0</v>
      </c>
      <c r="H351" s="87" t="str">
        <f t="shared" si="48"/>
        <v/>
      </c>
      <c r="I351" s="128">
        <f>_xlfn.IFNA((VLOOKUP($C351,Code!$H:$Q,5,FALSE))/(((VLOOKUP($C351,Code!$H:$Q,7,FALSE))+(VLOOKUP($C351,Code!$H:$Q,8,FALSE)))/2)-G351,0)</f>
        <v>0</v>
      </c>
      <c r="J351" s="55" t="str">
        <f>IFERROR(POWER((VLOOKUP(C351,Code!H:W,12,FALSE))/(VLOOKUP(C351,Code!H:W,15,FALSE)),1/(P351-1))-1,"")</f>
        <v/>
      </c>
      <c r="K351" s="55" t="str">
        <f>IFERROR(POWER((VLOOKUP(C351,Code!H:W,13,FALSE))/(VLOOKUP(C351,Code!H:W,16,FALSE)),1/(P351-1))-1,"")</f>
        <v/>
      </c>
      <c r="L351" s="75" t="str">
        <f>IFERROR(VLOOKUP(C351,Code!H:W,13,FALSE)*4/VLOOKUP(C351,Code!H:W,12,FALSE),"")</f>
        <v/>
      </c>
      <c r="M351" s="55" t="str">
        <f t="shared" si="49"/>
        <v/>
      </c>
      <c r="N351" s="55" t="str">
        <f t="shared" si="50"/>
        <v/>
      </c>
      <c r="O351" s="55" t="str">
        <f t="shared" si="51"/>
        <v/>
      </c>
      <c r="P351" s="196" t="str">
        <f>IFERROR(YEARFRAC(VLOOKUP(C351,Code!H:W,11,FALSE),VLOOKUP(C351,Code!H:W,14,FALSE),3),"")</f>
        <v/>
      </c>
      <c r="Q351" s="2"/>
      <c r="R351" s="85" t="str">
        <f t="shared" ca="1" si="52"/>
        <v/>
      </c>
      <c r="S351" s="86" t="str">
        <f>IFERROR(VLOOKUP($C351,Code!$H:$Q,5,FALSE),"")</f>
        <v/>
      </c>
      <c r="T351" s="88" t="str">
        <f t="shared" ca="1" si="53"/>
        <v/>
      </c>
      <c r="U351" s="89" t="str">
        <f t="shared" ca="1" si="54"/>
        <v/>
      </c>
      <c r="V351" s="90" t="str">
        <f>IFERROR(VLOOKUP($C351,Code!$H:$Q,6,FALSE),"")</f>
        <v/>
      </c>
      <c r="W351" s="91" t="str">
        <f t="shared" ca="1" si="55"/>
        <v/>
      </c>
      <c r="X351" s="12"/>
      <c r="Y351" s="12"/>
      <c r="Z351" s="12"/>
      <c r="AA351" s="12"/>
      <c r="AB351" s="12"/>
    </row>
    <row r="352" spans="1:28" s="10" customFormat="1" ht="15" hidden="1">
      <c r="A352" s="9"/>
      <c r="B352" s="137"/>
      <c r="C352" s="142"/>
      <c r="D352" s="82" t="str">
        <f>IFERROR(VLOOKUP($C352,Code!$H:$K,2,FALSE),"")</f>
        <v/>
      </c>
      <c r="E352" s="83" t="str">
        <f>IFERROR(VLOOKUP($C352,Code!$H:$K,3,FALSE),"")</f>
        <v/>
      </c>
      <c r="F352" s="84" t="str">
        <f>IFERROR(VLOOKUP($C352,Code!$H:$K,4,FALSE),"")</f>
        <v/>
      </c>
      <c r="G352" s="128">
        <f>_xlfn.IFNA(((VLOOKUP($C352,Code!$H:$Q,9,FALSE))+(VLOOKUP($C352,Code!$H:$Q,10,FALSE)))/2*0.5/(((VLOOKUP($C352,Code!$H:$Q,7,FALSE))+(VLOOKUP($C352,Code!$H:$Q,8,FALSE)))/2),0)</f>
        <v>0</v>
      </c>
      <c r="H352" s="87" t="str">
        <f t="shared" si="48"/>
        <v/>
      </c>
      <c r="I352" s="128">
        <f>_xlfn.IFNA((VLOOKUP($C352,Code!$H:$Q,5,FALSE))/(((VLOOKUP($C352,Code!$H:$Q,7,FALSE))+(VLOOKUP($C352,Code!$H:$Q,8,FALSE)))/2)-G352,0)</f>
        <v>0</v>
      </c>
      <c r="J352" s="55" t="str">
        <f>IFERROR(POWER((VLOOKUP(C352,Code!H:W,12,FALSE))/(VLOOKUP(C352,Code!H:W,15,FALSE)),1/(P352-1))-1,"")</f>
        <v/>
      </c>
      <c r="K352" s="55" t="str">
        <f>IFERROR(POWER((VLOOKUP(C352,Code!H:W,13,FALSE))/(VLOOKUP(C352,Code!H:W,16,FALSE)),1/(P352-1))-1,"")</f>
        <v/>
      </c>
      <c r="L352" s="75" t="str">
        <f>IFERROR(VLOOKUP(C352,Code!H:W,13,FALSE)*4/VLOOKUP(C352,Code!H:W,12,FALSE),"")</f>
        <v/>
      </c>
      <c r="M352" s="55" t="str">
        <f t="shared" si="49"/>
        <v/>
      </c>
      <c r="N352" s="55" t="str">
        <f t="shared" si="50"/>
        <v/>
      </c>
      <c r="O352" s="55" t="str">
        <f t="shared" si="51"/>
        <v/>
      </c>
      <c r="P352" s="196" t="str">
        <f>IFERROR(YEARFRAC(VLOOKUP(C352,Code!H:W,11,FALSE),VLOOKUP(C352,Code!H:W,14,FALSE),3),"")</f>
        <v/>
      </c>
      <c r="Q352" s="2"/>
      <c r="R352" s="85" t="str">
        <f t="shared" ca="1" si="52"/>
        <v/>
      </c>
      <c r="S352" s="86" t="str">
        <f>IFERROR(VLOOKUP($C352,Code!$H:$Q,5,FALSE),"")</f>
        <v/>
      </c>
      <c r="T352" s="88" t="str">
        <f t="shared" ca="1" si="53"/>
        <v/>
      </c>
      <c r="U352" s="89" t="str">
        <f t="shared" ca="1" si="54"/>
        <v/>
      </c>
      <c r="V352" s="90" t="str">
        <f>IFERROR(VLOOKUP($C352,Code!$H:$Q,6,FALSE),"")</f>
        <v/>
      </c>
      <c r="W352" s="91" t="str">
        <f t="shared" ca="1" si="55"/>
        <v/>
      </c>
      <c r="X352" s="12"/>
      <c r="Y352" s="12"/>
      <c r="Z352" s="12"/>
      <c r="AA352" s="12"/>
      <c r="AB352" s="12"/>
    </row>
    <row r="353" spans="1:28" s="10" customFormat="1" ht="15" hidden="1">
      <c r="A353" s="9"/>
      <c r="B353" s="137"/>
      <c r="C353" s="142"/>
      <c r="D353" s="82" t="str">
        <f>IFERROR(VLOOKUP($C353,Code!$H:$K,2,FALSE),"")</f>
        <v/>
      </c>
      <c r="E353" s="83" t="str">
        <f>IFERROR(VLOOKUP($C353,Code!$H:$K,3,FALSE),"")</f>
        <v/>
      </c>
      <c r="F353" s="84" t="str">
        <f>IFERROR(VLOOKUP($C353,Code!$H:$K,4,FALSE),"")</f>
        <v/>
      </c>
      <c r="G353" s="128">
        <f>_xlfn.IFNA(((VLOOKUP($C353,Code!$H:$Q,9,FALSE))+(VLOOKUP($C353,Code!$H:$Q,10,FALSE)))/2*0.5/(((VLOOKUP($C353,Code!$H:$Q,7,FALSE))+(VLOOKUP($C353,Code!$H:$Q,8,FALSE)))/2),0)</f>
        <v>0</v>
      </c>
      <c r="H353" s="87" t="str">
        <f t="shared" si="48"/>
        <v/>
      </c>
      <c r="I353" s="128">
        <f>_xlfn.IFNA((VLOOKUP($C353,Code!$H:$Q,5,FALSE))/(((VLOOKUP($C353,Code!$H:$Q,7,FALSE))+(VLOOKUP($C353,Code!$H:$Q,8,FALSE)))/2)-G353,0)</f>
        <v>0</v>
      </c>
      <c r="J353" s="55" t="str">
        <f>IFERROR(POWER((VLOOKUP(C353,Code!H:W,12,FALSE))/(VLOOKUP(C353,Code!H:W,15,FALSE)),1/(P353-1))-1,"")</f>
        <v/>
      </c>
      <c r="K353" s="55" t="str">
        <f>IFERROR(POWER((VLOOKUP(C353,Code!H:W,13,FALSE))/(VLOOKUP(C353,Code!H:W,16,FALSE)),1/(P353-1))-1,"")</f>
        <v/>
      </c>
      <c r="L353" s="75" t="str">
        <f>IFERROR(VLOOKUP(C353,Code!H:W,13,FALSE)*4/VLOOKUP(C353,Code!H:W,12,FALSE),"")</f>
        <v/>
      </c>
      <c r="M353" s="55" t="str">
        <f t="shared" si="49"/>
        <v/>
      </c>
      <c r="N353" s="55" t="str">
        <f t="shared" si="50"/>
        <v/>
      </c>
      <c r="O353" s="55" t="str">
        <f t="shared" si="51"/>
        <v/>
      </c>
      <c r="P353" s="196" t="str">
        <f>IFERROR(YEARFRAC(VLOOKUP(C353,Code!H:W,11,FALSE),VLOOKUP(C353,Code!H:W,14,FALSE),3),"")</f>
        <v/>
      </c>
      <c r="Q353" s="2"/>
      <c r="R353" s="85" t="str">
        <f t="shared" ca="1" si="52"/>
        <v/>
      </c>
      <c r="S353" s="86" t="str">
        <f>IFERROR(VLOOKUP($C353,Code!$H:$Q,5,FALSE),"")</f>
        <v/>
      </c>
      <c r="T353" s="88" t="str">
        <f t="shared" ca="1" si="53"/>
        <v/>
      </c>
      <c r="U353" s="89" t="str">
        <f t="shared" ca="1" si="54"/>
        <v/>
      </c>
      <c r="V353" s="90" t="str">
        <f>IFERROR(VLOOKUP($C353,Code!$H:$Q,6,FALSE),"")</f>
        <v/>
      </c>
      <c r="W353" s="91" t="str">
        <f t="shared" ca="1" si="55"/>
        <v/>
      </c>
      <c r="X353" s="12"/>
      <c r="Y353" s="12"/>
      <c r="Z353" s="12"/>
      <c r="AA353" s="12"/>
      <c r="AB353" s="12"/>
    </row>
    <row r="354" spans="1:28" s="10" customFormat="1" ht="15" hidden="1">
      <c r="A354" s="9"/>
      <c r="B354" s="137"/>
      <c r="C354" s="142"/>
      <c r="D354" s="82" t="str">
        <f>IFERROR(VLOOKUP($C354,Code!$H:$K,2,FALSE),"")</f>
        <v/>
      </c>
      <c r="E354" s="83" t="str">
        <f>IFERROR(VLOOKUP($C354,Code!$H:$K,3,FALSE),"")</f>
        <v/>
      </c>
      <c r="F354" s="84" t="str">
        <f>IFERROR(VLOOKUP($C354,Code!$H:$K,4,FALSE),"")</f>
        <v/>
      </c>
      <c r="G354" s="128">
        <f>_xlfn.IFNA(((VLOOKUP($C354,Code!$H:$Q,9,FALSE))+(VLOOKUP($C354,Code!$H:$Q,10,FALSE)))/2*0.5/(((VLOOKUP($C354,Code!$H:$Q,7,FALSE))+(VLOOKUP($C354,Code!$H:$Q,8,FALSE)))/2),0)</f>
        <v>0</v>
      </c>
      <c r="H354" s="87" t="str">
        <f t="shared" si="48"/>
        <v/>
      </c>
      <c r="I354" s="128">
        <f>_xlfn.IFNA((VLOOKUP($C354,Code!$H:$Q,5,FALSE))/(((VLOOKUP($C354,Code!$H:$Q,7,FALSE))+(VLOOKUP($C354,Code!$H:$Q,8,FALSE)))/2)-G354,0)</f>
        <v>0</v>
      </c>
      <c r="J354" s="55" t="str">
        <f>IFERROR(POWER((VLOOKUP(C354,Code!H:W,12,FALSE))/(VLOOKUP(C354,Code!H:W,15,FALSE)),1/(P354-1))-1,"")</f>
        <v/>
      </c>
      <c r="K354" s="55" t="str">
        <f>IFERROR(POWER((VLOOKUP(C354,Code!H:W,13,FALSE))/(VLOOKUP(C354,Code!H:W,16,FALSE)),1/(P354-1))-1,"")</f>
        <v/>
      </c>
      <c r="L354" s="75" t="str">
        <f>IFERROR(VLOOKUP(C354,Code!H:W,13,FALSE)*4/VLOOKUP(C354,Code!H:W,12,FALSE),"")</f>
        <v/>
      </c>
      <c r="M354" s="55" t="str">
        <f t="shared" si="49"/>
        <v/>
      </c>
      <c r="N354" s="55" t="str">
        <f t="shared" si="50"/>
        <v/>
      </c>
      <c r="O354" s="55" t="str">
        <f t="shared" si="51"/>
        <v/>
      </c>
      <c r="P354" s="196" t="str">
        <f>IFERROR(YEARFRAC(VLOOKUP(C354,Code!H:W,11,FALSE),VLOOKUP(C354,Code!H:W,14,FALSE),3),"")</f>
        <v/>
      </c>
      <c r="Q354" s="2"/>
      <c r="R354" s="85" t="str">
        <f t="shared" ca="1" si="52"/>
        <v/>
      </c>
      <c r="S354" s="86" t="str">
        <f>IFERROR(VLOOKUP($C354,Code!$H:$Q,5,FALSE),"")</f>
        <v/>
      </c>
      <c r="T354" s="88" t="str">
        <f t="shared" ca="1" si="53"/>
        <v/>
      </c>
      <c r="U354" s="89" t="str">
        <f t="shared" ca="1" si="54"/>
        <v/>
      </c>
      <c r="V354" s="90" t="str">
        <f>IFERROR(VLOOKUP($C354,Code!$H:$Q,6,FALSE),"")</f>
        <v/>
      </c>
      <c r="W354" s="91" t="str">
        <f t="shared" ca="1" si="55"/>
        <v/>
      </c>
      <c r="X354" s="12"/>
      <c r="Y354" s="12"/>
      <c r="Z354" s="12"/>
      <c r="AA354" s="12"/>
      <c r="AB354" s="12"/>
    </row>
    <row r="355" spans="1:28" s="10" customFormat="1" ht="15" hidden="1">
      <c r="A355" s="9"/>
      <c r="B355" s="137"/>
      <c r="C355" s="142"/>
      <c r="D355" s="82" t="str">
        <f>IFERROR(VLOOKUP($C355,Code!$H:$K,2,FALSE),"")</f>
        <v/>
      </c>
      <c r="E355" s="83" t="str">
        <f>IFERROR(VLOOKUP($C355,Code!$H:$K,3,FALSE),"")</f>
        <v/>
      </c>
      <c r="F355" s="84" t="str">
        <f>IFERROR(VLOOKUP($C355,Code!$H:$K,4,FALSE),"")</f>
        <v/>
      </c>
      <c r="G355" s="128">
        <f>_xlfn.IFNA(((VLOOKUP($C355,Code!$H:$Q,9,FALSE))+(VLOOKUP($C355,Code!$H:$Q,10,FALSE)))/2*0.5/(((VLOOKUP($C355,Code!$H:$Q,7,FALSE))+(VLOOKUP($C355,Code!$H:$Q,8,FALSE)))/2),0)</f>
        <v>0</v>
      </c>
      <c r="H355" s="87" t="str">
        <f t="shared" si="48"/>
        <v/>
      </c>
      <c r="I355" s="128">
        <f>_xlfn.IFNA((VLOOKUP($C355,Code!$H:$Q,5,FALSE))/(((VLOOKUP($C355,Code!$H:$Q,7,FALSE))+(VLOOKUP($C355,Code!$H:$Q,8,FALSE)))/2)-G355,0)</f>
        <v>0</v>
      </c>
      <c r="J355" s="55" t="str">
        <f>IFERROR(POWER((VLOOKUP(C355,Code!H:W,12,FALSE))/(VLOOKUP(C355,Code!H:W,15,FALSE)),1/(P355-1))-1,"")</f>
        <v/>
      </c>
      <c r="K355" s="55" t="str">
        <f>IFERROR(POWER((VLOOKUP(C355,Code!H:W,13,FALSE))/(VLOOKUP(C355,Code!H:W,16,FALSE)),1/(P355-1))-1,"")</f>
        <v/>
      </c>
      <c r="L355" s="75" t="str">
        <f>IFERROR(VLOOKUP(C355,Code!H:W,13,FALSE)*4/VLOOKUP(C355,Code!H:W,12,FALSE),"")</f>
        <v/>
      </c>
      <c r="M355" s="55" t="str">
        <f t="shared" si="49"/>
        <v/>
      </c>
      <c r="N355" s="55" t="str">
        <f t="shared" si="50"/>
        <v/>
      </c>
      <c r="O355" s="55" t="str">
        <f t="shared" si="51"/>
        <v/>
      </c>
      <c r="P355" s="196" t="str">
        <f>IFERROR(YEARFRAC(VLOOKUP(C355,Code!H:W,11,FALSE),VLOOKUP(C355,Code!H:W,14,FALSE),3),"")</f>
        <v/>
      </c>
      <c r="Q355" s="2"/>
      <c r="R355" s="85" t="str">
        <f t="shared" ca="1" si="52"/>
        <v/>
      </c>
      <c r="S355" s="86" t="str">
        <f>IFERROR(VLOOKUP($C355,Code!$H:$Q,5,FALSE),"")</f>
        <v/>
      </c>
      <c r="T355" s="88" t="str">
        <f t="shared" ca="1" si="53"/>
        <v/>
      </c>
      <c r="U355" s="89" t="str">
        <f t="shared" ca="1" si="54"/>
        <v/>
      </c>
      <c r="V355" s="90" t="str">
        <f>IFERROR(VLOOKUP($C355,Code!$H:$Q,6,FALSE),"")</f>
        <v/>
      </c>
      <c r="W355" s="91" t="str">
        <f t="shared" ca="1" si="55"/>
        <v/>
      </c>
      <c r="X355" s="12"/>
      <c r="Y355" s="12"/>
      <c r="Z355" s="12"/>
      <c r="AA355" s="12"/>
      <c r="AB355" s="12"/>
    </row>
    <row r="356" spans="1:28" s="10" customFormat="1" ht="15" hidden="1">
      <c r="A356" s="9"/>
      <c r="B356" s="137"/>
      <c r="C356" s="142"/>
      <c r="D356" s="82" t="str">
        <f>IFERROR(VLOOKUP($C356,Code!$H:$K,2,FALSE),"")</f>
        <v/>
      </c>
      <c r="E356" s="83" t="str">
        <f>IFERROR(VLOOKUP($C356,Code!$H:$K,3,FALSE),"")</f>
        <v/>
      </c>
      <c r="F356" s="84" t="str">
        <f>IFERROR(VLOOKUP($C356,Code!$H:$K,4,FALSE),"")</f>
        <v/>
      </c>
      <c r="G356" s="128">
        <f>_xlfn.IFNA(((VLOOKUP($C356,Code!$H:$Q,9,FALSE))+(VLOOKUP($C356,Code!$H:$Q,10,FALSE)))/2*0.5/(((VLOOKUP($C356,Code!$H:$Q,7,FALSE))+(VLOOKUP($C356,Code!$H:$Q,8,FALSE)))/2),0)</f>
        <v>0</v>
      </c>
      <c r="H356" s="87" t="str">
        <f t="shared" si="48"/>
        <v/>
      </c>
      <c r="I356" s="128">
        <f>_xlfn.IFNA((VLOOKUP($C356,Code!$H:$Q,5,FALSE))/(((VLOOKUP($C356,Code!$H:$Q,7,FALSE))+(VLOOKUP($C356,Code!$H:$Q,8,FALSE)))/2)-G356,0)</f>
        <v>0</v>
      </c>
      <c r="J356" s="55" t="str">
        <f>IFERROR(POWER((VLOOKUP(C356,Code!H:W,12,FALSE))/(VLOOKUP(C356,Code!H:W,15,FALSE)),1/(P356-1))-1,"")</f>
        <v/>
      </c>
      <c r="K356" s="55" t="str">
        <f>IFERROR(POWER((VLOOKUP(C356,Code!H:W,13,FALSE))/(VLOOKUP(C356,Code!H:W,16,FALSE)),1/(P356-1))-1,"")</f>
        <v/>
      </c>
      <c r="L356" s="75" t="str">
        <f>IFERROR(VLOOKUP(C356,Code!H:W,13,FALSE)*4/VLOOKUP(C356,Code!H:W,12,FALSE),"")</f>
        <v/>
      </c>
      <c r="M356" s="55" t="str">
        <f t="shared" si="49"/>
        <v/>
      </c>
      <c r="N356" s="55" t="str">
        <f t="shared" si="50"/>
        <v/>
      </c>
      <c r="O356" s="55" t="str">
        <f t="shared" si="51"/>
        <v/>
      </c>
      <c r="P356" s="196" t="str">
        <f>IFERROR(YEARFRAC(VLOOKUP(C356,Code!H:W,11,FALSE),VLOOKUP(C356,Code!H:W,14,FALSE),3),"")</f>
        <v/>
      </c>
      <c r="Q356" s="2"/>
      <c r="R356" s="85" t="str">
        <f t="shared" ca="1" si="52"/>
        <v/>
      </c>
      <c r="S356" s="86" t="str">
        <f>IFERROR(VLOOKUP($C356,Code!$H:$Q,5,FALSE),"")</f>
        <v/>
      </c>
      <c r="T356" s="88" t="str">
        <f t="shared" ca="1" si="53"/>
        <v/>
      </c>
      <c r="U356" s="89" t="str">
        <f t="shared" ca="1" si="54"/>
        <v/>
      </c>
      <c r="V356" s="90" t="str">
        <f>IFERROR(VLOOKUP($C356,Code!$H:$Q,6,FALSE),"")</f>
        <v/>
      </c>
      <c r="W356" s="91" t="str">
        <f t="shared" ca="1" si="55"/>
        <v/>
      </c>
      <c r="X356" s="12"/>
      <c r="Y356" s="12"/>
      <c r="Z356" s="12"/>
      <c r="AA356" s="12"/>
      <c r="AB356" s="12"/>
    </row>
    <row r="357" spans="1:28" s="10" customFormat="1" ht="15" hidden="1">
      <c r="A357" s="9"/>
      <c r="B357" s="137"/>
      <c r="C357" s="142"/>
      <c r="D357" s="82" t="str">
        <f>IFERROR(VLOOKUP($C357,Code!$H:$K,2,FALSE),"")</f>
        <v/>
      </c>
      <c r="E357" s="83" t="str">
        <f>IFERROR(VLOOKUP($C357,Code!$H:$K,3,FALSE),"")</f>
        <v/>
      </c>
      <c r="F357" s="84" t="str">
        <f>IFERROR(VLOOKUP($C357,Code!$H:$K,4,FALSE),"")</f>
        <v/>
      </c>
      <c r="G357" s="128">
        <f>_xlfn.IFNA(((VLOOKUP($C357,Code!$H:$Q,9,FALSE))+(VLOOKUP($C357,Code!$H:$Q,10,FALSE)))/2*0.5/(((VLOOKUP($C357,Code!$H:$Q,7,FALSE))+(VLOOKUP($C357,Code!$H:$Q,8,FALSE)))/2),0)</f>
        <v>0</v>
      </c>
      <c r="H357" s="87" t="str">
        <f t="shared" si="48"/>
        <v/>
      </c>
      <c r="I357" s="128">
        <f>_xlfn.IFNA((VLOOKUP($C357,Code!$H:$Q,5,FALSE))/(((VLOOKUP($C357,Code!$H:$Q,7,FALSE))+(VLOOKUP($C357,Code!$H:$Q,8,FALSE)))/2)-G357,0)</f>
        <v>0</v>
      </c>
      <c r="J357" s="55" t="str">
        <f>IFERROR(POWER((VLOOKUP(C357,Code!H:W,12,FALSE))/(VLOOKUP(C357,Code!H:W,15,FALSE)),1/(P357-1))-1,"")</f>
        <v/>
      </c>
      <c r="K357" s="55" t="str">
        <f>IFERROR(POWER((VLOOKUP(C357,Code!H:W,13,FALSE))/(VLOOKUP(C357,Code!H:W,16,FALSE)),1/(P357-1))-1,"")</f>
        <v/>
      </c>
      <c r="L357" s="75" t="str">
        <f>IFERROR(VLOOKUP(C357,Code!H:W,13,FALSE)*4/VLOOKUP(C357,Code!H:W,12,FALSE),"")</f>
        <v/>
      </c>
      <c r="M357" s="55" t="str">
        <f t="shared" si="49"/>
        <v/>
      </c>
      <c r="N357" s="55" t="str">
        <f t="shared" si="50"/>
        <v/>
      </c>
      <c r="O357" s="55" t="str">
        <f t="shared" si="51"/>
        <v/>
      </c>
      <c r="P357" s="196" t="str">
        <f>IFERROR(YEARFRAC(VLOOKUP(C357,Code!H:W,11,FALSE),VLOOKUP(C357,Code!H:W,14,FALSE),3),"")</f>
        <v/>
      </c>
      <c r="Q357" s="2"/>
      <c r="R357" s="85" t="str">
        <f t="shared" ca="1" si="52"/>
        <v/>
      </c>
      <c r="S357" s="86" t="str">
        <f>IFERROR(VLOOKUP($C357,Code!$H:$Q,5,FALSE),"")</f>
        <v/>
      </c>
      <c r="T357" s="88" t="str">
        <f t="shared" ca="1" si="53"/>
        <v/>
      </c>
      <c r="U357" s="89" t="str">
        <f t="shared" ca="1" si="54"/>
        <v/>
      </c>
      <c r="V357" s="90" t="str">
        <f>IFERROR(VLOOKUP($C357,Code!$H:$Q,6,FALSE),"")</f>
        <v/>
      </c>
      <c r="W357" s="91" t="str">
        <f t="shared" ca="1" si="55"/>
        <v/>
      </c>
      <c r="X357" s="12"/>
      <c r="Y357" s="12"/>
      <c r="Z357" s="12"/>
      <c r="AA357" s="12"/>
      <c r="AB357" s="12"/>
    </row>
    <row r="358" spans="1:28" s="10" customFormat="1" ht="15" hidden="1">
      <c r="A358" s="9"/>
      <c r="B358" s="137"/>
      <c r="C358" s="142"/>
      <c r="D358" s="82" t="str">
        <f>IFERROR(VLOOKUP($C358,Code!$H:$K,2,FALSE),"")</f>
        <v/>
      </c>
      <c r="E358" s="83" t="str">
        <f>IFERROR(VLOOKUP($C358,Code!$H:$K,3,FALSE),"")</f>
        <v/>
      </c>
      <c r="F358" s="84" t="str">
        <f>IFERROR(VLOOKUP($C358,Code!$H:$K,4,FALSE),"")</f>
        <v/>
      </c>
      <c r="G358" s="128">
        <f>_xlfn.IFNA(((VLOOKUP($C358,Code!$H:$Q,9,FALSE))+(VLOOKUP($C358,Code!$H:$Q,10,FALSE)))/2*0.5/(((VLOOKUP($C358,Code!$H:$Q,7,FALSE))+(VLOOKUP($C358,Code!$H:$Q,8,FALSE)))/2),0)</f>
        <v>0</v>
      </c>
      <c r="H358" s="87" t="str">
        <f t="shared" si="48"/>
        <v/>
      </c>
      <c r="I358" s="128">
        <f>_xlfn.IFNA((VLOOKUP($C358,Code!$H:$Q,5,FALSE))/(((VLOOKUP($C358,Code!$H:$Q,7,FALSE))+(VLOOKUP($C358,Code!$H:$Q,8,FALSE)))/2)-G358,0)</f>
        <v>0</v>
      </c>
      <c r="J358" s="55" t="str">
        <f>IFERROR(POWER((VLOOKUP(C358,Code!H:W,12,FALSE))/(VLOOKUP(C358,Code!H:W,15,FALSE)),1/(P358-1))-1,"")</f>
        <v/>
      </c>
      <c r="K358" s="55" t="str">
        <f>IFERROR(POWER((VLOOKUP(C358,Code!H:W,13,FALSE))/(VLOOKUP(C358,Code!H:W,16,FALSE)),1/(P358-1))-1,"")</f>
        <v/>
      </c>
      <c r="L358" s="75" t="str">
        <f>IFERROR(VLOOKUP(C358,Code!H:W,13,FALSE)*4/VLOOKUP(C358,Code!H:W,12,FALSE),"")</f>
        <v/>
      </c>
      <c r="M358" s="55" t="str">
        <f t="shared" si="49"/>
        <v/>
      </c>
      <c r="N358" s="55" t="str">
        <f t="shared" si="50"/>
        <v/>
      </c>
      <c r="O358" s="55" t="str">
        <f t="shared" si="51"/>
        <v/>
      </c>
      <c r="P358" s="196" t="str">
        <f>IFERROR(YEARFRAC(VLOOKUP(C358,Code!H:W,11,FALSE),VLOOKUP(C358,Code!H:W,14,FALSE),3),"")</f>
        <v/>
      </c>
      <c r="Q358" s="2"/>
      <c r="R358" s="85" t="str">
        <f t="shared" ca="1" si="52"/>
        <v/>
      </c>
      <c r="S358" s="86" t="str">
        <f>IFERROR(VLOOKUP($C358,Code!$H:$Q,5,FALSE),"")</f>
        <v/>
      </c>
      <c r="T358" s="88" t="str">
        <f t="shared" ca="1" si="53"/>
        <v/>
      </c>
      <c r="U358" s="89" t="str">
        <f t="shared" ca="1" si="54"/>
        <v/>
      </c>
      <c r="V358" s="90" t="str">
        <f>IFERROR(VLOOKUP($C358,Code!$H:$Q,6,FALSE),"")</f>
        <v/>
      </c>
      <c r="W358" s="91" t="str">
        <f t="shared" ca="1" si="55"/>
        <v/>
      </c>
      <c r="X358" s="12"/>
      <c r="Y358" s="12"/>
      <c r="Z358" s="12"/>
      <c r="AA358" s="12"/>
      <c r="AB358" s="12"/>
    </row>
    <row r="359" spans="1:28" s="10" customFormat="1" ht="15" hidden="1">
      <c r="A359" s="9"/>
      <c r="B359" s="137"/>
      <c r="C359" s="142"/>
      <c r="D359" s="82" t="str">
        <f>IFERROR(VLOOKUP($C359,Code!$H:$K,2,FALSE),"")</f>
        <v/>
      </c>
      <c r="E359" s="83" t="str">
        <f>IFERROR(VLOOKUP($C359,Code!$H:$K,3,FALSE),"")</f>
        <v/>
      </c>
      <c r="F359" s="84" t="str">
        <f>IFERROR(VLOOKUP($C359,Code!$H:$K,4,FALSE),"")</f>
        <v/>
      </c>
      <c r="G359" s="128">
        <f>_xlfn.IFNA(((VLOOKUP($C359,Code!$H:$Q,9,FALSE))+(VLOOKUP($C359,Code!$H:$Q,10,FALSE)))/2*0.5/(((VLOOKUP($C359,Code!$H:$Q,7,FALSE))+(VLOOKUP($C359,Code!$H:$Q,8,FALSE)))/2),0)</f>
        <v>0</v>
      </c>
      <c r="H359" s="87" t="str">
        <f t="shared" si="48"/>
        <v/>
      </c>
      <c r="I359" s="128">
        <f>_xlfn.IFNA((VLOOKUP($C359,Code!$H:$Q,5,FALSE))/(((VLOOKUP($C359,Code!$H:$Q,7,FALSE))+(VLOOKUP($C359,Code!$H:$Q,8,FALSE)))/2)-G359,0)</f>
        <v>0</v>
      </c>
      <c r="J359" s="55" t="str">
        <f>IFERROR(POWER((VLOOKUP(C359,Code!H:W,12,FALSE))/(VLOOKUP(C359,Code!H:W,15,FALSE)),1/(P359-1))-1,"")</f>
        <v/>
      </c>
      <c r="K359" s="55" t="str">
        <f>IFERROR(POWER((VLOOKUP(C359,Code!H:W,13,FALSE))/(VLOOKUP(C359,Code!H:W,16,FALSE)),1/(P359-1))-1,"")</f>
        <v/>
      </c>
      <c r="L359" s="75" t="str">
        <f>IFERROR(VLOOKUP(C359,Code!H:W,13,FALSE)*4/VLOOKUP(C359,Code!H:W,12,FALSE),"")</f>
        <v/>
      </c>
      <c r="M359" s="55" t="str">
        <f t="shared" si="49"/>
        <v/>
      </c>
      <c r="N359" s="55" t="str">
        <f t="shared" si="50"/>
        <v/>
      </c>
      <c r="O359" s="55" t="str">
        <f t="shared" si="51"/>
        <v/>
      </c>
      <c r="P359" s="196" t="str">
        <f>IFERROR(YEARFRAC(VLOOKUP(C359,Code!H:W,11,FALSE),VLOOKUP(C359,Code!H:W,14,FALSE),3),"")</f>
        <v/>
      </c>
      <c r="Q359" s="2"/>
      <c r="R359" s="85" t="str">
        <f t="shared" ca="1" si="52"/>
        <v/>
      </c>
      <c r="S359" s="86" t="str">
        <f>IFERROR(VLOOKUP($C359,Code!$H:$Q,5,FALSE),"")</f>
        <v/>
      </c>
      <c r="T359" s="88" t="str">
        <f t="shared" ca="1" si="53"/>
        <v/>
      </c>
      <c r="U359" s="89" t="str">
        <f t="shared" ca="1" si="54"/>
        <v/>
      </c>
      <c r="V359" s="90" t="str">
        <f>IFERROR(VLOOKUP($C359,Code!$H:$Q,6,FALSE),"")</f>
        <v/>
      </c>
      <c r="W359" s="91" t="str">
        <f t="shared" ca="1" si="55"/>
        <v/>
      </c>
      <c r="X359" s="12"/>
      <c r="Y359" s="12"/>
      <c r="Z359" s="12"/>
      <c r="AA359" s="12"/>
      <c r="AB359" s="12"/>
    </row>
    <row r="360" spans="1:28" s="10" customFormat="1" ht="15" hidden="1">
      <c r="A360" s="9"/>
      <c r="B360" s="137"/>
      <c r="C360" s="142"/>
      <c r="D360" s="82" t="str">
        <f>IFERROR(VLOOKUP($C360,Code!$H:$K,2,FALSE),"")</f>
        <v/>
      </c>
      <c r="E360" s="83" t="str">
        <f>IFERROR(VLOOKUP($C360,Code!$H:$K,3,FALSE),"")</f>
        <v/>
      </c>
      <c r="F360" s="84" t="str">
        <f>IFERROR(VLOOKUP($C360,Code!$H:$K,4,FALSE),"")</f>
        <v/>
      </c>
      <c r="G360" s="128">
        <f>_xlfn.IFNA(((VLOOKUP($C360,Code!$H:$Q,9,FALSE))+(VLOOKUP($C360,Code!$H:$Q,10,FALSE)))/2*0.5/(((VLOOKUP($C360,Code!$H:$Q,7,FALSE))+(VLOOKUP($C360,Code!$H:$Q,8,FALSE)))/2),0)</f>
        <v>0</v>
      </c>
      <c r="H360" s="87" t="str">
        <f t="shared" si="48"/>
        <v/>
      </c>
      <c r="I360" s="128">
        <f>_xlfn.IFNA((VLOOKUP($C360,Code!$H:$Q,5,FALSE))/(((VLOOKUP($C360,Code!$H:$Q,7,FALSE))+(VLOOKUP($C360,Code!$H:$Q,8,FALSE)))/2)-G360,0)</f>
        <v>0</v>
      </c>
      <c r="J360" s="55" t="str">
        <f>IFERROR(POWER((VLOOKUP(C360,Code!H:W,12,FALSE))/(VLOOKUP(C360,Code!H:W,15,FALSE)),1/(P360-1))-1,"")</f>
        <v/>
      </c>
      <c r="K360" s="55" t="str">
        <f>IFERROR(POWER((VLOOKUP(C360,Code!H:W,13,FALSE))/(VLOOKUP(C360,Code!H:W,16,FALSE)),1/(P360-1))-1,"")</f>
        <v/>
      </c>
      <c r="L360" s="75" t="str">
        <f>IFERROR(VLOOKUP(C360,Code!H:W,13,FALSE)*4/VLOOKUP(C360,Code!H:W,12,FALSE),"")</f>
        <v/>
      </c>
      <c r="M360" s="55" t="str">
        <f t="shared" si="49"/>
        <v/>
      </c>
      <c r="N360" s="55" t="str">
        <f t="shared" si="50"/>
        <v/>
      </c>
      <c r="O360" s="55" t="str">
        <f t="shared" si="51"/>
        <v/>
      </c>
      <c r="P360" s="196" t="str">
        <f>IFERROR(YEARFRAC(VLOOKUP(C360,Code!H:W,11,FALSE),VLOOKUP(C360,Code!H:W,14,FALSE),3),"")</f>
        <v/>
      </c>
      <c r="Q360" s="2"/>
      <c r="R360" s="85" t="str">
        <f t="shared" ca="1" si="52"/>
        <v/>
      </c>
      <c r="S360" s="86" t="str">
        <f>IFERROR(VLOOKUP($C360,Code!$H:$Q,5,FALSE),"")</f>
        <v/>
      </c>
      <c r="T360" s="88" t="str">
        <f t="shared" ca="1" si="53"/>
        <v/>
      </c>
      <c r="U360" s="89" t="str">
        <f t="shared" ca="1" si="54"/>
        <v/>
      </c>
      <c r="V360" s="90" t="str">
        <f>IFERROR(VLOOKUP($C360,Code!$H:$Q,6,FALSE),"")</f>
        <v/>
      </c>
      <c r="W360" s="91" t="str">
        <f t="shared" ca="1" si="55"/>
        <v/>
      </c>
      <c r="X360" s="12"/>
      <c r="Y360" s="12"/>
      <c r="Z360" s="12"/>
      <c r="AA360" s="12"/>
      <c r="AB360" s="12"/>
    </row>
    <row r="361" spans="1:28" s="10" customFormat="1" ht="15" hidden="1">
      <c r="A361" s="9"/>
      <c r="B361" s="137"/>
      <c r="C361" s="142"/>
      <c r="D361" s="82" t="str">
        <f>IFERROR(VLOOKUP($C361,Code!$H:$K,2,FALSE),"")</f>
        <v/>
      </c>
      <c r="E361" s="83" t="str">
        <f>IFERROR(VLOOKUP($C361,Code!$H:$K,3,FALSE),"")</f>
        <v/>
      </c>
      <c r="F361" s="84" t="str">
        <f>IFERROR(VLOOKUP($C361,Code!$H:$K,4,FALSE),"")</f>
        <v/>
      </c>
      <c r="G361" s="128">
        <f>_xlfn.IFNA(((VLOOKUP($C361,Code!$H:$Q,9,FALSE))+(VLOOKUP($C361,Code!$H:$Q,10,FALSE)))/2*0.5/(((VLOOKUP($C361,Code!$H:$Q,7,FALSE))+(VLOOKUP($C361,Code!$H:$Q,8,FALSE)))/2),0)</f>
        <v>0</v>
      </c>
      <c r="H361" s="87" t="str">
        <f t="shared" si="48"/>
        <v/>
      </c>
      <c r="I361" s="128">
        <f>_xlfn.IFNA((VLOOKUP($C361,Code!$H:$Q,5,FALSE))/(((VLOOKUP($C361,Code!$H:$Q,7,FALSE))+(VLOOKUP($C361,Code!$H:$Q,8,FALSE)))/2)-G361,0)</f>
        <v>0</v>
      </c>
      <c r="J361" s="55" t="str">
        <f>IFERROR(POWER((VLOOKUP(C361,Code!H:W,12,FALSE))/(VLOOKUP(C361,Code!H:W,15,FALSE)),1/(P361-1))-1,"")</f>
        <v/>
      </c>
      <c r="K361" s="55" t="str">
        <f>IFERROR(POWER((VLOOKUP(C361,Code!H:W,13,FALSE))/(VLOOKUP(C361,Code!H:W,16,FALSE)),1/(P361-1))-1,"")</f>
        <v/>
      </c>
      <c r="L361" s="75" t="str">
        <f>IFERROR(VLOOKUP(C361,Code!H:W,13,FALSE)*4/VLOOKUP(C361,Code!H:W,12,FALSE),"")</f>
        <v/>
      </c>
      <c r="M361" s="55" t="str">
        <f t="shared" si="49"/>
        <v/>
      </c>
      <c r="N361" s="55" t="str">
        <f t="shared" si="50"/>
        <v/>
      </c>
      <c r="O361" s="55" t="str">
        <f t="shared" si="51"/>
        <v/>
      </c>
      <c r="P361" s="196" t="str">
        <f>IFERROR(YEARFRAC(VLOOKUP(C361,Code!H:W,11,FALSE),VLOOKUP(C361,Code!H:W,14,FALSE),3),"")</f>
        <v/>
      </c>
      <c r="Q361" s="2"/>
      <c r="R361" s="85" t="str">
        <f t="shared" ca="1" si="52"/>
        <v/>
      </c>
      <c r="S361" s="86" t="str">
        <f>IFERROR(VLOOKUP($C361,Code!$H:$Q,5,FALSE),"")</f>
        <v/>
      </c>
      <c r="T361" s="88" t="str">
        <f t="shared" ca="1" si="53"/>
        <v/>
      </c>
      <c r="U361" s="89" t="str">
        <f t="shared" ca="1" si="54"/>
        <v/>
      </c>
      <c r="V361" s="90" t="str">
        <f>IFERROR(VLOOKUP($C361,Code!$H:$Q,6,FALSE),"")</f>
        <v/>
      </c>
      <c r="W361" s="91" t="str">
        <f t="shared" ca="1" si="55"/>
        <v/>
      </c>
      <c r="X361" s="12"/>
      <c r="Y361" s="12"/>
      <c r="Z361" s="12"/>
      <c r="AA361" s="12"/>
      <c r="AB361" s="12"/>
    </row>
    <row r="362" spans="1:28" s="10" customFormat="1" ht="15" hidden="1">
      <c r="A362" s="9"/>
      <c r="B362" s="137"/>
      <c r="C362" s="142"/>
      <c r="D362" s="82" t="str">
        <f>IFERROR(VLOOKUP($C362,Code!$H:$K,2,FALSE),"")</f>
        <v/>
      </c>
      <c r="E362" s="83" t="str">
        <f>IFERROR(VLOOKUP($C362,Code!$H:$K,3,FALSE),"")</f>
        <v/>
      </c>
      <c r="F362" s="84" t="str">
        <f>IFERROR(VLOOKUP($C362,Code!$H:$K,4,FALSE),"")</f>
        <v/>
      </c>
      <c r="G362" s="128">
        <f>_xlfn.IFNA(((VLOOKUP($C362,Code!$H:$Q,9,FALSE))+(VLOOKUP($C362,Code!$H:$Q,10,FALSE)))/2*0.5/(((VLOOKUP($C362,Code!$H:$Q,7,FALSE))+(VLOOKUP($C362,Code!$H:$Q,8,FALSE)))/2),0)</f>
        <v>0</v>
      </c>
      <c r="H362" s="87" t="str">
        <f t="shared" si="48"/>
        <v/>
      </c>
      <c r="I362" s="128">
        <f>_xlfn.IFNA((VLOOKUP($C362,Code!$H:$Q,5,FALSE))/(((VLOOKUP($C362,Code!$H:$Q,7,FALSE))+(VLOOKUP($C362,Code!$H:$Q,8,FALSE)))/2)-G362,0)</f>
        <v>0</v>
      </c>
      <c r="J362" s="55" t="str">
        <f>IFERROR(POWER((VLOOKUP(C362,Code!H:W,12,FALSE))/(VLOOKUP(C362,Code!H:W,15,FALSE)),1/(P362-1))-1,"")</f>
        <v/>
      </c>
      <c r="K362" s="55" t="str">
        <f>IFERROR(POWER((VLOOKUP(C362,Code!H:W,13,FALSE))/(VLOOKUP(C362,Code!H:W,16,FALSE)),1/(P362-1))-1,"")</f>
        <v/>
      </c>
      <c r="L362" s="75" t="str">
        <f>IFERROR(VLOOKUP(C362,Code!H:W,13,FALSE)*4/VLOOKUP(C362,Code!H:W,12,FALSE),"")</f>
        <v/>
      </c>
      <c r="M362" s="55" t="str">
        <f t="shared" si="49"/>
        <v/>
      </c>
      <c r="N362" s="55" t="str">
        <f t="shared" si="50"/>
        <v/>
      </c>
      <c r="O362" s="55" t="str">
        <f t="shared" si="51"/>
        <v/>
      </c>
      <c r="P362" s="196" t="str">
        <f>IFERROR(YEARFRAC(VLOOKUP(C362,Code!H:W,11,FALSE),VLOOKUP(C362,Code!H:W,14,FALSE),3),"")</f>
        <v/>
      </c>
      <c r="Q362" s="2"/>
      <c r="R362" s="85" t="str">
        <f t="shared" ca="1" si="52"/>
        <v/>
      </c>
      <c r="S362" s="86" t="str">
        <f>IFERROR(VLOOKUP($C362,Code!$H:$Q,5,FALSE),"")</f>
        <v/>
      </c>
      <c r="T362" s="88" t="str">
        <f t="shared" ca="1" si="53"/>
        <v/>
      </c>
      <c r="U362" s="89" t="str">
        <f t="shared" ca="1" si="54"/>
        <v/>
      </c>
      <c r="V362" s="90" t="str">
        <f>IFERROR(VLOOKUP($C362,Code!$H:$Q,6,FALSE),"")</f>
        <v/>
      </c>
      <c r="W362" s="91" t="str">
        <f t="shared" ca="1" si="55"/>
        <v/>
      </c>
      <c r="X362" s="12"/>
      <c r="Y362" s="12"/>
      <c r="Z362" s="12"/>
      <c r="AA362" s="12"/>
      <c r="AB362" s="12"/>
    </row>
    <row r="363" spans="1:28" s="10" customFormat="1" ht="15" hidden="1">
      <c r="A363" s="9"/>
      <c r="B363" s="137"/>
      <c r="C363" s="142"/>
      <c r="D363" s="82" t="str">
        <f>IFERROR(VLOOKUP($C363,Code!$H:$K,2,FALSE),"")</f>
        <v/>
      </c>
      <c r="E363" s="83" t="str">
        <f>IFERROR(VLOOKUP($C363,Code!$H:$K,3,FALSE),"")</f>
        <v/>
      </c>
      <c r="F363" s="84" t="str">
        <f>IFERROR(VLOOKUP($C363,Code!$H:$K,4,FALSE),"")</f>
        <v/>
      </c>
      <c r="G363" s="128">
        <f>_xlfn.IFNA(((VLOOKUP($C363,Code!$H:$Q,9,FALSE))+(VLOOKUP($C363,Code!$H:$Q,10,FALSE)))/2*0.5/(((VLOOKUP($C363,Code!$H:$Q,7,FALSE))+(VLOOKUP($C363,Code!$H:$Q,8,FALSE)))/2),0)</f>
        <v>0</v>
      </c>
      <c r="H363" s="87" t="str">
        <f t="shared" si="48"/>
        <v/>
      </c>
      <c r="I363" s="128">
        <f>_xlfn.IFNA((VLOOKUP($C363,Code!$H:$Q,5,FALSE))/(((VLOOKUP($C363,Code!$H:$Q,7,FALSE))+(VLOOKUP($C363,Code!$H:$Q,8,FALSE)))/2)-G363,0)</f>
        <v>0</v>
      </c>
      <c r="J363" s="55" t="str">
        <f>IFERROR(POWER((VLOOKUP(C363,Code!H:W,12,FALSE))/(VLOOKUP(C363,Code!H:W,15,FALSE)),1/(P363-1))-1,"")</f>
        <v/>
      </c>
      <c r="K363" s="55" t="str">
        <f>IFERROR(POWER((VLOOKUP(C363,Code!H:W,13,FALSE))/(VLOOKUP(C363,Code!H:W,16,FALSE)),1/(P363-1))-1,"")</f>
        <v/>
      </c>
      <c r="L363" s="75" t="str">
        <f>IFERROR(VLOOKUP(C363,Code!H:W,13,FALSE)*4/VLOOKUP(C363,Code!H:W,12,FALSE),"")</f>
        <v/>
      </c>
      <c r="M363" s="55" t="str">
        <f t="shared" si="49"/>
        <v/>
      </c>
      <c r="N363" s="55" t="str">
        <f t="shared" si="50"/>
        <v/>
      </c>
      <c r="O363" s="55" t="str">
        <f t="shared" si="51"/>
        <v/>
      </c>
      <c r="P363" s="196" t="str">
        <f>IFERROR(YEARFRAC(VLOOKUP(C363,Code!H:W,11,FALSE),VLOOKUP(C363,Code!H:W,14,FALSE),3),"")</f>
        <v/>
      </c>
      <c r="Q363" s="2"/>
      <c r="R363" s="85" t="str">
        <f t="shared" ca="1" si="52"/>
        <v/>
      </c>
      <c r="S363" s="86" t="str">
        <f>IFERROR(VLOOKUP($C363,Code!$H:$Q,5,FALSE),"")</f>
        <v/>
      </c>
      <c r="T363" s="88" t="str">
        <f t="shared" ca="1" si="53"/>
        <v/>
      </c>
      <c r="U363" s="89" t="str">
        <f t="shared" ca="1" si="54"/>
        <v/>
      </c>
      <c r="V363" s="90" t="str">
        <f>IFERROR(VLOOKUP($C363,Code!$H:$Q,6,FALSE),"")</f>
        <v/>
      </c>
      <c r="W363" s="91" t="str">
        <f t="shared" ca="1" si="55"/>
        <v/>
      </c>
      <c r="X363" s="12"/>
      <c r="Y363" s="12"/>
      <c r="Z363" s="12"/>
      <c r="AA363" s="12"/>
      <c r="AB363" s="12"/>
    </row>
    <row r="364" spans="1:28" s="10" customFormat="1" ht="15" hidden="1">
      <c r="A364" s="9"/>
      <c r="B364" s="137"/>
      <c r="C364" s="142"/>
      <c r="D364" s="82" t="str">
        <f>IFERROR(VLOOKUP($C364,Code!$H:$K,2,FALSE),"")</f>
        <v/>
      </c>
      <c r="E364" s="83" t="str">
        <f>IFERROR(VLOOKUP($C364,Code!$H:$K,3,FALSE),"")</f>
        <v/>
      </c>
      <c r="F364" s="84" t="str">
        <f>IFERROR(VLOOKUP($C364,Code!$H:$K,4,FALSE),"")</f>
        <v/>
      </c>
      <c r="G364" s="128">
        <f>_xlfn.IFNA(((VLOOKUP($C364,Code!$H:$Q,9,FALSE))+(VLOOKUP($C364,Code!$H:$Q,10,FALSE)))/2*0.5/(((VLOOKUP($C364,Code!$H:$Q,7,FALSE))+(VLOOKUP($C364,Code!$H:$Q,8,FALSE)))/2),0)</f>
        <v>0</v>
      </c>
      <c r="H364" s="87" t="str">
        <f t="shared" si="48"/>
        <v/>
      </c>
      <c r="I364" s="128">
        <f>_xlfn.IFNA((VLOOKUP($C364,Code!$H:$Q,5,FALSE))/(((VLOOKUP($C364,Code!$H:$Q,7,FALSE))+(VLOOKUP($C364,Code!$H:$Q,8,FALSE)))/2)-G364,0)</f>
        <v>0</v>
      </c>
      <c r="J364" s="55" t="str">
        <f>IFERROR(POWER((VLOOKUP(C364,Code!H:W,12,FALSE))/(VLOOKUP(C364,Code!H:W,15,FALSE)),1/(P364-1))-1,"")</f>
        <v/>
      </c>
      <c r="K364" s="55" t="str">
        <f>IFERROR(POWER((VLOOKUP(C364,Code!H:W,13,FALSE))/(VLOOKUP(C364,Code!H:W,16,FALSE)),1/(P364-1))-1,"")</f>
        <v/>
      </c>
      <c r="L364" s="75" t="str">
        <f>IFERROR(VLOOKUP(C364,Code!H:W,13,FALSE)*4/VLOOKUP(C364,Code!H:W,12,FALSE),"")</f>
        <v/>
      </c>
      <c r="M364" s="55" t="str">
        <f t="shared" si="49"/>
        <v/>
      </c>
      <c r="N364" s="55" t="str">
        <f t="shared" si="50"/>
        <v/>
      </c>
      <c r="O364" s="55" t="str">
        <f t="shared" si="51"/>
        <v/>
      </c>
      <c r="P364" s="196" t="str">
        <f>IFERROR(YEARFRAC(VLOOKUP(C364,Code!H:W,11,FALSE),VLOOKUP(C364,Code!H:W,14,FALSE),3),"")</f>
        <v/>
      </c>
      <c r="Q364" s="2"/>
      <c r="R364" s="85" t="str">
        <f t="shared" ca="1" si="52"/>
        <v/>
      </c>
      <c r="S364" s="86" t="str">
        <f>IFERROR(VLOOKUP($C364,Code!$H:$Q,5,FALSE),"")</f>
        <v/>
      </c>
      <c r="T364" s="88" t="str">
        <f t="shared" ca="1" si="53"/>
        <v/>
      </c>
      <c r="U364" s="89" t="str">
        <f t="shared" ca="1" si="54"/>
        <v/>
      </c>
      <c r="V364" s="90" t="str">
        <f>IFERROR(VLOOKUP($C364,Code!$H:$Q,6,FALSE),"")</f>
        <v/>
      </c>
      <c r="W364" s="91" t="str">
        <f t="shared" ca="1" si="55"/>
        <v/>
      </c>
      <c r="X364" s="12"/>
      <c r="Y364" s="12"/>
      <c r="Z364" s="12"/>
      <c r="AA364" s="12"/>
      <c r="AB364" s="12"/>
    </row>
    <row r="365" spans="1:28" s="10" customFormat="1" ht="15" hidden="1">
      <c r="A365" s="9"/>
      <c r="B365" s="137"/>
      <c r="C365" s="142"/>
      <c r="D365" s="82" t="str">
        <f>IFERROR(VLOOKUP($C365,Code!$H:$K,2,FALSE),"")</f>
        <v/>
      </c>
      <c r="E365" s="83" t="str">
        <f>IFERROR(VLOOKUP($C365,Code!$H:$K,3,FALSE),"")</f>
        <v/>
      </c>
      <c r="F365" s="84" t="str">
        <f>IFERROR(VLOOKUP($C365,Code!$H:$K,4,FALSE),"")</f>
        <v/>
      </c>
      <c r="G365" s="128">
        <f>_xlfn.IFNA(((VLOOKUP($C365,Code!$H:$Q,9,FALSE))+(VLOOKUP($C365,Code!$H:$Q,10,FALSE)))/2*0.5/(((VLOOKUP($C365,Code!$H:$Q,7,FALSE))+(VLOOKUP($C365,Code!$H:$Q,8,FALSE)))/2),0)</f>
        <v>0</v>
      </c>
      <c r="H365" s="87" t="str">
        <f t="shared" si="48"/>
        <v/>
      </c>
      <c r="I365" s="128">
        <f>_xlfn.IFNA((VLOOKUP($C365,Code!$H:$Q,5,FALSE))/(((VLOOKUP($C365,Code!$H:$Q,7,FALSE))+(VLOOKUP($C365,Code!$H:$Q,8,FALSE)))/2)-G365,0)</f>
        <v>0</v>
      </c>
      <c r="J365" s="55" t="str">
        <f>IFERROR(POWER((VLOOKUP(C365,Code!H:W,12,FALSE))/(VLOOKUP(C365,Code!H:W,15,FALSE)),1/(P365-1))-1,"")</f>
        <v/>
      </c>
      <c r="K365" s="55" t="str">
        <f>IFERROR(POWER((VLOOKUP(C365,Code!H:W,13,FALSE))/(VLOOKUP(C365,Code!H:W,16,FALSE)),1/(P365-1))-1,"")</f>
        <v/>
      </c>
      <c r="L365" s="75" t="str">
        <f>IFERROR(VLOOKUP(C365,Code!H:W,13,FALSE)*4/VLOOKUP(C365,Code!H:W,12,FALSE),"")</f>
        <v/>
      </c>
      <c r="M365" s="55" t="str">
        <f t="shared" si="49"/>
        <v/>
      </c>
      <c r="N365" s="55" t="str">
        <f t="shared" si="50"/>
        <v/>
      </c>
      <c r="O365" s="55" t="str">
        <f t="shared" si="51"/>
        <v/>
      </c>
      <c r="P365" s="196" t="str">
        <f>IFERROR(YEARFRAC(VLOOKUP(C365,Code!H:W,11,FALSE),VLOOKUP(C365,Code!H:W,14,FALSE),3),"")</f>
        <v/>
      </c>
      <c r="Q365" s="2"/>
      <c r="R365" s="85" t="str">
        <f t="shared" ca="1" si="52"/>
        <v/>
      </c>
      <c r="S365" s="86" t="str">
        <f>IFERROR(VLOOKUP($C365,Code!$H:$Q,5,FALSE),"")</f>
        <v/>
      </c>
      <c r="T365" s="88" t="str">
        <f t="shared" ca="1" si="53"/>
        <v/>
      </c>
      <c r="U365" s="89" t="str">
        <f t="shared" ca="1" si="54"/>
        <v/>
      </c>
      <c r="V365" s="90" t="str">
        <f>IFERROR(VLOOKUP($C365,Code!$H:$Q,6,FALSE),"")</f>
        <v/>
      </c>
      <c r="W365" s="91" t="str">
        <f t="shared" ca="1" si="55"/>
        <v/>
      </c>
      <c r="X365" s="12"/>
      <c r="Y365" s="12"/>
      <c r="Z365" s="12"/>
      <c r="AA365" s="12"/>
      <c r="AB365" s="12"/>
    </row>
    <row r="366" spans="1:28" s="10" customFormat="1" ht="15" hidden="1">
      <c r="A366" s="9"/>
      <c r="B366" s="137"/>
      <c r="C366" s="142"/>
      <c r="D366" s="82" t="str">
        <f>IFERROR(VLOOKUP($C366,Code!$H:$K,2,FALSE),"")</f>
        <v/>
      </c>
      <c r="E366" s="83" t="str">
        <f>IFERROR(VLOOKUP($C366,Code!$H:$K,3,FALSE),"")</f>
        <v/>
      </c>
      <c r="F366" s="84" t="str">
        <f>IFERROR(VLOOKUP($C366,Code!$H:$K,4,FALSE),"")</f>
        <v/>
      </c>
      <c r="G366" s="128">
        <f>_xlfn.IFNA(((VLOOKUP($C366,Code!$H:$Q,9,FALSE))+(VLOOKUP($C366,Code!$H:$Q,10,FALSE)))/2*0.5/(((VLOOKUP($C366,Code!$H:$Q,7,FALSE))+(VLOOKUP($C366,Code!$H:$Q,8,FALSE)))/2),0)</f>
        <v>0</v>
      </c>
      <c r="H366" s="87" t="str">
        <f t="shared" si="48"/>
        <v/>
      </c>
      <c r="I366" s="128">
        <f>_xlfn.IFNA((VLOOKUP($C366,Code!$H:$Q,5,FALSE))/(((VLOOKUP($C366,Code!$H:$Q,7,FALSE))+(VLOOKUP($C366,Code!$H:$Q,8,FALSE)))/2)-G366,0)</f>
        <v>0</v>
      </c>
      <c r="J366" s="55" t="str">
        <f>IFERROR(POWER((VLOOKUP(C366,Code!H:W,12,FALSE))/(VLOOKUP(C366,Code!H:W,15,FALSE)),1/(P366-1))-1,"")</f>
        <v/>
      </c>
      <c r="K366" s="55" t="str">
        <f>IFERROR(POWER((VLOOKUP(C366,Code!H:W,13,FALSE))/(VLOOKUP(C366,Code!H:W,16,FALSE)),1/(P366-1))-1,"")</f>
        <v/>
      </c>
      <c r="L366" s="75" t="str">
        <f>IFERROR(VLOOKUP(C366,Code!H:W,13,FALSE)*4/VLOOKUP(C366,Code!H:W,12,FALSE),"")</f>
        <v/>
      </c>
      <c r="M366" s="55" t="str">
        <f t="shared" si="49"/>
        <v/>
      </c>
      <c r="N366" s="55" t="str">
        <f t="shared" si="50"/>
        <v/>
      </c>
      <c r="O366" s="55" t="str">
        <f t="shared" si="51"/>
        <v/>
      </c>
      <c r="P366" s="196" t="str">
        <f>IFERROR(YEARFRAC(VLOOKUP(C366,Code!H:W,11,FALSE),VLOOKUP(C366,Code!H:W,14,FALSE),3),"")</f>
        <v/>
      </c>
      <c r="Q366" s="2"/>
      <c r="R366" s="85" t="str">
        <f t="shared" ca="1" si="52"/>
        <v/>
      </c>
      <c r="S366" s="86" t="str">
        <f>IFERROR(VLOOKUP($C366,Code!$H:$Q,5,FALSE),"")</f>
        <v/>
      </c>
      <c r="T366" s="88" t="str">
        <f t="shared" ca="1" si="53"/>
        <v/>
      </c>
      <c r="U366" s="89" t="str">
        <f t="shared" ca="1" si="54"/>
        <v/>
      </c>
      <c r="V366" s="90" t="str">
        <f>IFERROR(VLOOKUP($C366,Code!$H:$Q,6,FALSE),"")</f>
        <v/>
      </c>
      <c r="W366" s="91" t="str">
        <f t="shared" ca="1" si="55"/>
        <v/>
      </c>
      <c r="X366" s="12"/>
      <c r="Y366" s="12"/>
      <c r="Z366" s="12"/>
      <c r="AA366" s="12"/>
      <c r="AB366" s="12"/>
    </row>
    <row r="367" spans="1:28" s="10" customFormat="1" ht="15" hidden="1">
      <c r="A367" s="9"/>
      <c r="B367" s="137"/>
      <c r="C367" s="142"/>
      <c r="D367" s="82" t="str">
        <f>IFERROR(VLOOKUP($C367,Code!$H:$K,2,FALSE),"")</f>
        <v/>
      </c>
      <c r="E367" s="83" t="str">
        <f>IFERROR(VLOOKUP($C367,Code!$H:$K,3,FALSE),"")</f>
        <v/>
      </c>
      <c r="F367" s="84" t="str">
        <f>IFERROR(VLOOKUP($C367,Code!$H:$K,4,FALSE),"")</f>
        <v/>
      </c>
      <c r="G367" s="128">
        <f>_xlfn.IFNA(((VLOOKUP($C367,Code!$H:$Q,9,FALSE))+(VLOOKUP($C367,Code!$H:$Q,10,FALSE)))/2*0.5/(((VLOOKUP($C367,Code!$H:$Q,7,FALSE))+(VLOOKUP($C367,Code!$H:$Q,8,FALSE)))/2),0)</f>
        <v>0</v>
      </c>
      <c r="H367" s="87" t="str">
        <f t="shared" si="48"/>
        <v/>
      </c>
      <c r="I367" s="128">
        <f>_xlfn.IFNA((VLOOKUP($C367,Code!$H:$Q,5,FALSE))/(((VLOOKUP($C367,Code!$H:$Q,7,FALSE))+(VLOOKUP($C367,Code!$H:$Q,8,FALSE)))/2)-G367,0)</f>
        <v>0</v>
      </c>
      <c r="J367" s="55" t="str">
        <f>IFERROR(POWER((VLOOKUP(C367,Code!H:W,12,FALSE))/(VLOOKUP(C367,Code!H:W,15,FALSE)),1/(P367-1))-1,"")</f>
        <v/>
      </c>
      <c r="K367" s="55" t="str">
        <f>IFERROR(POWER((VLOOKUP(C367,Code!H:W,13,FALSE))/(VLOOKUP(C367,Code!H:W,16,FALSE)),1/(P367-1))-1,"")</f>
        <v/>
      </c>
      <c r="L367" s="75" t="str">
        <f>IFERROR(VLOOKUP(C367,Code!H:W,13,FALSE)*4/VLOOKUP(C367,Code!H:W,12,FALSE),"")</f>
        <v/>
      </c>
      <c r="M367" s="55" t="str">
        <f t="shared" si="49"/>
        <v/>
      </c>
      <c r="N367" s="55" t="str">
        <f t="shared" si="50"/>
        <v/>
      </c>
      <c r="O367" s="55" t="str">
        <f t="shared" si="51"/>
        <v/>
      </c>
      <c r="P367" s="196" t="str">
        <f>IFERROR(YEARFRAC(VLOOKUP(C367,Code!H:W,11,FALSE),VLOOKUP(C367,Code!H:W,14,FALSE),3),"")</f>
        <v/>
      </c>
      <c r="Q367" s="2"/>
      <c r="R367" s="85" t="str">
        <f t="shared" ca="1" si="52"/>
        <v/>
      </c>
      <c r="S367" s="86" t="str">
        <f>IFERROR(VLOOKUP($C367,Code!$H:$Q,5,FALSE),"")</f>
        <v/>
      </c>
      <c r="T367" s="88" t="str">
        <f t="shared" ca="1" si="53"/>
        <v/>
      </c>
      <c r="U367" s="89" t="str">
        <f t="shared" ca="1" si="54"/>
        <v/>
      </c>
      <c r="V367" s="90" t="str">
        <f>IFERROR(VLOOKUP($C367,Code!$H:$Q,6,FALSE),"")</f>
        <v/>
      </c>
      <c r="W367" s="91" t="str">
        <f t="shared" ca="1" si="55"/>
        <v/>
      </c>
      <c r="X367" s="12"/>
      <c r="Y367" s="12"/>
      <c r="Z367" s="12"/>
      <c r="AA367" s="12"/>
      <c r="AB367" s="12"/>
    </row>
    <row r="368" spans="1:28" s="10" customFormat="1" ht="15" hidden="1">
      <c r="A368" s="9"/>
      <c r="B368" s="137"/>
      <c r="C368" s="142"/>
      <c r="D368" s="82" t="str">
        <f>IFERROR(VLOOKUP($C368,Code!$H:$K,2,FALSE),"")</f>
        <v/>
      </c>
      <c r="E368" s="83" t="str">
        <f>IFERROR(VLOOKUP($C368,Code!$H:$K,3,FALSE),"")</f>
        <v/>
      </c>
      <c r="F368" s="84" t="str">
        <f>IFERROR(VLOOKUP($C368,Code!$H:$K,4,FALSE),"")</f>
        <v/>
      </c>
      <c r="G368" s="128">
        <f>_xlfn.IFNA(((VLOOKUP($C368,Code!$H:$Q,9,FALSE))+(VLOOKUP($C368,Code!$H:$Q,10,FALSE)))/2*0.5/(((VLOOKUP($C368,Code!$H:$Q,7,FALSE))+(VLOOKUP($C368,Code!$H:$Q,8,FALSE)))/2),0)</f>
        <v>0</v>
      </c>
      <c r="H368" s="87" t="str">
        <f t="shared" si="48"/>
        <v/>
      </c>
      <c r="I368" s="128">
        <f>_xlfn.IFNA((VLOOKUP($C368,Code!$H:$Q,5,FALSE))/(((VLOOKUP($C368,Code!$H:$Q,7,FALSE))+(VLOOKUP($C368,Code!$H:$Q,8,FALSE)))/2)-G368,0)</f>
        <v>0</v>
      </c>
      <c r="J368" s="55" t="str">
        <f>IFERROR(POWER((VLOOKUP(C368,Code!H:W,12,FALSE))/(VLOOKUP(C368,Code!H:W,15,FALSE)),1/(P368-1))-1,"")</f>
        <v/>
      </c>
      <c r="K368" s="55" t="str">
        <f>IFERROR(POWER((VLOOKUP(C368,Code!H:W,13,FALSE))/(VLOOKUP(C368,Code!H:W,16,FALSE)),1/(P368-1))-1,"")</f>
        <v/>
      </c>
      <c r="L368" s="75" t="str">
        <f>IFERROR(VLOOKUP(C368,Code!H:W,13,FALSE)*4/VLOOKUP(C368,Code!H:W,12,FALSE),"")</f>
        <v/>
      </c>
      <c r="M368" s="55" t="str">
        <f t="shared" si="49"/>
        <v/>
      </c>
      <c r="N368" s="55" t="str">
        <f t="shared" si="50"/>
        <v/>
      </c>
      <c r="O368" s="55" t="str">
        <f t="shared" si="51"/>
        <v/>
      </c>
      <c r="P368" s="196" t="str">
        <f>IFERROR(YEARFRAC(VLOOKUP(C368,Code!H:W,11,FALSE),VLOOKUP(C368,Code!H:W,14,FALSE),3),"")</f>
        <v/>
      </c>
      <c r="Q368" s="2"/>
      <c r="R368" s="85" t="str">
        <f t="shared" ca="1" si="52"/>
        <v/>
      </c>
      <c r="S368" s="86" t="str">
        <f>IFERROR(VLOOKUP($C368,Code!$H:$Q,5,FALSE),"")</f>
        <v/>
      </c>
      <c r="T368" s="88" t="str">
        <f t="shared" ca="1" si="53"/>
        <v/>
      </c>
      <c r="U368" s="89" t="str">
        <f t="shared" ca="1" si="54"/>
        <v/>
      </c>
      <c r="V368" s="90" t="str">
        <f>IFERROR(VLOOKUP($C368,Code!$H:$Q,6,FALSE),"")</f>
        <v/>
      </c>
      <c r="W368" s="91" t="str">
        <f t="shared" ca="1" si="55"/>
        <v/>
      </c>
      <c r="X368" s="12"/>
      <c r="Y368" s="12"/>
      <c r="Z368" s="12"/>
      <c r="AA368" s="12"/>
      <c r="AB368" s="12"/>
    </row>
    <row r="369" spans="1:28" s="10" customFormat="1" ht="15" hidden="1">
      <c r="A369" s="9"/>
      <c r="B369" s="137"/>
      <c r="C369" s="142"/>
      <c r="D369" s="82" t="str">
        <f>IFERROR(VLOOKUP($C369,Code!$H:$K,2,FALSE),"")</f>
        <v/>
      </c>
      <c r="E369" s="83" t="str">
        <f>IFERROR(VLOOKUP($C369,Code!$H:$K,3,FALSE),"")</f>
        <v/>
      </c>
      <c r="F369" s="84" t="str">
        <f>IFERROR(VLOOKUP($C369,Code!$H:$K,4,FALSE),"")</f>
        <v/>
      </c>
      <c r="G369" s="128">
        <f>_xlfn.IFNA(((VLOOKUP($C369,Code!$H:$Q,9,FALSE))+(VLOOKUP($C369,Code!$H:$Q,10,FALSE)))/2*0.5/(((VLOOKUP($C369,Code!$H:$Q,7,FALSE))+(VLOOKUP($C369,Code!$H:$Q,8,FALSE)))/2),0)</f>
        <v>0</v>
      </c>
      <c r="H369" s="87" t="str">
        <f t="shared" si="48"/>
        <v/>
      </c>
      <c r="I369" s="128">
        <f>_xlfn.IFNA((VLOOKUP($C369,Code!$H:$Q,5,FALSE))/(((VLOOKUP($C369,Code!$H:$Q,7,FALSE))+(VLOOKUP($C369,Code!$H:$Q,8,FALSE)))/2)-G369,0)</f>
        <v>0</v>
      </c>
      <c r="J369" s="55" t="str">
        <f>IFERROR(POWER((VLOOKUP(C369,Code!H:W,12,FALSE))/(VLOOKUP(C369,Code!H:W,15,FALSE)),1/(P369-1))-1,"")</f>
        <v/>
      </c>
      <c r="K369" s="55" t="str">
        <f>IFERROR(POWER((VLOOKUP(C369,Code!H:W,13,FALSE))/(VLOOKUP(C369,Code!H:W,16,FALSE)),1/(P369-1))-1,"")</f>
        <v/>
      </c>
      <c r="L369" s="75" t="str">
        <f>IFERROR(VLOOKUP(C369,Code!H:W,13,FALSE)*4/VLOOKUP(C369,Code!H:W,12,FALSE),"")</f>
        <v/>
      </c>
      <c r="M369" s="55" t="str">
        <f t="shared" si="49"/>
        <v/>
      </c>
      <c r="N369" s="55" t="str">
        <f t="shared" si="50"/>
        <v/>
      </c>
      <c r="O369" s="55" t="str">
        <f t="shared" si="51"/>
        <v/>
      </c>
      <c r="P369" s="196" t="str">
        <f>IFERROR(YEARFRAC(VLOOKUP(C369,Code!H:W,11,FALSE),VLOOKUP(C369,Code!H:W,14,FALSE),3),"")</f>
        <v/>
      </c>
      <c r="Q369" s="2"/>
      <c r="R369" s="85" t="str">
        <f t="shared" ca="1" si="52"/>
        <v/>
      </c>
      <c r="S369" s="86" t="str">
        <f>IFERROR(VLOOKUP($C369,Code!$H:$Q,5,FALSE),"")</f>
        <v/>
      </c>
      <c r="T369" s="88" t="str">
        <f t="shared" ca="1" si="53"/>
        <v/>
      </c>
      <c r="U369" s="89" t="str">
        <f t="shared" ca="1" si="54"/>
        <v/>
      </c>
      <c r="V369" s="90" t="str">
        <f>IFERROR(VLOOKUP($C369,Code!$H:$Q,6,FALSE),"")</f>
        <v/>
      </c>
      <c r="W369" s="91" t="str">
        <f t="shared" ca="1" si="55"/>
        <v/>
      </c>
      <c r="X369" s="12"/>
      <c r="Y369" s="12"/>
      <c r="Z369" s="12"/>
      <c r="AA369" s="12"/>
      <c r="AB369" s="12"/>
    </row>
    <row r="370" spans="1:28" s="10" customFormat="1" ht="15" hidden="1">
      <c r="A370" s="9"/>
      <c r="B370" s="137"/>
      <c r="C370" s="142"/>
      <c r="D370" s="82" t="str">
        <f>IFERROR(VLOOKUP($C370,Code!$H:$K,2,FALSE),"")</f>
        <v/>
      </c>
      <c r="E370" s="83" t="str">
        <f>IFERROR(VLOOKUP($C370,Code!$H:$K,3,FALSE),"")</f>
        <v/>
      </c>
      <c r="F370" s="84" t="str">
        <f>IFERROR(VLOOKUP($C370,Code!$H:$K,4,FALSE),"")</f>
        <v/>
      </c>
      <c r="G370" s="128">
        <f>_xlfn.IFNA(((VLOOKUP($C370,Code!$H:$Q,9,FALSE))+(VLOOKUP($C370,Code!$H:$Q,10,FALSE)))/2*0.5/(((VLOOKUP($C370,Code!$H:$Q,7,FALSE))+(VLOOKUP($C370,Code!$H:$Q,8,FALSE)))/2),0)</f>
        <v>0</v>
      </c>
      <c r="H370" s="87" t="str">
        <f t="shared" si="48"/>
        <v/>
      </c>
      <c r="I370" s="128">
        <f>_xlfn.IFNA((VLOOKUP($C370,Code!$H:$Q,5,FALSE))/(((VLOOKUP($C370,Code!$H:$Q,7,FALSE))+(VLOOKUP($C370,Code!$H:$Q,8,FALSE)))/2)-G370,0)</f>
        <v>0</v>
      </c>
      <c r="J370" s="55" t="str">
        <f>IFERROR(POWER((VLOOKUP(C370,Code!H:W,12,FALSE))/(VLOOKUP(C370,Code!H:W,15,FALSE)),1/(P370-1))-1,"")</f>
        <v/>
      </c>
      <c r="K370" s="55" t="str">
        <f>IFERROR(POWER((VLOOKUP(C370,Code!H:W,13,FALSE))/(VLOOKUP(C370,Code!H:W,16,FALSE)),1/(P370-1))-1,"")</f>
        <v/>
      </c>
      <c r="L370" s="75" t="str">
        <f>IFERROR(VLOOKUP(C370,Code!H:W,13,FALSE)*4/VLOOKUP(C370,Code!H:W,12,FALSE),"")</f>
        <v/>
      </c>
      <c r="M370" s="55" t="str">
        <f t="shared" si="49"/>
        <v/>
      </c>
      <c r="N370" s="55" t="str">
        <f t="shared" si="50"/>
        <v/>
      </c>
      <c r="O370" s="55" t="str">
        <f t="shared" si="51"/>
        <v/>
      </c>
      <c r="P370" s="196" t="str">
        <f>IFERROR(YEARFRAC(VLOOKUP(C370,Code!H:W,11,FALSE),VLOOKUP(C370,Code!H:W,14,FALSE),3),"")</f>
        <v/>
      </c>
      <c r="Q370" s="2"/>
      <c r="R370" s="85" t="str">
        <f t="shared" ca="1" si="52"/>
        <v/>
      </c>
      <c r="S370" s="86" t="str">
        <f>IFERROR(VLOOKUP($C370,Code!$H:$Q,5,FALSE),"")</f>
        <v/>
      </c>
      <c r="T370" s="88" t="str">
        <f t="shared" ca="1" si="53"/>
        <v/>
      </c>
      <c r="U370" s="89" t="str">
        <f t="shared" ca="1" si="54"/>
        <v/>
      </c>
      <c r="V370" s="90" t="str">
        <f>IFERROR(VLOOKUP($C370,Code!$H:$Q,6,FALSE),"")</f>
        <v/>
      </c>
      <c r="W370" s="91" t="str">
        <f t="shared" ca="1" si="55"/>
        <v/>
      </c>
      <c r="X370" s="12"/>
      <c r="Y370" s="12"/>
      <c r="Z370" s="12"/>
      <c r="AA370" s="12"/>
      <c r="AB370" s="12"/>
    </row>
    <row r="371" spans="1:28" s="10" customFormat="1" ht="15" hidden="1">
      <c r="A371" s="9"/>
      <c r="B371" s="137"/>
      <c r="C371" s="142"/>
      <c r="D371" s="82" t="str">
        <f>IFERROR(VLOOKUP($C371,Code!$H:$K,2,FALSE),"")</f>
        <v/>
      </c>
      <c r="E371" s="83" t="str">
        <f>IFERROR(VLOOKUP($C371,Code!$H:$K,3,FALSE),"")</f>
        <v/>
      </c>
      <c r="F371" s="84" t="str">
        <f>IFERROR(VLOOKUP($C371,Code!$H:$K,4,FALSE),"")</f>
        <v/>
      </c>
      <c r="G371" s="128">
        <f>_xlfn.IFNA(((VLOOKUP($C371,Code!$H:$Q,9,FALSE))+(VLOOKUP($C371,Code!$H:$Q,10,FALSE)))/2*0.5/(((VLOOKUP($C371,Code!$H:$Q,7,FALSE))+(VLOOKUP($C371,Code!$H:$Q,8,FALSE)))/2),0)</f>
        <v>0</v>
      </c>
      <c r="H371" s="87" t="str">
        <f t="shared" si="48"/>
        <v/>
      </c>
      <c r="I371" s="128">
        <f>_xlfn.IFNA((VLOOKUP($C371,Code!$H:$Q,5,FALSE))/(((VLOOKUP($C371,Code!$H:$Q,7,FALSE))+(VLOOKUP($C371,Code!$H:$Q,8,FALSE)))/2)-G371,0)</f>
        <v>0</v>
      </c>
      <c r="J371" s="55" t="str">
        <f>IFERROR(POWER((VLOOKUP(C371,Code!H:W,12,FALSE))/(VLOOKUP(C371,Code!H:W,15,FALSE)),1/(P371-1))-1,"")</f>
        <v/>
      </c>
      <c r="K371" s="55" t="str">
        <f>IFERROR(POWER((VLOOKUP(C371,Code!H:W,13,FALSE))/(VLOOKUP(C371,Code!H:W,16,FALSE)),1/(P371-1))-1,"")</f>
        <v/>
      </c>
      <c r="L371" s="75" t="str">
        <f>IFERROR(VLOOKUP(C371,Code!H:W,13,FALSE)*4/VLOOKUP(C371,Code!H:W,12,FALSE),"")</f>
        <v/>
      </c>
      <c r="M371" s="55" t="str">
        <f t="shared" si="49"/>
        <v/>
      </c>
      <c r="N371" s="55" t="str">
        <f t="shared" si="50"/>
        <v/>
      </c>
      <c r="O371" s="55" t="str">
        <f t="shared" si="51"/>
        <v/>
      </c>
      <c r="P371" s="196" t="str">
        <f>IFERROR(YEARFRAC(VLOOKUP(C371,Code!H:W,11,FALSE),VLOOKUP(C371,Code!H:W,14,FALSE),3),"")</f>
        <v/>
      </c>
      <c r="Q371" s="2"/>
      <c r="R371" s="85" t="str">
        <f t="shared" ca="1" si="52"/>
        <v/>
      </c>
      <c r="S371" s="86" t="str">
        <f>IFERROR(VLOOKUP($C371,Code!$H:$Q,5,FALSE),"")</f>
        <v/>
      </c>
      <c r="T371" s="88" t="str">
        <f t="shared" ca="1" si="53"/>
        <v/>
      </c>
      <c r="U371" s="89" t="str">
        <f t="shared" ca="1" si="54"/>
        <v/>
      </c>
      <c r="V371" s="90" t="str">
        <f>IFERROR(VLOOKUP($C371,Code!$H:$Q,6,FALSE),"")</f>
        <v/>
      </c>
      <c r="W371" s="91" t="str">
        <f t="shared" ca="1" si="55"/>
        <v/>
      </c>
      <c r="X371" s="12"/>
      <c r="Y371" s="12"/>
      <c r="Z371" s="12"/>
      <c r="AA371" s="12"/>
      <c r="AB371" s="12"/>
    </row>
    <row r="372" spans="1:28" s="10" customFormat="1" ht="15" hidden="1">
      <c r="A372" s="9"/>
      <c r="B372" s="137"/>
      <c r="C372" s="142"/>
      <c r="D372" s="82" t="str">
        <f>IFERROR(VLOOKUP($C372,Code!$H:$K,2,FALSE),"")</f>
        <v/>
      </c>
      <c r="E372" s="83" t="str">
        <f>IFERROR(VLOOKUP($C372,Code!$H:$K,3,FALSE),"")</f>
        <v/>
      </c>
      <c r="F372" s="84" t="str">
        <f>IFERROR(VLOOKUP($C372,Code!$H:$K,4,FALSE),"")</f>
        <v/>
      </c>
      <c r="G372" s="128">
        <f>_xlfn.IFNA(((VLOOKUP($C372,Code!$H:$Q,9,FALSE))+(VLOOKUP($C372,Code!$H:$Q,10,FALSE)))/2*0.5/(((VLOOKUP($C372,Code!$H:$Q,7,FALSE))+(VLOOKUP($C372,Code!$H:$Q,8,FALSE)))/2),0)</f>
        <v>0</v>
      </c>
      <c r="H372" s="87" t="str">
        <f t="shared" si="48"/>
        <v/>
      </c>
      <c r="I372" s="128">
        <f>_xlfn.IFNA((VLOOKUP($C372,Code!$H:$Q,5,FALSE))/(((VLOOKUP($C372,Code!$H:$Q,7,FALSE))+(VLOOKUP($C372,Code!$H:$Q,8,FALSE)))/2)-G372,0)</f>
        <v>0</v>
      </c>
      <c r="J372" s="55" t="str">
        <f>IFERROR(POWER((VLOOKUP(C372,Code!H:W,12,FALSE))/(VLOOKUP(C372,Code!H:W,15,FALSE)),1/(P372-1))-1,"")</f>
        <v/>
      </c>
      <c r="K372" s="55" t="str">
        <f>IFERROR(POWER((VLOOKUP(C372,Code!H:W,13,FALSE))/(VLOOKUP(C372,Code!H:W,16,FALSE)),1/(P372-1))-1,"")</f>
        <v/>
      </c>
      <c r="L372" s="75" t="str">
        <f>IFERROR(VLOOKUP(C372,Code!H:W,13,FALSE)*4/VLOOKUP(C372,Code!H:W,12,FALSE),"")</f>
        <v/>
      </c>
      <c r="M372" s="55" t="str">
        <f t="shared" si="49"/>
        <v/>
      </c>
      <c r="N372" s="55" t="str">
        <f t="shared" si="50"/>
        <v/>
      </c>
      <c r="O372" s="55" t="str">
        <f t="shared" si="51"/>
        <v/>
      </c>
      <c r="P372" s="196" t="str">
        <f>IFERROR(YEARFRAC(VLOOKUP(C372,Code!H:W,11,FALSE),VLOOKUP(C372,Code!H:W,14,FALSE),3),"")</f>
        <v/>
      </c>
      <c r="Q372" s="2"/>
      <c r="R372" s="85" t="str">
        <f t="shared" ca="1" si="52"/>
        <v/>
      </c>
      <c r="S372" s="86" t="str">
        <f>IFERROR(VLOOKUP($C372,Code!$H:$Q,5,FALSE),"")</f>
        <v/>
      </c>
      <c r="T372" s="88" t="str">
        <f t="shared" ca="1" si="53"/>
        <v/>
      </c>
      <c r="U372" s="89" t="str">
        <f t="shared" ca="1" si="54"/>
        <v/>
      </c>
      <c r="V372" s="90" t="str">
        <f>IFERROR(VLOOKUP($C372,Code!$H:$Q,6,FALSE),"")</f>
        <v/>
      </c>
      <c r="W372" s="91" t="str">
        <f t="shared" ca="1" si="55"/>
        <v/>
      </c>
      <c r="X372" s="12"/>
      <c r="Y372" s="12"/>
      <c r="Z372" s="12"/>
      <c r="AA372" s="12"/>
      <c r="AB372" s="12"/>
    </row>
    <row r="373" spans="1:28" s="10" customFormat="1" ht="15" hidden="1">
      <c r="A373" s="9"/>
      <c r="B373" s="137"/>
      <c r="C373" s="142"/>
      <c r="D373" s="82" t="str">
        <f>IFERROR(VLOOKUP($C373,Code!$H:$K,2,FALSE),"")</f>
        <v/>
      </c>
      <c r="E373" s="83" t="str">
        <f>IFERROR(VLOOKUP($C373,Code!$H:$K,3,FALSE),"")</f>
        <v/>
      </c>
      <c r="F373" s="84" t="str">
        <f>IFERROR(VLOOKUP($C373,Code!$H:$K,4,FALSE),"")</f>
        <v/>
      </c>
      <c r="G373" s="128">
        <f>_xlfn.IFNA(((VLOOKUP($C373,Code!$H:$Q,9,FALSE))+(VLOOKUP($C373,Code!$H:$Q,10,FALSE)))/2*0.5/(((VLOOKUP($C373,Code!$H:$Q,7,FALSE))+(VLOOKUP($C373,Code!$H:$Q,8,FALSE)))/2),0)</f>
        <v>0</v>
      </c>
      <c r="H373" s="87" t="str">
        <f t="shared" si="48"/>
        <v/>
      </c>
      <c r="I373" s="128">
        <f>_xlfn.IFNA((VLOOKUP($C373,Code!$H:$Q,5,FALSE))/(((VLOOKUP($C373,Code!$H:$Q,7,FALSE))+(VLOOKUP($C373,Code!$H:$Q,8,FALSE)))/2)-G373,0)</f>
        <v>0</v>
      </c>
      <c r="J373" s="55" t="str">
        <f>IFERROR(POWER((VLOOKUP(C373,Code!H:W,12,FALSE))/(VLOOKUP(C373,Code!H:W,15,FALSE)),1/(P373-1))-1,"")</f>
        <v/>
      </c>
      <c r="K373" s="55" t="str">
        <f>IFERROR(POWER((VLOOKUP(C373,Code!H:W,13,FALSE))/(VLOOKUP(C373,Code!H:W,16,FALSE)),1/(P373-1))-1,"")</f>
        <v/>
      </c>
      <c r="L373" s="75" t="str">
        <f>IFERROR(VLOOKUP(C373,Code!H:W,13,FALSE)*4/VLOOKUP(C373,Code!H:W,12,FALSE),"")</f>
        <v/>
      </c>
      <c r="M373" s="55" t="str">
        <f t="shared" si="49"/>
        <v/>
      </c>
      <c r="N373" s="55" t="str">
        <f t="shared" si="50"/>
        <v/>
      </c>
      <c r="O373" s="55" t="str">
        <f t="shared" si="51"/>
        <v/>
      </c>
      <c r="P373" s="196" t="str">
        <f>IFERROR(YEARFRAC(VLOOKUP(C373,Code!H:W,11,FALSE),VLOOKUP(C373,Code!H:W,14,FALSE),3),"")</f>
        <v/>
      </c>
      <c r="Q373" s="2"/>
      <c r="R373" s="85" t="str">
        <f t="shared" ca="1" si="52"/>
        <v/>
      </c>
      <c r="S373" s="86" t="str">
        <f>IFERROR(VLOOKUP($C373,Code!$H:$Q,5,FALSE),"")</f>
        <v/>
      </c>
      <c r="T373" s="88" t="str">
        <f t="shared" ca="1" si="53"/>
        <v/>
      </c>
      <c r="U373" s="89" t="str">
        <f t="shared" ca="1" si="54"/>
        <v/>
      </c>
      <c r="V373" s="90" t="str">
        <f>IFERROR(VLOOKUP($C373,Code!$H:$Q,6,FALSE),"")</f>
        <v/>
      </c>
      <c r="W373" s="91" t="str">
        <f t="shared" ca="1" si="55"/>
        <v/>
      </c>
      <c r="X373" s="12"/>
      <c r="Y373" s="12"/>
      <c r="Z373" s="12"/>
      <c r="AA373" s="12"/>
      <c r="AB373" s="12"/>
    </row>
    <row r="374" spans="1:28" s="10" customFormat="1" ht="15" hidden="1">
      <c r="A374" s="9"/>
      <c r="B374" s="137"/>
      <c r="C374" s="142"/>
      <c r="D374" s="82" t="str">
        <f>IFERROR(VLOOKUP($C374,Code!$H:$K,2,FALSE),"")</f>
        <v/>
      </c>
      <c r="E374" s="83" t="str">
        <f>IFERROR(VLOOKUP($C374,Code!$H:$K,3,FALSE),"")</f>
        <v/>
      </c>
      <c r="F374" s="84" t="str">
        <f>IFERROR(VLOOKUP($C374,Code!$H:$K,4,FALSE),"")</f>
        <v/>
      </c>
      <c r="G374" s="128">
        <f>_xlfn.IFNA(((VLOOKUP($C374,Code!$H:$Q,9,FALSE))+(VLOOKUP($C374,Code!$H:$Q,10,FALSE)))/2*0.5/(((VLOOKUP($C374,Code!$H:$Q,7,FALSE))+(VLOOKUP($C374,Code!$H:$Q,8,FALSE)))/2),0)</f>
        <v>0</v>
      </c>
      <c r="H374" s="87" t="str">
        <f t="shared" si="48"/>
        <v/>
      </c>
      <c r="I374" s="128">
        <f>_xlfn.IFNA((VLOOKUP($C374,Code!$H:$Q,5,FALSE))/(((VLOOKUP($C374,Code!$H:$Q,7,FALSE))+(VLOOKUP($C374,Code!$H:$Q,8,FALSE)))/2)-G374,0)</f>
        <v>0</v>
      </c>
      <c r="J374" s="55" t="str">
        <f>IFERROR(POWER((VLOOKUP(C374,Code!H:W,12,FALSE))/(VLOOKUP(C374,Code!H:W,15,FALSE)),1/(P374-1))-1,"")</f>
        <v/>
      </c>
      <c r="K374" s="55" t="str">
        <f>IFERROR(POWER((VLOOKUP(C374,Code!H:W,13,FALSE))/(VLOOKUP(C374,Code!H:W,16,FALSE)),1/(P374-1))-1,"")</f>
        <v/>
      </c>
      <c r="L374" s="75" t="str">
        <f>IFERROR(VLOOKUP(C374,Code!H:W,13,FALSE)*4/VLOOKUP(C374,Code!H:W,12,FALSE),"")</f>
        <v/>
      </c>
      <c r="M374" s="55" t="str">
        <f t="shared" si="49"/>
        <v/>
      </c>
      <c r="N374" s="55" t="str">
        <f t="shared" si="50"/>
        <v/>
      </c>
      <c r="O374" s="55" t="str">
        <f t="shared" si="51"/>
        <v/>
      </c>
      <c r="P374" s="196" t="str">
        <f>IFERROR(YEARFRAC(VLOOKUP(C374,Code!H:W,11,FALSE),VLOOKUP(C374,Code!H:W,14,FALSE),3),"")</f>
        <v/>
      </c>
      <c r="Q374" s="2"/>
      <c r="R374" s="85" t="str">
        <f t="shared" ca="1" si="52"/>
        <v/>
      </c>
      <c r="S374" s="86" t="str">
        <f>IFERROR(VLOOKUP($C374,Code!$H:$Q,5,FALSE),"")</f>
        <v/>
      </c>
      <c r="T374" s="88" t="str">
        <f t="shared" ca="1" si="53"/>
        <v/>
      </c>
      <c r="U374" s="89" t="str">
        <f t="shared" ca="1" si="54"/>
        <v/>
      </c>
      <c r="V374" s="90" t="str">
        <f>IFERROR(VLOOKUP($C374,Code!$H:$Q,6,FALSE),"")</f>
        <v/>
      </c>
      <c r="W374" s="91" t="str">
        <f t="shared" ca="1" si="55"/>
        <v/>
      </c>
      <c r="X374" s="12"/>
      <c r="Y374" s="12"/>
      <c r="Z374" s="12"/>
      <c r="AA374" s="12"/>
      <c r="AB374" s="12"/>
    </row>
    <row r="375" spans="1:28" s="10" customFormat="1" ht="15" hidden="1">
      <c r="A375" s="9"/>
      <c r="B375" s="137"/>
      <c r="C375" s="142"/>
      <c r="D375" s="82" t="str">
        <f>IFERROR(VLOOKUP($C375,Code!$H:$K,2,FALSE),"")</f>
        <v/>
      </c>
      <c r="E375" s="83" t="str">
        <f>IFERROR(VLOOKUP($C375,Code!$H:$K,3,FALSE),"")</f>
        <v/>
      </c>
      <c r="F375" s="84" t="str">
        <f>IFERROR(VLOOKUP($C375,Code!$H:$K,4,FALSE),"")</f>
        <v/>
      </c>
      <c r="G375" s="128">
        <f>_xlfn.IFNA(((VLOOKUP($C375,Code!$H:$Q,9,FALSE))+(VLOOKUP($C375,Code!$H:$Q,10,FALSE)))/2*0.5/(((VLOOKUP($C375,Code!$H:$Q,7,FALSE))+(VLOOKUP($C375,Code!$H:$Q,8,FALSE)))/2),0)</f>
        <v>0</v>
      </c>
      <c r="H375" s="87" t="str">
        <f t="shared" si="48"/>
        <v/>
      </c>
      <c r="I375" s="128">
        <f>_xlfn.IFNA((VLOOKUP($C375,Code!$H:$Q,5,FALSE))/(((VLOOKUP($C375,Code!$H:$Q,7,FALSE))+(VLOOKUP($C375,Code!$H:$Q,8,FALSE)))/2)-G375,0)</f>
        <v>0</v>
      </c>
      <c r="J375" s="55" t="str">
        <f>IFERROR(POWER((VLOOKUP(C375,Code!H:W,12,FALSE))/(VLOOKUP(C375,Code!H:W,15,FALSE)),1/(P375-1))-1,"")</f>
        <v/>
      </c>
      <c r="K375" s="55" t="str">
        <f>IFERROR(POWER((VLOOKUP(C375,Code!H:W,13,FALSE))/(VLOOKUP(C375,Code!H:W,16,FALSE)),1/(P375-1))-1,"")</f>
        <v/>
      </c>
      <c r="L375" s="75" t="str">
        <f>IFERROR(VLOOKUP(C375,Code!H:W,13,FALSE)*4/VLOOKUP(C375,Code!H:W,12,FALSE),"")</f>
        <v/>
      </c>
      <c r="M375" s="55" t="str">
        <f t="shared" si="49"/>
        <v/>
      </c>
      <c r="N375" s="55" t="str">
        <f t="shared" si="50"/>
        <v/>
      </c>
      <c r="O375" s="55" t="str">
        <f t="shared" si="51"/>
        <v/>
      </c>
      <c r="P375" s="196" t="str">
        <f>IFERROR(YEARFRAC(VLOOKUP(C375,Code!H:W,11,FALSE),VLOOKUP(C375,Code!H:W,14,FALSE),3),"")</f>
        <v/>
      </c>
      <c r="Q375" s="2"/>
      <c r="R375" s="85" t="str">
        <f t="shared" ca="1" si="52"/>
        <v/>
      </c>
      <c r="S375" s="86" t="str">
        <f>IFERROR(VLOOKUP($C375,Code!$H:$Q,5,FALSE),"")</f>
        <v/>
      </c>
      <c r="T375" s="88" t="str">
        <f t="shared" ca="1" si="53"/>
        <v/>
      </c>
      <c r="U375" s="89" t="str">
        <f t="shared" ca="1" si="54"/>
        <v/>
      </c>
      <c r="V375" s="90" t="str">
        <f>IFERROR(VLOOKUP($C375,Code!$H:$Q,6,FALSE),"")</f>
        <v/>
      </c>
      <c r="W375" s="91" t="str">
        <f t="shared" ca="1" si="55"/>
        <v/>
      </c>
      <c r="X375" s="12"/>
      <c r="Y375" s="12"/>
      <c r="Z375" s="12"/>
      <c r="AA375" s="12"/>
      <c r="AB375" s="12"/>
    </row>
    <row r="376" spans="1:28" s="10" customFormat="1" ht="15" hidden="1">
      <c r="A376" s="9"/>
      <c r="B376" s="137"/>
      <c r="C376" s="142"/>
      <c r="D376" s="82" t="str">
        <f>IFERROR(VLOOKUP($C376,Code!$H:$K,2,FALSE),"")</f>
        <v/>
      </c>
      <c r="E376" s="83" t="str">
        <f>IFERROR(VLOOKUP($C376,Code!$H:$K,3,FALSE),"")</f>
        <v/>
      </c>
      <c r="F376" s="84" t="str">
        <f>IFERROR(VLOOKUP($C376,Code!$H:$K,4,FALSE),"")</f>
        <v/>
      </c>
      <c r="G376" s="128">
        <f>_xlfn.IFNA(((VLOOKUP($C376,Code!$H:$Q,9,FALSE))+(VLOOKUP($C376,Code!$H:$Q,10,FALSE)))/2*0.5/(((VLOOKUP($C376,Code!$H:$Q,7,FALSE))+(VLOOKUP($C376,Code!$H:$Q,8,FALSE)))/2),0)</f>
        <v>0</v>
      </c>
      <c r="H376" s="87" t="str">
        <f t="shared" si="48"/>
        <v/>
      </c>
      <c r="I376" s="128">
        <f>_xlfn.IFNA((VLOOKUP($C376,Code!$H:$Q,5,FALSE))/(((VLOOKUP($C376,Code!$H:$Q,7,FALSE))+(VLOOKUP($C376,Code!$H:$Q,8,FALSE)))/2)-G376,0)</f>
        <v>0</v>
      </c>
      <c r="J376" s="55" t="str">
        <f>IFERROR(POWER((VLOOKUP(C376,Code!H:W,12,FALSE))/(VLOOKUP(C376,Code!H:W,15,FALSE)),1/(P376-1))-1,"")</f>
        <v/>
      </c>
      <c r="K376" s="55" t="str">
        <f>IFERROR(POWER((VLOOKUP(C376,Code!H:W,13,FALSE))/(VLOOKUP(C376,Code!H:W,16,FALSE)),1/(P376-1))-1,"")</f>
        <v/>
      </c>
      <c r="L376" s="75" t="str">
        <f>IFERROR(VLOOKUP(C376,Code!H:W,13,FALSE)*4/VLOOKUP(C376,Code!H:W,12,FALSE),"")</f>
        <v/>
      </c>
      <c r="M376" s="55" t="str">
        <f t="shared" si="49"/>
        <v/>
      </c>
      <c r="N376" s="55" t="str">
        <f t="shared" si="50"/>
        <v/>
      </c>
      <c r="O376" s="55" t="str">
        <f t="shared" si="51"/>
        <v/>
      </c>
      <c r="P376" s="196" t="str">
        <f>IFERROR(YEARFRAC(VLOOKUP(C376,Code!H:W,11,FALSE),VLOOKUP(C376,Code!H:W,14,FALSE),3),"")</f>
        <v/>
      </c>
      <c r="Q376" s="2"/>
      <c r="R376" s="85" t="str">
        <f t="shared" ca="1" si="52"/>
        <v/>
      </c>
      <c r="S376" s="86" t="str">
        <f>IFERROR(VLOOKUP($C376,Code!$H:$Q,5,FALSE),"")</f>
        <v/>
      </c>
      <c r="T376" s="88" t="str">
        <f t="shared" ca="1" si="53"/>
        <v/>
      </c>
      <c r="U376" s="89" t="str">
        <f t="shared" ca="1" si="54"/>
        <v/>
      </c>
      <c r="V376" s="90" t="str">
        <f>IFERROR(VLOOKUP($C376,Code!$H:$Q,6,FALSE),"")</f>
        <v/>
      </c>
      <c r="W376" s="91" t="str">
        <f t="shared" ca="1" si="55"/>
        <v/>
      </c>
      <c r="X376" s="12"/>
      <c r="Y376" s="12"/>
      <c r="Z376" s="12"/>
      <c r="AA376" s="12"/>
      <c r="AB376" s="12"/>
    </row>
    <row r="377" spans="1:28" s="10" customFormat="1" ht="15" hidden="1">
      <c r="A377" s="9"/>
      <c r="B377" s="137"/>
      <c r="C377" s="142"/>
      <c r="D377" s="82" t="str">
        <f>IFERROR(VLOOKUP($C377,Code!$H:$K,2,FALSE),"")</f>
        <v/>
      </c>
      <c r="E377" s="83" t="str">
        <f>IFERROR(VLOOKUP($C377,Code!$H:$K,3,FALSE),"")</f>
        <v/>
      </c>
      <c r="F377" s="84" t="str">
        <f>IFERROR(VLOOKUP($C377,Code!$H:$K,4,FALSE),"")</f>
        <v/>
      </c>
      <c r="G377" s="128">
        <f>_xlfn.IFNA(((VLOOKUP($C377,Code!$H:$Q,9,FALSE))+(VLOOKUP($C377,Code!$H:$Q,10,FALSE)))/2*0.5/(((VLOOKUP($C377,Code!$H:$Q,7,FALSE))+(VLOOKUP($C377,Code!$H:$Q,8,FALSE)))/2),0)</f>
        <v>0</v>
      </c>
      <c r="H377" s="87" t="str">
        <f t="shared" si="48"/>
        <v/>
      </c>
      <c r="I377" s="128">
        <f>_xlfn.IFNA((VLOOKUP($C377,Code!$H:$Q,5,FALSE))/(((VLOOKUP($C377,Code!$H:$Q,7,FALSE))+(VLOOKUP($C377,Code!$H:$Q,8,FALSE)))/2)-G377,0)</f>
        <v>0</v>
      </c>
      <c r="J377" s="55" t="str">
        <f>IFERROR(POWER((VLOOKUP(C377,Code!H:W,12,FALSE))/(VLOOKUP(C377,Code!H:W,15,FALSE)),1/(P377-1))-1,"")</f>
        <v/>
      </c>
      <c r="K377" s="55" t="str">
        <f>IFERROR(POWER((VLOOKUP(C377,Code!H:W,13,FALSE))/(VLOOKUP(C377,Code!H:W,16,FALSE)),1/(P377-1))-1,"")</f>
        <v/>
      </c>
      <c r="L377" s="75" t="str">
        <f>IFERROR(VLOOKUP(C377,Code!H:W,13,FALSE)*4/VLOOKUP(C377,Code!H:W,12,FALSE),"")</f>
        <v/>
      </c>
      <c r="M377" s="55" t="str">
        <f t="shared" si="49"/>
        <v/>
      </c>
      <c r="N377" s="55" t="str">
        <f t="shared" si="50"/>
        <v/>
      </c>
      <c r="O377" s="55" t="str">
        <f t="shared" si="51"/>
        <v/>
      </c>
      <c r="P377" s="196" t="str">
        <f>IFERROR(YEARFRAC(VLOOKUP(C377,Code!H:W,11,FALSE),VLOOKUP(C377,Code!H:W,14,FALSE),3),"")</f>
        <v/>
      </c>
      <c r="Q377" s="2"/>
      <c r="R377" s="85" t="str">
        <f t="shared" ca="1" si="52"/>
        <v/>
      </c>
      <c r="S377" s="86" t="str">
        <f>IFERROR(VLOOKUP($C377,Code!$H:$Q,5,FALSE),"")</f>
        <v/>
      </c>
      <c r="T377" s="88" t="str">
        <f t="shared" ca="1" si="53"/>
        <v/>
      </c>
      <c r="U377" s="89" t="str">
        <f t="shared" ca="1" si="54"/>
        <v/>
      </c>
      <c r="V377" s="90" t="str">
        <f>IFERROR(VLOOKUP($C377,Code!$H:$Q,6,FALSE),"")</f>
        <v/>
      </c>
      <c r="W377" s="91" t="str">
        <f t="shared" ca="1" si="55"/>
        <v/>
      </c>
      <c r="X377" s="12"/>
      <c r="Y377" s="12"/>
      <c r="Z377" s="12"/>
      <c r="AA377" s="12"/>
      <c r="AB377" s="12"/>
    </row>
    <row r="378" spans="1:28" s="10" customFormat="1" ht="15" hidden="1">
      <c r="A378" s="9"/>
      <c r="B378" s="137"/>
      <c r="C378" s="142"/>
      <c r="D378" s="82" t="str">
        <f>IFERROR(VLOOKUP($C378,Code!$H:$K,2,FALSE),"")</f>
        <v/>
      </c>
      <c r="E378" s="83" t="str">
        <f>IFERROR(VLOOKUP($C378,Code!$H:$K,3,FALSE),"")</f>
        <v/>
      </c>
      <c r="F378" s="84" t="str">
        <f>IFERROR(VLOOKUP($C378,Code!$H:$K,4,FALSE),"")</f>
        <v/>
      </c>
      <c r="G378" s="128">
        <f>_xlfn.IFNA(((VLOOKUP($C378,Code!$H:$Q,9,FALSE))+(VLOOKUP($C378,Code!$H:$Q,10,FALSE)))/2*0.5/(((VLOOKUP($C378,Code!$H:$Q,7,FALSE))+(VLOOKUP($C378,Code!$H:$Q,8,FALSE)))/2),0)</f>
        <v>0</v>
      </c>
      <c r="H378" s="87" t="str">
        <f t="shared" si="48"/>
        <v/>
      </c>
      <c r="I378" s="128">
        <f>_xlfn.IFNA((VLOOKUP($C378,Code!$H:$Q,5,FALSE))/(((VLOOKUP($C378,Code!$H:$Q,7,FALSE))+(VLOOKUP($C378,Code!$H:$Q,8,FALSE)))/2)-G378,0)</f>
        <v>0</v>
      </c>
      <c r="J378" s="55" t="str">
        <f>IFERROR(POWER((VLOOKUP(C378,Code!H:W,12,FALSE))/(VLOOKUP(C378,Code!H:W,15,FALSE)),1/(P378-1))-1,"")</f>
        <v/>
      </c>
      <c r="K378" s="55" t="str">
        <f>IFERROR(POWER((VLOOKUP(C378,Code!H:W,13,FALSE))/(VLOOKUP(C378,Code!H:W,16,FALSE)),1/(P378-1))-1,"")</f>
        <v/>
      </c>
      <c r="L378" s="75" t="str">
        <f>IFERROR(VLOOKUP(C378,Code!H:W,13,FALSE)*4/VLOOKUP(C378,Code!H:W,12,FALSE),"")</f>
        <v/>
      </c>
      <c r="M378" s="55" t="str">
        <f t="shared" si="49"/>
        <v/>
      </c>
      <c r="N378" s="55" t="str">
        <f t="shared" si="50"/>
        <v/>
      </c>
      <c r="O378" s="55" t="str">
        <f t="shared" si="51"/>
        <v/>
      </c>
      <c r="P378" s="196" t="str">
        <f>IFERROR(YEARFRAC(VLOOKUP(C378,Code!H:W,11,FALSE),VLOOKUP(C378,Code!H:W,14,FALSE),3),"")</f>
        <v/>
      </c>
      <c r="Q378" s="2"/>
      <c r="R378" s="85" t="str">
        <f t="shared" ca="1" si="52"/>
        <v/>
      </c>
      <c r="S378" s="86" t="str">
        <f>IFERROR(VLOOKUP($C378,Code!$H:$Q,5,FALSE),"")</f>
        <v/>
      </c>
      <c r="T378" s="88" t="str">
        <f t="shared" ca="1" si="53"/>
        <v/>
      </c>
      <c r="U378" s="89" t="str">
        <f t="shared" ca="1" si="54"/>
        <v/>
      </c>
      <c r="V378" s="90" t="str">
        <f>IFERROR(VLOOKUP($C378,Code!$H:$Q,6,FALSE),"")</f>
        <v/>
      </c>
      <c r="W378" s="91" t="str">
        <f t="shared" ca="1" si="55"/>
        <v/>
      </c>
      <c r="X378" s="12"/>
      <c r="Y378" s="12"/>
      <c r="Z378" s="12"/>
      <c r="AA378" s="12"/>
      <c r="AB378" s="12"/>
    </row>
    <row r="379" spans="1:28" s="10" customFormat="1" ht="15" hidden="1">
      <c r="A379" s="9"/>
      <c r="B379" s="137"/>
      <c r="C379" s="142"/>
      <c r="D379" s="82" t="str">
        <f>IFERROR(VLOOKUP($C379,Code!$H:$K,2,FALSE),"")</f>
        <v/>
      </c>
      <c r="E379" s="83" t="str">
        <f>IFERROR(VLOOKUP($C379,Code!$H:$K,3,FALSE),"")</f>
        <v/>
      </c>
      <c r="F379" s="84" t="str">
        <f>IFERROR(VLOOKUP($C379,Code!$H:$K,4,FALSE),"")</f>
        <v/>
      </c>
      <c r="G379" s="128">
        <f>_xlfn.IFNA(((VLOOKUP($C379,Code!$H:$Q,9,FALSE))+(VLOOKUP($C379,Code!$H:$Q,10,FALSE)))/2*0.5/(((VLOOKUP($C379,Code!$H:$Q,7,FALSE))+(VLOOKUP($C379,Code!$H:$Q,8,FALSE)))/2),0)</f>
        <v>0</v>
      </c>
      <c r="H379" s="87" t="str">
        <f t="shared" si="48"/>
        <v/>
      </c>
      <c r="I379" s="128">
        <f>_xlfn.IFNA((VLOOKUP($C379,Code!$H:$Q,5,FALSE))/(((VLOOKUP($C379,Code!$H:$Q,7,FALSE))+(VLOOKUP($C379,Code!$H:$Q,8,FALSE)))/2)-G379,0)</f>
        <v>0</v>
      </c>
      <c r="J379" s="55" t="str">
        <f>IFERROR(POWER((VLOOKUP(C379,Code!H:W,12,FALSE))/(VLOOKUP(C379,Code!H:W,15,FALSE)),1/(P379-1))-1,"")</f>
        <v/>
      </c>
      <c r="K379" s="55" t="str">
        <f>IFERROR(POWER((VLOOKUP(C379,Code!H:W,13,FALSE))/(VLOOKUP(C379,Code!H:W,16,FALSE)),1/(P379-1))-1,"")</f>
        <v/>
      </c>
      <c r="L379" s="75" t="str">
        <f>IFERROR(VLOOKUP(C379,Code!H:W,13,FALSE)*4/VLOOKUP(C379,Code!H:W,12,FALSE),"")</f>
        <v/>
      </c>
      <c r="M379" s="55" t="str">
        <f t="shared" si="49"/>
        <v/>
      </c>
      <c r="N379" s="55" t="str">
        <f t="shared" si="50"/>
        <v/>
      </c>
      <c r="O379" s="55" t="str">
        <f t="shared" si="51"/>
        <v/>
      </c>
      <c r="P379" s="196" t="str">
        <f>IFERROR(YEARFRAC(VLOOKUP(C379,Code!H:W,11,FALSE),VLOOKUP(C379,Code!H:W,14,FALSE),3),"")</f>
        <v/>
      </c>
      <c r="Q379" s="2"/>
      <c r="R379" s="85" t="str">
        <f t="shared" ca="1" si="52"/>
        <v/>
      </c>
      <c r="S379" s="86" t="str">
        <f>IFERROR(VLOOKUP($C379,Code!$H:$Q,5,FALSE),"")</f>
        <v/>
      </c>
      <c r="T379" s="88" t="str">
        <f t="shared" ca="1" si="53"/>
        <v/>
      </c>
      <c r="U379" s="89" t="str">
        <f t="shared" ca="1" si="54"/>
        <v/>
      </c>
      <c r="V379" s="90" t="str">
        <f>IFERROR(VLOOKUP($C379,Code!$H:$Q,6,FALSE),"")</f>
        <v/>
      </c>
      <c r="W379" s="91" t="str">
        <f t="shared" ca="1" si="55"/>
        <v/>
      </c>
      <c r="X379" s="12"/>
      <c r="Y379" s="12"/>
      <c r="Z379" s="12"/>
      <c r="AA379" s="12"/>
      <c r="AB379" s="12"/>
    </row>
    <row r="380" spans="1:28" s="10" customFormat="1" ht="15" hidden="1">
      <c r="A380" s="9"/>
      <c r="B380" s="137"/>
      <c r="C380" s="142"/>
      <c r="D380" s="82" t="str">
        <f>IFERROR(VLOOKUP($C380,Code!$H:$K,2,FALSE),"")</f>
        <v/>
      </c>
      <c r="E380" s="83" t="str">
        <f>IFERROR(VLOOKUP($C380,Code!$H:$K,3,FALSE),"")</f>
        <v/>
      </c>
      <c r="F380" s="84" t="str">
        <f>IFERROR(VLOOKUP($C380,Code!$H:$K,4,FALSE),"")</f>
        <v/>
      </c>
      <c r="G380" s="128">
        <f>_xlfn.IFNA(((VLOOKUP($C380,Code!$H:$Q,9,FALSE))+(VLOOKUP($C380,Code!$H:$Q,10,FALSE)))/2*0.5/(((VLOOKUP($C380,Code!$H:$Q,7,FALSE))+(VLOOKUP($C380,Code!$H:$Q,8,FALSE)))/2),0)</f>
        <v>0</v>
      </c>
      <c r="H380" s="87" t="str">
        <f t="shared" si="48"/>
        <v/>
      </c>
      <c r="I380" s="128">
        <f>_xlfn.IFNA((VLOOKUP($C380,Code!$H:$Q,5,FALSE))/(((VLOOKUP($C380,Code!$H:$Q,7,FALSE))+(VLOOKUP($C380,Code!$H:$Q,8,FALSE)))/2)-G380,0)</f>
        <v>0</v>
      </c>
      <c r="J380" s="55" t="str">
        <f>IFERROR(POWER((VLOOKUP(C380,Code!H:W,12,FALSE))/(VLOOKUP(C380,Code!H:W,15,FALSE)),1/(P380-1))-1,"")</f>
        <v/>
      </c>
      <c r="K380" s="55" t="str">
        <f>IFERROR(POWER((VLOOKUP(C380,Code!H:W,13,FALSE))/(VLOOKUP(C380,Code!H:W,16,FALSE)),1/(P380-1))-1,"")</f>
        <v/>
      </c>
      <c r="L380" s="75" t="str">
        <f>IFERROR(VLOOKUP(C380,Code!H:W,13,FALSE)*4/VLOOKUP(C380,Code!H:W,12,FALSE),"")</f>
        <v/>
      </c>
      <c r="M380" s="55" t="str">
        <f t="shared" si="49"/>
        <v/>
      </c>
      <c r="N380" s="55" t="str">
        <f t="shared" si="50"/>
        <v/>
      </c>
      <c r="O380" s="55" t="str">
        <f t="shared" si="51"/>
        <v/>
      </c>
      <c r="P380" s="196" t="str">
        <f>IFERROR(YEARFRAC(VLOOKUP(C380,Code!H:W,11,FALSE),VLOOKUP(C380,Code!H:W,14,FALSE),3),"")</f>
        <v/>
      </c>
      <c r="Q380" s="2"/>
      <c r="R380" s="85" t="str">
        <f t="shared" ca="1" si="52"/>
        <v/>
      </c>
      <c r="S380" s="86" t="str">
        <f>IFERROR(VLOOKUP($C380,Code!$H:$Q,5,FALSE),"")</f>
        <v/>
      </c>
      <c r="T380" s="88" t="str">
        <f t="shared" ca="1" si="53"/>
        <v/>
      </c>
      <c r="U380" s="89" t="str">
        <f t="shared" ca="1" si="54"/>
        <v/>
      </c>
      <c r="V380" s="90" t="str">
        <f>IFERROR(VLOOKUP($C380,Code!$H:$Q,6,FALSE),"")</f>
        <v/>
      </c>
      <c r="W380" s="91" t="str">
        <f t="shared" ca="1" si="55"/>
        <v/>
      </c>
      <c r="X380" s="12"/>
      <c r="Y380" s="12"/>
      <c r="Z380" s="12"/>
      <c r="AA380" s="12"/>
      <c r="AB380" s="12"/>
    </row>
    <row r="381" spans="1:28" s="10" customFormat="1" ht="15" hidden="1">
      <c r="A381" s="9"/>
      <c r="B381" s="137"/>
      <c r="C381" s="142"/>
      <c r="D381" s="82" t="str">
        <f>IFERROR(VLOOKUP($C381,Code!$H:$K,2,FALSE),"")</f>
        <v/>
      </c>
      <c r="E381" s="83" t="str">
        <f>IFERROR(VLOOKUP($C381,Code!$H:$K,3,FALSE),"")</f>
        <v/>
      </c>
      <c r="F381" s="84" t="str">
        <f>IFERROR(VLOOKUP($C381,Code!$H:$K,4,FALSE),"")</f>
        <v/>
      </c>
      <c r="G381" s="128">
        <f>_xlfn.IFNA(((VLOOKUP($C381,Code!$H:$Q,9,FALSE))+(VLOOKUP($C381,Code!$H:$Q,10,FALSE)))/2*0.5/(((VLOOKUP($C381,Code!$H:$Q,7,FALSE))+(VLOOKUP($C381,Code!$H:$Q,8,FALSE)))/2),0)</f>
        <v>0</v>
      </c>
      <c r="H381" s="87" t="str">
        <f t="shared" si="48"/>
        <v/>
      </c>
      <c r="I381" s="128">
        <f>_xlfn.IFNA((VLOOKUP($C381,Code!$H:$Q,5,FALSE))/(((VLOOKUP($C381,Code!$H:$Q,7,FALSE))+(VLOOKUP($C381,Code!$H:$Q,8,FALSE)))/2)-G381,0)</f>
        <v>0</v>
      </c>
      <c r="J381" s="55" t="str">
        <f>IFERROR(POWER((VLOOKUP(C381,Code!H:W,12,FALSE))/(VLOOKUP(C381,Code!H:W,15,FALSE)),1/(P381-1))-1,"")</f>
        <v/>
      </c>
      <c r="K381" s="55" t="str">
        <f>IFERROR(POWER((VLOOKUP(C381,Code!H:W,13,FALSE))/(VLOOKUP(C381,Code!H:W,16,FALSE)),1/(P381-1))-1,"")</f>
        <v/>
      </c>
      <c r="L381" s="75" t="str">
        <f>IFERROR(VLOOKUP(C381,Code!H:W,13,FALSE)*4/VLOOKUP(C381,Code!H:W,12,FALSE),"")</f>
        <v/>
      </c>
      <c r="M381" s="55" t="str">
        <f t="shared" si="49"/>
        <v/>
      </c>
      <c r="N381" s="55" t="str">
        <f t="shared" si="50"/>
        <v/>
      </c>
      <c r="O381" s="55" t="str">
        <f t="shared" si="51"/>
        <v/>
      </c>
      <c r="P381" s="196" t="str">
        <f>IFERROR(YEARFRAC(VLOOKUP(C381,Code!H:W,11,FALSE),VLOOKUP(C381,Code!H:W,14,FALSE),3),"")</f>
        <v/>
      </c>
      <c r="Q381" s="2"/>
      <c r="R381" s="85" t="str">
        <f t="shared" ca="1" si="52"/>
        <v/>
      </c>
      <c r="S381" s="86" t="str">
        <f>IFERROR(VLOOKUP($C381,Code!$H:$Q,5,FALSE),"")</f>
        <v/>
      </c>
      <c r="T381" s="88" t="str">
        <f t="shared" ca="1" si="53"/>
        <v/>
      </c>
      <c r="U381" s="89" t="str">
        <f t="shared" ca="1" si="54"/>
        <v/>
      </c>
      <c r="V381" s="90" t="str">
        <f>IFERROR(VLOOKUP($C381,Code!$H:$Q,6,FALSE),"")</f>
        <v/>
      </c>
      <c r="W381" s="91" t="str">
        <f t="shared" ca="1" si="55"/>
        <v/>
      </c>
      <c r="X381" s="12"/>
      <c r="Y381" s="12"/>
      <c r="Z381" s="12"/>
      <c r="AA381" s="12"/>
      <c r="AB381" s="12"/>
    </row>
    <row r="382" spans="1:28" s="10" customFormat="1" ht="15" hidden="1">
      <c r="A382" s="9"/>
      <c r="B382" s="137"/>
      <c r="C382" s="142"/>
      <c r="D382" s="82" t="str">
        <f>IFERROR(VLOOKUP($C382,Code!$H:$K,2,FALSE),"")</f>
        <v/>
      </c>
      <c r="E382" s="83" t="str">
        <f>IFERROR(VLOOKUP($C382,Code!$H:$K,3,FALSE),"")</f>
        <v/>
      </c>
      <c r="F382" s="84" t="str">
        <f>IFERROR(VLOOKUP($C382,Code!$H:$K,4,FALSE),"")</f>
        <v/>
      </c>
      <c r="G382" s="128">
        <f>_xlfn.IFNA(((VLOOKUP($C382,Code!$H:$Q,9,FALSE))+(VLOOKUP($C382,Code!$H:$Q,10,FALSE)))/2*0.5/(((VLOOKUP($C382,Code!$H:$Q,7,FALSE))+(VLOOKUP($C382,Code!$H:$Q,8,FALSE)))/2),0)</f>
        <v>0</v>
      </c>
      <c r="H382" s="87" t="str">
        <f t="shared" si="48"/>
        <v/>
      </c>
      <c r="I382" s="128">
        <f>_xlfn.IFNA((VLOOKUP($C382,Code!$H:$Q,5,FALSE))/(((VLOOKUP($C382,Code!$H:$Q,7,FALSE))+(VLOOKUP($C382,Code!$H:$Q,8,FALSE)))/2)-G382,0)</f>
        <v>0</v>
      </c>
      <c r="J382" s="55" t="str">
        <f>IFERROR(POWER((VLOOKUP(C382,Code!H:W,12,FALSE))/(VLOOKUP(C382,Code!H:W,15,FALSE)),1/(P382-1))-1,"")</f>
        <v/>
      </c>
      <c r="K382" s="55" t="str">
        <f>IFERROR(POWER((VLOOKUP(C382,Code!H:W,13,FALSE))/(VLOOKUP(C382,Code!H:W,16,FALSE)),1/(P382-1))-1,"")</f>
        <v/>
      </c>
      <c r="L382" s="75" t="str">
        <f>IFERROR(VLOOKUP(C382,Code!H:W,13,FALSE)*4/VLOOKUP(C382,Code!H:W,12,FALSE),"")</f>
        <v/>
      </c>
      <c r="M382" s="55" t="str">
        <f t="shared" si="49"/>
        <v/>
      </c>
      <c r="N382" s="55" t="str">
        <f t="shared" si="50"/>
        <v/>
      </c>
      <c r="O382" s="55" t="str">
        <f t="shared" si="51"/>
        <v/>
      </c>
      <c r="P382" s="196" t="str">
        <f>IFERROR(YEARFRAC(VLOOKUP(C382,Code!H:W,11,FALSE),VLOOKUP(C382,Code!H:W,14,FALSE),3),"")</f>
        <v/>
      </c>
      <c r="Q382" s="2"/>
      <c r="R382" s="85" t="str">
        <f t="shared" ca="1" si="52"/>
        <v/>
      </c>
      <c r="S382" s="86" t="str">
        <f>IFERROR(VLOOKUP($C382,Code!$H:$Q,5,FALSE),"")</f>
        <v/>
      </c>
      <c r="T382" s="88" t="str">
        <f t="shared" ca="1" si="53"/>
        <v/>
      </c>
      <c r="U382" s="89" t="str">
        <f t="shared" ca="1" si="54"/>
        <v/>
      </c>
      <c r="V382" s="90" t="str">
        <f>IFERROR(VLOOKUP($C382,Code!$H:$Q,6,FALSE),"")</f>
        <v/>
      </c>
      <c r="W382" s="91" t="str">
        <f t="shared" ca="1" si="55"/>
        <v/>
      </c>
      <c r="X382" s="12"/>
      <c r="Y382" s="12"/>
      <c r="Z382" s="12"/>
      <c r="AA382" s="12"/>
      <c r="AB382" s="12"/>
    </row>
    <row r="383" spans="1:28" s="10" customFormat="1" ht="15" hidden="1">
      <c r="A383" s="9"/>
      <c r="B383" s="137"/>
      <c r="C383" s="142"/>
      <c r="D383" s="82" t="str">
        <f>IFERROR(VLOOKUP($C383,Code!$H:$K,2,FALSE),"")</f>
        <v/>
      </c>
      <c r="E383" s="83" t="str">
        <f>IFERROR(VLOOKUP($C383,Code!$H:$K,3,FALSE),"")</f>
        <v/>
      </c>
      <c r="F383" s="84" t="str">
        <f>IFERROR(VLOOKUP($C383,Code!$H:$K,4,FALSE),"")</f>
        <v/>
      </c>
      <c r="G383" s="128">
        <f>_xlfn.IFNA(((VLOOKUP($C383,Code!$H:$Q,9,FALSE))+(VLOOKUP($C383,Code!$H:$Q,10,FALSE)))/2*0.5/(((VLOOKUP($C383,Code!$H:$Q,7,FALSE))+(VLOOKUP($C383,Code!$H:$Q,8,FALSE)))/2),0)</f>
        <v>0</v>
      </c>
      <c r="H383" s="87" t="str">
        <f t="shared" si="48"/>
        <v/>
      </c>
      <c r="I383" s="128">
        <f>_xlfn.IFNA((VLOOKUP($C383,Code!$H:$Q,5,FALSE))/(((VLOOKUP($C383,Code!$H:$Q,7,FALSE))+(VLOOKUP($C383,Code!$H:$Q,8,FALSE)))/2)-G383,0)</f>
        <v>0</v>
      </c>
      <c r="J383" s="55" t="str">
        <f>IFERROR(POWER((VLOOKUP(C383,Code!H:W,12,FALSE))/(VLOOKUP(C383,Code!H:W,15,FALSE)),1/(P383-1))-1,"")</f>
        <v/>
      </c>
      <c r="K383" s="55" t="str">
        <f>IFERROR(POWER((VLOOKUP(C383,Code!H:W,13,FALSE))/(VLOOKUP(C383,Code!H:W,16,FALSE)),1/(P383-1))-1,"")</f>
        <v/>
      </c>
      <c r="L383" s="75" t="str">
        <f>IFERROR(VLOOKUP(C383,Code!H:W,13,FALSE)*4/VLOOKUP(C383,Code!H:W,12,FALSE),"")</f>
        <v/>
      </c>
      <c r="M383" s="55" t="str">
        <f t="shared" si="49"/>
        <v/>
      </c>
      <c r="N383" s="55" t="str">
        <f t="shared" si="50"/>
        <v/>
      </c>
      <c r="O383" s="55" t="str">
        <f t="shared" si="51"/>
        <v/>
      </c>
      <c r="P383" s="196" t="str">
        <f>IFERROR(YEARFRAC(VLOOKUP(C383,Code!H:W,11,FALSE),VLOOKUP(C383,Code!H:W,14,FALSE),3),"")</f>
        <v/>
      </c>
      <c r="Q383" s="2"/>
      <c r="R383" s="85" t="str">
        <f t="shared" ca="1" si="52"/>
        <v/>
      </c>
      <c r="S383" s="86" t="str">
        <f>IFERROR(VLOOKUP($C383,Code!$H:$Q,5,FALSE),"")</f>
        <v/>
      </c>
      <c r="T383" s="88" t="str">
        <f t="shared" ca="1" si="53"/>
        <v/>
      </c>
      <c r="U383" s="89" t="str">
        <f t="shared" ca="1" si="54"/>
        <v/>
      </c>
      <c r="V383" s="90" t="str">
        <f>IFERROR(VLOOKUP($C383,Code!$H:$Q,6,FALSE),"")</f>
        <v/>
      </c>
      <c r="W383" s="91" t="str">
        <f t="shared" ca="1" si="55"/>
        <v/>
      </c>
      <c r="X383" s="12"/>
      <c r="Y383" s="12"/>
      <c r="Z383" s="12"/>
      <c r="AA383" s="12"/>
      <c r="AB383" s="12"/>
    </row>
    <row r="384" spans="1:28" s="10" customFormat="1" ht="15" hidden="1">
      <c r="A384" s="9"/>
      <c r="B384" s="137"/>
      <c r="C384" s="142"/>
      <c r="D384" s="82" t="str">
        <f>IFERROR(VLOOKUP($C384,Code!$H:$K,2,FALSE),"")</f>
        <v/>
      </c>
      <c r="E384" s="83" t="str">
        <f>IFERROR(VLOOKUP($C384,Code!$H:$K,3,FALSE),"")</f>
        <v/>
      </c>
      <c r="F384" s="84" t="str">
        <f>IFERROR(VLOOKUP($C384,Code!$H:$K,4,FALSE),"")</f>
        <v/>
      </c>
      <c r="G384" s="128">
        <f>_xlfn.IFNA(((VLOOKUP($C384,Code!$H:$Q,9,FALSE))+(VLOOKUP($C384,Code!$H:$Q,10,FALSE)))/2*0.5/(((VLOOKUP($C384,Code!$H:$Q,7,FALSE))+(VLOOKUP($C384,Code!$H:$Q,8,FALSE)))/2),0)</f>
        <v>0</v>
      </c>
      <c r="H384" s="87" t="str">
        <f t="shared" si="48"/>
        <v/>
      </c>
      <c r="I384" s="128">
        <f>_xlfn.IFNA((VLOOKUP($C384,Code!$H:$Q,5,FALSE))/(((VLOOKUP($C384,Code!$H:$Q,7,FALSE))+(VLOOKUP($C384,Code!$H:$Q,8,FALSE)))/2)-G384,0)</f>
        <v>0</v>
      </c>
      <c r="J384" s="55" t="str">
        <f>IFERROR(POWER((VLOOKUP(C384,Code!H:W,12,FALSE))/(VLOOKUP(C384,Code!H:W,15,FALSE)),1/(P384-1))-1,"")</f>
        <v/>
      </c>
      <c r="K384" s="55" t="str">
        <f>IFERROR(POWER((VLOOKUP(C384,Code!H:W,13,FALSE))/(VLOOKUP(C384,Code!H:W,16,FALSE)),1/(P384-1))-1,"")</f>
        <v/>
      </c>
      <c r="L384" s="75" t="str">
        <f>IFERROR(VLOOKUP(C384,Code!H:W,13,FALSE)*4/VLOOKUP(C384,Code!H:W,12,FALSE),"")</f>
        <v/>
      </c>
      <c r="M384" s="55" t="str">
        <f t="shared" si="49"/>
        <v/>
      </c>
      <c r="N384" s="55" t="str">
        <f t="shared" si="50"/>
        <v/>
      </c>
      <c r="O384" s="55" t="str">
        <f t="shared" si="51"/>
        <v/>
      </c>
      <c r="P384" s="196" t="str">
        <f>IFERROR(YEARFRAC(VLOOKUP(C384,Code!H:W,11,FALSE),VLOOKUP(C384,Code!H:W,14,FALSE),3),"")</f>
        <v/>
      </c>
      <c r="Q384" s="2"/>
      <c r="R384" s="85" t="str">
        <f t="shared" ca="1" si="52"/>
        <v/>
      </c>
      <c r="S384" s="86" t="str">
        <f>IFERROR(VLOOKUP($C384,Code!$H:$Q,5,FALSE),"")</f>
        <v/>
      </c>
      <c r="T384" s="88" t="str">
        <f t="shared" ca="1" si="53"/>
        <v/>
      </c>
      <c r="U384" s="89" t="str">
        <f t="shared" ca="1" si="54"/>
        <v/>
      </c>
      <c r="V384" s="90" t="str">
        <f>IFERROR(VLOOKUP($C384,Code!$H:$Q,6,FALSE),"")</f>
        <v/>
      </c>
      <c r="W384" s="91" t="str">
        <f t="shared" ca="1" si="55"/>
        <v/>
      </c>
      <c r="X384" s="12"/>
      <c r="Y384" s="12"/>
      <c r="Z384" s="12"/>
      <c r="AA384" s="12"/>
      <c r="AB384" s="12"/>
    </row>
    <row r="385" spans="1:28" s="10" customFormat="1" ht="15" hidden="1">
      <c r="A385" s="9"/>
      <c r="B385" s="137"/>
      <c r="C385" s="142"/>
      <c r="D385" s="82" t="str">
        <f>IFERROR(VLOOKUP($C385,Code!$H:$K,2,FALSE),"")</f>
        <v/>
      </c>
      <c r="E385" s="83" t="str">
        <f>IFERROR(VLOOKUP($C385,Code!$H:$K,3,FALSE),"")</f>
        <v/>
      </c>
      <c r="F385" s="84" t="str">
        <f>IFERROR(VLOOKUP($C385,Code!$H:$K,4,FALSE),"")</f>
        <v/>
      </c>
      <c r="G385" s="128">
        <f>_xlfn.IFNA(((VLOOKUP($C385,Code!$H:$Q,9,FALSE))+(VLOOKUP($C385,Code!$H:$Q,10,FALSE)))/2*0.5/(((VLOOKUP($C385,Code!$H:$Q,7,FALSE))+(VLOOKUP($C385,Code!$H:$Q,8,FALSE)))/2),0)</f>
        <v>0</v>
      </c>
      <c r="H385" s="87" t="str">
        <f t="shared" si="48"/>
        <v/>
      </c>
      <c r="I385" s="128">
        <f>_xlfn.IFNA((VLOOKUP($C385,Code!$H:$Q,5,FALSE))/(((VLOOKUP($C385,Code!$H:$Q,7,FALSE))+(VLOOKUP($C385,Code!$H:$Q,8,FALSE)))/2)-G385,0)</f>
        <v>0</v>
      </c>
      <c r="J385" s="55" t="str">
        <f>IFERROR(POWER((VLOOKUP(C385,Code!H:W,12,FALSE))/(VLOOKUP(C385,Code!H:W,15,FALSE)),1/(P385-1))-1,"")</f>
        <v/>
      </c>
      <c r="K385" s="55" t="str">
        <f>IFERROR(POWER((VLOOKUP(C385,Code!H:W,13,FALSE))/(VLOOKUP(C385,Code!H:W,16,FALSE)),1/(P385-1))-1,"")</f>
        <v/>
      </c>
      <c r="L385" s="75" t="str">
        <f>IFERROR(VLOOKUP(C385,Code!H:W,13,FALSE)*4/VLOOKUP(C385,Code!H:W,12,FALSE),"")</f>
        <v/>
      </c>
      <c r="M385" s="55" t="str">
        <f t="shared" si="49"/>
        <v/>
      </c>
      <c r="N385" s="55" t="str">
        <f t="shared" si="50"/>
        <v/>
      </c>
      <c r="O385" s="55" t="str">
        <f t="shared" si="51"/>
        <v/>
      </c>
      <c r="P385" s="196" t="str">
        <f>IFERROR(YEARFRAC(VLOOKUP(C385,Code!H:W,11,FALSE),VLOOKUP(C385,Code!H:W,14,FALSE),3),"")</f>
        <v/>
      </c>
      <c r="Q385" s="2"/>
      <c r="R385" s="85" t="str">
        <f t="shared" ca="1" si="52"/>
        <v/>
      </c>
      <c r="S385" s="86" t="str">
        <f>IFERROR(VLOOKUP($C385,Code!$H:$Q,5,FALSE),"")</f>
        <v/>
      </c>
      <c r="T385" s="88" t="str">
        <f t="shared" ca="1" si="53"/>
        <v/>
      </c>
      <c r="U385" s="89" t="str">
        <f t="shared" ca="1" si="54"/>
        <v/>
      </c>
      <c r="V385" s="90" t="str">
        <f>IFERROR(VLOOKUP($C385,Code!$H:$Q,6,FALSE),"")</f>
        <v/>
      </c>
      <c r="W385" s="91" t="str">
        <f t="shared" ca="1" si="55"/>
        <v/>
      </c>
      <c r="X385" s="12"/>
      <c r="Y385" s="12"/>
      <c r="Z385" s="12"/>
      <c r="AA385" s="12"/>
      <c r="AB385" s="12"/>
    </row>
    <row r="386" spans="1:28" s="10" customFormat="1" ht="15" hidden="1">
      <c r="A386" s="9"/>
      <c r="B386" s="137"/>
      <c r="C386" s="142"/>
      <c r="D386" s="82" t="str">
        <f>IFERROR(VLOOKUP($C386,Code!$H:$K,2,FALSE),"")</f>
        <v/>
      </c>
      <c r="E386" s="83" t="str">
        <f>IFERROR(VLOOKUP($C386,Code!$H:$K,3,FALSE),"")</f>
        <v/>
      </c>
      <c r="F386" s="84" t="str">
        <f>IFERROR(VLOOKUP($C386,Code!$H:$K,4,FALSE),"")</f>
        <v/>
      </c>
      <c r="G386" s="128">
        <f>_xlfn.IFNA(((VLOOKUP($C386,Code!$H:$Q,9,FALSE))+(VLOOKUP($C386,Code!$H:$Q,10,FALSE)))/2*0.5/(((VLOOKUP($C386,Code!$H:$Q,7,FALSE))+(VLOOKUP($C386,Code!$H:$Q,8,FALSE)))/2),0)</f>
        <v>0</v>
      </c>
      <c r="H386" s="87" t="str">
        <f t="shared" si="48"/>
        <v/>
      </c>
      <c r="I386" s="128">
        <f>_xlfn.IFNA((VLOOKUP($C386,Code!$H:$Q,5,FALSE))/(((VLOOKUP($C386,Code!$H:$Q,7,FALSE))+(VLOOKUP($C386,Code!$H:$Q,8,FALSE)))/2)-G386,0)</f>
        <v>0</v>
      </c>
      <c r="J386" s="55" t="str">
        <f>IFERROR(POWER((VLOOKUP(C386,Code!H:W,12,FALSE))/(VLOOKUP(C386,Code!H:W,15,FALSE)),1/(P386-1))-1,"")</f>
        <v/>
      </c>
      <c r="K386" s="55" t="str">
        <f>IFERROR(POWER((VLOOKUP(C386,Code!H:W,13,FALSE))/(VLOOKUP(C386,Code!H:W,16,FALSE)),1/(P386-1))-1,"")</f>
        <v/>
      </c>
      <c r="L386" s="75" t="str">
        <f>IFERROR(VLOOKUP(C386,Code!H:W,13,FALSE)*4/VLOOKUP(C386,Code!H:W,12,FALSE),"")</f>
        <v/>
      </c>
      <c r="M386" s="55" t="str">
        <f t="shared" si="49"/>
        <v/>
      </c>
      <c r="N386" s="55" t="str">
        <f t="shared" si="50"/>
        <v/>
      </c>
      <c r="O386" s="55" t="str">
        <f t="shared" si="51"/>
        <v/>
      </c>
      <c r="P386" s="196" t="str">
        <f>IFERROR(YEARFRAC(VLOOKUP(C386,Code!H:W,11,FALSE),VLOOKUP(C386,Code!H:W,14,FALSE),3),"")</f>
        <v/>
      </c>
      <c r="Q386" s="2"/>
      <c r="R386" s="85" t="str">
        <f t="shared" ca="1" si="52"/>
        <v/>
      </c>
      <c r="S386" s="86" t="str">
        <f>IFERROR(VLOOKUP($C386,Code!$H:$Q,5,FALSE),"")</f>
        <v/>
      </c>
      <c r="T386" s="88" t="str">
        <f t="shared" ca="1" si="53"/>
        <v/>
      </c>
      <c r="U386" s="89" t="str">
        <f t="shared" ca="1" si="54"/>
        <v/>
      </c>
      <c r="V386" s="90" t="str">
        <f>IFERROR(VLOOKUP($C386,Code!$H:$Q,6,FALSE),"")</f>
        <v/>
      </c>
      <c r="W386" s="91" t="str">
        <f t="shared" ca="1" si="55"/>
        <v/>
      </c>
      <c r="X386" s="12"/>
      <c r="Y386" s="12"/>
      <c r="Z386" s="12"/>
      <c r="AA386" s="12"/>
      <c r="AB386" s="12"/>
    </row>
    <row r="387" spans="1:28" s="10" customFormat="1" ht="15" hidden="1">
      <c r="A387" s="9"/>
      <c r="B387" s="137"/>
      <c r="C387" s="142"/>
      <c r="D387" s="82" t="str">
        <f>IFERROR(VLOOKUP($C387,Code!$H:$K,2,FALSE),"")</f>
        <v/>
      </c>
      <c r="E387" s="83" t="str">
        <f>IFERROR(VLOOKUP($C387,Code!$H:$K,3,FALSE),"")</f>
        <v/>
      </c>
      <c r="F387" s="84" t="str">
        <f>IFERROR(VLOOKUP($C387,Code!$H:$K,4,FALSE),"")</f>
        <v/>
      </c>
      <c r="G387" s="128">
        <f>_xlfn.IFNA(((VLOOKUP($C387,Code!$H:$Q,9,FALSE))+(VLOOKUP($C387,Code!$H:$Q,10,FALSE)))/2*0.5/(((VLOOKUP($C387,Code!$H:$Q,7,FALSE))+(VLOOKUP($C387,Code!$H:$Q,8,FALSE)))/2),0)</f>
        <v>0</v>
      </c>
      <c r="H387" s="87" t="str">
        <f t="shared" si="48"/>
        <v/>
      </c>
      <c r="I387" s="128">
        <f>_xlfn.IFNA((VLOOKUP($C387,Code!$H:$Q,5,FALSE))/(((VLOOKUP($C387,Code!$H:$Q,7,FALSE))+(VLOOKUP($C387,Code!$H:$Q,8,FALSE)))/2)-G387,0)</f>
        <v>0</v>
      </c>
      <c r="J387" s="55" t="str">
        <f>IFERROR(POWER((VLOOKUP(C387,Code!H:W,12,FALSE))/(VLOOKUP(C387,Code!H:W,15,FALSE)),1/(P387-1))-1,"")</f>
        <v/>
      </c>
      <c r="K387" s="55" t="str">
        <f>IFERROR(POWER((VLOOKUP(C387,Code!H:W,13,FALSE))/(VLOOKUP(C387,Code!H:W,16,FALSE)),1/(P387-1))-1,"")</f>
        <v/>
      </c>
      <c r="L387" s="75" t="str">
        <f>IFERROR(VLOOKUP(C387,Code!H:W,13,FALSE)*4/VLOOKUP(C387,Code!H:W,12,FALSE),"")</f>
        <v/>
      </c>
      <c r="M387" s="55" t="str">
        <f t="shared" si="49"/>
        <v/>
      </c>
      <c r="N387" s="55" t="str">
        <f t="shared" si="50"/>
        <v/>
      </c>
      <c r="O387" s="55" t="str">
        <f t="shared" si="51"/>
        <v/>
      </c>
      <c r="P387" s="196" t="str">
        <f>IFERROR(YEARFRAC(VLOOKUP(C387,Code!H:W,11,FALSE),VLOOKUP(C387,Code!H:W,14,FALSE),3),"")</f>
        <v/>
      </c>
      <c r="Q387" s="2"/>
      <c r="R387" s="85" t="str">
        <f t="shared" ca="1" si="52"/>
        <v/>
      </c>
      <c r="S387" s="86" t="str">
        <f>IFERROR(VLOOKUP($C387,Code!$H:$Q,5,FALSE),"")</f>
        <v/>
      </c>
      <c r="T387" s="88" t="str">
        <f t="shared" ca="1" si="53"/>
        <v/>
      </c>
      <c r="U387" s="89" t="str">
        <f t="shared" ca="1" si="54"/>
        <v/>
      </c>
      <c r="V387" s="90" t="str">
        <f>IFERROR(VLOOKUP($C387,Code!$H:$Q,6,FALSE),"")</f>
        <v/>
      </c>
      <c r="W387" s="91" t="str">
        <f t="shared" ca="1" si="55"/>
        <v/>
      </c>
      <c r="X387" s="12"/>
      <c r="Y387" s="12"/>
      <c r="Z387" s="12"/>
      <c r="AA387" s="12"/>
      <c r="AB387" s="12"/>
    </row>
    <row r="388" spans="1:28" s="10" customFormat="1" ht="15" hidden="1">
      <c r="A388" s="9"/>
      <c r="B388" s="137"/>
      <c r="C388" s="142"/>
      <c r="D388" s="82" t="str">
        <f>IFERROR(VLOOKUP($C388,Code!$H:$K,2,FALSE),"")</f>
        <v/>
      </c>
      <c r="E388" s="83" t="str">
        <f>IFERROR(VLOOKUP($C388,Code!$H:$K,3,FALSE),"")</f>
        <v/>
      </c>
      <c r="F388" s="84" t="str">
        <f>IFERROR(VLOOKUP($C388,Code!$H:$K,4,FALSE),"")</f>
        <v/>
      </c>
      <c r="G388" s="128">
        <f>_xlfn.IFNA(((VLOOKUP($C388,Code!$H:$Q,9,FALSE))+(VLOOKUP($C388,Code!$H:$Q,10,FALSE)))/2*0.5/(((VLOOKUP($C388,Code!$H:$Q,7,FALSE))+(VLOOKUP($C388,Code!$H:$Q,8,FALSE)))/2),0)</f>
        <v>0</v>
      </c>
      <c r="H388" s="87" t="str">
        <f t="shared" ref="H388:H451" si="56">IFERROR(IF(G388&gt;9E+306,"",IF(G388&gt;70%,"XL",IF(G388&gt;60%,"L",IF(G388&gt;50%,"M",IF(G388&gt;0%,"S",""))))),"")</f>
        <v/>
      </c>
      <c r="I388" s="128">
        <f>_xlfn.IFNA((VLOOKUP($C388,Code!$H:$Q,5,FALSE))/(((VLOOKUP($C388,Code!$H:$Q,7,FALSE))+(VLOOKUP($C388,Code!$H:$Q,8,FALSE)))/2)-G388,0)</f>
        <v>0</v>
      </c>
      <c r="J388" s="55" t="str">
        <f>IFERROR(POWER((VLOOKUP(C388,Code!H:W,12,FALSE))/(VLOOKUP(C388,Code!H:W,15,FALSE)),1/(P388-1))-1,"")</f>
        <v/>
      </c>
      <c r="K388" s="55" t="str">
        <f>IFERROR(POWER((VLOOKUP(C388,Code!H:W,13,FALSE))/(VLOOKUP(C388,Code!H:W,16,FALSE)),1/(P388-1))-1,"")</f>
        <v/>
      </c>
      <c r="L388" s="75" t="str">
        <f>IFERROR(VLOOKUP(C388,Code!H:W,13,FALSE)*4/VLOOKUP(C388,Code!H:W,12,FALSE),"")</f>
        <v/>
      </c>
      <c r="M388" s="55" t="str">
        <f t="shared" ref="M388:M451" si="57">IF(SUM(J388:K388)=0,"",SUM(J388:K388))</f>
        <v/>
      </c>
      <c r="N388" s="55" t="str">
        <f t="shared" ref="N388:N451" si="58">IFERROR(IF(L388&gt;3%,IF((K388+L388)&gt;12%,"Venture","-"),"-"),"")</f>
        <v/>
      </c>
      <c r="O388" s="55" t="str">
        <f t="shared" ref="O388:O451" si="59">IFERROR(IF(OR(L388&lt;3%,L388=""),IF((K388+L388)&gt;15%,"Value","-"),"-"),"")</f>
        <v/>
      </c>
      <c r="P388" s="196" t="str">
        <f>IFERROR(YEARFRAC(VLOOKUP(C388,Code!H:W,11,FALSE),VLOOKUP(C388,Code!H:W,14,FALSE),3),"")</f>
        <v/>
      </c>
      <c r="Q388" s="2"/>
      <c r="R388" s="85" t="str">
        <f t="shared" ref="R388:R451" ca="1" si="60">IFERROR(IF(OR(_xlfn.DAYS(Q388,TODAY())+1&lt;0,C388=0),"",_xlfn.DAYS(Q388,TODAY())+1),"")</f>
        <v/>
      </c>
      <c r="S388" s="86" t="str">
        <f>IFERROR(VLOOKUP($C388,Code!$H:$Q,5,FALSE),"")</f>
        <v/>
      </c>
      <c r="T388" s="88" t="str">
        <f t="shared" ref="T388:T451" ca="1" si="61">IFERROR(IF(V388*S388*SQRT(R388/365)=0,"",V388*S388*SQRT(R388/365)),"")</f>
        <v/>
      </c>
      <c r="U388" s="89" t="str">
        <f t="shared" ref="U388:U451" ca="1" si="62">IFERROR(V388-T388,"")</f>
        <v/>
      </c>
      <c r="V388" s="90" t="str">
        <f>IFERROR(VLOOKUP($C388,Code!$H:$Q,6,FALSE),"")</f>
        <v/>
      </c>
      <c r="W388" s="91" t="str">
        <f t="shared" ref="W388:W451" ca="1" si="63">IFERROR(V388+T388,"")</f>
        <v/>
      </c>
      <c r="X388" s="12"/>
      <c r="Y388" s="12"/>
      <c r="Z388" s="12"/>
      <c r="AA388" s="12"/>
      <c r="AB388" s="12"/>
    </row>
    <row r="389" spans="1:28" s="10" customFormat="1" ht="15" hidden="1">
      <c r="A389" s="9"/>
      <c r="B389" s="137"/>
      <c r="C389" s="142"/>
      <c r="D389" s="82" t="str">
        <f>IFERROR(VLOOKUP($C389,Code!$H:$K,2,FALSE),"")</f>
        <v/>
      </c>
      <c r="E389" s="83" t="str">
        <f>IFERROR(VLOOKUP($C389,Code!$H:$K,3,FALSE),"")</f>
        <v/>
      </c>
      <c r="F389" s="84" t="str">
        <f>IFERROR(VLOOKUP($C389,Code!$H:$K,4,FALSE),"")</f>
        <v/>
      </c>
      <c r="G389" s="128">
        <f>_xlfn.IFNA(((VLOOKUP($C389,Code!$H:$Q,9,FALSE))+(VLOOKUP($C389,Code!$H:$Q,10,FALSE)))/2*0.5/(((VLOOKUP($C389,Code!$H:$Q,7,FALSE))+(VLOOKUP($C389,Code!$H:$Q,8,FALSE)))/2),0)</f>
        <v>0</v>
      </c>
      <c r="H389" s="87" t="str">
        <f t="shared" si="56"/>
        <v/>
      </c>
      <c r="I389" s="128">
        <f>_xlfn.IFNA((VLOOKUP($C389,Code!$H:$Q,5,FALSE))/(((VLOOKUP($C389,Code!$H:$Q,7,FALSE))+(VLOOKUP($C389,Code!$H:$Q,8,FALSE)))/2)-G389,0)</f>
        <v>0</v>
      </c>
      <c r="J389" s="55" t="str">
        <f>IFERROR(POWER((VLOOKUP(C389,Code!H:W,12,FALSE))/(VLOOKUP(C389,Code!H:W,15,FALSE)),1/(P389-1))-1,"")</f>
        <v/>
      </c>
      <c r="K389" s="55" t="str">
        <f>IFERROR(POWER((VLOOKUP(C389,Code!H:W,13,FALSE))/(VLOOKUP(C389,Code!H:W,16,FALSE)),1/(P389-1))-1,"")</f>
        <v/>
      </c>
      <c r="L389" s="75" t="str">
        <f>IFERROR(VLOOKUP(C389,Code!H:W,13,FALSE)*4/VLOOKUP(C389,Code!H:W,12,FALSE),"")</f>
        <v/>
      </c>
      <c r="M389" s="55" t="str">
        <f t="shared" si="57"/>
        <v/>
      </c>
      <c r="N389" s="55" t="str">
        <f t="shared" si="58"/>
        <v/>
      </c>
      <c r="O389" s="55" t="str">
        <f t="shared" si="59"/>
        <v/>
      </c>
      <c r="P389" s="196" t="str">
        <f>IFERROR(YEARFRAC(VLOOKUP(C389,Code!H:W,11,FALSE),VLOOKUP(C389,Code!H:W,14,FALSE),3),"")</f>
        <v/>
      </c>
      <c r="Q389" s="2"/>
      <c r="R389" s="85" t="str">
        <f t="shared" ca="1" si="60"/>
        <v/>
      </c>
      <c r="S389" s="86" t="str">
        <f>IFERROR(VLOOKUP($C389,Code!$H:$Q,5,FALSE),"")</f>
        <v/>
      </c>
      <c r="T389" s="88" t="str">
        <f t="shared" ca="1" si="61"/>
        <v/>
      </c>
      <c r="U389" s="89" t="str">
        <f t="shared" ca="1" si="62"/>
        <v/>
      </c>
      <c r="V389" s="90" t="str">
        <f>IFERROR(VLOOKUP($C389,Code!$H:$Q,6,FALSE),"")</f>
        <v/>
      </c>
      <c r="W389" s="91" t="str">
        <f t="shared" ca="1" si="63"/>
        <v/>
      </c>
      <c r="X389" s="12"/>
      <c r="Y389" s="12"/>
      <c r="Z389" s="12"/>
      <c r="AA389" s="12"/>
      <c r="AB389" s="12"/>
    </row>
    <row r="390" spans="1:28" s="10" customFormat="1" ht="15" hidden="1">
      <c r="A390" s="9"/>
      <c r="B390" s="137"/>
      <c r="C390" s="142"/>
      <c r="D390" s="82" t="str">
        <f>IFERROR(VLOOKUP($C390,Code!$H:$K,2,FALSE),"")</f>
        <v/>
      </c>
      <c r="E390" s="83" t="str">
        <f>IFERROR(VLOOKUP($C390,Code!$H:$K,3,FALSE),"")</f>
        <v/>
      </c>
      <c r="F390" s="84" t="str">
        <f>IFERROR(VLOOKUP($C390,Code!$H:$K,4,FALSE),"")</f>
        <v/>
      </c>
      <c r="G390" s="128">
        <f>_xlfn.IFNA(((VLOOKUP($C390,Code!$H:$Q,9,FALSE))+(VLOOKUP($C390,Code!$H:$Q,10,FALSE)))/2*0.5/(((VLOOKUP($C390,Code!$H:$Q,7,FALSE))+(VLOOKUP($C390,Code!$H:$Q,8,FALSE)))/2),0)</f>
        <v>0</v>
      </c>
      <c r="H390" s="87" t="str">
        <f t="shared" si="56"/>
        <v/>
      </c>
      <c r="I390" s="128">
        <f>_xlfn.IFNA((VLOOKUP($C390,Code!$H:$Q,5,FALSE))/(((VLOOKUP($C390,Code!$H:$Q,7,FALSE))+(VLOOKUP($C390,Code!$H:$Q,8,FALSE)))/2)-G390,0)</f>
        <v>0</v>
      </c>
      <c r="J390" s="55" t="str">
        <f>IFERROR(POWER((VLOOKUP(C390,Code!H:W,12,FALSE))/(VLOOKUP(C390,Code!H:W,15,FALSE)),1/(P390-1))-1,"")</f>
        <v/>
      </c>
      <c r="K390" s="55" t="str">
        <f>IFERROR(POWER((VLOOKUP(C390,Code!H:W,13,FALSE))/(VLOOKUP(C390,Code!H:W,16,FALSE)),1/(P390-1))-1,"")</f>
        <v/>
      </c>
      <c r="L390" s="75" t="str">
        <f>IFERROR(VLOOKUP(C390,Code!H:W,13,FALSE)*4/VLOOKUP(C390,Code!H:W,12,FALSE),"")</f>
        <v/>
      </c>
      <c r="M390" s="55" t="str">
        <f t="shared" si="57"/>
        <v/>
      </c>
      <c r="N390" s="55" t="str">
        <f t="shared" si="58"/>
        <v/>
      </c>
      <c r="O390" s="55" t="str">
        <f t="shared" si="59"/>
        <v/>
      </c>
      <c r="P390" s="196" t="str">
        <f>IFERROR(YEARFRAC(VLOOKUP(C390,Code!H:W,11,FALSE),VLOOKUP(C390,Code!H:W,14,FALSE),3),"")</f>
        <v/>
      </c>
      <c r="Q390" s="2"/>
      <c r="R390" s="85" t="str">
        <f t="shared" ca="1" si="60"/>
        <v/>
      </c>
      <c r="S390" s="86" t="str">
        <f>IFERROR(VLOOKUP($C390,Code!$H:$Q,5,FALSE),"")</f>
        <v/>
      </c>
      <c r="T390" s="88" t="str">
        <f t="shared" ca="1" si="61"/>
        <v/>
      </c>
      <c r="U390" s="89" t="str">
        <f t="shared" ca="1" si="62"/>
        <v/>
      </c>
      <c r="V390" s="90" t="str">
        <f>IFERROR(VLOOKUP($C390,Code!$H:$Q,6,FALSE),"")</f>
        <v/>
      </c>
      <c r="W390" s="91" t="str">
        <f t="shared" ca="1" si="63"/>
        <v/>
      </c>
      <c r="X390" s="12"/>
      <c r="Y390" s="12"/>
      <c r="Z390" s="12"/>
      <c r="AA390" s="12"/>
      <c r="AB390" s="12"/>
    </row>
    <row r="391" spans="1:28" s="10" customFormat="1" ht="15" hidden="1">
      <c r="A391" s="9"/>
      <c r="B391" s="137"/>
      <c r="C391" s="142"/>
      <c r="D391" s="82" t="str">
        <f>IFERROR(VLOOKUP($C391,Code!$H:$K,2,FALSE),"")</f>
        <v/>
      </c>
      <c r="E391" s="83" t="str">
        <f>IFERROR(VLOOKUP($C391,Code!$H:$K,3,FALSE),"")</f>
        <v/>
      </c>
      <c r="F391" s="84" t="str">
        <f>IFERROR(VLOOKUP($C391,Code!$H:$K,4,FALSE),"")</f>
        <v/>
      </c>
      <c r="G391" s="128">
        <f>_xlfn.IFNA(((VLOOKUP($C391,Code!$H:$Q,9,FALSE))+(VLOOKUP($C391,Code!$H:$Q,10,FALSE)))/2*0.5/(((VLOOKUP($C391,Code!$H:$Q,7,FALSE))+(VLOOKUP($C391,Code!$H:$Q,8,FALSE)))/2),0)</f>
        <v>0</v>
      </c>
      <c r="H391" s="87" t="str">
        <f t="shared" si="56"/>
        <v/>
      </c>
      <c r="I391" s="128">
        <f>_xlfn.IFNA((VLOOKUP($C391,Code!$H:$Q,5,FALSE))/(((VLOOKUP($C391,Code!$H:$Q,7,FALSE))+(VLOOKUP($C391,Code!$H:$Q,8,FALSE)))/2)-G391,0)</f>
        <v>0</v>
      </c>
      <c r="J391" s="55" t="str">
        <f>IFERROR(POWER((VLOOKUP(C391,Code!H:W,12,FALSE))/(VLOOKUP(C391,Code!H:W,15,FALSE)),1/(P391-1))-1,"")</f>
        <v/>
      </c>
      <c r="K391" s="55" t="str">
        <f>IFERROR(POWER((VLOOKUP(C391,Code!H:W,13,FALSE))/(VLOOKUP(C391,Code!H:W,16,FALSE)),1/(P391-1))-1,"")</f>
        <v/>
      </c>
      <c r="L391" s="75" t="str">
        <f>IFERROR(VLOOKUP(C391,Code!H:W,13,FALSE)*4/VLOOKUP(C391,Code!H:W,12,FALSE),"")</f>
        <v/>
      </c>
      <c r="M391" s="55" t="str">
        <f t="shared" si="57"/>
        <v/>
      </c>
      <c r="N391" s="55" t="str">
        <f t="shared" si="58"/>
        <v/>
      </c>
      <c r="O391" s="55" t="str">
        <f t="shared" si="59"/>
        <v/>
      </c>
      <c r="P391" s="196" t="str">
        <f>IFERROR(YEARFRAC(VLOOKUP(C391,Code!H:W,11,FALSE),VLOOKUP(C391,Code!H:W,14,FALSE),3),"")</f>
        <v/>
      </c>
      <c r="Q391" s="2"/>
      <c r="R391" s="85" t="str">
        <f t="shared" ca="1" si="60"/>
        <v/>
      </c>
      <c r="S391" s="86" t="str">
        <f>IFERROR(VLOOKUP($C391,Code!$H:$Q,5,FALSE),"")</f>
        <v/>
      </c>
      <c r="T391" s="88" t="str">
        <f t="shared" ca="1" si="61"/>
        <v/>
      </c>
      <c r="U391" s="89" t="str">
        <f t="shared" ca="1" si="62"/>
        <v/>
      </c>
      <c r="V391" s="90" t="str">
        <f>IFERROR(VLOOKUP($C391,Code!$H:$Q,6,FALSE),"")</f>
        <v/>
      </c>
      <c r="W391" s="91" t="str">
        <f t="shared" ca="1" si="63"/>
        <v/>
      </c>
      <c r="X391" s="12"/>
      <c r="Y391" s="12"/>
      <c r="Z391" s="12"/>
      <c r="AA391" s="12"/>
      <c r="AB391" s="12"/>
    </row>
    <row r="392" spans="1:28" s="10" customFormat="1" ht="15" hidden="1">
      <c r="A392" s="9"/>
      <c r="B392" s="137"/>
      <c r="C392" s="142"/>
      <c r="D392" s="82" t="str">
        <f>IFERROR(VLOOKUP($C392,Code!$H:$K,2,FALSE),"")</f>
        <v/>
      </c>
      <c r="E392" s="83" t="str">
        <f>IFERROR(VLOOKUP($C392,Code!$H:$K,3,FALSE),"")</f>
        <v/>
      </c>
      <c r="F392" s="84" t="str">
        <f>IFERROR(VLOOKUP($C392,Code!$H:$K,4,FALSE),"")</f>
        <v/>
      </c>
      <c r="G392" s="128">
        <f>_xlfn.IFNA(((VLOOKUP($C392,Code!$H:$Q,9,FALSE))+(VLOOKUP($C392,Code!$H:$Q,10,FALSE)))/2*0.5/(((VLOOKUP($C392,Code!$H:$Q,7,FALSE))+(VLOOKUP($C392,Code!$H:$Q,8,FALSE)))/2),0)</f>
        <v>0</v>
      </c>
      <c r="H392" s="87" t="str">
        <f t="shared" si="56"/>
        <v/>
      </c>
      <c r="I392" s="128">
        <f>_xlfn.IFNA((VLOOKUP($C392,Code!$H:$Q,5,FALSE))/(((VLOOKUP($C392,Code!$H:$Q,7,FALSE))+(VLOOKUP($C392,Code!$H:$Q,8,FALSE)))/2)-G392,0)</f>
        <v>0</v>
      </c>
      <c r="J392" s="55" t="str">
        <f>IFERROR(POWER((VLOOKUP(C392,Code!H:W,12,FALSE))/(VLOOKUP(C392,Code!H:W,15,FALSE)),1/(P392-1))-1,"")</f>
        <v/>
      </c>
      <c r="K392" s="55" t="str">
        <f>IFERROR(POWER((VLOOKUP(C392,Code!H:W,13,FALSE))/(VLOOKUP(C392,Code!H:W,16,FALSE)),1/(P392-1))-1,"")</f>
        <v/>
      </c>
      <c r="L392" s="75" t="str">
        <f>IFERROR(VLOOKUP(C392,Code!H:W,13,FALSE)*4/VLOOKUP(C392,Code!H:W,12,FALSE),"")</f>
        <v/>
      </c>
      <c r="M392" s="55" t="str">
        <f t="shared" si="57"/>
        <v/>
      </c>
      <c r="N392" s="55" t="str">
        <f t="shared" si="58"/>
        <v/>
      </c>
      <c r="O392" s="55" t="str">
        <f t="shared" si="59"/>
        <v/>
      </c>
      <c r="P392" s="196" t="str">
        <f>IFERROR(YEARFRAC(VLOOKUP(C392,Code!H:W,11,FALSE),VLOOKUP(C392,Code!H:W,14,FALSE),3),"")</f>
        <v/>
      </c>
      <c r="Q392" s="2"/>
      <c r="R392" s="85" t="str">
        <f t="shared" ca="1" si="60"/>
        <v/>
      </c>
      <c r="S392" s="86" t="str">
        <f>IFERROR(VLOOKUP($C392,Code!$H:$Q,5,FALSE),"")</f>
        <v/>
      </c>
      <c r="T392" s="88" t="str">
        <f t="shared" ca="1" si="61"/>
        <v/>
      </c>
      <c r="U392" s="89" t="str">
        <f t="shared" ca="1" si="62"/>
        <v/>
      </c>
      <c r="V392" s="90" t="str">
        <f>IFERROR(VLOOKUP($C392,Code!$H:$Q,6,FALSE),"")</f>
        <v/>
      </c>
      <c r="W392" s="91" t="str">
        <f t="shared" ca="1" si="63"/>
        <v/>
      </c>
      <c r="X392" s="12"/>
      <c r="Y392" s="12"/>
      <c r="Z392" s="12"/>
      <c r="AA392" s="12"/>
      <c r="AB392" s="12"/>
    </row>
    <row r="393" spans="1:28" s="10" customFormat="1" ht="15" hidden="1">
      <c r="A393" s="9"/>
      <c r="B393" s="137"/>
      <c r="C393" s="142"/>
      <c r="D393" s="82" t="str">
        <f>IFERROR(VLOOKUP($C393,Code!$H:$K,2,FALSE),"")</f>
        <v/>
      </c>
      <c r="E393" s="83" t="str">
        <f>IFERROR(VLOOKUP($C393,Code!$H:$K,3,FALSE),"")</f>
        <v/>
      </c>
      <c r="F393" s="84" t="str">
        <f>IFERROR(VLOOKUP($C393,Code!$H:$K,4,FALSE),"")</f>
        <v/>
      </c>
      <c r="G393" s="128">
        <f>_xlfn.IFNA(((VLOOKUP($C393,Code!$H:$Q,9,FALSE))+(VLOOKUP($C393,Code!$H:$Q,10,FALSE)))/2*0.5/(((VLOOKUP($C393,Code!$H:$Q,7,FALSE))+(VLOOKUP($C393,Code!$H:$Q,8,FALSE)))/2),0)</f>
        <v>0</v>
      </c>
      <c r="H393" s="87" t="str">
        <f t="shared" si="56"/>
        <v/>
      </c>
      <c r="I393" s="128">
        <f>_xlfn.IFNA((VLOOKUP($C393,Code!$H:$Q,5,FALSE))/(((VLOOKUP($C393,Code!$H:$Q,7,FALSE))+(VLOOKUP($C393,Code!$H:$Q,8,FALSE)))/2)-G393,0)</f>
        <v>0</v>
      </c>
      <c r="J393" s="55" t="str">
        <f>IFERROR(POWER((VLOOKUP(C393,Code!H:W,12,FALSE))/(VLOOKUP(C393,Code!H:W,15,FALSE)),1/(P393-1))-1,"")</f>
        <v/>
      </c>
      <c r="K393" s="55" t="str">
        <f>IFERROR(POWER((VLOOKUP(C393,Code!H:W,13,FALSE))/(VLOOKUP(C393,Code!H:W,16,FALSE)),1/(P393-1))-1,"")</f>
        <v/>
      </c>
      <c r="L393" s="75" t="str">
        <f>IFERROR(VLOOKUP(C393,Code!H:W,13,FALSE)*4/VLOOKUP(C393,Code!H:W,12,FALSE),"")</f>
        <v/>
      </c>
      <c r="M393" s="55" t="str">
        <f t="shared" si="57"/>
        <v/>
      </c>
      <c r="N393" s="55" t="str">
        <f t="shared" si="58"/>
        <v/>
      </c>
      <c r="O393" s="55" t="str">
        <f t="shared" si="59"/>
        <v/>
      </c>
      <c r="P393" s="196" t="str">
        <f>IFERROR(YEARFRAC(VLOOKUP(C393,Code!H:W,11,FALSE),VLOOKUP(C393,Code!H:W,14,FALSE),3),"")</f>
        <v/>
      </c>
      <c r="Q393" s="2"/>
      <c r="R393" s="85" t="str">
        <f t="shared" ca="1" si="60"/>
        <v/>
      </c>
      <c r="S393" s="86" t="str">
        <f>IFERROR(VLOOKUP($C393,Code!$H:$Q,5,FALSE),"")</f>
        <v/>
      </c>
      <c r="T393" s="88" t="str">
        <f t="shared" ca="1" si="61"/>
        <v/>
      </c>
      <c r="U393" s="89" t="str">
        <f t="shared" ca="1" si="62"/>
        <v/>
      </c>
      <c r="V393" s="90" t="str">
        <f>IFERROR(VLOOKUP($C393,Code!$H:$Q,6,FALSE),"")</f>
        <v/>
      </c>
      <c r="W393" s="91" t="str">
        <f t="shared" ca="1" si="63"/>
        <v/>
      </c>
      <c r="X393" s="12"/>
      <c r="Y393" s="12"/>
      <c r="Z393" s="12"/>
      <c r="AA393" s="12"/>
      <c r="AB393" s="12"/>
    </row>
    <row r="394" spans="1:28" s="10" customFormat="1" ht="15" hidden="1">
      <c r="A394" s="9"/>
      <c r="B394" s="137"/>
      <c r="C394" s="142"/>
      <c r="D394" s="82" t="str">
        <f>IFERROR(VLOOKUP($C394,Code!$H:$K,2,FALSE),"")</f>
        <v/>
      </c>
      <c r="E394" s="83" t="str">
        <f>IFERROR(VLOOKUP($C394,Code!$H:$K,3,FALSE),"")</f>
        <v/>
      </c>
      <c r="F394" s="84" t="str">
        <f>IFERROR(VLOOKUP($C394,Code!$H:$K,4,FALSE),"")</f>
        <v/>
      </c>
      <c r="G394" s="128">
        <f>_xlfn.IFNA(((VLOOKUP($C394,Code!$H:$Q,9,FALSE))+(VLOOKUP($C394,Code!$H:$Q,10,FALSE)))/2*0.5/(((VLOOKUP($C394,Code!$H:$Q,7,FALSE))+(VLOOKUP($C394,Code!$H:$Q,8,FALSE)))/2),0)</f>
        <v>0</v>
      </c>
      <c r="H394" s="87" t="str">
        <f t="shared" si="56"/>
        <v/>
      </c>
      <c r="I394" s="128">
        <f>_xlfn.IFNA((VLOOKUP($C394,Code!$H:$Q,5,FALSE))/(((VLOOKUP($C394,Code!$H:$Q,7,FALSE))+(VLOOKUP($C394,Code!$H:$Q,8,FALSE)))/2)-G394,0)</f>
        <v>0</v>
      </c>
      <c r="J394" s="55" t="str">
        <f>IFERROR(POWER((VLOOKUP(C394,Code!H:W,12,FALSE))/(VLOOKUP(C394,Code!H:W,15,FALSE)),1/(P394-1))-1,"")</f>
        <v/>
      </c>
      <c r="K394" s="55" t="str">
        <f>IFERROR(POWER((VLOOKUP(C394,Code!H:W,13,FALSE))/(VLOOKUP(C394,Code!H:W,16,FALSE)),1/(P394-1))-1,"")</f>
        <v/>
      </c>
      <c r="L394" s="75" t="str">
        <f>IFERROR(VLOOKUP(C394,Code!H:W,13,FALSE)*4/VLOOKUP(C394,Code!H:W,12,FALSE),"")</f>
        <v/>
      </c>
      <c r="M394" s="55" t="str">
        <f t="shared" si="57"/>
        <v/>
      </c>
      <c r="N394" s="55" t="str">
        <f t="shared" si="58"/>
        <v/>
      </c>
      <c r="O394" s="55" t="str">
        <f t="shared" si="59"/>
        <v/>
      </c>
      <c r="P394" s="196" t="str">
        <f>IFERROR(YEARFRAC(VLOOKUP(C394,Code!H:W,11,FALSE),VLOOKUP(C394,Code!H:W,14,FALSE),3),"")</f>
        <v/>
      </c>
      <c r="Q394" s="2"/>
      <c r="R394" s="85" t="str">
        <f t="shared" ca="1" si="60"/>
        <v/>
      </c>
      <c r="S394" s="86" t="str">
        <f>IFERROR(VLOOKUP($C394,Code!$H:$Q,5,FALSE),"")</f>
        <v/>
      </c>
      <c r="T394" s="88" t="str">
        <f t="shared" ca="1" si="61"/>
        <v/>
      </c>
      <c r="U394" s="89" t="str">
        <f t="shared" ca="1" si="62"/>
        <v/>
      </c>
      <c r="V394" s="90" t="str">
        <f>IFERROR(VLOOKUP($C394,Code!$H:$Q,6,FALSE),"")</f>
        <v/>
      </c>
      <c r="W394" s="91" t="str">
        <f t="shared" ca="1" si="63"/>
        <v/>
      </c>
      <c r="X394" s="12"/>
      <c r="Y394" s="12"/>
      <c r="Z394" s="12"/>
      <c r="AA394" s="12"/>
      <c r="AB394" s="12"/>
    </row>
    <row r="395" spans="1:28" s="10" customFormat="1" ht="15" hidden="1">
      <c r="A395" s="9"/>
      <c r="B395" s="137"/>
      <c r="C395" s="142"/>
      <c r="D395" s="82" t="str">
        <f>IFERROR(VLOOKUP($C395,Code!$H:$K,2,FALSE),"")</f>
        <v/>
      </c>
      <c r="E395" s="83" t="str">
        <f>IFERROR(VLOOKUP($C395,Code!$H:$K,3,FALSE),"")</f>
        <v/>
      </c>
      <c r="F395" s="84" t="str">
        <f>IFERROR(VLOOKUP($C395,Code!$H:$K,4,FALSE),"")</f>
        <v/>
      </c>
      <c r="G395" s="128">
        <f>_xlfn.IFNA(((VLOOKUP($C395,Code!$H:$Q,9,FALSE))+(VLOOKUP($C395,Code!$H:$Q,10,FALSE)))/2*0.5/(((VLOOKUP($C395,Code!$H:$Q,7,FALSE))+(VLOOKUP($C395,Code!$H:$Q,8,FALSE)))/2),0)</f>
        <v>0</v>
      </c>
      <c r="H395" s="87" t="str">
        <f t="shared" si="56"/>
        <v/>
      </c>
      <c r="I395" s="128">
        <f>_xlfn.IFNA((VLOOKUP($C395,Code!$H:$Q,5,FALSE))/(((VLOOKUP($C395,Code!$H:$Q,7,FALSE))+(VLOOKUP($C395,Code!$H:$Q,8,FALSE)))/2)-G395,0)</f>
        <v>0</v>
      </c>
      <c r="J395" s="55" t="str">
        <f>IFERROR(POWER((VLOOKUP(C395,Code!H:W,12,FALSE))/(VLOOKUP(C395,Code!H:W,15,FALSE)),1/(P395-1))-1,"")</f>
        <v/>
      </c>
      <c r="K395" s="55" t="str">
        <f>IFERROR(POWER((VLOOKUP(C395,Code!H:W,13,FALSE))/(VLOOKUP(C395,Code!H:W,16,FALSE)),1/(P395-1))-1,"")</f>
        <v/>
      </c>
      <c r="L395" s="75" t="str">
        <f>IFERROR(VLOOKUP(C395,Code!H:W,13,FALSE)*4/VLOOKUP(C395,Code!H:W,12,FALSE),"")</f>
        <v/>
      </c>
      <c r="M395" s="55" t="str">
        <f t="shared" si="57"/>
        <v/>
      </c>
      <c r="N395" s="55" t="str">
        <f t="shared" si="58"/>
        <v/>
      </c>
      <c r="O395" s="55" t="str">
        <f t="shared" si="59"/>
        <v/>
      </c>
      <c r="P395" s="196" t="str">
        <f>IFERROR(YEARFRAC(VLOOKUP(C395,Code!H:W,11,FALSE),VLOOKUP(C395,Code!H:W,14,FALSE),3),"")</f>
        <v/>
      </c>
      <c r="Q395" s="2"/>
      <c r="R395" s="85" t="str">
        <f t="shared" ca="1" si="60"/>
        <v/>
      </c>
      <c r="S395" s="86" t="str">
        <f>IFERROR(VLOOKUP($C395,Code!$H:$Q,5,FALSE),"")</f>
        <v/>
      </c>
      <c r="T395" s="88" t="str">
        <f t="shared" ca="1" si="61"/>
        <v/>
      </c>
      <c r="U395" s="89" t="str">
        <f t="shared" ca="1" si="62"/>
        <v/>
      </c>
      <c r="V395" s="90" t="str">
        <f>IFERROR(VLOOKUP($C395,Code!$H:$Q,6,FALSE),"")</f>
        <v/>
      </c>
      <c r="W395" s="91" t="str">
        <f t="shared" ca="1" si="63"/>
        <v/>
      </c>
      <c r="X395" s="12"/>
      <c r="Y395" s="12"/>
      <c r="Z395" s="12"/>
      <c r="AA395" s="12"/>
      <c r="AB395" s="12"/>
    </row>
    <row r="396" spans="1:28" s="10" customFormat="1" ht="15" hidden="1">
      <c r="A396" s="9"/>
      <c r="B396" s="137"/>
      <c r="C396" s="142"/>
      <c r="D396" s="82" t="str">
        <f>IFERROR(VLOOKUP($C396,Code!$H:$K,2,FALSE),"")</f>
        <v/>
      </c>
      <c r="E396" s="83" t="str">
        <f>IFERROR(VLOOKUP($C396,Code!$H:$K,3,FALSE),"")</f>
        <v/>
      </c>
      <c r="F396" s="84" t="str">
        <f>IFERROR(VLOOKUP($C396,Code!$H:$K,4,FALSE),"")</f>
        <v/>
      </c>
      <c r="G396" s="128">
        <f>_xlfn.IFNA(((VLOOKUP($C396,Code!$H:$Q,9,FALSE))+(VLOOKUP($C396,Code!$H:$Q,10,FALSE)))/2*0.5/(((VLOOKUP($C396,Code!$H:$Q,7,FALSE))+(VLOOKUP($C396,Code!$H:$Q,8,FALSE)))/2),0)</f>
        <v>0</v>
      </c>
      <c r="H396" s="87" t="str">
        <f t="shared" si="56"/>
        <v/>
      </c>
      <c r="I396" s="128">
        <f>_xlfn.IFNA((VLOOKUP($C396,Code!$H:$Q,5,FALSE))/(((VLOOKUP($C396,Code!$H:$Q,7,FALSE))+(VLOOKUP($C396,Code!$H:$Q,8,FALSE)))/2)-G396,0)</f>
        <v>0</v>
      </c>
      <c r="J396" s="55" t="str">
        <f>IFERROR(POWER((VLOOKUP(C396,Code!H:W,12,FALSE))/(VLOOKUP(C396,Code!H:W,15,FALSE)),1/(P396-1))-1,"")</f>
        <v/>
      </c>
      <c r="K396" s="55" t="str">
        <f>IFERROR(POWER((VLOOKUP(C396,Code!H:W,13,FALSE))/(VLOOKUP(C396,Code!H:W,16,FALSE)),1/(P396-1))-1,"")</f>
        <v/>
      </c>
      <c r="L396" s="75" t="str">
        <f>IFERROR(VLOOKUP(C396,Code!H:W,13,FALSE)*4/VLOOKUP(C396,Code!H:W,12,FALSE),"")</f>
        <v/>
      </c>
      <c r="M396" s="55" t="str">
        <f t="shared" si="57"/>
        <v/>
      </c>
      <c r="N396" s="55" t="str">
        <f t="shared" si="58"/>
        <v/>
      </c>
      <c r="O396" s="55" t="str">
        <f t="shared" si="59"/>
        <v/>
      </c>
      <c r="P396" s="196" t="str">
        <f>IFERROR(YEARFRAC(VLOOKUP(C396,Code!H:W,11,FALSE),VLOOKUP(C396,Code!H:W,14,FALSE),3),"")</f>
        <v/>
      </c>
      <c r="Q396" s="2"/>
      <c r="R396" s="85" t="str">
        <f t="shared" ca="1" si="60"/>
        <v/>
      </c>
      <c r="S396" s="86" t="str">
        <f>IFERROR(VLOOKUP($C396,Code!$H:$Q,5,FALSE),"")</f>
        <v/>
      </c>
      <c r="T396" s="88" t="str">
        <f t="shared" ca="1" si="61"/>
        <v/>
      </c>
      <c r="U396" s="89" t="str">
        <f t="shared" ca="1" si="62"/>
        <v/>
      </c>
      <c r="V396" s="90" t="str">
        <f>IFERROR(VLOOKUP($C396,Code!$H:$Q,6,FALSE),"")</f>
        <v/>
      </c>
      <c r="W396" s="91" t="str">
        <f t="shared" ca="1" si="63"/>
        <v/>
      </c>
      <c r="X396" s="12"/>
      <c r="Y396" s="12"/>
      <c r="Z396" s="12"/>
      <c r="AA396" s="12"/>
      <c r="AB396" s="12"/>
    </row>
    <row r="397" spans="1:28" s="10" customFormat="1" ht="15" hidden="1">
      <c r="A397" s="9"/>
      <c r="B397" s="137"/>
      <c r="C397" s="142"/>
      <c r="D397" s="82" t="str">
        <f>IFERROR(VLOOKUP($C397,Code!$H:$K,2,FALSE),"")</f>
        <v/>
      </c>
      <c r="E397" s="83" t="str">
        <f>IFERROR(VLOOKUP($C397,Code!$H:$K,3,FALSE),"")</f>
        <v/>
      </c>
      <c r="F397" s="84" t="str">
        <f>IFERROR(VLOOKUP($C397,Code!$H:$K,4,FALSE),"")</f>
        <v/>
      </c>
      <c r="G397" s="128">
        <f>_xlfn.IFNA(((VLOOKUP($C397,Code!$H:$Q,9,FALSE))+(VLOOKUP($C397,Code!$H:$Q,10,FALSE)))/2*0.5/(((VLOOKUP($C397,Code!$H:$Q,7,FALSE))+(VLOOKUP($C397,Code!$H:$Q,8,FALSE)))/2),0)</f>
        <v>0</v>
      </c>
      <c r="H397" s="87" t="str">
        <f t="shared" si="56"/>
        <v/>
      </c>
      <c r="I397" s="128">
        <f>_xlfn.IFNA((VLOOKUP($C397,Code!$H:$Q,5,FALSE))/(((VLOOKUP($C397,Code!$H:$Q,7,FALSE))+(VLOOKUP($C397,Code!$H:$Q,8,FALSE)))/2)-G397,0)</f>
        <v>0</v>
      </c>
      <c r="J397" s="55" t="str">
        <f>IFERROR(POWER((VLOOKUP(C397,Code!H:W,12,FALSE))/(VLOOKUP(C397,Code!H:W,15,FALSE)),1/(P397-1))-1,"")</f>
        <v/>
      </c>
      <c r="K397" s="55" t="str">
        <f>IFERROR(POWER((VLOOKUP(C397,Code!H:W,13,FALSE))/(VLOOKUP(C397,Code!H:W,16,FALSE)),1/(P397-1))-1,"")</f>
        <v/>
      </c>
      <c r="L397" s="75" t="str">
        <f>IFERROR(VLOOKUP(C397,Code!H:W,13,FALSE)*4/VLOOKUP(C397,Code!H:W,12,FALSE),"")</f>
        <v/>
      </c>
      <c r="M397" s="55" t="str">
        <f t="shared" si="57"/>
        <v/>
      </c>
      <c r="N397" s="55" t="str">
        <f t="shared" si="58"/>
        <v/>
      </c>
      <c r="O397" s="55" t="str">
        <f t="shared" si="59"/>
        <v/>
      </c>
      <c r="P397" s="196" t="str">
        <f>IFERROR(YEARFRAC(VLOOKUP(C397,Code!H:W,11,FALSE),VLOOKUP(C397,Code!H:W,14,FALSE),3),"")</f>
        <v/>
      </c>
      <c r="Q397" s="2"/>
      <c r="R397" s="85" t="str">
        <f t="shared" ca="1" si="60"/>
        <v/>
      </c>
      <c r="S397" s="86" t="str">
        <f>IFERROR(VLOOKUP($C397,Code!$H:$Q,5,FALSE),"")</f>
        <v/>
      </c>
      <c r="T397" s="88" t="str">
        <f t="shared" ca="1" si="61"/>
        <v/>
      </c>
      <c r="U397" s="89" t="str">
        <f t="shared" ca="1" si="62"/>
        <v/>
      </c>
      <c r="V397" s="90" t="str">
        <f>IFERROR(VLOOKUP($C397,Code!$H:$Q,6,FALSE),"")</f>
        <v/>
      </c>
      <c r="W397" s="91" t="str">
        <f t="shared" ca="1" si="63"/>
        <v/>
      </c>
      <c r="X397" s="12"/>
      <c r="Y397" s="12"/>
      <c r="Z397" s="12"/>
      <c r="AA397" s="12"/>
      <c r="AB397" s="12"/>
    </row>
    <row r="398" spans="1:28" s="10" customFormat="1" ht="15" hidden="1">
      <c r="A398" s="9"/>
      <c r="B398" s="137"/>
      <c r="C398" s="142"/>
      <c r="D398" s="82" t="str">
        <f>IFERROR(VLOOKUP($C398,Code!$H:$K,2,FALSE),"")</f>
        <v/>
      </c>
      <c r="E398" s="83" t="str">
        <f>IFERROR(VLOOKUP($C398,Code!$H:$K,3,FALSE),"")</f>
        <v/>
      </c>
      <c r="F398" s="84" t="str">
        <f>IFERROR(VLOOKUP($C398,Code!$H:$K,4,FALSE),"")</f>
        <v/>
      </c>
      <c r="G398" s="128">
        <f>_xlfn.IFNA(((VLOOKUP($C398,Code!$H:$Q,9,FALSE))+(VLOOKUP($C398,Code!$H:$Q,10,FALSE)))/2*0.5/(((VLOOKUP($C398,Code!$H:$Q,7,FALSE))+(VLOOKUP($C398,Code!$H:$Q,8,FALSE)))/2),0)</f>
        <v>0</v>
      </c>
      <c r="H398" s="87" t="str">
        <f t="shared" si="56"/>
        <v/>
      </c>
      <c r="I398" s="128">
        <f>_xlfn.IFNA((VLOOKUP($C398,Code!$H:$Q,5,FALSE))/(((VLOOKUP($C398,Code!$H:$Q,7,FALSE))+(VLOOKUP($C398,Code!$H:$Q,8,FALSE)))/2)-G398,0)</f>
        <v>0</v>
      </c>
      <c r="J398" s="55" t="str">
        <f>IFERROR(POWER((VLOOKUP(C398,Code!H:W,12,FALSE))/(VLOOKUP(C398,Code!H:W,15,FALSE)),1/(P398-1))-1,"")</f>
        <v/>
      </c>
      <c r="K398" s="55" t="str">
        <f>IFERROR(POWER((VLOOKUP(C398,Code!H:W,13,FALSE))/(VLOOKUP(C398,Code!H:W,16,FALSE)),1/(P398-1))-1,"")</f>
        <v/>
      </c>
      <c r="L398" s="75" t="str">
        <f>IFERROR(VLOOKUP(C398,Code!H:W,13,FALSE)*4/VLOOKUP(C398,Code!H:W,12,FALSE),"")</f>
        <v/>
      </c>
      <c r="M398" s="55" t="str">
        <f t="shared" si="57"/>
        <v/>
      </c>
      <c r="N398" s="55" t="str">
        <f t="shared" si="58"/>
        <v/>
      </c>
      <c r="O398" s="55" t="str">
        <f t="shared" si="59"/>
        <v/>
      </c>
      <c r="P398" s="196" t="str">
        <f>IFERROR(YEARFRAC(VLOOKUP(C398,Code!H:W,11,FALSE),VLOOKUP(C398,Code!H:W,14,FALSE),3),"")</f>
        <v/>
      </c>
      <c r="Q398" s="2"/>
      <c r="R398" s="85" t="str">
        <f t="shared" ca="1" si="60"/>
        <v/>
      </c>
      <c r="S398" s="86" t="str">
        <f>IFERROR(VLOOKUP($C398,Code!$H:$Q,5,FALSE),"")</f>
        <v/>
      </c>
      <c r="T398" s="88" t="str">
        <f t="shared" ca="1" si="61"/>
        <v/>
      </c>
      <c r="U398" s="89" t="str">
        <f t="shared" ca="1" si="62"/>
        <v/>
      </c>
      <c r="V398" s="90" t="str">
        <f>IFERROR(VLOOKUP($C398,Code!$H:$Q,6,FALSE),"")</f>
        <v/>
      </c>
      <c r="W398" s="91" t="str">
        <f t="shared" ca="1" si="63"/>
        <v/>
      </c>
      <c r="X398" s="12"/>
      <c r="Y398" s="12"/>
      <c r="Z398" s="12"/>
      <c r="AA398" s="12"/>
      <c r="AB398" s="12"/>
    </row>
    <row r="399" spans="1:28" s="10" customFormat="1" ht="15" hidden="1">
      <c r="A399" s="9"/>
      <c r="B399" s="137"/>
      <c r="C399" s="142"/>
      <c r="D399" s="82" t="str">
        <f>IFERROR(VLOOKUP($C399,Code!$H:$K,2,FALSE),"")</f>
        <v/>
      </c>
      <c r="E399" s="83" t="str">
        <f>IFERROR(VLOOKUP($C399,Code!$H:$K,3,FALSE),"")</f>
        <v/>
      </c>
      <c r="F399" s="84" t="str">
        <f>IFERROR(VLOOKUP($C399,Code!$H:$K,4,FALSE),"")</f>
        <v/>
      </c>
      <c r="G399" s="128">
        <f>_xlfn.IFNA(((VLOOKUP($C399,Code!$H:$Q,9,FALSE))+(VLOOKUP($C399,Code!$H:$Q,10,FALSE)))/2*0.5/(((VLOOKUP($C399,Code!$H:$Q,7,FALSE))+(VLOOKUP($C399,Code!$H:$Q,8,FALSE)))/2),0)</f>
        <v>0</v>
      </c>
      <c r="H399" s="87" t="str">
        <f t="shared" si="56"/>
        <v/>
      </c>
      <c r="I399" s="128">
        <f>_xlfn.IFNA((VLOOKUP($C399,Code!$H:$Q,5,FALSE))/(((VLOOKUP($C399,Code!$H:$Q,7,FALSE))+(VLOOKUP($C399,Code!$H:$Q,8,FALSE)))/2)-G399,0)</f>
        <v>0</v>
      </c>
      <c r="J399" s="55" t="str">
        <f>IFERROR(POWER((VLOOKUP(C399,Code!H:W,12,FALSE))/(VLOOKUP(C399,Code!H:W,15,FALSE)),1/(P399-1))-1,"")</f>
        <v/>
      </c>
      <c r="K399" s="55" t="str">
        <f>IFERROR(POWER((VLOOKUP(C399,Code!H:W,13,FALSE))/(VLOOKUP(C399,Code!H:W,16,FALSE)),1/(P399-1))-1,"")</f>
        <v/>
      </c>
      <c r="L399" s="75" t="str">
        <f>IFERROR(VLOOKUP(C399,Code!H:W,13,FALSE)*4/VLOOKUP(C399,Code!H:W,12,FALSE),"")</f>
        <v/>
      </c>
      <c r="M399" s="55" t="str">
        <f t="shared" si="57"/>
        <v/>
      </c>
      <c r="N399" s="55" t="str">
        <f t="shared" si="58"/>
        <v/>
      </c>
      <c r="O399" s="55" t="str">
        <f t="shared" si="59"/>
        <v/>
      </c>
      <c r="P399" s="196" t="str">
        <f>IFERROR(YEARFRAC(VLOOKUP(C399,Code!H:W,11,FALSE),VLOOKUP(C399,Code!H:W,14,FALSE),3),"")</f>
        <v/>
      </c>
      <c r="Q399" s="2"/>
      <c r="R399" s="85" t="str">
        <f t="shared" ca="1" si="60"/>
        <v/>
      </c>
      <c r="S399" s="86" t="str">
        <f>IFERROR(VLOOKUP($C399,Code!$H:$Q,5,FALSE),"")</f>
        <v/>
      </c>
      <c r="T399" s="88" t="str">
        <f t="shared" ca="1" si="61"/>
        <v/>
      </c>
      <c r="U399" s="89" t="str">
        <f t="shared" ca="1" si="62"/>
        <v/>
      </c>
      <c r="V399" s="90" t="str">
        <f>IFERROR(VLOOKUP($C399,Code!$H:$Q,6,FALSE),"")</f>
        <v/>
      </c>
      <c r="W399" s="91" t="str">
        <f t="shared" ca="1" si="63"/>
        <v/>
      </c>
      <c r="X399" s="12"/>
      <c r="Y399" s="12"/>
      <c r="Z399" s="12"/>
      <c r="AA399" s="12"/>
      <c r="AB399" s="12"/>
    </row>
    <row r="400" spans="1:28" s="10" customFormat="1" ht="15" hidden="1">
      <c r="A400" s="9"/>
      <c r="B400" s="137"/>
      <c r="C400" s="142"/>
      <c r="D400" s="82" t="str">
        <f>IFERROR(VLOOKUP($C400,Code!$H:$K,2,FALSE),"")</f>
        <v/>
      </c>
      <c r="E400" s="83" t="str">
        <f>IFERROR(VLOOKUP($C400,Code!$H:$K,3,FALSE),"")</f>
        <v/>
      </c>
      <c r="F400" s="84" t="str">
        <f>IFERROR(VLOOKUP($C400,Code!$H:$K,4,FALSE),"")</f>
        <v/>
      </c>
      <c r="G400" s="128">
        <f>_xlfn.IFNA(((VLOOKUP($C400,Code!$H:$Q,9,FALSE))+(VLOOKUP($C400,Code!$H:$Q,10,FALSE)))/2*0.5/(((VLOOKUP($C400,Code!$H:$Q,7,FALSE))+(VLOOKUP($C400,Code!$H:$Q,8,FALSE)))/2),0)</f>
        <v>0</v>
      </c>
      <c r="H400" s="87" t="str">
        <f t="shared" si="56"/>
        <v/>
      </c>
      <c r="I400" s="128">
        <f>_xlfn.IFNA((VLOOKUP($C400,Code!$H:$Q,5,FALSE))/(((VLOOKUP($C400,Code!$H:$Q,7,FALSE))+(VLOOKUP($C400,Code!$H:$Q,8,FALSE)))/2)-G400,0)</f>
        <v>0</v>
      </c>
      <c r="J400" s="55" t="str">
        <f>IFERROR(POWER((VLOOKUP(C400,Code!H:W,12,FALSE))/(VLOOKUP(C400,Code!H:W,15,FALSE)),1/(P400-1))-1,"")</f>
        <v/>
      </c>
      <c r="K400" s="55" t="str">
        <f>IFERROR(POWER((VLOOKUP(C400,Code!H:W,13,FALSE))/(VLOOKUP(C400,Code!H:W,16,FALSE)),1/(P400-1))-1,"")</f>
        <v/>
      </c>
      <c r="L400" s="75" t="str">
        <f>IFERROR(VLOOKUP(C400,Code!H:W,13,FALSE)*4/VLOOKUP(C400,Code!H:W,12,FALSE),"")</f>
        <v/>
      </c>
      <c r="M400" s="55" t="str">
        <f t="shared" si="57"/>
        <v/>
      </c>
      <c r="N400" s="55" t="str">
        <f t="shared" si="58"/>
        <v/>
      </c>
      <c r="O400" s="55" t="str">
        <f t="shared" si="59"/>
        <v/>
      </c>
      <c r="P400" s="196" t="str">
        <f>IFERROR(YEARFRAC(VLOOKUP(C400,Code!H:W,11,FALSE),VLOOKUP(C400,Code!H:W,14,FALSE),3),"")</f>
        <v/>
      </c>
      <c r="Q400" s="2"/>
      <c r="R400" s="85" t="str">
        <f t="shared" ca="1" si="60"/>
        <v/>
      </c>
      <c r="S400" s="86" t="str">
        <f>IFERROR(VLOOKUP($C400,Code!$H:$Q,5,FALSE),"")</f>
        <v/>
      </c>
      <c r="T400" s="88" t="str">
        <f t="shared" ca="1" si="61"/>
        <v/>
      </c>
      <c r="U400" s="89" t="str">
        <f t="shared" ca="1" si="62"/>
        <v/>
      </c>
      <c r="V400" s="90" t="str">
        <f>IFERROR(VLOOKUP($C400,Code!$H:$Q,6,FALSE),"")</f>
        <v/>
      </c>
      <c r="W400" s="91" t="str">
        <f t="shared" ca="1" si="63"/>
        <v/>
      </c>
      <c r="X400" s="12"/>
      <c r="Y400" s="12"/>
      <c r="Z400" s="12"/>
      <c r="AA400" s="12"/>
      <c r="AB400" s="12"/>
    </row>
    <row r="401" spans="1:28" s="10" customFormat="1" ht="15" hidden="1">
      <c r="A401" s="9"/>
      <c r="B401" s="137"/>
      <c r="C401" s="142"/>
      <c r="D401" s="82" t="str">
        <f>IFERROR(VLOOKUP($C401,Code!$H:$K,2,FALSE),"")</f>
        <v/>
      </c>
      <c r="E401" s="83" t="str">
        <f>IFERROR(VLOOKUP($C401,Code!$H:$K,3,FALSE),"")</f>
        <v/>
      </c>
      <c r="F401" s="84" t="str">
        <f>IFERROR(VLOOKUP($C401,Code!$H:$K,4,FALSE),"")</f>
        <v/>
      </c>
      <c r="G401" s="128">
        <f>_xlfn.IFNA(((VLOOKUP($C401,Code!$H:$Q,9,FALSE))+(VLOOKUP($C401,Code!$H:$Q,10,FALSE)))/2*0.5/(((VLOOKUP($C401,Code!$H:$Q,7,FALSE))+(VLOOKUP($C401,Code!$H:$Q,8,FALSE)))/2),0)</f>
        <v>0</v>
      </c>
      <c r="H401" s="87" t="str">
        <f t="shared" si="56"/>
        <v/>
      </c>
      <c r="I401" s="128">
        <f>_xlfn.IFNA((VLOOKUP($C401,Code!$H:$Q,5,FALSE))/(((VLOOKUP($C401,Code!$H:$Q,7,FALSE))+(VLOOKUP($C401,Code!$H:$Q,8,FALSE)))/2)-G401,0)</f>
        <v>0</v>
      </c>
      <c r="J401" s="55" t="str">
        <f>IFERROR(POWER((VLOOKUP(C401,Code!H:W,12,FALSE))/(VLOOKUP(C401,Code!H:W,15,FALSE)),1/(P401-1))-1,"")</f>
        <v/>
      </c>
      <c r="K401" s="55" t="str">
        <f>IFERROR(POWER((VLOOKUP(C401,Code!H:W,13,FALSE))/(VLOOKUP(C401,Code!H:W,16,FALSE)),1/(P401-1))-1,"")</f>
        <v/>
      </c>
      <c r="L401" s="75" t="str">
        <f>IFERROR(VLOOKUP(C401,Code!H:W,13,FALSE)*4/VLOOKUP(C401,Code!H:W,12,FALSE),"")</f>
        <v/>
      </c>
      <c r="M401" s="55" t="str">
        <f t="shared" si="57"/>
        <v/>
      </c>
      <c r="N401" s="55" t="str">
        <f t="shared" si="58"/>
        <v/>
      </c>
      <c r="O401" s="55" t="str">
        <f t="shared" si="59"/>
        <v/>
      </c>
      <c r="P401" s="196" t="str">
        <f>IFERROR(YEARFRAC(VLOOKUP(C401,Code!H:W,11,FALSE),VLOOKUP(C401,Code!H:W,14,FALSE),3),"")</f>
        <v/>
      </c>
      <c r="Q401" s="2"/>
      <c r="R401" s="85" t="str">
        <f t="shared" ca="1" si="60"/>
        <v/>
      </c>
      <c r="S401" s="86" t="str">
        <f>IFERROR(VLOOKUP($C401,Code!$H:$Q,5,FALSE),"")</f>
        <v/>
      </c>
      <c r="T401" s="88" t="str">
        <f t="shared" ca="1" si="61"/>
        <v/>
      </c>
      <c r="U401" s="89" t="str">
        <f t="shared" ca="1" si="62"/>
        <v/>
      </c>
      <c r="V401" s="90" t="str">
        <f>IFERROR(VLOOKUP($C401,Code!$H:$Q,6,FALSE),"")</f>
        <v/>
      </c>
      <c r="W401" s="91" t="str">
        <f t="shared" ca="1" si="63"/>
        <v/>
      </c>
      <c r="X401" s="12"/>
      <c r="Y401" s="12"/>
      <c r="Z401" s="12"/>
      <c r="AA401" s="12"/>
      <c r="AB401" s="12"/>
    </row>
    <row r="402" spans="1:28" s="10" customFormat="1" ht="15" hidden="1">
      <c r="A402" s="9"/>
      <c r="B402" s="137"/>
      <c r="C402" s="142"/>
      <c r="D402" s="82" t="str">
        <f>IFERROR(VLOOKUP($C402,Code!$H:$K,2,FALSE),"")</f>
        <v/>
      </c>
      <c r="E402" s="83" t="str">
        <f>IFERROR(VLOOKUP($C402,Code!$H:$K,3,FALSE),"")</f>
        <v/>
      </c>
      <c r="F402" s="84" t="str">
        <f>IFERROR(VLOOKUP($C402,Code!$H:$K,4,FALSE),"")</f>
        <v/>
      </c>
      <c r="G402" s="128">
        <f>_xlfn.IFNA(((VLOOKUP($C402,Code!$H:$Q,9,FALSE))+(VLOOKUP($C402,Code!$H:$Q,10,FALSE)))/2*0.5/(((VLOOKUP($C402,Code!$H:$Q,7,FALSE))+(VLOOKUP($C402,Code!$H:$Q,8,FALSE)))/2),0)</f>
        <v>0</v>
      </c>
      <c r="H402" s="87" t="str">
        <f t="shared" si="56"/>
        <v/>
      </c>
      <c r="I402" s="128">
        <f>_xlfn.IFNA((VLOOKUP($C402,Code!$H:$Q,5,FALSE))/(((VLOOKUP($C402,Code!$H:$Q,7,FALSE))+(VLOOKUP($C402,Code!$H:$Q,8,FALSE)))/2)-G402,0)</f>
        <v>0</v>
      </c>
      <c r="J402" s="55" t="str">
        <f>IFERROR(POWER((VLOOKUP(C402,Code!H:W,12,FALSE))/(VLOOKUP(C402,Code!H:W,15,FALSE)),1/(P402-1))-1,"")</f>
        <v/>
      </c>
      <c r="K402" s="55" t="str">
        <f>IFERROR(POWER((VLOOKUP(C402,Code!H:W,13,FALSE))/(VLOOKUP(C402,Code!H:W,16,FALSE)),1/(P402-1))-1,"")</f>
        <v/>
      </c>
      <c r="L402" s="75" t="str">
        <f>IFERROR(VLOOKUP(C402,Code!H:W,13,FALSE)*4/VLOOKUP(C402,Code!H:W,12,FALSE),"")</f>
        <v/>
      </c>
      <c r="M402" s="55" t="str">
        <f t="shared" si="57"/>
        <v/>
      </c>
      <c r="N402" s="55" t="str">
        <f t="shared" si="58"/>
        <v/>
      </c>
      <c r="O402" s="55" t="str">
        <f t="shared" si="59"/>
        <v/>
      </c>
      <c r="P402" s="196" t="str">
        <f>IFERROR(YEARFRAC(VLOOKUP(C402,Code!H:W,11,FALSE),VLOOKUP(C402,Code!H:W,14,FALSE),3),"")</f>
        <v/>
      </c>
      <c r="Q402" s="2"/>
      <c r="R402" s="85" t="str">
        <f t="shared" ca="1" si="60"/>
        <v/>
      </c>
      <c r="S402" s="86" t="str">
        <f>IFERROR(VLOOKUP($C402,Code!$H:$Q,5,FALSE),"")</f>
        <v/>
      </c>
      <c r="T402" s="88" t="str">
        <f t="shared" ca="1" si="61"/>
        <v/>
      </c>
      <c r="U402" s="89" t="str">
        <f t="shared" ca="1" si="62"/>
        <v/>
      </c>
      <c r="V402" s="90" t="str">
        <f>IFERROR(VLOOKUP($C402,Code!$H:$Q,6,FALSE),"")</f>
        <v/>
      </c>
      <c r="W402" s="91" t="str">
        <f t="shared" ca="1" si="63"/>
        <v/>
      </c>
      <c r="X402" s="12"/>
      <c r="Y402" s="12"/>
      <c r="Z402" s="12"/>
      <c r="AA402" s="12"/>
      <c r="AB402" s="12"/>
    </row>
    <row r="403" spans="1:28" s="10" customFormat="1" ht="15" hidden="1">
      <c r="A403" s="9"/>
      <c r="B403" s="137"/>
      <c r="C403" s="142"/>
      <c r="D403" s="82" t="str">
        <f>IFERROR(VLOOKUP($C403,Code!$H:$K,2,FALSE),"")</f>
        <v/>
      </c>
      <c r="E403" s="83" t="str">
        <f>IFERROR(VLOOKUP($C403,Code!$H:$K,3,FALSE),"")</f>
        <v/>
      </c>
      <c r="F403" s="84" t="str">
        <f>IFERROR(VLOOKUP($C403,Code!$H:$K,4,FALSE),"")</f>
        <v/>
      </c>
      <c r="G403" s="128">
        <f>_xlfn.IFNA(((VLOOKUP($C403,Code!$H:$Q,9,FALSE))+(VLOOKUP($C403,Code!$H:$Q,10,FALSE)))/2*0.5/(((VLOOKUP($C403,Code!$H:$Q,7,FALSE))+(VLOOKUP($C403,Code!$H:$Q,8,FALSE)))/2),0)</f>
        <v>0</v>
      </c>
      <c r="H403" s="87" t="str">
        <f t="shared" si="56"/>
        <v/>
      </c>
      <c r="I403" s="128">
        <f>_xlfn.IFNA((VLOOKUP($C403,Code!$H:$Q,5,FALSE))/(((VLOOKUP($C403,Code!$H:$Q,7,FALSE))+(VLOOKUP($C403,Code!$H:$Q,8,FALSE)))/2)-G403,0)</f>
        <v>0</v>
      </c>
      <c r="J403" s="55" t="str">
        <f>IFERROR(POWER((VLOOKUP(C403,Code!H:W,12,FALSE))/(VLOOKUP(C403,Code!H:W,15,FALSE)),1/(P403-1))-1,"")</f>
        <v/>
      </c>
      <c r="K403" s="55" t="str">
        <f>IFERROR(POWER((VLOOKUP(C403,Code!H:W,13,FALSE))/(VLOOKUP(C403,Code!H:W,16,FALSE)),1/(P403-1))-1,"")</f>
        <v/>
      </c>
      <c r="L403" s="75" t="str">
        <f>IFERROR(VLOOKUP(C403,Code!H:W,13,FALSE)*4/VLOOKUP(C403,Code!H:W,12,FALSE),"")</f>
        <v/>
      </c>
      <c r="M403" s="55" t="str">
        <f t="shared" si="57"/>
        <v/>
      </c>
      <c r="N403" s="55" t="str">
        <f t="shared" si="58"/>
        <v/>
      </c>
      <c r="O403" s="55" t="str">
        <f t="shared" si="59"/>
        <v/>
      </c>
      <c r="P403" s="196" t="str">
        <f>IFERROR(YEARFRAC(VLOOKUP(C403,Code!H:W,11,FALSE),VLOOKUP(C403,Code!H:W,14,FALSE),3),"")</f>
        <v/>
      </c>
      <c r="Q403" s="2"/>
      <c r="R403" s="85" t="str">
        <f t="shared" ca="1" si="60"/>
        <v/>
      </c>
      <c r="S403" s="86" t="str">
        <f>IFERROR(VLOOKUP($C403,Code!$H:$Q,5,FALSE),"")</f>
        <v/>
      </c>
      <c r="T403" s="88" t="str">
        <f t="shared" ca="1" si="61"/>
        <v/>
      </c>
      <c r="U403" s="89" t="str">
        <f t="shared" ca="1" si="62"/>
        <v/>
      </c>
      <c r="V403" s="90" t="str">
        <f>IFERROR(VLOOKUP($C403,Code!$H:$Q,6,FALSE),"")</f>
        <v/>
      </c>
      <c r="W403" s="91" t="str">
        <f t="shared" ca="1" si="63"/>
        <v/>
      </c>
      <c r="X403" s="12"/>
      <c r="Y403" s="12"/>
      <c r="Z403" s="12"/>
      <c r="AA403" s="12"/>
      <c r="AB403" s="12"/>
    </row>
    <row r="404" spans="1:28" s="10" customFormat="1" ht="15" hidden="1">
      <c r="A404" s="9"/>
      <c r="B404" s="137"/>
      <c r="C404" s="142"/>
      <c r="D404" s="82" t="str">
        <f>IFERROR(VLOOKUP($C404,Code!$H:$K,2,FALSE),"")</f>
        <v/>
      </c>
      <c r="E404" s="83" t="str">
        <f>IFERROR(VLOOKUP($C404,Code!$H:$K,3,FALSE),"")</f>
        <v/>
      </c>
      <c r="F404" s="84" t="str">
        <f>IFERROR(VLOOKUP($C404,Code!$H:$K,4,FALSE),"")</f>
        <v/>
      </c>
      <c r="G404" s="128">
        <f>_xlfn.IFNA(((VLOOKUP($C404,Code!$H:$Q,9,FALSE))+(VLOOKUP($C404,Code!$H:$Q,10,FALSE)))/2*0.5/(((VLOOKUP($C404,Code!$H:$Q,7,FALSE))+(VLOOKUP($C404,Code!$H:$Q,8,FALSE)))/2),0)</f>
        <v>0</v>
      </c>
      <c r="H404" s="87" t="str">
        <f t="shared" si="56"/>
        <v/>
      </c>
      <c r="I404" s="128">
        <f>_xlfn.IFNA((VLOOKUP($C404,Code!$H:$Q,5,FALSE))/(((VLOOKUP($C404,Code!$H:$Q,7,FALSE))+(VLOOKUP($C404,Code!$H:$Q,8,FALSE)))/2)-G404,0)</f>
        <v>0</v>
      </c>
      <c r="J404" s="55" t="str">
        <f>IFERROR(POWER((VLOOKUP(C404,Code!H:W,12,FALSE))/(VLOOKUP(C404,Code!H:W,15,FALSE)),1/(P404-1))-1,"")</f>
        <v/>
      </c>
      <c r="K404" s="55" t="str">
        <f>IFERROR(POWER((VLOOKUP(C404,Code!H:W,13,FALSE))/(VLOOKUP(C404,Code!H:W,16,FALSE)),1/(P404-1))-1,"")</f>
        <v/>
      </c>
      <c r="L404" s="75" t="str">
        <f>IFERROR(VLOOKUP(C404,Code!H:W,13,FALSE)*4/VLOOKUP(C404,Code!H:W,12,FALSE),"")</f>
        <v/>
      </c>
      <c r="M404" s="55" t="str">
        <f t="shared" si="57"/>
        <v/>
      </c>
      <c r="N404" s="55" t="str">
        <f t="shared" si="58"/>
        <v/>
      </c>
      <c r="O404" s="55" t="str">
        <f t="shared" si="59"/>
        <v/>
      </c>
      <c r="P404" s="196" t="str">
        <f>IFERROR(YEARFRAC(VLOOKUP(C404,Code!H:W,11,FALSE),VLOOKUP(C404,Code!H:W,14,FALSE),3),"")</f>
        <v/>
      </c>
      <c r="Q404" s="2"/>
      <c r="R404" s="85" t="str">
        <f t="shared" ca="1" si="60"/>
        <v/>
      </c>
      <c r="S404" s="86" t="str">
        <f>IFERROR(VLOOKUP($C404,Code!$H:$Q,5,FALSE),"")</f>
        <v/>
      </c>
      <c r="T404" s="88" t="str">
        <f t="shared" ca="1" si="61"/>
        <v/>
      </c>
      <c r="U404" s="89" t="str">
        <f t="shared" ca="1" si="62"/>
        <v/>
      </c>
      <c r="V404" s="90" t="str">
        <f>IFERROR(VLOOKUP($C404,Code!$H:$Q,6,FALSE),"")</f>
        <v/>
      </c>
      <c r="W404" s="91" t="str">
        <f t="shared" ca="1" si="63"/>
        <v/>
      </c>
      <c r="X404" s="12"/>
      <c r="Y404" s="12"/>
      <c r="Z404" s="12"/>
      <c r="AA404" s="12"/>
      <c r="AB404" s="12"/>
    </row>
    <row r="405" spans="1:28" s="10" customFormat="1" ht="15" hidden="1">
      <c r="A405" s="9"/>
      <c r="B405" s="137"/>
      <c r="C405" s="142"/>
      <c r="D405" s="82" t="str">
        <f>IFERROR(VLOOKUP($C405,Code!$H:$K,2,FALSE),"")</f>
        <v/>
      </c>
      <c r="E405" s="83" t="str">
        <f>IFERROR(VLOOKUP($C405,Code!$H:$K,3,FALSE),"")</f>
        <v/>
      </c>
      <c r="F405" s="84" t="str">
        <f>IFERROR(VLOOKUP($C405,Code!$H:$K,4,FALSE),"")</f>
        <v/>
      </c>
      <c r="G405" s="128">
        <f>_xlfn.IFNA(((VLOOKUP($C405,Code!$H:$Q,9,FALSE))+(VLOOKUP($C405,Code!$H:$Q,10,FALSE)))/2*0.5/(((VLOOKUP($C405,Code!$H:$Q,7,FALSE))+(VLOOKUP($C405,Code!$H:$Q,8,FALSE)))/2),0)</f>
        <v>0</v>
      </c>
      <c r="H405" s="87" t="str">
        <f t="shared" si="56"/>
        <v/>
      </c>
      <c r="I405" s="128">
        <f>_xlfn.IFNA((VLOOKUP($C405,Code!$H:$Q,5,FALSE))/(((VLOOKUP($C405,Code!$H:$Q,7,FALSE))+(VLOOKUP($C405,Code!$H:$Q,8,FALSE)))/2)-G405,0)</f>
        <v>0</v>
      </c>
      <c r="J405" s="55" t="str">
        <f>IFERROR(POWER((VLOOKUP(C405,Code!H:W,12,FALSE))/(VLOOKUP(C405,Code!H:W,15,FALSE)),1/(P405-1))-1,"")</f>
        <v/>
      </c>
      <c r="K405" s="55" t="str">
        <f>IFERROR(POWER((VLOOKUP(C405,Code!H:W,13,FALSE))/(VLOOKUP(C405,Code!H:W,16,FALSE)),1/(P405-1))-1,"")</f>
        <v/>
      </c>
      <c r="L405" s="75" t="str">
        <f>IFERROR(VLOOKUP(C405,Code!H:W,13,FALSE)*4/VLOOKUP(C405,Code!H:W,12,FALSE),"")</f>
        <v/>
      </c>
      <c r="M405" s="55" t="str">
        <f t="shared" si="57"/>
        <v/>
      </c>
      <c r="N405" s="55" t="str">
        <f t="shared" si="58"/>
        <v/>
      </c>
      <c r="O405" s="55" t="str">
        <f t="shared" si="59"/>
        <v/>
      </c>
      <c r="P405" s="196" t="str">
        <f>IFERROR(YEARFRAC(VLOOKUP(C405,Code!H:W,11,FALSE),VLOOKUP(C405,Code!H:W,14,FALSE),3),"")</f>
        <v/>
      </c>
      <c r="Q405" s="2"/>
      <c r="R405" s="85" t="str">
        <f t="shared" ca="1" si="60"/>
        <v/>
      </c>
      <c r="S405" s="86" t="str">
        <f>IFERROR(VLOOKUP($C405,Code!$H:$Q,5,FALSE),"")</f>
        <v/>
      </c>
      <c r="T405" s="88" t="str">
        <f t="shared" ca="1" si="61"/>
        <v/>
      </c>
      <c r="U405" s="89" t="str">
        <f t="shared" ca="1" si="62"/>
        <v/>
      </c>
      <c r="V405" s="90" t="str">
        <f>IFERROR(VLOOKUP($C405,Code!$H:$Q,6,FALSE),"")</f>
        <v/>
      </c>
      <c r="W405" s="91" t="str">
        <f t="shared" ca="1" si="63"/>
        <v/>
      </c>
      <c r="X405" s="12"/>
      <c r="Y405" s="12"/>
      <c r="Z405" s="12"/>
      <c r="AA405" s="12"/>
      <c r="AB405" s="12"/>
    </row>
    <row r="406" spans="1:28" s="10" customFormat="1" ht="15" hidden="1">
      <c r="A406" s="9"/>
      <c r="B406" s="137"/>
      <c r="C406" s="142"/>
      <c r="D406" s="82" t="str">
        <f>IFERROR(VLOOKUP($C406,Code!$H:$K,2,FALSE),"")</f>
        <v/>
      </c>
      <c r="E406" s="83" t="str">
        <f>IFERROR(VLOOKUP($C406,Code!$H:$K,3,FALSE),"")</f>
        <v/>
      </c>
      <c r="F406" s="84" t="str">
        <f>IFERROR(VLOOKUP($C406,Code!$H:$K,4,FALSE),"")</f>
        <v/>
      </c>
      <c r="G406" s="128">
        <f>_xlfn.IFNA(((VLOOKUP($C406,Code!$H:$Q,9,FALSE))+(VLOOKUP($C406,Code!$H:$Q,10,FALSE)))/2*0.5/(((VLOOKUP($C406,Code!$H:$Q,7,FALSE))+(VLOOKUP($C406,Code!$H:$Q,8,FALSE)))/2),0)</f>
        <v>0</v>
      </c>
      <c r="H406" s="87" t="str">
        <f t="shared" si="56"/>
        <v/>
      </c>
      <c r="I406" s="128">
        <f>_xlfn.IFNA((VLOOKUP($C406,Code!$H:$Q,5,FALSE))/(((VLOOKUP($C406,Code!$H:$Q,7,FALSE))+(VLOOKUP($C406,Code!$H:$Q,8,FALSE)))/2)-G406,0)</f>
        <v>0</v>
      </c>
      <c r="J406" s="55" t="str">
        <f>IFERROR(POWER((VLOOKUP(C406,Code!H:W,12,FALSE))/(VLOOKUP(C406,Code!H:W,15,FALSE)),1/(P406-1))-1,"")</f>
        <v/>
      </c>
      <c r="K406" s="55" t="str">
        <f>IFERROR(POWER((VLOOKUP(C406,Code!H:W,13,FALSE))/(VLOOKUP(C406,Code!H:W,16,FALSE)),1/(P406-1))-1,"")</f>
        <v/>
      </c>
      <c r="L406" s="75" t="str">
        <f>IFERROR(VLOOKUP(C406,Code!H:W,13,FALSE)*4/VLOOKUP(C406,Code!H:W,12,FALSE),"")</f>
        <v/>
      </c>
      <c r="M406" s="55" t="str">
        <f t="shared" si="57"/>
        <v/>
      </c>
      <c r="N406" s="55" t="str">
        <f t="shared" si="58"/>
        <v/>
      </c>
      <c r="O406" s="55" t="str">
        <f t="shared" si="59"/>
        <v/>
      </c>
      <c r="P406" s="196" t="str">
        <f>IFERROR(YEARFRAC(VLOOKUP(C406,Code!H:W,11,FALSE),VLOOKUP(C406,Code!H:W,14,FALSE),3),"")</f>
        <v/>
      </c>
      <c r="Q406" s="2"/>
      <c r="R406" s="85" t="str">
        <f t="shared" ca="1" si="60"/>
        <v/>
      </c>
      <c r="S406" s="86" t="str">
        <f>IFERROR(VLOOKUP($C406,Code!$H:$Q,5,FALSE),"")</f>
        <v/>
      </c>
      <c r="T406" s="88" t="str">
        <f t="shared" ca="1" si="61"/>
        <v/>
      </c>
      <c r="U406" s="89" t="str">
        <f t="shared" ca="1" si="62"/>
        <v/>
      </c>
      <c r="V406" s="90" t="str">
        <f>IFERROR(VLOOKUP($C406,Code!$H:$Q,6,FALSE),"")</f>
        <v/>
      </c>
      <c r="W406" s="91" t="str">
        <f t="shared" ca="1" si="63"/>
        <v/>
      </c>
      <c r="X406" s="12"/>
      <c r="Y406" s="12"/>
      <c r="Z406" s="12"/>
      <c r="AA406" s="12"/>
      <c r="AB406" s="12"/>
    </row>
    <row r="407" spans="1:28" s="10" customFormat="1" ht="15" hidden="1">
      <c r="A407" s="9"/>
      <c r="B407" s="137"/>
      <c r="C407" s="142"/>
      <c r="D407" s="82" t="str">
        <f>IFERROR(VLOOKUP($C407,Code!$H:$K,2,FALSE),"")</f>
        <v/>
      </c>
      <c r="E407" s="83" t="str">
        <f>IFERROR(VLOOKUP($C407,Code!$H:$K,3,FALSE),"")</f>
        <v/>
      </c>
      <c r="F407" s="84" t="str">
        <f>IFERROR(VLOOKUP($C407,Code!$H:$K,4,FALSE),"")</f>
        <v/>
      </c>
      <c r="G407" s="128">
        <f>_xlfn.IFNA(((VLOOKUP($C407,Code!$H:$Q,9,FALSE))+(VLOOKUP($C407,Code!$H:$Q,10,FALSE)))/2*0.5/(((VLOOKUP($C407,Code!$H:$Q,7,FALSE))+(VLOOKUP($C407,Code!$H:$Q,8,FALSE)))/2),0)</f>
        <v>0</v>
      </c>
      <c r="H407" s="87" t="str">
        <f t="shared" si="56"/>
        <v/>
      </c>
      <c r="I407" s="128">
        <f>_xlfn.IFNA((VLOOKUP($C407,Code!$H:$Q,5,FALSE))/(((VLOOKUP($C407,Code!$H:$Q,7,FALSE))+(VLOOKUP($C407,Code!$H:$Q,8,FALSE)))/2)-G407,0)</f>
        <v>0</v>
      </c>
      <c r="J407" s="55" t="str">
        <f>IFERROR(POWER((VLOOKUP(C407,Code!H:W,12,FALSE))/(VLOOKUP(C407,Code!H:W,15,FALSE)),1/(P407-1))-1,"")</f>
        <v/>
      </c>
      <c r="K407" s="55" t="str">
        <f>IFERROR(POWER((VLOOKUP(C407,Code!H:W,13,FALSE))/(VLOOKUP(C407,Code!H:W,16,FALSE)),1/(P407-1))-1,"")</f>
        <v/>
      </c>
      <c r="L407" s="75" t="str">
        <f>IFERROR(VLOOKUP(C407,Code!H:W,13,FALSE)*4/VLOOKUP(C407,Code!H:W,12,FALSE),"")</f>
        <v/>
      </c>
      <c r="M407" s="55" t="str">
        <f t="shared" si="57"/>
        <v/>
      </c>
      <c r="N407" s="55" t="str">
        <f t="shared" si="58"/>
        <v/>
      </c>
      <c r="O407" s="55" t="str">
        <f t="shared" si="59"/>
        <v/>
      </c>
      <c r="P407" s="196" t="str">
        <f>IFERROR(YEARFRAC(VLOOKUP(C407,Code!H:W,11,FALSE),VLOOKUP(C407,Code!H:W,14,FALSE),3),"")</f>
        <v/>
      </c>
      <c r="Q407" s="2"/>
      <c r="R407" s="85" t="str">
        <f t="shared" ca="1" si="60"/>
        <v/>
      </c>
      <c r="S407" s="86" t="str">
        <f>IFERROR(VLOOKUP($C407,Code!$H:$Q,5,FALSE),"")</f>
        <v/>
      </c>
      <c r="T407" s="88" t="str">
        <f t="shared" ca="1" si="61"/>
        <v/>
      </c>
      <c r="U407" s="89" t="str">
        <f t="shared" ca="1" si="62"/>
        <v/>
      </c>
      <c r="V407" s="90" t="str">
        <f>IFERROR(VLOOKUP($C407,Code!$H:$Q,6,FALSE),"")</f>
        <v/>
      </c>
      <c r="W407" s="91" t="str">
        <f t="shared" ca="1" si="63"/>
        <v/>
      </c>
      <c r="X407" s="12"/>
      <c r="Y407" s="12"/>
      <c r="Z407" s="12"/>
      <c r="AA407" s="12"/>
      <c r="AB407" s="12"/>
    </row>
    <row r="408" spans="1:28" s="10" customFormat="1" ht="15" hidden="1">
      <c r="A408" s="9"/>
      <c r="B408" s="137"/>
      <c r="C408" s="142"/>
      <c r="D408" s="82" t="str">
        <f>IFERROR(VLOOKUP($C408,Code!$H:$K,2,FALSE),"")</f>
        <v/>
      </c>
      <c r="E408" s="83" t="str">
        <f>IFERROR(VLOOKUP($C408,Code!$H:$K,3,FALSE),"")</f>
        <v/>
      </c>
      <c r="F408" s="84" t="str">
        <f>IFERROR(VLOOKUP($C408,Code!$H:$K,4,FALSE),"")</f>
        <v/>
      </c>
      <c r="G408" s="128">
        <f>_xlfn.IFNA(((VLOOKUP($C408,Code!$H:$Q,9,FALSE))+(VLOOKUP($C408,Code!$H:$Q,10,FALSE)))/2*0.5/(((VLOOKUP($C408,Code!$H:$Q,7,FALSE))+(VLOOKUP($C408,Code!$H:$Q,8,FALSE)))/2),0)</f>
        <v>0</v>
      </c>
      <c r="H408" s="87" t="str">
        <f t="shared" si="56"/>
        <v/>
      </c>
      <c r="I408" s="128">
        <f>_xlfn.IFNA((VLOOKUP($C408,Code!$H:$Q,5,FALSE))/(((VLOOKUP($C408,Code!$H:$Q,7,FALSE))+(VLOOKUP($C408,Code!$H:$Q,8,FALSE)))/2)-G408,0)</f>
        <v>0</v>
      </c>
      <c r="J408" s="55" t="str">
        <f>IFERROR(POWER((VLOOKUP(C408,Code!H:W,12,FALSE))/(VLOOKUP(C408,Code!H:W,15,FALSE)),1/(P408-1))-1,"")</f>
        <v/>
      </c>
      <c r="K408" s="55" t="str">
        <f>IFERROR(POWER((VLOOKUP(C408,Code!H:W,13,FALSE))/(VLOOKUP(C408,Code!H:W,16,FALSE)),1/(P408-1))-1,"")</f>
        <v/>
      </c>
      <c r="L408" s="75" t="str">
        <f>IFERROR(VLOOKUP(C408,Code!H:W,13,FALSE)*4/VLOOKUP(C408,Code!H:W,12,FALSE),"")</f>
        <v/>
      </c>
      <c r="M408" s="55" t="str">
        <f t="shared" si="57"/>
        <v/>
      </c>
      <c r="N408" s="55" t="str">
        <f t="shared" si="58"/>
        <v/>
      </c>
      <c r="O408" s="55" t="str">
        <f t="shared" si="59"/>
        <v/>
      </c>
      <c r="P408" s="196" t="str">
        <f>IFERROR(YEARFRAC(VLOOKUP(C408,Code!H:W,11,FALSE),VLOOKUP(C408,Code!H:W,14,FALSE),3),"")</f>
        <v/>
      </c>
      <c r="Q408" s="2"/>
      <c r="R408" s="85" t="str">
        <f t="shared" ca="1" si="60"/>
        <v/>
      </c>
      <c r="S408" s="86" t="str">
        <f>IFERROR(VLOOKUP($C408,Code!$H:$Q,5,FALSE),"")</f>
        <v/>
      </c>
      <c r="T408" s="88" t="str">
        <f t="shared" ca="1" si="61"/>
        <v/>
      </c>
      <c r="U408" s="89" t="str">
        <f t="shared" ca="1" si="62"/>
        <v/>
      </c>
      <c r="V408" s="90" t="str">
        <f>IFERROR(VLOOKUP($C408,Code!$H:$Q,6,FALSE),"")</f>
        <v/>
      </c>
      <c r="W408" s="91" t="str">
        <f t="shared" ca="1" si="63"/>
        <v/>
      </c>
      <c r="X408" s="12"/>
      <c r="Y408" s="12"/>
      <c r="Z408" s="12"/>
      <c r="AA408" s="12"/>
      <c r="AB408" s="12"/>
    </row>
    <row r="409" spans="1:28" s="10" customFormat="1" ht="15" hidden="1">
      <c r="A409" s="9"/>
      <c r="B409" s="137"/>
      <c r="C409" s="142"/>
      <c r="D409" s="82" t="str">
        <f>IFERROR(VLOOKUP($C409,Code!$H:$K,2,FALSE),"")</f>
        <v/>
      </c>
      <c r="E409" s="83" t="str">
        <f>IFERROR(VLOOKUP($C409,Code!$H:$K,3,FALSE),"")</f>
        <v/>
      </c>
      <c r="F409" s="84" t="str">
        <f>IFERROR(VLOOKUP($C409,Code!$H:$K,4,FALSE),"")</f>
        <v/>
      </c>
      <c r="G409" s="128">
        <f>_xlfn.IFNA(((VLOOKUP($C409,Code!$H:$Q,9,FALSE))+(VLOOKUP($C409,Code!$H:$Q,10,FALSE)))/2*0.5/(((VLOOKUP($C409,Code!$H:$Q,7,FALSE))+(VLOOKUP($C409,Code!$H:$Q,8,FALSE)))/2),0)</f>
        <v>0</v>
      </c>
      <c r="H409" s="87" t="str">
        <f t="shared" si="56"/>
        <v/>
      </c>
      <c r="I409" s="128">
        <f>_xlfn.IFNA((VLOOKUP($C409,Code!$H:$Q,5,FALSE))/(((VLOOKUP($C409,Code!$H:$Q,7,FALSE))+(VLOOKUP($C409,Code!$H:$Q,8,FALSE)))/2)-G409,0)</f>
        <v>0</v>
      </c>
      <c r="J409" s="55" t="str">
        <f>IFERROR(POWER((VLOOKUP(C409,Code!H:W,12,FALSE))/(VLOOKUP(C409,Code!H:W,15,FALSE)),1/(P409-1))-1,"")</f>
        <v/>
      </c>
      <c r="K409" s="55" t="str">
        <f>IFERROR(POWER((VLOOKUP(C409,Code!H:W,13,FALSE))/(VLOOKUP(C409,Code!H:W,16,FALSE)),1/(P409-1))-1,"")</f>
        <v/>
      </c>
      <c r="L409" s="75" t="str">
        <f>IFERROR(VLOOKUP(C409,Code!H:W,13,FALSE)*4/VLOOKUP(C409,Code!H:W,12,FALSE),"")</f>
        <v/>
      </c>
      <c r="M409" s="55" t="str">
        <f t="shared" si="57"/>
        <v/>
      </c>
      <c r="N409" s="55" t="str">
        <f t="shared" si="58"/>
        <v/>
      </c>
      <c r="O409" s="55" t="str">
        <f t="shared" si="59"/>
        <v/>
      </c>
      <c r="P409" s="196" t="str">
        <f>IFERROR(YEARFRAC(VLOOKUP(C409,Code!H:W,11,FALSE),VLOOKUP(C409,Code!H:W,14,FALSE),3),"")</f>
        <v/>
      </c>
      <c r="Q409" s="2"/>
      <c r="R409" s="85" t="str">
        <f t="shared" ca="1" si="60"/>
        <v/>
      </c>
      <c r="S409" s="86" t="str">
        <f>IFERROR(VLOOKUP($C409,Code!$H:$Q,5,FALSE),"")</f>
        <v/>
      </c>
      <c r="T409" s="88" t="str">
        <f t="shared" ca="1" si="61"/>
        <v/>
      </c>
      <c r="U409" s="89" t="str">
        <f t="shared" ca="1" si="62"/>
        <v/>
      </c>
      <c r="V409" s="90" t="str">
        <f>IFERROR(VLOOKUP($C409,Code!$H:$Q,6,FALSE),"")</f>
        <v/>
      </c>
      <c r="W409" s="91" t="str">
        <f t="shared" ca="1" si="63"/>
        <v/>
      </c>
      <c r="X409" s="12"/>
      <c r="Y409" s="12"/>
      <c r="Z409" s="12"/>
      <c r="AA409" s="12"/>
      <c r="AB409" s="12"/>
    </row>
    <row r="410" spans="1:28" s="10" customFormat="1" ht="15" hidden="1">
      <c r="A410" s="9"/>
      <c r="B410" s="137"/>
      <c r="C410" s="142"/>
      <c r="D410" s="82" t="str">
        <f>IFERROR(VLOOKUP($C410,Code!$H:$K,2,FALSE),"")</f>
        <v/>
      </c>
      <c r="E410" s="83" t="str">
        <f>IFERROR(VLOOKUP($C410,Code!$H:$K,3,FALSE),"")</f>
        <v/>
      </c>
      <c r="F410" s="84" t="str">
        <f>IFERROR(VLOOKUP($C410,Code!$H:$K,4,FALSE),"")</f>
        <v/>
      </c>
      <c r="G410" s="128">
        <f>_xlfn.IFNA(((VLOOKUP($C410,Code!$H:$Q,9,FALSE))+(VLOOKUP($C410,Code!$H:$Q,10,FALSE)))/2*0.5/(((VLOOKUP($C410,Code!$H:$Q,7,FALSE))+(VLOOKUP($C410,Code!$H:$Q,8,FALSE)))/2),0)</f>
        <v>0</v>
      </c>
      <c r="H410" s="87" t="str">
        <f t="shared" si="56"/>
        <v/>
      </c>
      <c r="I410" s="128">
        <f>_xlfn.IFNA((VLOOKUP($C410,Code!$H:$Q,5,FALSE))/(((VLOOKUP($C410,Code!$H:$Q,7,FALSE))+(VLOOKUP($C410,Code!$H:$Q,8,FALSE)))/2)-G410,0)</f>
        <v>0</v>
      </c>
      <c r="J410" s="55" t="str">
        <f>IFERROR(POWER((VLOOKUP(C410,Code!H:W,12,FALSE))/(VLOOKUP(C410,Code!H:W,15,FALSE)),1/(P410-1))-1,"")</f>
        <v/>
      </c>
      <c r="K410" s="55" t="str">
        <f>IFERROR(POWER((VLOOKUP(C410,Code!H:W,13,FALSE))/(VLOOKUP(C410,Code!H:W,16,FALSE)),1/(P410-1))-1,"")</f>
        <v/>
      </c>
      <c r="L410" s="75" t="str">
        <f>IFERROR(VLOOKUP(C410,Code!H:W,13,FALSE)*4/VLOOKUP(C410,Code!H:W,12,FALSE),"")</f>
        <v/>
      </c>
      <c r="M410" s="55" t="str">
        <f t="shared" si="57"/>
        <v/>
      </c>
      <c r="N410" s="55" t="str">
        <f t="shared" si="58"/>
        <v/>
      </c>
      <c r="O410" s="55" t="str">
        <f t="shared" si="59"/>
        <v/>
      </c>
      <c r="P410" s="196" t="str">
        <f>IFERROR(YEARFRAC(VLOOKUP(C410,Code!H:W,11,FALSE),VLOOKUP(C410,Code!H:W,14,FALSE),3),"")</f>
        <v/>
      </c>
      <c r="Q410" s="2"/>
      <c r="R410" s="85" t="str">
        <f t="shared" ca="1" si="60"/>
        <v/>
      </c>
      <c r="S410" s="86" t="str">
        <f>IFERROR(VLOOKUP($C410,Code!$H:$Q,5,FALSE),"")</f>
        <v/>
      </c>
      <c r="T410" s="88" t="str">
        <f t="shared" ca="1" si="61"/>
        <v/>
      </c>
      <c r="U410" s="89" t="str">
        <f t="shared" ca="1" si="62"/>
        <v/>
      </c>
      <c r="V410" s="90" t="str">
        <f>IFERROR(VLOOKUP($C410,Code!$H:$Q,6,FALSE),"")</f>
        <v/>
      </c>
      <c r="W410" s="91" t="str">
        <f t="shared" ca="1" si="63"/>
        <v/>
      </c>
      <c r="X410" s="12"/>
      <c r="Y410" s="12"/>
      <c r="Z410" s="12"/>
      <c r="AA410" s="12"/>
      <c r="AB410" s="12"/>
    </row>
    <row r="411" spans="1:28" s="10" customFormat="1" ht="15" hidden="1">
      <c r="A411" s="9"/>
      <c r="B411" s="137"/>
      <c r="C411" s="142"/>
      <c r="D411" s="82" t="str">
        <f>IFERROR(VLOOKUP($C411,Code!$H:$K,2,FALSE),"")</f>
        <v/>
      </c>
      <c r="E411" s="83" t="str">
        <f>IFERROR(VLOOKUP($C411,Code!$H:$K,3,FALSE),"")</f>
        <v/>
      </c>
      <c r="F411" s="84" t="str">
        <f>IFERROR(VLOOKUP($C411,Code!$H:$K,4,FALSE),"")</f>
        <v/>
      </c>
      <c r="G411" s="128">
        <f>_xlfn.IFNA(((VLOOKUP($C411,Code!$H:$Q,9,FALSE))+(VLOOKUP($C411,Code!$H:$Q,10,FALSE)))/2*0.5/(((VLOOKUP($C411,Code!$H:$Q,7,FALSE))+(VLOOKUP($C411,Code!$H:$Q,8,FALSE)))/2),0)</f>
        <v>0</v>
      </c>
      <c r="H411" s="87" t="str">
        <f t="shared" si="56"/>
        <v/>
      </c>
      <c r="I411" s="128">
        <f>_xlfn.IFNA((VLOOKUP($C411,Code!$H:$Q,5,FALSE))/(((VLOOKUP($C411,Code!$H:$Q,7,FALSE))+(VLOOKUP($C411,Code!$H:$Q,8,FALSE)))/2)-G411,0)</f>
        <v>0</v>
      </c>
      <c r="J411" s="55" t="str">
        <f>IFERROR(POWER((VLOOKUP(C411,Code!H:W,12,FALSE))/(VLOOKUP(C411,Code!H:W,15,FALSE)),1/(P411-1))-1,"")</f>
        <v/>
      </c>
      <c r="K411" s="55" t="str">
        <f>IFERROR(POWER((VLOOKUP(C411,Code!H:W,13,FALSE))/(VLOOKUP(C411,Code!H:W,16,FALSE)),1/(P411-1))-1,"")</f>
        <v/>
      </c>
      <c r="L411" s="75" t="str">
        <f>IFERROR(VLOOKUP(C411,Code!H:W,13,FALSE)*4/VLOOKUP(C411,Code!H:W,12,FALSE),"")</f>
        <v/>
      </c>
      <c r="M411" s="55" t="str">
        <f t="shared" si="57"/>
        <v/>
      </c>
      <c r="N411" s="55" t="str">
        <f t="shared" si="58"/>
        <v/>
      </c>
      <c r="O411" s="55" t="str">
        <f t="shared" si="59"/>
        <v/>
      </c>
      <c r="P411" s="196" t="str">
        <f>IFERROR(YEARFRAC(VLOOKUP(C411,Code!H:W,11,FALSE),VLOOKUP(C411,Code!H:W,14,FALSE),3),"")</f>
        <v/>
      </c>
      <c r="Q411" s="2"/>
      <c r="R411" s="85" t="str">
        <f t="shared" ca="1" si="60"/>
        <v/>
      </c>
      <c r="S411" s="86" t="str">
        <f>IFERROR(VLOOKUP($C411,Code!$H:$Q,5,FALSE),"")</f>
        <v/>
      </c>
      <c r="T411" s="88" t="str">
        <f t="shared" ca="1" si="61"/>
        <v/>
      </c>
      <c r="U411" s="89" t="str">
        <f t="shared" ca="1" si="62"/>
        <v/>
      </c>
      <c r="V411" s="90" t="str">
        <f>IFERROR(VLOOKUP($C411,Code!$H:$Q,6,FALSE),"")</f>
        <v/>
      </c>
      <c r="W411" s="91" t="str">
        <f t="shared" ca="1" si="63"/>
        <v/>
      </c>
      <c r="X411" s="12"/>
      <c r="Y411" s="12"/>
      <c r="Z411" s="12"/>
      <c r="AA411" s="12"/>
      <c r="AB411" s="12"/>
    </row>
    <row r="412" spans="1:28" s="10" customFormat="1" ht="15" hidden="1">
      <c r="A412" s="9"/>
      <c r="B412" s="137"/>
      <c r="C412" s="142"/>
      <c r="D412" s="82" t="str">
        <f>IFERROR(VLOOKUP($C412,Code!$H:$K,2,FALSE),"")</f>
        <v/>
      </c>
      <c r="E412" s="83" t="str">
        <f>IFERROR(VLOOKUP($C412,Code!$H:$K,3,FALSE),"")</f>
        <v/>
      </c>
      <c r="F412" s="84" t="str">
        <f>IFERROR(VLOOKUP($C412,Code!$H:$K,4,FALSE),"")</f>
        <v/>
      </c>
      <c r="G412" s="128">
        <f>_xlfn.IFNA(((VLOOKUP($C412,Code!$H:$Q,9,FALSE))+(VLOOKUP($C412,Code!$H:$Q,10,FALSE)))/2*0.5/(((VLOOKUP($C412,Code!$H:$Q,7,FALSE))+(VLOOKUP($C412,Code!$H:$Q,8,FALSE)))/2),0)</f>
        <v>0</v>
      </c>
      <c r="H412" s="87" t="str">
        <f t="shared" si="56"/>
        <v/>
      </c>
      <c r="I412" s="128">
        <f>_xlfn.IFNA((VLOOKUP($C412,Code!$H:$Q,5,FALSE))/(((VLOOKUP($C412,Code!$H:$Q,7,FALSE))+(VLOOKUP($C412,Code!$H:$Q,8,FALSE)))/2)-G412,0)</f>
        <v>0</v>
      </c>
      <c r="J412" s="55" t="str">
        <f>IFERROR(POWER((VLOOKUP(C412,Code!H:W,12,FALSE))/(VLOOKUP(C412,Code!H:W,15,FALSE)),1/(P412-1))-1,"")</f>
        <v/>
      </c>
      <c r="K412" s="55" t="str">
        <f>IFERROR(POWER((VLOOKUP(C412,Code!H:W,13,FALSE))/(VLOOKUP(C412,Code!H:W,16,FALSE)),1/(P412-1))-1,"")</f>
        <v/>
      </c>
      <c r="L412" s="75" t="str">
        <f>IFERROR(VLOOKUP(C412,Code!H:W,13,FALSE)*4/VLOOKUP(C412,Code!H:W,12,FALSE),"")</f>
        <v/>
      </c>
      <c r="M412" s="55" t="str">
        <f t="shared" si="57"/>
        <v/>
      </c>
      <c r="N412" s="55" t="str">
        <f t="shared" si="58"/>
        <v/>
      </c>
      <c r="O412" s="55" t="str">
        <f t="shared" si="59"/>
        <v/>
      </c>
      <c r="P412" s="196" t="str">
        <f>IFERROR(YEARFRAC(VLOOKUP(C412,Code!H:W,11,FALSE),VLOOKUP(C412,Code!H:W,14,FALSE),3),"")</f>
        <v/>
      </c>
      <c r="Q412" s="2"/>
      <c r="R412" s="85" t="str">
        <f t="shared" ca="1" si="60"/>
        <v/>
      </c>
      <c r="S412" s="86" t="str">
        <f>IFERROR(VLOOKUP($C412,Code!$H:$Q,5,FALSE),"")</f>
        <v/>
      </c>
      <c r="T412" s="88" t="str">
        <f t="shared" ca="1" si="61"/>
        <v/>
      </c>
      <c r="U412" s="89" t="str">
        <f t="shared" ca="1" si="62"/>
        <v/>
      </c>
      <c r="V412" s="90" t="str">
        <f>IFERROR(VLOOKUP($C412,Code!$H:$Q,6,FALSE),"")</f>
        <v/>
      </c>
      <c r="W412" s="91" t="str">
        <f t="shared" ca="1" si="63"/>
        <v/>
      </c>
      <c r="X412" s="12"/>
      <c r="Y412" s="12"/>
      <c r="Z412" s="12"/>
      <c r="AA412" s="12"/>
      <c r="AB412" s="12"/>
    </row>
    <row r="413" spans="1:28" s="10" customFormat="1" ht="15" hidden="1">
      <c r="A413" s="9"/>
      <c r="B413" s="137"/>
      <c r="C413" s="142"/>
      <c r="D413" s="82" t="str">
        <f>IFERROR(VLOOKUP($C413,Code!$H:$K,2,FALSE),"")</f>
        <v/>
      </c>
      <c r="E413" s="83" t="str">
        <f>IFERROR(VLOOKUP($C413,Code!$H:$K,3,FALSE),"")</f>
        <v/>
      </c>
      <c r="F413" s="84" t="str">
        <f>IFERROR(VLOOKUP($C413,Code!$H:$K,4,FALSE),"")</f>
        <v/>
      </c>
      <c r="G413" s="128">
        <f>_xlfn.IFNA(((VLOOKUP($C413,Code!$H:$Q,9,FALSE))+(VLOOKUP($C413,Code!$H:$Q,10,FALSE)))/2*0.5/(((VLOOKUP($C413,Code!$H:$Q,7,FALSE))+(VLOOKUP($C413,Code!$H:$Q,8,FALSE)))/2),0)</f>
        <v>0</v>
      </c>
      <c r="H413" s="87" t="str">
        <f t="shared" si="56"/>
        <v/>
      </c>
      <c r="I413" s="128">
        <f>_xlfn.IFNA((VLOOKUP($C413,Code!$H:$Q,5,FALSE))/(((VLOOKUP($C413,Code!$H:$Q,7,FALSE))+(VLOOKUP($C413,Code!$H:$Q,8,FALSE)))/2)-G413,0)</f>
        <v>0</v>
      </c>
      <c r="J413" s="55" t="str">
        <f>IFERROR(POWER((VLOOKUP(C413,Code!H:W,12,FALSE))/(VLOOKUP(C413,Code!H:W,15,FALSE)),1/(P413-1))-1,"")</f>
        <v/>
      </c>
      <c r="K413" s="55" t="str">
        <f>IFERROR(POWER((VLOOKUP(C413,Code!H:W,13,FALSE))/(VLOOKUP(C413,Code!H:W,16,FALSE)),1/(P413-1))-1,"")</f>
        <v/>
      </c>
      <c r="L413" s="75" t="str">
        <f>IFERROR(VLOOKUP(C413,Code!H:W,13,FALSE)*4/VLOOKUP(C413,Code!H:W,12,FALSE),"")</f>
        <v/>
      </c>
      <c r="M413" s="55" t="str">
        <f t="shared" si="57"/>
        <v/>
      </c>
      <c r="N413" s="55" t="str">
        <f t="shared" si="58"/>
        <v/>
      </c>
      <c r="O413" s="55" t="str">
        <f t="shared" si="59"/>
        <v/>
      </c>
      <c r="P413" s="196" t="str">
        <f>IFERROR(YEARFRAC(VLOOKUP(C413,Code!H:W,11,FALSE),VLOOKUP(C413,Code!H:W,14,FALSE),3),"")</f>
        <v/>
      </c>
      <c r="Q413" s="2"/>
      <c r="R413" s="85" t="str">
        <f t="shared" ca="1" si="60"/>
        <v/>
      </c>
      <c r="S413" s="86" t="str">
        <f>IFERROR(VLOOKUP($C413,Code!$H:$Q,5,FALSE),"")</f>
        <v/>
      </c>
      <c r="T413" s="88" t="str">
        <f t="shared" ca="1" si="61"/>
        <v/>
      </c>
      <c r="U413" s="89" t="str">
        <f t="shared" ca="1" si="62"/>
        <v/>
      </c>
      <c r="V413" s="90" t="str">
        <f>IFERROR(VLOOKUP($C413,Code!$H:$Q,6,FALSE),"")</f>
        <v/>
      </c>
      <c r="W413" s="91" t="str">
        <f t="shared" ca="1" si="63"/>
        <v/>
      </c>
      <c r="X413" s="12"/>
      <c r="Y413" s="12"/>
      <c r="Z413" s="12"/>
      <c r="AA413" s="12"/>
      <c r="AB413" s="12"/>
    </row>
    <row r="414" spans="1:28" s="10" customFormat="1" ht="15" hidden="1">
      <c r="A414" s="9"/>
      <c r="B414" s="137"/>
      <c r="C414" s="142"/>
      <c r="D414" s="82" t="str">
        <f>IFERROR(VLOOKUP($C414,Code!$H:$K,2,FALSE),"")</f>
        <v/>
      </c>
      <c r="E414" s="83" t="str">
        <f>IFERROR(VLOOKUP($C414,Code!$H:$K,3,FALSE),"")</f>
        <v/>
      </c>
      <c r="F414" s="84" t="str">
        <f>IFERROR(VLOOKUP($C414,Code!$H:$K,4,FALSE),"")</f>
        <v/>
      </c>
      <c r="G414" s="128">
        <f>_xlfn.IFNA(((VLOOKUP($C414,Code!$H:$Q,9,FALSE))+(VLOOKUP($C414,Code!$H:$Q,10,FALSE)))/2*0.5/(((VLOOKUP($C414,Code!$H:$Q,7,FALSE))+(VLOOKUP($C414,Code!$H:$Q,8,FALSE)))/2),0)</f>
        <v>0</v>
      </c>
      <c r="H414" s="87" t="str">
        <f t="shared" si="56"/>
        <v/>
      </c>
      <c r="I414" s="128">
        <f>_xlfn.IFNA((VLOOKUP($C414,Code!$H:$Q,5,FALSE))/(((VLOOKUP($C414,Code!$H:$Q,7,FALSE))+(VLOOKUP($C414,Code!$H:$Q,8,FALSE)))/2)-G414,0)</f>
        <v>0</v>
      </c>
      <c r="J414" s="55" t="str">
        <f>IFERROR(POWER((VLOOKUP(C414,Code!H:W,12,FALSE))/(VLOOKUP(C414,Code!H:W,15,FALSE)),1/(P414-1))-1,"")</f>
        <v/>
      </c>
      <c r="K414" s="55" t="str">
        <f>IFERROR(POWER((VLOOKUP(C414,Code!H:W,13,FALSE))/(VLOOKUP(C414,Code!H:W,16,FALSE)),1/(P414-1))-1,"")</f>
        <v/>
      </c>
      <c r="L414" s="75" t="str">
        <f>IFERROR(VLOOKUP(C414,Code!H:W,13,FALSE)*4/VLOOKUP(C414,Code!H:W,12,FALSE),"")</f>
        <v/>
      </c>
      <c r="M414" s="55" t="str">
        <f t="shared" si="57"/>
        <v/>
      </c>
      <c r="N414" s="55" t="str">
        <f t="shared" si="58"/>
        <v/>
      </c>
      <c r="O414" s="55" t="str">
        <f t="shared" si="59"/>
        <v/>
      </c>
      <c r="P414" s="196" t="str">
        <f>IFERROR(YEARFRAC(VLOOKUP(C414,Code!H:W,11,FALSE),VLOOKUP(C414,Code!H:W,14,FALSE),3),"")</f>
        <v/>
      </c>
      <c r="Q414" s="2"/>
      <c r="R414" s="85" t="str">
        <f t="shared" ca="1" si="60"/>
        <v/>
      </c>
      <c r="S414" s="86" t="str">
        <f>IFERROR(VLOOKUP($C414,Code!$H:$Q,5,FALSE),"")</f>
        <v/>
      </c>
      <c r="T414" s="88" t="str">
        <f t="shared" ca="1" si="61"/>
        <v/>
      </c>
      <c r="U414" s="89" t="str">
        <f t="shared" ca="1" si="62"/>
        <v/>
      </c>
      <c r="V414" s="90" t="str">
        <f>IFERROR(VLOOKUP($C414,Code!$H:$Q,6,FALSE),"")</f>
        <v/>
      </c>
      <c r="W414" s="91" t="str">
        <f t="shared" ca="1" si="63"/>
        <v/>
      </c>
      <c r="X414" s="12"/>
      <c r="Y414" s="12"/>
      <c r="Z414" s="12"/>
      <c r="AA414" s="12"/>
      <c r="AB414" s="12"/>
    </row>
    <row r="415" spans="1:28" s="10" customFormat="1" ht="15" hidden="1">
      <c r="A415" s="9"/>
      <c r="B415" s="137"/>
      <c r="C415" s="142"/>
      <c r="D415" s="82" t="str">
        <f>IFERROR(VLOOKUP($C415,Code!$H:$K,2,FALSE),"")</f>
        <v/>
      </c>
      <c r="E415" s="83" t="str">
        <f>IFERROR(VLOOKUP($C415,Code!$H:$K,3,FALSE),"")</f>
        <v/>
      </c>
      <c r="F415" s="84" t="str">
        <f>IFERROR(VLOOKUP($C415,Code!$H:$K,4,FALSE),"")</f>
        <v/>
      </c>
      <c r="G415" s="128">
        <f>_xlfn.IFNA(((VLOOKUP($C415,Code!$H:$Q,9,FALSE))+(VLOOKUP($C415,Code!$H:$Q,10,FALSE)))/2*0.5/(((VLOOKUP($C415,Code!$H:$Q,7,FALSE))+(VLOOKUP($C415,Code!$H:$Q,8,FALSE)))/2),0)</f>
        <v>0</v>
      </c>
      <c r="H415" s="87" t="str">
        <f t="shared" si="56"/>
        <v/>
      </c>
      <c r="I415" s="128">
        <f>_xlfn.IFNA((VLOOKUP($C415,Code!$H:$Q,5,FALSE))/(((VLOOKUP($C415,Code!$H:$Q,7,FALSE))+(VLOOKUP($C415,Code!$H:$Q,8,FALSE)))/2)-G415,0)</f>
        <v>0</v>
      </c>
      <c r="J415" s="55" t="str">
        <f>IFERROR(POWER((VLOOKUP(C415,Code!H:W,12,FALSE))/(VLOOKUP(C415,Code!H:W,15,FALSE)),1/(P415-1))-1,"")</f>
        <v/>
      </c>
      <c r="K415" s="55" t="str">
        <f>IFERROR(POWER((VLOOKUP(C415,Code!H:W,13,FALSE))/(VLOOKUP(C415,Code!H:W,16,FALSE)),1/(P415-1))-1,"")</f>
        <v/>
      </c>
      <c r="L415" s="75" t="str">
        <f>IFERROR(VLOOKUP(C415,Code!H:W,13,FALSE)*4/VLOOKUP(C415,Code!H:W,12,FALSE),"")</f>
        <v/>
      </c>
      <c r="M415" s="55" t="str">
        <f t="shared" si="57"/>
        <v/>
      </c>
      <c r="N415" s="55" t="str">
        <f t="shared" si="58"/>
        <v/>
      </c>
      <c r="O415" s="55" t="str">
        <f t="shared" si="59"/>
        <v/>
      </c>
      <c r="P415" s="196" t="str">
        <f>IFERROR(YEARFRAC(VLOOKUP(C415,Code!H:W,11,FALSE),VLOOKUP(C415,Code!H:W,14,FALSE),3),"")</f>
        <v/>
      </c>
      <c r="Q415" s="2"/>
      <c r="R415" s="85" t="str">
        <f t="shared" ca="1" si="60"/>
        <v/>
      </c>
      <c r="S415" s="86" t="str">
        <f>IFERROR(VLOOKUP($C415,Code!$H:$Q,5,FALSE),"")</f>
        <v/>
      </c>
      <c r="T415" s="88" t="str">
        <f t="shared" ca="1" si="61"/>
        <v/>
      </c>
      <c r="U415" s="89" t="str">
        <f t="shared" ca="1" si="62"/>
        <v/>
      </c>
      <c r="V415" s="90" t="str">
        <f>IFERROR(VLOOKUP($C415,Code!$H:$Q,6,FALSE),"")</f>
        <v/>
      </c>
      <c r="W415" s="91" t="str">
        <f t="shared" ca="1" si="63"/>
        <v/>
      </c>
      <c r="X415" s="12"/>
      <c r="Y415" s="12"/>
      <c r="Z415" s="12"/>
      <c r="AA415" s="12"/>
      <c r="AB415" s="12"/>
    </row>
    <row r="416" spans="1:28" s="10" customFormat="1" ht="15" hidden="1">
      <c r="A416" s="9"/>
      <c r="B416" s="137"/>
      <c r="C416" s="142"/>
      <c r="D416" s="82" t="str">
        <f>IFERROR(VLOOKUP($C416,Code!$H:$K,2,FALSE),"")</f>
        <v/>
      </c>
      <c r="E416" s="83" t="str">
        <f>IFERROR(VLOOKUP($C416,Code!$H:$K,3,FALSE),"")</f>
        <v/>
      </c>
      <c r="F416" s="84" t="str">
        <f>IFERROR(VLOOKUP($C416,Code!$H:$K,4,FALSE),"")</f>
        <v/>
      </c>
      <c r="G416" s="128">
        <f>_xlfn.IFNA(((VLOOKUP($C416,Code!$H:$Q,9,FALSE))+(VLOOKUP($C416,Code!$H:$Q,10,FALSE)))/2*0.5/(((VLOOKUP($C416,Code!$H:$Q,7,FALSE))+(VLOOKUP($C416,Code!$H:$Q,8,FALSE)))/2),0)</f>
        <v>0</v>
      </c>
      <c r="H416" s="87" t="str">
        <f t="shared" si="56"/>
        <v/>
      </c>
      <c r="I416" s="128">
        <f>_xlfn.IFNA((VLOOKUP($C416,Code!$H:$Q,5,FALSE))/(((VLOOKUP($C416,Code!$H:$Q,7,FALSE))+(VLOOKUP($C416,Code!$H:$Q,8,FALSE)))/2)-G416,0)</f>
        <v>0</v>
      </c>
      <c r="J416" s="55" t="str">
        <f>IFERROR(POWER((VLOOKUP(C416,Code!H:W,12,FALSE))/(VLOOKUP(C416,Code!H:W,15,FALSE)),1/(P416-1))-1,"")</f>
        <v/>
      </c>
      <c r="K416" s="55" t="str">
        <f>IFERROR(POWER((VLOOKUP(C416,Code!H:W,13,FALSE))/(VLOOKUP(C416,Code!H:W,16,FALSE)),1/(P416-1))-1,"")</f>
        <v/>
      </c>
      <c r="L416" s="75" t="str">
        <f>IFERROR(VLOOKUP(C416,Code!H:W,13,FALSE)*4/VLOOKUP(C416,Code!H:W,12,FALSE),"")</f>
        <v/>
      </c>
      <c r="M416" s="55" t="str">
        <f t="shared" si="57"/>
        <v/>
      </c>
      <c r="N416" s="55" t="str">
        <f t="shared" si="58"/>
        <v/>
      </c>
      <c r="O416" s="55" t="str">
        <f t="shared" si="59"/>
        <v/>
      </c>
      <c r="P416" s="196" t="str">
        <f>IFERROR(YEARFRAC(VLOOKUP(C416,Code!H:W,11,FALSE),VLOOKUP(C416,Code!H:W,14,FALSE),3),"")</f>
        <v/>
      </c>
      <c r="Q416" s="2"/>
      <c r="R416" s="85" t="str">
        <f t="shared" ca="1" si="60"/>
        <v/>
      </c>
      <c r="S416" s="86" t="str">
        <f>IFERROR(VLOOKUP($C416,Code!$H:$Q,5,FALSE),"")</f>
        <v/>
      </c>
      <c r="T416" s="88" t="str">
        <f t="shared" ca="1" si="61"/>
        <v/>
      </c>
      <c r="U416" s="89" t="str">
        <f t="shared" ca="1" si="62"/>
        <v/>
      </c>
      <c r="V416" s="90" t="str">
        <f>IFERROR(VLOOKUP($C416,Code!$H:$Q,6,FALSE),"")</f>
        <v/>
      </c>
      <c r="W416" s="91" t="str">
        <f t="shared" ca="1" si="63"/>
        <v/>
      </c>
      <c r="X416" s="12"/>
      <c r="Y416" s="12"/>
      <c r="Z416" s="12"/>
      <c r="AA416" s="12"/>
      <c r="AB416" s="12"/>
    </row>
    <row r="417" spans="1:28" s="10" customFormat="1" ht="15" hidden="1">
      <c r="A417" s="9"/>
      <c r="B417" s="137"/>
      <c r="C417" s="142"/>
      <c r="D417" s="82" t="str">
        <f>IFERROR(VLOOKUP($C417,Code!$H:$K,2,FALSE),"")</f>
        <v/>
      </c>
      <c r="E417" s="83" t="str">
        <f>IFERROR(VLOOKUP($C417,Code!$H:$K,3,FALSE),"")</f>
        <v/>
      </c>
      <c r="F417" s="84" t="str">
        <f>IFERROR(VLOOKUP($C417,Code!$H:$K,4,FALSE),"")</f>
        <v/>
      </c>
      <c r="G417" s="128">
        <f>_xlfn.IFNA(((VLOOKUP($C417,Code!$H:$Q,9,FALSE))+(VLOOKUP($C417,Code!$H:$Q,10,FALSE)))/2*0.5/(((VLOOKUP($C417,Code!$H:$Q,7,FALSE))+(VLOOKUP($C417,Code!$H:$Q,8,FALSE)))/2),0)</f>
        <v>0</v>
      </c>
      <c r="H417" s="87" t="str">
        <f t="shared" si="56"/>
        <v/>
      </c>
      <c r="I417" s="128">
        <f>_xlfn.IFNA((VLOOKUP($C417,Code!$H:$Q,5,FALSE))/(((VLOOKUP($C417,Code!$H:$Q,7,FALSE))+(VLOOKUP($C417,Code!$H:$Q,8,FALSE)))/2)-G417,0)</f>
        <v>0</v>
      </c>
      <c r="J417" s="55" t="str">
        <f>IFERROR(POWER((VLOOKUP(C417,Code!H:W,12,FALSE))/(VLOOKUP(C417,Code!H:W,15,FALSE)),1/(P417-1))-1,"")</f>
        <v/>
      </c>
      <c r="K417" s="55" t="str">
        <f>IFERROR(POWER((VLOOKUP(C417,Code!H:W,13,FALSE))/(VLOOKUP(C417,Code!H:W,16,FALSE)),1/(P417-1))-1,"")</f>
        <v/>
      </c>
      <c r="L417" s="75" t="str">
        <f>IFERROR(VLOOKUP(C417,Code!H:W,13,FALSE)*4/VLOOKUP(C417,Code!H:W,12,FALSE),"")</f>
        <v/>
      </c>
      <c r="M417" s="55" t="str">
        <f t="shared" si="57"/>
        <v/>
      </c>
      <c r="N417" s="55" t="str">
        <f t="shared" si="58"/>
        <v/>
      </c>
      <c r="O417" s="55" t="str">
        <f t="shared" si="59"/>
        <v/>
      </c>
      <c r="P417" s="196" t="str">
        <f>IFERROR(YEARFRAC(VLOOKUP(C417,Code!H:W,11,FALSE),VLOOKUP(C417,Code!H:W,14,FALSE),3),"")</f>
        <v/>
      </c>
      <c r="Q417" s="2"/>
      <c r="R417" s="85" t="str">
        <f t="shared" ca="1" si="60"/>
        <v/>
      </c>
      <c r="S417" s="86" t="str">
        <f>IFERROR(VLOOKUP($C417,Code!$H:$Q,5,FALSE),"")</f>
        <v/>
      </c>
      <c r="T417" s="88" t="str">
        <f t="shared" ca="1" si="61"/>
        <v/>
      </c>
      <c r="U417" s="89" t="str">
        <f t="shared" ca="1" si="62"/>
        <v/>
      </c>
      <c r="V417" s="90" t="str">
        <f>IFERROR(VLOOKUP($C417,Code!$H:$Q,6,FALSE),"")</f>
        <v/>
      </c>
      <c r="W417" s="91" t="str">
        <f t="shared" ca="1" si="63"/>
        <v/>
      </c>
      <c r="X417" s="12"/>
      <c r="Y417" s="12"/>
      <c r="Z417" s="12"/>
      <c r="AA417" s="12"/>
      <c r="AB417" s="12"/>
    </row>
    <row r="418" spans="1:28" s="10" customFormat="1" ht="15" hidden="1">
      <c r="A418" s="9"/>
      <c r="B418" s="137"/>
      <c r="C418" s="142"/>
      <c r="D418" s="82" t="str">
        <f>IFERROR(VLOOKUP($C418,Code!$H:$K,2,FALSE),"")</f>
        <v/>
      </c>
      <c r="E418" s="83" t="str">
        <f>IFERROR(VLOOKUP($C418,Code!$H:$K,3,FALSE),"")</f>
        <v/>
      </c>
      <c r="F418" s="84" t="str">
        <f>IFERROR(VLOOKUP($C418,Code!$H:$K,4,FALSE),"")</f>
        <v/>
      </c>
      <c r="G418" s="128">
        <f>_xlfn.IFNA(((VLOOKUP($C418,Code!$H:$Q,9,FALSE))+(VLOOKUP($C418,Code!$H:$Q,10,FALSE)))/2*0.5/(((VLOOKUP($C418,Code!$H:$Q,7,FALSE))+(VLOOKUP($C418,Code!$H:$Q,8,FALSE)))/2),0)</f>
        <v>0</v>
      </c>
      <c r="H418" s="87" t="str">
        <f t="shared" si="56"/>
        <v/>
      </c>
      <c r="I418" s="128">
        <f>_xlfn.IFNA((VLOOKUP($C418,Code!$H:$Q,5,FALSE))/(((VLOOKUP($C418,Code!$H:$Q,7,FALSE))+(VLOOKUP($C418,Code!$H:$Q,8,FALSE)))/2)-G418,0)</f>
        <v>0</v>
      </c>
      <c r="J418" s="55" t="str">
        <f>IFERROR(POWER((VLOOKUP(C418,Code!H:W,12,FALSE))/(VLOOKUP(C418,Code!H:W,15,FALSE)),1/(P418-1))-1,"")</f>
        <v/>
      </c>
      <c r="K418" s="55" t="str">
        <f>IFERROR(POWER((VLOOKUP(C418,Code!H:W,13,FALSE))/(VLOOKUP(C418,Code!H:W,16,FALSE)),1/(P418-1))-1,"")</f>
        <v/>
      </c>
      <c r="L418" s="75" t="str">
        <f>IFERROR(VLOOKUP(C418,Code!H:W,13,FALSE)*4/VLOOKUP(C418,Code!H:W,12,FALSE),"")</f>
        <v/>
      </c>
      <c r="M418" s="55" t="str">
        <f t="shared" si="57"/>
        <v/>
      </c>
      <c r="N418" s="55" t="str">
        <f t="shared" si="58"/>
        <v/>
      </c>
      <c r="O418" s="55" t="str">
        <f t="shared" si="59"/>
        <v/>
      </c>
      <c r="P418" s="196" t="str">
        <f>IFERROR(YEARFRAC(VLOOKUP(C418,Code!H:W,11,FALSE),VLOOKUP(C418,Code!H:W,14,FALSE),3),"")</f>
        <v/>
      </c>
      <c r="Q418" s="2"/>
      <c r="R418" s="85" t="str">
        <f t="shared" ca="1" si="60"/>
        <v/>
      </c>
      <c r="S418" s="86" t="str">
        <f>IFERROR(VLOOKUP($C418,Code!$H:$Q,5,FALSE),"")</f>
        <v/>
      </c>
      <c r="T418" s="88" t="str">
        <f t="shared" ca="1" si="61"/>
        <v/>
      </c>
      <c r="U418" s="89" t="str">
        <f t="shared" ca="1" si="62"/>
        <v/>
      </c>
      <c r="V418" s="90" t="str">
        <f>IFERROR(VLOOKUP($C418,Code!$H:$Q,6,FALSE),"")</f>
        <v/>
      </c>
      <c r="W418" s="91" t="str">
        <f t="shared" ca="1" si="63"/>
        <v/>
      </c>
      <c r="X418" s="12"/>
      <c r="Y418" s="12"/>
      <c r="Z418" s="12"/>
      <c r="AA418" s="12"/>
      <c r="AB418" s="12"/>
    </row>
    <row r="419" spans="1:28" s="10" customFormat="1" ht="15" hidden="1">
      <c r="A419" s="9"/>
      <c r="B419" s="137"/>
      <c r="C419" s="142"/>
      <c r="D419" s="82" t="str">
        <f>IFERROR(VLOOKUP($C419,Code!$H:$K,2,FALSE),"")</f>
        <v/>
      </c>
      <c r="E419" s="83" t="str">
        <f>IFERROR(VLOOKUP($C419,Code!$H:$K,3,FALSE),"")</f>
        <v/>
      </c>
      <c r="F419" s="84" t="str">
        <f>IFERROR(VLOOKUP($C419,Code!$H:$K,4,FALSE),"")</f>
        <v/>
      </c>
      <c r="G419" s="128">
        <f>_xlfn.IFNA(((VLOOKUP($C419,Code!$H:$Q,9,FALSE))+(VLOOKUP($C419,Code!$H:$Q,10,FALSE)))/2*0.5/(((VLOOKUP($C419,Code!$H:$Q,7,FALSE))+(VLOOKUP($C419,Code!$H:$Q,8,FALSE)))/2),0)</f>
        <v>0</v>
      </c>
      <c r="H419" s="87" t="str">
        <f t="shared" si="56"/>
        <v/>
      </c>
      <c r="I419" s="128">
        <f>_xlfn.IFNA((VLOOKUP($C419,Code!$H:$Q,5,FALSE))/(((VLOOKUP($C419,Code!$H:$Q,7,FALSE))+(VLOOKUP($C419,Code!$H:$Q,8,FALSE)))/2)-G419,0)</f>
        <v>0</v>
      </c>
      <c r="J419" s="55" t="str">
        <f>IFERROR(POWER((VLOOKUP(C419,Code!H:W,12,FALSE))/(VLOOKUP(C419,Code!H:W,15,FALSE)),1/(P419-1))-1,"")</f>
        <v/>
      </c>
      <c r="K419" s="55" t="str">
        <f>IFERROR(POWER((VLOOKUP(C419,Code!H:W,13,FALSE))/(VLOOKUP(C419,Code!H:W,16,FALSE)),1/(P419-1))-1,"")</f>
        <v/>
      </c>
      <c r="L419" s="75" t="str">
        <f>IFERROR(VLOOKUP(C419,Code!H:W,13,FALSE)*4/VLOOKUP(C419,Code!H:W,12,FALSE),"")</f>
        <v/>
      </c>
      <c r="M419" s="55" t="str">
        <f t="shared" si="57"/>
        <v/>
      </c>
      <c r="N419" s="55" t="str">
        <f t="shared" si="58"/>
        <v/>
      </c>
      <c r="O419" s="55" t="str">
        <f t="shared" si="59"/>
        <v/>
      </c>
      <c r="P419" s="196" t="str">
        <f>IFERROR(YEARFRAC(VLOOKUP(C419,Code!H:W,11,FALSE),VLOOKUP(C419,Code!H:W,14,FALSE),3),"")</f>
        <v/>
      </c>
      <c r="Q419" s="2"/>
      <c r="R419" s="85" t="str">
        <f t="shared" ca="1" si="60"/>
        <v/>
      </c>
      <c r="S419" s="86" t="str">
        <f>IFERROR(VLOOKUP($C419,Code!$H:$Q,5,FALSE),"")</f>
        <v/>
      </c>
      <c r="T419" s="88" t="str">
        <f t="shared" ca="1" si="61"/>
        <v/>
      </c>
      <c r="U419" s="89" t="str">
        <f t="shared" ca="1" si="62"/>
        <v/>
      </c>
      <c r="V419" s="90" t="str">
        <f>IFERROR(VLOOKUP($C419,Code!$H:$Q,6,FALSE),"")</f>
        <v/>
      </c>
      <c r="W419" s="91" t="str">
        <f t="shared" ca="1" si="63"/>
        <v/>
      </c>
      <c r="X419" s="12"/>
      <c r="Y419" s="12"/>
      <c r="Z419" s="12"/>
      <c r="AA419" s="12"/>
      <c r="AB419" s="12"/>
    </row>
    <row r="420" spans="1:28" s="10" customFormat="1" ht="15" hidden="1">
      <c r="A420" s="9"/>
      <c r="B420" s="137"/>
      <c r="C420" s="142"/>
      <c r="D420" s="82" t="str">
        <f>IFERROR(VLOOKUP($C420,Code!$H:$K,2,FALSE),"")</f>
        <v/>
      </c>
      <c r="E420" s="83" t="str">
        <f>IFERROR(VLOOKUP($C420,Code!$H:$K,3,FALSE),"")</f>
        <v/>
      </c>
      <c r="F420" s="84" t="str">
        <f>IFERROR(VLOOKUP($C420,Code!$H:$K,4,FALSE),"")</f>
        <v/>
      </c>
      <c r="G420" s="128">
        <f>_xlfn.IFNA(((VLOOKUP($C420,Code!$H:$Q,9,FALSE))+(VLOOKUP($C420,Code!$H:$Q,10,FALSE)))/2*0.5/(((VLOOKUP($C420,Code!$H:$Q,7,FALSE))+(VLOOKUP($C420,Code!$H:$Q,8,FALSE)))/2),0)</f>
        <v>0</v>
      </c>
      <c r="H420" s="87" t="str">
        <f t="shared" si="56"/>
        <v/>
      </c>
      <c r="I420" s="128">
        <f>_xlfn.IFNA((VLOOKUP($C420,Code!$H:$Q,5,FALSE))/(((VLOOKUP($C420,Code!$H:$Q,7,FALSE))+(VLOOKUP($C420,Code!$H:$Q,8,FALSE)))/2)-G420,0)</f>
        <v>0</v>
      </c>
      <c r="J420" s="55" t="str">
        <f>IFERROR(POWER((VLOOKUP(C420,Code!H:W,12,FALSE))/(VLOOKUP(C420,Code!H:W,15,FALSE)),1/(P420-1))-1,"")</f>
        <v/>
      </c>
      <c r="K420" s="55" t="str">
        <f>IFERROR(POWER((VLOOKUP(C420,Code!H:W,13,FALSE))/(VLOOKUP(C420,Code!H:W,16,FALSE)),1/(P420-1))-1,"")</f>
        <v/>
      </c>
      <c r="L420" s="75" t="str">
        <f>IFERROR(VLOOKUP(C420,Code!H:W,13,FALSE)*4/VLOOKUP(C420,Code!H:W,12,FALSE),"")</f>
        <v/>
      </c>
      <c r="M420" s="55" t="str">
        <f t="shared" si="57"/>
        <v/>
      </c>
      <c r="N420" s="55" t="str">
        <f t="shared" si="58"/>
        <v/>
      </c>
      <c r="O420" s="55" t="str">
        <f t="shared" si="59"/>
        <v/>
      </c>
      <c r="P420" s="196" t="str">
        <f>IFERROR(YEARFRAC(VLOOKUP(C420,Code!H:W,11,FALSE),VLOOKUP(C420,Code!H:W,14,FALSE),3),"")</f>
        <v/>
      </c>
      <c r="Q420" s="2"/>
      <c r="R420" s="85" t="str">
        <f t="shared" ca="1" si="60"/>
        <v/>
      </c>
      <c r="S420" s="86" t="str">
        <f>IFERROR(VLOOKUP($C420,Code!$H:$Q,5,FALSE),"")</f>
        <v/>
      </c>
      <c r="T420" s="88" t="str">
        <f t="shared" ca="1" si="61"/>
        <v/>
      </c>
      <c r="U420" s="89" t="str">
        <f t="shared" ca="1" si="62"/>
        <v/>
      </c>
      <c r="V420" s="90" t="str">
        <f>IFERROR(VLOOKUP($C420,Code!$H:$Q,6,FALSE),"")</f>
        <v/>
      </c>
      <c r="W420" s="91" t="str">
        <f t="shared" ca="1" si="63"/>
        <v/>
      </c>
      <c r="X420" s="12"/>
      <c r="Y420" s="12"/>
      <c r="Z420" s="12"/>
      <c r="AA420" s="12"/>
      <c r="AB420" s="12"/>
    </row>
    <row r="421" spans="1:28" s="10" customFormat="1" ht="15" hidden="1">
      <c r="A421" s="9"/>
      <c r="B421" s="137"/>
      <c r="C421" s="142"/>
      <c r="D421" s="82" t="str">
        <f>IFERROR(VLOOKUP($C421,Code!$H:$K,2,FALSE),"")</f>
        <v/>
      </c>
      <c r="E421" s="83" t="str">
        <f>IFERROR(VLOOKUP($C421,Code!$H:$K,3,FALSE),"")</f>
        <v/>
      </c>
      <c r="F421" s="84" t="str">
        <f>IFERROR(VLOOKUP($C421,Code!$H:$K,4,FALSE),"")</f>
        <v/>
      </c>
      <c r="G421" s="128">
        <f>_xlfn.IFNA(((VLOOKUP($C421,Code!$H:$Q,9,FALSE))+(VLOOKUP($C421,Code!$H:$Q,10,FALSE)))/2*0.5/(((VLOOKUP($C421,Code!$H:$Q,7,FALSE))+(VLOOKUP($C421,Code!$H:$Q,8,FALSE)))/2),0)</f>
        <v>0</v>
      </c>
      <c r="H421" s="87" t="str">
        <f t="shared" si="56"/>
        <v/>
      </c>
      <c r="I421" s="128">
        <f>_xlfn.IFNA((VLOOKUP($C421,Code!$H:$Q,5,FALSE))/(((VLOOKUP($C421,Code!$H:$Q,7,FALSE))+(VLOOKUP($C421,Code!$H:$Q,8,FALSE)))/2)-G421,0)</f>
        <v>0</v>
      </c>
      <c r="J421" s="55" t="str">
        <f>IFERROR(POWER((VLOOKUP(C421,Code!H:W,12,FALSE))/(VLOOKUP(C421,Code!H:W,15,FALSE)),1/(P421-1))-1,"")</f>
        <v/>
      </c>
      <c r="K421" s="55" t="str">
        <f>IFERROR(POWER((VLOOKUP(C421,Code!H:W,13,FALSE))/(VLOOKUP(C421,Code!H:W,16,FALSE)),1/(P421-1))-1,"")</f>
        <v/>
      </c>
      <c r="L421" s="75" t="str">
        <f>IFERROR(VLOOKUP(C421,Code!H:W,13,FALSE)*4/VLOOKUP(C421,Code!H:W,12,FALSE),"")</f>
        <v/>
      </c>
      <c r="M421" s="55" t="str">
        <f t="shared" si="57"/>
        <v/>
      </c>
      <c r="N421" s="55" t="str">
        <f t="shared" si="58"/>
        <v/>
      </c>
      <c r="O421" s="55" t="str">
        <f t="shared" si="59"/>
        <v/>
      </c>
      <c r="P421" s="196" t="str">
        <f>IFERROR(YEARFRAC(VLOOKUP(C421,Code!H:W,11,FALSE),VLOOKUP(C421,Code!H:W,14,FALSE),3),"")</f>
        <v/>
      </c>
      <c r="Q421" s="2"/>
      <c r="R421" s="85" t="str">
        <f t="shared" ca="1" si="60"/>
        <v/>
      </c>
      <c r="S421" s="86" t="str">
        <f>IFERROR(VLOOKUP($C421,Code!$H:$Q,5,FALSE),"")</f>
        <v/>
      </c>
      <c r="T421" s="88" t="str">
        <f t="shared" ca="1" si="61"/>
        <v/>
      </c>
      <c r="U421" s="89" t="str">
        <f t="shared" ca="1" si="62"/>
        <v/>
      </c>
      <c r="V421" s="90" t="str">
        <f>IFERROR(VLOOKUP($C421,Code!$H:$Q,6,FALSE),"")</f>
        <v/>
      </c>
      <c r="W421" s="91" t="str">
        <f t="shared" ca="1" si="63"/>
        <v/>
      </c>
      <c r="X421" s="12"/>
      <c r="Y421" s="12"/>
      <c r="Z421" s="12"/>
      <c r="AA421" s="12"/>
      <c r="AB421" s="12"/>
    </row>
    <row r="422" spans="1:28" s="10" customFormat="1" ht="15" hidden="1">
      <c r="A422" s="9"/>
      <c r="B422" s="137"/>
      <c r="C422" s="142"/>
      <c r="D422" s="82" t="str">
        <f>IFERROR(VLOOKUP($C422,Code!$H:$K,2,FALSE),"")</f>
        <v/>
      </c>
      <c r="E422" s="83" t="str">
        <f>IFERROR(VLOOKUP($C422,Code!$H:$K,3,FALSE),"")</f>
        <v/>
      </c>
      <c r="F422" s="84" t="str">
        <f>IFERROR(VLOOKUP($C422,Code!$H:$K,4,FALSE),"")</f>
        <v/>
      </c>
      <c r="G422" s="128">
        <f>_xlfn.IFNA(((VLOOKUP($C422,Code!$H:$Q,9,FALSE))+(VLOOKUP($C422,Code!$H:$Q,10,FALSE)))/2*0.5/(((VLOOKUP($C422,Code!$H:$Q,7,FALSE))+(VLOOKUP($C422,Code!$H:$Q,8,FALSE)))/2),0)</f>
        <v>0</v>
      </c>
      <c r="H422" s="87" t="str">
        <f t="shared" si="56"/>
        <v/>
      </c>
      <c r="I422" s="128">
        <f>_xlfn.IFNA((VLOOKUP($C422,Code!$H:$Q,5,FALSE))/(((VLOOKUP($C422,Code!$H:$Q,7,FALSE))+(VLOOKUP($C422,Code!$H:$Q,8,FALSE)))/2)-G422,0)</f>
        <v>0</v>
      </c>
      <c r="J422" s="55" t="str">
        <f>IFERROR(POWER((VLOOKUP(C422,Code!H:W,12,FALSE))/(VLOOKUP(C422,Code!H:W,15,FALSE)),1/(P422-1))-1,"")</f>
        <v/>
      </c>
      <c r="K422" s="55" t="str">
        <f>IFERROR(POWER((VLOOKUP(C422,Code!H:W,13,FALSE))/(VLOOKUP(C422,Code!H:W,16,FALSE)),1/(P422-1))-1,"")</f>
        <v/>
      </c>
      <c r="L422" s="75" t="str">
        <f>IFERROR(VLOOKUP(C422,Code!H:W,13,FALSE)*4/VLOOKUP(C422,Code!H:W,12,FALSE),"")</f>
        <v/>
      </c>
      <c r="M422" s="55" t="str">
        <f t="shared" si="57"/>
        <v/>
      </c>
      <c r="N422" s="55" t="str">
        <f t="shared" si="58"/>
        <v/>
      </c>
      <c r="O422" s="55" t="str">
        <f t="shared" si="59"/>
        <v/>
      </c>
      <c r="P422" s="196" t="str">
        <f>IFERROR(YEARFRAC(VLOOKUP(C422,Code!H:W,11,FALSE),VLOOKUP(C422,Code!H:W,14,FALSE),3),"")</f>
        <v/>
      </c>
      <c r="Q422" s="2"/>
      <c r="R422" s="85" t="str">
        <f t="shared" ca="1" si="60"/>
        <v/>
      </c>
      <c r="S422" s="86" t="str">
        <f>IFERROR(VLOOKUP($C422,Code!$H:$Q,5,FALSE),"")</f>
        <v/>
      </c>
      <c r="T422" s="88" t="str">
        <f t="shared" ca="1" si="61"/>
        <v/>
      </c>
      <c r="U422" s="89" t="str">
        <f t="shared" ca="1" si="62"/>
        <v/>
      </c>
      <c r="V422" s="90" t="str">
        <f>IFERROR(VLOOKUP($C422,Code!$H:$Q,6,FALSE),"")</f>
        <v/>
      </c>
      <c r="W422" s="91" t="str">
        <f t="shared" ca="1" si="63"/>
        <v/>
      </c>
      <c r="X422" s="12"/>
      <c r="Y422" s="12"/>
      <c r="Z422" s="12"/>
      <c r="AA422" s="12"/>
      <c r="AB422" s="12"/>
    </row>
    <row r="423" spans="1:28" s="10" customFormat="1" ht="15" hidden="1">
      <c r="A423" s="9"/>
      <c r="B423" s="137"/>
      <c r="C423" s="142"/>
      <c r="D423" s="82" t="str">
        <f>IFERROR(VLOOKUP($C423,Code!$H:$K,2,FALSE),"")</f>
        <v/>
      </c>
      <c r="E423" s="83" t="str">
        <f>IFERROR(VLOOKUP($C423,Code!$H:$K,3,FALSE),"")</f>
        <v/>
      </c>
      <c r="F423" s="84" t="str">
        <f>IFERROR(VLOOKUP($C423,Code!$H:$K,4,FALSE),"")</f>
        <v/>
      </c>
      <c r="G423" s="128">
        <f>_xlfn.IFNA(((VLOOKUP($C423,Code!$H:$Q,9,FALSE))+(VLOOKUP($C423,Code!$H:$Q,10,FALSE)))/2*0.5/(((VLOOKUP($C423,Code!$H:$Q,7,FALSE))+(VLOOKUP($C423,Code!$H:$Q,8,FALSE)))/2),0)</f>
        <v>0</v>
      </c>
      <c r="H423" s="87" t="str">
        <f t="shared" si="56"/>
        <v/>
      </c>
      <c r="I423" s="128">
        <f>_xlfn.IFNA((VLOOKUP($C423,Code!$H:$Q,5,FALSE))/(((VLOOKUP($C423,Code!$H:$Q,7,FALSE))+(VLOOKUP($C423,Code!$H:$Q,8,FALSE)))/2)-G423,0)</f>
        <v>0</v>
      </c>
      <c r="J423" s="55" t="str">
        <f>IFERROR(POWER((VLOOKUP(C423,Code!H:W,12,FALSE))/(VLOOKUP(C423,Code!H:W,15,FALSE)),1/(P423-1))-1,"")</f>
        <v/>
      </c>
      <c r="K423" s="55" t="str">
        <f>IFERROR(POWER((VLOOKUP(C423,Code!H:W,13,FALSE))/(VLOOKUP(C423,Code!H:W,16,FALSE)),1/(P423-1))-1,"")</f>
        <v/>
      </c>
      <c r="L423" s="75" t="str">
        <f>IFERROR(VLOOKUP(C423,Code!H:W,13,FALSE)*4/VLOOKUP(C423,Code!H:W,12,FALSE),"")</f>
        <v/>
      </c>
      <c r="M423" s="55" t="str">
        <f t="shared" si="57"/>
        <v/>
      </c>
      <c r="N423" s="55" t="str">
        <f t="shared" si="58"/>
        <v/>
      </c>
      <c r="O423" s="55" t="str">
        <f t="shared" si="59"/>
        <v/>
      </c>
      <c r="P423" s="196" t="str">
        <f>IFERROR(YEARFRAC(VLOOKUP(C423,Code!H:W,11,FALSE),VLOOKUP(C423,Code!H:W,14,FALSE),3),"")</f>
        <v/>
      </c>
      <c r="Q423" s="2"/>
      <c r="R423" s="85" t="str">
        <f t="shared" ca="1" si="60"/>
        <v/>
      </c>
      <c r="S423" s="86" t="str">
        <f>IFERROR(VLOOKUP($C423,Code!$H:$Q,5,FALSE),"")</f>
        <v/>
      </c>
      <c r="T423" s="88" t="str">
        <f t="shared" ca="1" si="61"/>
        <v/>
      </c>
      <c r="U423" s="89" t="str">
        <f t="shared" ca="1" si="62"/>
        <v/>
      </c>
      <c r="V423" s="90" t="str">
        <f>IFERROR(VLOOKUP($C423,Code!$H:$Q,6,FALSE),"")</f>
        <v/>
      </c>
      <c r="W423" s="91" t="str">
        <f t="shared" ca="1" si="63"/>
        <v/>
      </c>
      <c r="X423" s="12"/>
      <c r="Y423" s="12"/>
      <c r="Z423" s="12"/>
      <c r="AA423" s="12"/>
      <c r="AB423" s="12"/>
    </row>
    <row r="424" spans="1:28" s="10" customFormat="1" ht="15" hidden="1">
      <c r="A424" s="9"/>
      <c r="B424" s="137"/>
      <c r="C424" s="142"/>
      <c r="D424" s="82" t="str">
        <f>IFERROR(VLOOKUP($C424,Code!$H:$K,2,FALSE),"")</f>
        <v/>
      </c>
      <c r="E424" s="83" t="str">
        <f>IFERROR(VLOOKUP($C424,Code!$H:$K,3,FALSE),"")</f>
        <v/>
      </c>
      <c r="F424" s="84" t="str">
        <f>IFERROR(VLOOKUP($C424,Code!$H:$K,4,FALSE),"")</f>
        <v/>
      </c>
      <c r="G424" s="128">
        <f>_xlfn.IFNA(((VLOOKUP($C424,Code!$H:$Q,9,FALSE))+(VLOOKUP($C424,Code!$H:$Q,10,FALSE)))/2*0.5/(((VLOOKUP($C424,Code!$H:$Q,7,FALSE))+(VLOOKUP($C424,Code!$H:$Q,8,FALSE)))/2),0)</f>
        <v>0</v>
      </c>
      <c r="H424" s="87" t="str">
        <f t="shared" si="56"/>
        <v/>
      </c>
      <c r="I424" s="128">
        <f>_xlfn.IFNA((VLOOKUP($C424,Code!$H:$Q,5,FALSE))/(((VLOOKUP($C424,Code!$H:$Q,7,FALSE))+(VLOOKUP($C424,Code!$H:$Q,8,FALSE)))/2)-G424,0)</f>
        <v>0</v>
      </c>
      <c r="J424" s="55" t="str">
        <f>IFERROR(POWER((VLOOKUP(C424,Code!H:W,12,FALSE))/(VLOOKUP(C424,Code!H:W,15,FALSE)),1/(P424-1))-1,"")</f>
        <v/>
      </c>
      <c r="K424" s="55" t="str">
        <f>IFERROR(POWER((VLOOKUP(C424,Code!H:W,13,FALSE))/(VLOOKUP(C424,Code!H:W,16,FALSE)),1/(P424-1))-1,"")</f>
        <v/>
      </c>
      <c r="L424" s="75" t="str">
        <f>IFERROR(VLOOKUP(C424,Code!H:W,13,FALSE)*4/VLOOKUP(C424,Code!H:W,12,FALSE),"")</f>
        <v/>
      </c>
      <c r="M424" s="55" t="str">
        <f t="shared" si="57"/>
        <v/>
      </c>
      <c r="N424" s="55" t="str">
        <f t="shared" si="58"/>
        <v/>
      </c>
      <c r="O424" s="55" t="str">
        <f t="shared" si="59"/>
        <v/>
      </c>
      <c r="P424" s="196" t="str">
        <f>IFERROR(YEARFRAC(VLOOKUP(C424,Code!H:W,11,FALSE),VLOOKUP(C424,Code!H:W,14,FALSE),3),"")</f>
        <v/>
      </c>
      <c r="Q424" s="2"/>
      <c r="R424" s="85" t="str">
        <f t="shared" ca="1" si="60"/>
        <v/>
      </c>
      <c r="S424" s="86" t="str">
        <f>IFERROR(VLOOKUP($C424,Code!$H:$Q,5,FALSE),"")</f>
        <v/>
      </c>
      <c r="T424" s="88" t="str">
        <f t="shared" ca="1" si="61"/>
        <v/>
      </c>
      <c r="U424" s="89" t="str">
        <f t="shared" ca="1" si="62"/>
        <v/>
      </c>
      <c r="V424" s="90" t="str">
        <f>IFERROR(VLOOKUP($C424,Code!$H:$Q,6,FALSE),"")</f>
        <v/>
      </c>
      <c r="W424" s="91" t="str">
        <f t="shared" ca="1" si="63"/>
        <v/>
      </c>
      <c r="X424" s="12"/>
      <c r="Y424" s="12"/>
      <c r="Z424" s="12"/>
      <c r="AA424" s="12"/>
      <c r="AB424" s="12"/>
    </row>
    <row r="425" spans="1:28" s="10" customFormat="1" ht="15" hidden="1">
      <c r="A425" s="9"/>
      <c r="B425" s="137"/>
      <c r="C425" s="142"/>
      <c r="D425" s="82" t="str">
        <f>IFERROR(VLOOKUP($C425,Code!$H:$K,2,FALSE),"")</f>
        <v/>
      </c>
      <c r="E425" s="83" t="str">
        <f>IFERROR(VLOOKUP($C425,Code!$H:$K,3,FALSE),"")</f>
        <v/>
      </c>
      <c r="F425" s="84" t="str">
        <f>IFERROR(VLOOKUP($C425,Code!$H:$K,4,FALSE),"")</f>
        <v/>
      </c>
      <c r="G425" s="128">
        <f>_xlfn.IFNA(((VLOOKUP($C425,Code!$H:$Q,9,FALSE))+(VLOOKUP($C425,Code!$H:$Q,10,FALSE)))/2*0.5/(((VLOOKUP($C425,Code!$H:$Q,7,FALSE))+(VLOOKUP($C425,Code!$H:$Q,8,FALSE)))/2),0)</f>
        <v>0</v>
      </c>
      <c r="H425" s="87" t="str">
        <f t="shared" si="56"/>
        <v/>
      </c>
      <c r="I425" s="128">
        <f>_xlfn.IFNA((VLOOKUP($C425,Code!$H:$Q,5,FALSE))/(((VLOOKUP($C425,Code!$H:$Q,7,FALSE))+(VLOOKUP($C425,Code!$H:$Q,8,FALSE)))/2)-G425,0)</f>
        <v>0</v>
      </c>
      <c r="J425" s="55" t="str">
        <f>IFERROR(POWER((VLOOKUP(C425,Code!H:W,12,FALSE))/(VLOOKUP(C425,Code!H:W,15,FALSE)),1/(P425-1))-1,"")</f>
        <v/>
      </c>
      <c r="K425" s="55" t="str">
        <f>IFERROR(POWER((VLOOKUP(C425,Code!H:W,13,FALSE))/(VLOOKUP(C425,Code!H:W,16,FALSE)),1/(P425-1))-1,"")</f>
        <v/>
      </c>
      <c r="L425" s="75" t="str">
        <f>IFERROR(VLOOKUP(C425,Code!H:W,13,FALSE)*4/VLOOKUP(C425,Code!H:W,12,FALSE),"")</f>
        <v/>
      </c>
      <c r="M425" s="55" t="str">
        <f t="shared" si="57"/>
        <v/>
      </c>
      <c r="N425" s="55" t="str">
        <f t="shared" si="58"/>
        <v/>
      </c>
      <c r="O425" s="55" t="str">
        <f t="shared" si="59"/>
        <v/>
      </c>
      <c r="P425" s="196" t="str">
        <f>IFERROR(YEARFRAC(VLOOKUP(C425,Code!H:W,11,FALSE),VLOOKUP(C425,Code!H:W,14,FALSE),3),"")</f>
        <v/>
      </c>
      <c r="Q425" s="2"/>
      <c r="R425" s="85" t="str">
        <f t="shared" ca="1" si="60"/>
        <v/>
      </c>
      <c r="S425" s="86" t="str">
        <f>IFERROR(VLOOKUP($C425,Code!$H:$Q,5,FALSE),"")</f>
        <v/>
      </c>
      <c r="T425" s="88" t="str">
        <f t="shared" ca="1" si="61"/>
        <v/>
      </c>
      <c r="U425" s="89" t="str">
        <f t="shared" ca="1" si="62"/>
        <v/>
      </c>
      <c r="V425" s="90" t="str">
        <f>IFERROR(VLOOKUP($C425,Code!$H:$Q,6,FALSE),"")</f>
        <v/>
      </c>
      <c r="W425" s="91" t="str">
        <f t="shared" ca="1" si="63"/>
        <v/>
      </c>
      <c r="X425" s="12"/>
      <c r="Y425" s="12"/>
      <c r="Z425" s="12"/>
      <c r="AA425" s="12"/>
      <c r="AB425" s="12"/>
    </row>
    <row r="426" spans="1:28" s="10" customFormat="1" ht="15" hidden="1">
      <c r="A426" s="9"/>
      <c r="B426" s="137"/>
      <c r="C426" s="142"/>
      <c r="D426" s="82" t="str">
        <f>IFERROR(VLOOKUP($C426,Code!$H:$K,2,FALSE),"")</f>
        <v/>
      </c>
      <c r="E426" s="83" t="str">
        <f>IFERROR(VLOOKUP($C426,Code!$H:$K,3,FALSE),"")</f>
        <v/>
      </c>
      <c r="F426" s="84" t="str">
        <f>IFERROR(VLOOKUP($C426,Code!$H:$K,4,FALSE),"")</f>
        <v/>
      </c>
      <c r="G426" s="128">
        <f>_xlfn.IFNA(((VLOOKUP($C426,Code!$H:$Q,9,FALSE))+(VLOOKUP($C426,Code!$H:$Q,10,FALSE)))/2*0.5/(((VLOOKUP($C426,Code!$H:$Q,7,FALSE))+(VLOOKUP($C426,Code!$H:$Q,8,FALSE)))/2),0)</f>
        <v>0</v>
      </c>
      <c r="H426" s="87" t="str">
        <f t="shared" si="56"/>
        <v/>
      </c>
      <c r="I426" s="128">
        <f>_xlfn.IFNA((VLOOKUP($C426,Code!$H:$Q,5,FALSE))/(((VLOOKUP($C426,Code!$H:$Q,7,FALSE))+(VLOOKUP($C426,Code!$H:$Q,8,FALSE)))/2)-G426,0)</f>
        <v>0</v>
      </c>
      <c r="J426" s="55" t="str">
        <f>IFERROR(POWER((VLOOKUP(C426,Code!H:W,12,FALSE))/(VLOOKUP(C426,Code!H:W,15,FALSE)),1/(P426-1))-1,"")</f>
        <v/>
      </c>
      <c r="K426" s="55" t="str">
        <f>IFERROR(POWER((VLOOKUP(C426,Code!H:W,13,FALSE))/(VLOOKUP(C426,Code!H:W,16,FALSE)),1/(P426-1))-1,"")</f>
        <v/>
      </c>
      <c r="L426" s="75" t="str">
        <f>IFERROR(VLOOKUP(C426,Code!H:W,13,FALSE)*4/VLOOKUP(C426,Code!H:W,12,FALSE),"")</f>
        <v/>
      </c>
      <c r="M426" s="55" t="str">
        <f t="shared" si="57"/>
        <v/>
      </c>
      <c r="N426" s="55" t="str">
        <f t="shared" si="58"/>
        <v/>
      </c>
      <c r="O426" s="55" t="str">
        <f t="shared" si="59"/>
        <v/>
      </c>
      <c r="P426" s="196" t="str">
        <f>IFERROR(YEARFRAC(VLOOKUP(C426,Code!H:W,11,FALSE),VLOOKUP(C426,Code!H:W,14,FALSE),3),"")</f>
        <v/>
      </c>
      <c r="Q426" s="2"/>
      <c r="R426" s="85" t="str">
        <f t="shared" ca="1" si="60"/>
        <v/>
      </c>
      <c r="S426" s="86" t="str">
        <f>IFERROR(VLOOKUP($C426,Code!$H:$Q,5,FALSE),"")</f>
        <v/>
      </c>
      <c r="T426" s="88" t="str">
        <f t="shared" ca="1" si="61"/>
        <v/>
      </c>
      <c r="U426" s="89" t="str">
        <f t="shared" ca="1" si="62"/>
        <v/>
      </c>
      <c r="V426" s="90" t="str">
        <f>IFERROR(VLOOKUP($C426,Code!$H:$Q,6,FALSE),"")</f>
        <v/>
      </c>
      <c r="W426" s="91" t="str">
        <f t="shared" ca="1" si="63"/>
        <v/>
      </c>
      <c r="X426" s="12"/>
      <c r="Y426" s="12"/>
      <c r="Z426" s="12"/>
      <c r="AA426" s="12"/>
      <c r="AB426" s="12"/>
    </row>
    <row r="427" spans="1:28" s="10" customFormat="1" ht="15" hidden="1">
      <c r="A427" s="9"/>
      <c r="B427" s="137"/>
      <c r="C427" s="142"/>
      <c r="D427" s="82" t="str">
        <f>IFERROR(VLOOKUP($C427,Code!$H:$K,2,FALSE),"")</f>
        <v/>
      </c>
      <c r="E427" s="83" t="str">
        <f>IFERROR(VLOOKUP($C427,Code!$H:$K,3,FALSE),"")</f>
        <v/>
      </c>
      <c r="F427" s="84" t="str">
        <f>IFERROR(VLOOKUP($C427,Code!$H:$K,4,FALSE),"")</f>
        <v/>
      </c>
      <c r="G427" s="128">
        <f>_xlfn.IFNA(((VLOOKUP($C427,Code!$H:$Q,9,FALSE))+(VLOOKUP($C427,Code!$H:$Q,10,FALSE)))/2*0.5/(((VLOOKUP($C427,Code!$H:$Q,7,FALSE))+(VLOOKUP($C427,Code!$H:$Q,8,FALSE)))/2),0)</f>
        <v>0</v>
      </c>
      <c r="H427" s="87" t="str">
        <f t="shared" si="56"/>
        <v/>
      </c>
      <c r="I427" s="128">
        <f>_xlfn.IFNA((VLOOKUP($C427,Code!$H:$Q,5,FALSE))/(((VLOOKUP($C427,Code!$H:$Q,7,FALSE))+(VLOOKUP($C427,Code!$H:$Q,8,FALSE)))/2)-G427,0)</f>
        <v>0</v>
      </c>
      <c r="J427" s="55" t="str">
        <f>IFERROR(POWER((VLOOKUP(C427,Code!H:W,12,FALSE))/(VLOOKUP(C427,Code!H:W,15,FALSE)),1/(P427-1))-1,"")</f>
        <v/>
      </c>
      <c r="K427" s="55" t="str">
        <f>IFERROR(POWER((VLOOKUP(C427,Code!H:W,13,FALSE))/(VLOOKUP(C427,Code!H:W,16,FALSE)),1/(P427-1))-1,"")</f>
        <v/>
      </c>
      <c r="L427" s="75" t="str">
        <f>IFERROR(VLOOKUP(C427,Code!H:W,13,FALSE)*4/VLOOKUP(C427,Code!H:W,12,FALSE),"")</f>
        <v/>
      </c>
      <c r="M427" s="55" t="str">
        <f t="shared" si="57"/>
        <v/>
      </c>
      <c r="N427" s="55" t="str">
        <f t="shared" si="58"/>
        <v/>
      </c>
      <c r="O427" s="55" t="str">
        <f t="shared" si="59"/>
        <v/>
      </c>
      <c r="P427" s="196" t="str">
        <f>IFERROR(YEARFRAC(VLOOKUP(C427,Code!H:W,11,FALSE),VLOOKUP(C427,Code!H:W,14,FALSE),3),"")</f>
        <v/>
      </c>
      <c r="Q427" s="2"/>
      <c r="R427" s="85" t="str">
        <f t="shared" ca="1" si="60"/>
        <v/>
      </c>
      <c r="S427" s="86" t="str">
        <f>IFERROR(VLOOKUP($C427,Code!$H:$Q,5,FALSE),"")</f>
        <v/>
      </c>
      <c r="T427" s="88" t="str">
        <f t="shared" ca="1" si="61"/>
        <v/>
      </c>
      <c r="U427" s="89" t="str">
        <f t="shared" ca="1" si="62"/>
        <v/>
      </c>
      <c r="V427" s="90" t="str">
        <f>IFERROR(VLOOKUP($C427,Code!$H:$Q,6,FALSE),"")</f>
        <v/>
      </c>
      <c r="W427" s="91" t="str">
        <f t="shared" ca="1" si="63"/>
        <v/>
      </c>
      <c r="X427" s="12"/>
      <c r="Y427" s="12"/>
      <c r="Z427" s="12"/>
      <c r="AA427" s="12"/>
      <c r="AB427" s="12"/>
    </row>
    <row r="428" spans="1:28" s="10" customFormat="1" ht="15" hidden="1">
      <c r="A428" s="9"/>
      <c r="B428" s="137"/>
      <c r="C428" s="142"/>
      <c r="D428" s="82" t="str">
        <f>IFERROR(VLOOKUP($C428,Code!$H:$K,2,FALSE),"")</f>
        <v/>
      </c>
      <c r="E428" s="83" t="str">
        <f>IFERROR(VLOOKUP($C428,Code!$H:$K,3,FALSE),"")</f>
        <v/>
      </c>
      <c r="F428" s="84" t="str">
        <f>IFERROR(VLOOKUP($C428,Code!$H:$K,4,FALSE),"")</f>
        <v/>
      </c>
      <c r="G428" s="128">
        <f>_xlfn.IFNA(((VLOOKUP($C428,Code!$H:$Q,9,FALSE))+(VLOOKUP($C428,Code!$H:$Q,10,FALSE)))/2*0.5/(((VLOOKUP($C428,Code!$H:$Q,7,FALSE))+(VLOOKUP($C428,Code!$H:$Q,8,FALSE)))/2),0)</f>
        <v>0</v>
      </c>
      <c r="H428" s="87" t="str">
        <f t="shared" si="56"/>
        <v/>
      </c>
      <c r="I428" s="128">
        <f>_xlfn.IFNA((VLOOKUP($C428,Code!$H:$Q,5,FALSE))/(((VLOOKUP($C428,Code!$H:$Q,7,FALSE))+(VLOOKUP($C428,Code!$H:$Q,8,FALSE)))/2)-G428,0)</f>
        <v>0</v>
      </c>
      <c r="J428" s="55" t="str">
        <f>IFERROR(POWER((VLOOKUP(C428,Code!H:W,12,FALSE))/(VLOOKUP(C428,Code!H:W,15,FALSE)),1/(P428-1))-1,"")</f>
        <v/>
      </c>
      <c r="K428" s="55" t="str">
        <f>IFERROR(POWER((VLOOKUP(C428,Code!H:W,13,FALSE))/(VLOOKUP(C428,Code!H:W,16,FALSE)),1/(P428-1))-1,"")</f>
        <v/>
      </c>
      <c r="L428" s="75" t="str">
        <f>IFERROR(VLOOKUP(C428,Code!H:W,13,FALSE)*4/VLOOKUP(C428,Code!H:W,12,FALSE),"")</f>
        <v/>
      </c>
      <c r="M428" s="55" t="str">
        <f t="shared" si="57"/>
        <v/>
      </c>
      <c r="N428" s="55" t="str">
        <f t="shared" si="58"/>
        <v/>
      </c>
      <c r="O428" s="55" t="str">
        <f t="shared" si="59"/>
        <v/>
      </c>
      <c r="P428" s="196" t="str">
        <f>IFERROR(YEARFRAC(VLOOKUP(C428,Code!H:W,11,FALSE),VLOOKUP(C428,Code!H:W,14,FALSE),3),"")</f>
        <v/>
      </c>
      <c r="Q428" s="2"/>
      <c r="R428" s="85" t="str">
        <f t="shared" ca="1" si="60"/>
        <v/>
      </c>
      <c r="S428" s="86" t="str">
        <f>IFERROR(VLOOKUP($C428,Code!$H:$Q,5,FALSE),"")</f>
        <v/>
      </c>
      <c r="T428" s="88" t="str">
        <f t="shared" ca="1" si="61"/>
        <v/>
      </c>
      <c r="U428" s="89" t="str">
        <f t="shared" ca="1" si="62"/>
        <v/>
      </c>
      <c r="V428" s="90" t="str">
        <f>IFERROR(VLOOKUP($C428,Code!$H:$Q,6,FALSE),"")</f>
        <v/>
      </c>
      <c r="W428" s="91" t="str">
        <f t="shared" ca="1" si="63"/>
        <v/>
      </c>
      <c r="X428" s="12"/>
      <c r="Y428" s="12"/>
      <c r="Z428" s="12"/>
      <c r="AA428" s="12"/>
      <c r="AB428" s="12"/>
    </row>
    <row r="429" spans="1:28" s="10" customFormat="1" ht="15" hidden="1">
      <c r="A429" s="9"/>
      <c r="B429" s="137"/>
      <c r="C429" s="142"/>
      <c r="D429" s="82" t="str">
        <f>IFERROR(VLOOKUP($C429,Code!$H:$K,2,FALSE),"")</f>
        <v/>
      </c>
      <c r="E429" s="83" t="str">
        <f>IFERROR(VLOOKUP($C429,Code!$H:$K,3,FALSE),"")</f>
        <v/>
      </c>
      <c r="F429" s="84" t="str">
        <f>IFERROR(VLOOKUP($C429,Code!$H:$K,4,FALSE),"")</f>
        <v/>
      </c>
      <c r="G429" s="128">
        <f>_xlfn.IFNA(((VLOOKUP($C429,Code!$H:$Q,9,FALSE))+(VLOOKUP($C429,Code!$H:$Q,10,FALSE)))/2*0.5/(((VLOOKUP($C429,Code!$H:$Q,7,FALSE))+(VLOOKUP($C429,Code!$H:$Q,8,FALSE)))/2),0)</f>
        <v>0</v>
      </c>
      <c r="H429" s="87" t="str">
        <f t="shared" si="56"/>
        <v/>
      </c>
      <c r="I429" s="128">
        <f>_xlfn.IFNA((VLOOKUP($C429,Code!$H:$Q,5,FALSE))/(((VLOOKUP($C429,Code!$H:$Q,7,FALSE))+(VLOOKUP($C429,Code!$H:$Q,8,FALSE)))/2)-G429,0)</f>
        <v>0</v>
      </c>
      <c r="J429" s="55" t="str">
        <f>IFERROR(POWER((VLOOKUP(C429,Code!H:W,12,FALSE))/(VLOOKUP(C429,Code!H:W,15,FALSE)),1/(P429-1))-1,"")</f>
        <v/>
      </c>
      <c r="K429" s="55" t="str">
        <f>IFERROR(POWER((VLOOKUP(C429,Code!H:W,13,FALSE))/(VLOOKUP(C429,Code!H:W,16,FALSE)),1/(P429-1))-1,"")</f>
        <v/>
      </c>
      <c r="L429" s="75" t="str">
        <f>IFERROR(VLOOKUP(C429,Code!H:W,13,FALSE)*4/VLOOKUP(C429,Code!H:W,12,FALSE),"")</f>
        <v/>
      </c>
      <c r="M429" s="55" t="str">
        <f t="shared" si="57"/>
        <v/>
      </c>
      <c r="N429" s="55" t="str">
        <f t="shared" si="58"/>
        <v/>
      </c>
      <c r="O429" s="55" t="str">
        <f t="shared" si="59"/>
        <v/>
      </c>
      <c r="P429" s="196" t="str">
        <f>IFERROR(YEARFRAC(VLOOKUP(C429,Code!H:W,11,FALSE),VLOOKUP(C429,Code!H:W,14,FALSE),3),"")</f>
        <v/>
      </c>
      <c r="Q429" s="2"/>
      <c r="R429" s="85" t="str">
        <f t="shared" ca="1" si="60"/>
        <v/>
      </c>
      <c r="S429" s="86" t="str">
        <f>IFERROR(VLOOKUP($C429,Code!$H:$Q,5,FALSE),"")</f>
        <v/>
      </c>
      <c r="T429" s="88" t="str">
        <f t="shared" ca="1" si="61"/>
        <v/>
      </c>
      <c r="U429" s="89" t="str">
        <f t="shared" ca="1" si="62"/>
        <v/>
      </c>
      <c r="V429" s="90" t="str">
        <f>IFERROR(VLOOKUP($C429,Code!$H:$Q,6,FALSE),"")</f>
        <v/>
      </c>
      <c r="W429" s="91" t="str">
        <f t="shared" ca="1" si="63"/>
        <v/>
      </c>
      <c r="X429" s="12"/>
      <c r="Y429" s="12"/>
      <c r="Z429" s="12"/>
      <c r="AA429" s="12"/>
      <c r="AB429" s="12"/>
    </row>
    <row r="430" spans="1:28" s="10" customFormat="1" ht="15" hidden="1">
      <c r="A430" s="9"/>
      <c r="B430" s="137"/>
      <c r="C430" s="142"/>
      <c r="D430" s="82" t="str">
        <f>IFERROR(VLOOKUP($C430,Code!$H:$K,2,FALSE),"")</f>
        <v/>
      </c>
      <c r="E430" s="83" t="str">
        <f>IFERROR(VLOOKUP($C430,Code!$H:$K,3,FALSE),"")</f>
        <v/>
      </c>
      <c r="F430" s="84" t="str">
        <f>IFERROR(VLOOKUP($C430,Code!$H:$K,4,FALSE),"")</f>
        <v/>
      </c>
      <c r="G430" s="128">
        <f>_xlfn.IFNA(((VLOOKUP($C430,Code!$H:$Q,9,FALSE))+(VLOOKUP($C430,Code!$H:$Q,10,FALSE)))/2*0.5/(((VLOOKUP($C430,Code!$H:$Q,7,FALSE))+(VLOOKUP($C430,Code!$H:$Q,8,FALSE)))/2),0)</f>
        <v>0</v>
      </c>
      <c r="H430" s="87" t="str">
        <f t="shared" si="56"/>
        <v/>
      </c>
      <c r="I430" s="128">
        <f>_xlfn.IFNA((VLOOKUP($C430,Code!$H:$Q,5,FALSE))/(((VLOOKUP($C430,Code!$H:$Q,7,FALSE))+(VLOOKUP($C430,Code!$H:$Q,8,FALSE)))/2)-G430,0)</f>
        <v>0</v>
      </c>
      <c r="J430" s="55" t="str">
        <f>IFERROR(POWER((VLOOKUP(C430,Code!H:W,12,FALSE))/(VLOOKUP(C430,Code!H:W,15,FALSE)),1/(P430-1))-1,"")</f>
        <v/>
      </c>
      <c r="K430" s="55" t="str">
        <f>IFERROR(POWER((VLOOKUP(C430,Code!H:W,13,FALSE))/(VLOOKUP(C430,Code!H:W,16,FALSE)),1/(P430-1))-1,"")</f>
        <v/>
      </c>
      <c r="L430" s="75" t="str">
        <f>IFERROR(VLOOKUP(C430,Code!H:W,13,FALSE)*4/VLOOKUP(C430,Code!H:W,12,FALSE),"")</f>
        <v/>
      </c>
      <c r="M430" s="55" t="str">
        <f t="shared" si="57"/>
        <v/>
      </c>
      <c r="N430" s="55" t="str">
        <f t="shared" si="58"/>
        <v/>
      </c>
      <c r="O430" s="55" t="str">
        <f t="shared" si="59"/>
        <v/>
      </c>
      <c r="P430" s="196" t="str">
        <f>IFERROR(YEARFRAC(VLOOKUP(C430,Code!H:W,11,FALSE),VLOOKUP(C430,Code!H:W,14,FALSE),3),"")</f>
        <v/>
      </c>
      <c r="Q430" s="2"/>
      <c r="R430" s="85" t="str">
        <f t="shared" ca="1" si="60"/>
        <v/>
      </c>
      <c r="S430" s="86" t="str">
        <f>IFERROR(VLOOKUP($C430,Code!$H:$Q,5,FALSE),"")</f>
        <v/>
      </c>
      <c r="T430" s="88" t="str">
        <f t="shared" ca="1" si="61"/>
        <v/>
      </c>
      <c r="U430" s="89" t="str">
        <f t="shared" ca="1" si="62"/>
        <v/>
      </c>
      <c r="V430" s="90" t="str">
        <f>IFERROR(VLOOKUP($C430,Code!$H:$Q,6,FALSE),"")</f>
        <v/>
      </c>
      <c r="W430" s="91" t="str">
        <f t="shared" ca="1" si="63"/>
        <v/>
      </c>
      <c r="X430" s="12"/>
      <c r="Y430" s="12"/>
      <c r="Z430" s="12"/>
      <c r="AA430" s="12"/>
      <c r="AB430" s="12"/>
    </row>
    <row r="431" spans="1:28" s="10" customFormat="1" ht="15" hidden="1">
      <c r="A431" s="9"/>
      <c r="B431" s="137"/>
      <c r="C431" s="142"/>
      <c r="D431" s="82" t="str">
        <f>IFERROR(VLOOKUP($C431,Code!$H:$K,2,FALSE),"")</f>
        <v/>
      </c>
      <c r="E431" s="83" t="str">
        <f>IFERROR(VLOOKUP($C431,Code!$H:$K,3,FALSE),"")</f>
        <v/>
      </c>
      <c r="F431" s="84" t="str">
        <f>IFERROR(VLOOKUP($C431,Code!$H:$K,4,FALSE),"")</f>
        <v/>
      </c>
      <c r="G431" s="128">
        <f>_xlfn.IFNA(((VLOOKUP($C431,Code!$H:$Q,9,FALSE))+(VLOOKUP($C431,Code!$H:$Q,10,FALSE)))/2*0.5/(((VLOOKUP($C431,Code!$H:$Q,7,FALSE))+(VLOOKUP($C431,Code!$H:$Q,8,FALSE)))/2),0)</f>
        <v>0</v>
      </c>
      <c r="H431" s="87" t="str">
        <f t="shared" si="56"/>
        <v/>
      </c>
      <c r="I431" s="128">
        <f>_xlfn.IFNA((VLOOKUP($C431,Code!$H:$Q,5,FALSE))/(((VLOOKUP($C431,Code!$H:$Q,7,FALSE))+(VLOOKUP($C431,Code!$H:$Q,8,FALSE)))/2)-G431,0)</f>
        <v>0</v>
      </c>
      <c r="J431" s="55" t="str">
        <f>IFERROR(POWER((VLOOKUP(C431,Code!H:W,12,FALSE))/(VLOOKUP(C431,Code!H:W,15,FALSE)),1/(P431-1))-1,"")</f>
        <v/>
      </c>
      <c r="K431" s="55" t="str">
        <f>IFERROR(POWER((VLOOKUP(C431,Code!H:W,13,FALSE))/(VLOOKUP(C431,Code!H:W,16,FALSE)),1/(P431-1))-1,"")</f>
        <v/>
      </c>
      <c r="L431" s="75" t="str">
        <f>IFERROR(VLOOKUP(C431,Code!H:W,13,FALSE)*4/VLOOKUP(C431,Code!H:W,12,FALSE),"")</f>
        <v/>
      </c>
      <c r="M431" s="55" t="str">
        <f t="shared" si="57"/>
        <v/>
      </c>
      <c r="N431" s="55" t="str">
        <f t="shared" si="58"/>
        <v/>
      </c>
      <c r="O431" s="55" t="str">
        <f t="shared" si="59"/>
        <v/>
      </c>
      <c r="P431" s="196" t="str">
        <f>IFERROR(YEARFRAC(VLOOKUP(C431,Code!H:W,11,FALSE),VLOOKUP(C431,Code!H:W,14,FALSE),3),"")</f>
        <v/>
      </c>
      <c r="Q431" s="2"/>
      <c r="R431" s="85" t="str">
        <f t="shared" ca="1" si="60"/>
        <v/>
      </c>
      <c r="S431" s="86" t="str">
        <f>IFERROR(VLOOKUP($C431,Code!$H:$Q,5,FALSE),"")</f>
        <v/>
      </c>
      <c r="T431" s="88" t="str">
        <f t="shared" ca="1" si="61"/>
        <v/>
      </c>
      <c r="U431" s="89" t="str">
        <f t="shared" ca="1" si="62"/>
        <v/>
      </c>
      <c r="V431" s="90" t="str">
        <f>IFERROR(VLOOKUP($C431,Code!$H:$Q,6,FALSE),"")</f>
        <v/>
      </c>
      <c r="W431" s="91" t="str">
        <f t="shared" ca="1" si="63"/>
        <v/>
      </c>
      <c r="X431" s="12"/>
      <c r="Y431" s="12"/>
      <c r="Z431" s="12"/>
      <c r="AA431" s="12"/>
      <c r="AB431" s="12"/>
    </row>
    <row r="432" spans="1:28" s="10" customFormat="1" ht="15" hidden="1">
      <c r="A432" s="9"/>
      <c r="B432" s="137"/>
      <c r="C432" s="142"/>
      <c r="D432" s="82" t="str">
        <f>IFERROR(VLOOKUP($C432,Code!$H:$K,2,FALSE),"")</f>
        <v/>
      </c>
      <c r="E432" s="83" t="str">
        <f>IFERROR(VLOOKUP($C432,Code!$H:$K,3,FALSE),"")</f>
        <v/>
      </c>
      <c r="F432" s="84" t="str">
        <f>IFERROR(VLOOKUP($C432,Code!$H:$K,4,FALSE),"")</f>
        <v/>
      </c>
      <c r="G432" s="128">
        <f>_xlfn.IFNA(((VLOOKUP($C432,Code!$H:$Q,9,FALSE))+(VLOOKUP($C432,Code!$H:$Q,10,FALSE)))/2*0.5/(((VLOOKUP($C432,Code!$H:$Q,7,FALSE))+(VLOOKUP($C432,Code!$H:$Q,8,FALSE)))/2),0)</f>
        <v>0</v>
      </c>
      <c r="H432" s="87" t="str">
        <f t="shared" si="56"/>
        <v/>
      </c>
      <c r="I432" s="128">
        <f>_xlfn.IFNA((VLOOKUP($C432,Code!$H:$Q,5,FALSE))/(((VLOOKUP($C432,Code!$H:$Q,7,FALSE))+(VLOOKUP($C432,Code!$H:$Q,8,FALSE)))/2)-G432,0)</f>
        <v>0</v>
      </c>
      <c r="J432" s="55" t="str">
        <f>IFERROR(POWER((VLOOKUP(C432,Code!H:W,12,FALSE))/(VLOOKUP(C432,Code!H:W,15,FALSE)),1/(P432-1))-1,"")</f>
        <v/>
      </c>
      <c r="K432" s="55" t="str">
        <f>IFERROR(POWER((VLOOKUP(C432,Code!H:W,13,FALSE))/(VLOOKUP(C432,Code!H:W,16,FALSE)),1/(P432-1))-1,"")</f>
        <v/>
      </c>
      <c r="L432" s="75" t="str">
        <f>IFERROR(VLOOKUP(C432,Code!H:W,13,FALSE)*4/VLOOKUP(C432,Code!H:W,12,FALSE),"")</f>
        <v/>
      </c>
      <c r="M432" s="55" t="str">
        <f t="shared" si="57"/>
        <v/>
      </c>
      <c r="N432" s="55" t="str">
        <f t="shared" si="58"/>
        <v/>
      </c>
      <c r="O432" s="55" t="str">
        <f t="shared" si="59"/>
        <v/>
      </c>
      <c r="P432" s="196" t="str">
        <f>IFERROR(YEARFRAC(VLOOKUP(C432,Code!H:W,11,FALSE),VLOOKUP(C432,Code!H:W,14,FALSE),3),"")</f>
        <v/>
      </c>
      <c r="Q432" s="2"/>
      <c r="R432" s="85" t="str">
        <f t="shared" ca="1" si="60"/>
        <v/>
      </c>
      <c r="S432" s="86" t="str">
        <f>IFERROR(VLOOKUP($C432,Code!$H:$Q,5,FALSE),"")</f>
        <v/>
      </c>
      <c r="T432" s="88" t="str">
        <f t="shared" ca="1" si="61"/>
        <v/>
      </c>
      <c r="U432" s="89" t="str">
        <f t="shared" ca="1" si="62"/>
        <v/>
      </c>
      <c r="V432" s="90" t="str">
        <f>IFERROR(VLOOKUP($C432,Code!$H:$Q,6,FALSE),"")</f>
        <v/>
      </c>
      <c r="W432" s="91" t="str">
        <f t="shared" ca="1" si="63"/>
        <v/>
      </c>
      <c r="X432" s="12"/>
      <c r="Y432" s="12"/>
      <c r="Z432" s="12"/>
      <c r="AA432" s="12"/>
      <c r="AB432" s="12"/>
    </row>
    <row r="433" spans="1:28" s="10" customFormat="1" ht="15" hidden="1">
      <c r="A433" s="9"/>
      <c r="B433" s="137"/>
      <c r="C433" s="142"/>
      <c r="D433" s="82" t="str">
        <f>IFERROR(VLOOKUP($C433,Code!$H:$K,2,FALSE),"")</f>
        <v/>
      </c>
      <c r="E433" s="83" t="str">
        <f>IFERROR(VLOOKUP($C433,Code!$H:$K,3,FALSE),"")</f>
        <v/>
      </c>
      <c r="F433" s="84" t="str">
        <f>IFERROR(VLOOKUP($C433,Code!$H:$K,4,FALSE),"")</f>
        <v/>
      </c>
      <c r="G433" s="128">
        <f>_xlfn.IFNA(((VLOOKUP($C433,Code!$H:$Q,9,FALSE))+(VLOOKUP($C433,Code!$H:$Q,10,FALSE)))/2*0.5/(((VLOOKUP($C433,Code!$H:$Q,7,FALSE))+(VLOOKUP($C433,Code!$H:$Q,8,FALSE)))/2),0)</f>
        <v>0</v>
      </c>
      <c r="H433" s="87" t="str">
        <f t="shared" si="56"/>
        <v/>
      </c>
      <c r="I433" s="128">
        <f>_xlfn.IFNA((VLOOKUP($C433,Code!$H:$Q,5,FALSE))/(((VLOOKUP($C433,Code!$H:$Q,7,FALSE))+(VLOOKUP($C433,Code!$H:$Q,8,FALSE)))/2)-G433,0)</f>
        <v>0</v>
      </c>
      <c r="J433" s="55" t="str">
        <f>IFERROR(POWER((VLOOKUP(C433,Code!H:W,12,FALSE))/(VLOOKUP(C433,Code!H:W,15,FALSE)),1/(P433-1))-1,"")</f>
        <v/>
      </c>
      <c r="K433" s="55" t="str">
        <f>IFERROR(POWER((VLOOKUP(C433,Code!H:W,13,FALSE))/(VLOOKUP(C433,Code!H:W,16,FALSE)),1/(P433-1))-1,"")</f>
        <v/>
      </c>
      <c r="L433" s="75" t="str">
        <f>IFERROR(VLOOKUP(C433,Code!H:W,13,FALSE)*4/VLOOKUP(C433,Code!H:W,12,FALSE),"")</f>
        <v/>
      </c>
      <c r="M433" s="55" t="str">
        <f t="shared" si="57"/>
        <v/>
      </c>
      <c r="N433" s="55" t="str">
        <f t="shared" si="58"/>
        <v/>
      </c>
      <c r="O433" s="55" t="str">
        <f t="shared" si="59"/>
        <v/>
      </c>
      <c r="P433" s="196" t="str">
        <f>IFERROR(YEARFRAC(VLOOKUP(C433,Code!H:W,11,FALSE),VLOOKUP(C433,Code!H:W,14,FALSE),3),"")</f>
        <v/>
      </c>
      <c r="Q433" s="2"/>
      <c r="R433" s="85" t="str">
        <f t="shared" ca="1" si="60"/>
        <v/>
      </c>
      <c r="S433" s="86" t="str">
        <f>IFERROR(VLOOKUP($C433,Code!$H:$Q,5,FALSE),"")</f>
        <v/>
      </c>
      <c r="T433" s="88" t="str">
        <f t="shared" ca="1" si="61"/>
        <v/>
      </c>
      <c r="U433" s="89" t="str">
        <f t="shared" ca="1" si="62"/>
        <v/>
      </c>
      <c r="V433" s="90" t="str">
        <f>IFERROR(VLOOKUP($C433,Code!$H:$Q,6,FALSE),"")</f>
        <v/>
      </c>
      <c r="W433" s="91" t="str">
        <f t="shared" ca="1" si="63"/>
        <v/>
      </c>
      <c r="X433" s="12"/>
      <c r="Y433" s="12"/>
      <c r="Z433" s="12"/>
      <c r="AA433" s="12"/>
      <c r="AB433" s="12"/>
    </row>
    <row r="434" spans="1:28" s="10" customFormat="1" ht="15" hidden="1">
      <c r="A434" s="9"/>
      <c r="B434" s="137"/>
      <c r="C434" s="142"/>
      <c r="D434" s="82" t="str">
        <f>IFERROR(VLOOKUP($C434,Code!$H:$K,2,FALSE),"")</f>
        <v/>
      </c>
      <c r="E434" s="83" t="str">
        <f>IFERROR(VLOOKUP($C434,Code!$H:$K,3,FALSE),"")</f>
        <v/>
      </c>
      <c r="F434" s="84" t="str">
        <f>IFERROR(VLOOKUP($C434,Code!$H:$K,4,FALSE),"")</f>
        <v/>
      </c>
      <c r="G434" s="128">
        <f>_xlfn.IFNA(((VLOOKUP($C434,Code!$H:$Q,9,FALSE))+(VLOOKUP($C434,Code!$H:$Q,10,FALSE)))/2*0.5/(((VLOOKUP($C434,Code!$H:$Q,7,FALSE))+(VLOOKUP($C434,Code!$H:$Q,8,FALSE)))/2),0)</f>
        <v>0</v>
      </c>
      <c r="H434" s="87" t="str">
        <f t="shared" si="56"/>
        <v/>
      </c>
      <c r="I434" s="128">
        <f>_xlfn.IFNA((VLOOKUP($C434,Code!$H:$Q,5,FALSE))/(((VLOOKUP($C434,Code!$H:$Q,7,FALSE))+(VLOOKUP($C434,Code!$H:$Q,8,FALSE)))/2)-G434,0)</f>
        <v>0</v>
      </c>
      <c r="J434" s="55" t="str">
        <f>IFERROR(POWER((VLOOKUP(C434,Code!H:W,12,FALSE))/(VLOOKUP(C434,Code!H:W,15,FALSE)),1/(P434-1))-1,"")</f>
        <v/>
      </c>
      <c r="K434" s="55" t="str">
        <f>IFERROR(POWER((VLOOKUP(C434,Code!H:W,13,FALSE))/(VLOOKUP(C434,Code!H:W,16,FALSE)),1/(P434-1))-1,"")</f>
        <v/>
      </c>
      <c r="L434" s="75" t="str">
        <f>IFERROR(VLOOKUP(C434,Code!H:W,13,FALSE)*4/VLOOKUP(C434,Code!H:W,12,FALSE),"")</f>
        <v/>
      </c>
      <c r="M434" s="55" t="str">
        <f t="shared" si="57"/>
        <v/>
      </c>
      <c r="N434" s="55" t="str">
        <f t="shared" si="58"/>
        <v/>
      </c>
      <c r="O434" s="55" t="str">
        <f t="shared" si="59"/>
        <v/>
      </c>
      <c r="P434" s="196" t="str">
        <f>IFERROR(YEARFRAC(VLOOKUP(C434,Code!H:W,11,FALSE),VLOOKUP(C434,Code!H:W,14,FALSE),3),"")</f>
        <v/>
      </c>
      <c r="Q434" s="2"/>
      <c r="R434" s="85" t="str">
        <f t="shared" ca="1" si="60"/>
        <v/>
      </c>
      <c r="S434" s="86" t="str">
        <f>IFERROR(VLOOKUP($C434,Code!$H:$Q,5,FALSE),"")</f>
        <v/>
      </c>
      <c r="T434" s="88" t="str">
        <f t="shared" ca="1" si="61"/>
        <v/>
      </c>
      <c r="U434" s="89" t="str">
        <f t="shared" ca="1" si="62"/>
        <v/>
      </c>
      <c r="V434" s="90" t="str">
        <f>IFERROR(VLOOKUP($C434,Code!$H:$Q,6,FALSE),"")</f>
        <v/>
      </c>
      <c r="W434" s="91" t="str">
        <f t="shared" ca="1" si="63"/>
        <v/>
      </c>
      <c r="X434" s="12"/>
      <c r="Y434" s="12"/>
      <c r="Z434" s="12"/>
      <c r="AA434" s="12"/>
      <c r="AB434" s="12"/>
    </row>
    <row r="435" spans="1:28" s="10" customFormat="1" ht="15" hidden="1">
      <c r="A435" s="9"/>
      <c r="B435" s="137"/>
      <c r="C435" s="142"/>
      <c r="D435" s="82" t="str">
        <f>IFERROR(VLOOKUP($C435,Code!$H:$K,2,FALSE),"")</f>
        <v/>
      </c>
      <c r="E435" s="83" t="str">
        <f>IFERROR(VLOOKUP($C435,Code!$H:$K,3,FALSE),"")</f>
        <v/>
      </c>
      <c r="F435" s="84" t="str">
        <f>IFERROR(VLOOKUP($C435,Code!$H:$K,4,FALSE),"")</f>
        <v/>
      </c>
      <c r="G435" s="128">
        <f>_xlfn.IFNA(((VLOOKUP($C435,Code!$H:$Q,9,FALSE))+(VLOOKUP($C435,Code!$H:$Q,10,FALSE)))/2*0.5/(((VLOOKUP($C435,Code!$H:$Q,7,FALSE))+(VLOOKUP($C435,Code!$H:$Q,8,FALSE)))/2),0)</f>
        <v>0</v>
      </c>
      <c r="H435" s="87" t="str">
        <f t="shared" si="56"/>
        <v/>
      </c>
      <c r="I435" s="128">
        <f>_xlfn.IFNA((VLOOKUP($C435,Code!$H:$Q,5,FALSE))/(((VLOOKUP($C435,Code!$H:$Q,7,FALSE))+(VLOOKUP($C435,Code!$H:$Q,8,FALSE)))/2)-G435,0)</f>
        <v>0</v>
      </c>
      <c r="J435" s="55" t="str">
        <f>IFERROR(POWER((VLOOKUP(C435,Code!H:W,12,FALSE))/(VLOOKUP(C435,Code!H:W,15,FALSE)),1/(P435-1))-1,"")</f>
        <v/>
      </c>
      <c r="K435" s="55" t="str">
        <f>IFERROR(POWER((VLOOKUP(C435,Code!H:W,13,FALSE))/(VLOOKUP(C435,Code!H:W,16,FALSE)),1/(P435-1))-1,"")</f>
        <v/>
      </c>
      <c r="L435" s="75" t="str">
        <f>IFERROR(VLOOKUP(C435,Code!H:W,13,FALSE)*4/VLOOKUP(C435,Code!H:W,12,FALSE),"")</f>
        <v/>
      </c>
      <c r="M435" s="55" t="str">
        <f t="shared" si="57"/>
        <v/>
      </c>
      <c r="N435" s="55" t="str">
        <f t="shared" si="58"/>
        <v/>
      </c>
      <c r="O435" s="55" t="str">
        <f t="shared" si="59"/>
        <v/>
      </c>
      <c r="P435" s="196" t="str">
        <f>IFERROR(YEARFRAC(VLOOKUP(C435,Code!H:W,11,FALSE),VLOOKUP(C435,Code!H:W,14,FALSE),3),"")</f>
        <v/>
      </c>
      <c r="Q435" s="2"/>
      <c r="R435" s="85" t="str">
        <f t="shared" ca="1" si="60"/>
        <v/>
      </c>
      <c r="S435" s="86" t="str">
        <f>IFERROR(VLOOKUP($C435,Code!$H:$Q,5,FALSE),"")</f>
        <v/>
      </c>
      <c r="T435" s="88" t="str">
        <f t="shared" ca="1" si="61"/>
        <v/>
      </c>
      <c r="U435" s="89" t="str">
        <f t="shared" ca="1" si="62"/>
        <v/>
      </c>
      <c r="V435" s="90" t="str">
        <f>IFERROR(VLOOKUP($C435,Code!$H:$Q,6,FALSE),"")</f>
        <v/>
      </c>
      <c r="W435" s="91" t="str">
        <f t="shared" ca="1" si="63"/>
        <v/>
      </c>
      <c r="X435" s="12"/>
      <c r="Y435" s="12"/>
      <c r="Z435" s="12"/>
      <c r="AA435" s="12"/>
      <c r="AB435" s="12"/>
    </row>
    <row r="436" spans="1:28" s="10" customFormat="1" ht="15" hidden="1">
      <c r="A436" s="9"/>
      <c r="B436" s="137"/>
      <c r="C436" s="142"/>
      <c r="D436" s="82" t="str">
        <f>IFERROR(VLOOKUP($C436,Code!$H:$K,2,FALSE),"")</f>
        <v/>
      </c>
      <c r="E436" s="83" t="str">
        <f>IFERROR(VLOOKUP($C436,Code!$H:$K,3,FALSE),"")</f>
        <v/>
      </c>
      <c r="F436" s="84" t="str">
        <f>IFERROR(VLOOKUP($C436,Code!$H:$K,4,FALSE),"")</f>
        <v/>
      </c>
      <c r="G436" s="128">
        <f>_xlfn.IFNA(((VLOOKUP($C436,Code!$H:$Q,9,FALSE))+(VLOOKUP($C436,Code!$H:$Q,10,FALSE)))/2*0.5/(((VLOOKUP($C436,Code!$H:$Q,7,FALSE))+(VLOOKUP($C436,Code!$H:$Q,8,FALSE)))/2),0)</f>
        <v>0</v>
      </c>
      <c r="H436" s="87" t="str">
        <f t="shared" si="56"/>
        <v/>
      </c>
      <c r="I436" s="128">
        <f>_xlfn.IFNA((VLOOKUP($C436,Code!$H:$Q,5,FALSE))/(((VLOOKUP($C436,Code!$H:$Q,7,FALSE))+(VLOOKUP($C436,Code!$H:$Q,8,FALSE)))/2)-G436,0)</f>
        <v>0</v>
      </c>
      <c r="J436" s="55" t="str">
        <f>IFERROR(POWER((VLOOKUP(C436,Code!H:W,12,FALSE))/(VLOOKUP(C436,Code!H:W,15,FALSE)),1/(P436-1))-1,"")</f>
        <v/>
      </c>
      <c r="K436" s="55" t="str">
        <f>IFERROR(POWER((VLOOKUP(C436,Code!H:W,13,FALSE))/(VLOOKUP(C436,Code!H:W,16,FALSE)),1/(P436-1))-1,"")</f>
        <v/>
      </c>
      <c r="L436" s="75" t="str">
        <f>IFERROR(VLOOKUP(C436,Code!H:W,13,FALSE)*4/VLOOKUP(C436,Code!H:W,12,FALSE),"")</f>
        <v/>
      </c>
      <c r="M436" s="55" t="str">
        <f t="shared" si="57"/>
        <v/>
      </c>
      <c r="N436" s="55" t="str">
        <f t="shared" si="58"/>
        <v/>
      </c>
      <c r="O436" s="55" t="str">
        <f t="shared" si="59"/>
        <v/>
      </c>
      <c r="P436" s="196" t="str">
        <f>IFERROR(YEARFRAC(VLOOKUP(C436,Code!H:W,11,FALSE),VLOOKUP(C436,Code!H:W,14,FALSE),3),"")</f>
        <v/>
      </c>
      <c r="Q436" s="2"/>
      <c r="R436" s="85" t="str">
        <f t="shared" ca="1" si="60"/>
        <v/>
      </c>
      <c r="S436" s="86" t="str">
        <f>IFERROR(VLOOKUP($C436,Code!$H:$Q,5,FALSE),"")</f>
        <v/>
      </c>
      <c r="T436" s="88" t="str">
        <f t="shared" ca="1" si="61"/>
        <v/>
      </c>
      <c r="U436" s="89" t="str">
        <f t="shared" ca="1" si="62"/>
        <v/>
      </c>
      <c r="V436" s="90" t="str">
        <f>IFERROR(VLOOKUP($C436,Code!$H:$Q,6,FALSE),"")</f>
        <v/>
      </c>
      <c r="W436" s="91" t="str">
        <f t="shared" ca="1" si="63"/>
        <v/>
      </c>
      <c r="X436" s="12"/>
      <c r="Y436" s="12"/>
      <c r="Z436" s="12"/>
      <c r="AA436" s="12"/>
      <c r="AB436" s="12"/>
    </row>
    <row r="437" spans="1:28" s="10" customFormat="1" ht="15" hidden="1">
      <c r="A437" s="9"/>
      <c r="B437" s="137"/>
      <c r="C437" s="142"/>
      <c r="D437" s="82" t="str">
        <f>IFERROR(VLOOKUP($C437,Code!$H:$K,2,FALSE),"")</f>
        <v/>
      </c>
      <c r="E437" s="83" t="str">
        <f>IFERROR(VLOOKUP($C437,Code!$H:$K,3,FALSE),"")</f>
        <v/>
      </c>
      <c r="F437" s="84" t="str">
        <f>IFERROR(VLOOKUP($C437,Code!$H:$K,4,FALSE),"")</f>
        <v/>
      </c>
      <c r="G437" s="128">
        <f>_xlfn.IFNA(((VLOOKUP($C437,Code!$H:$Q,9,FALSE))+(VLOOKUP($C437,Code!$H:$Q,10,FALSE)))/2*0.5/(((VLOOKUP($C437,Code!$H:$Q,7,FALSE))+(VLOOKUP($C437,Code!$H:$Q,8,FALSE)))/2),0)</f>
        <v>0</v>
      </c>
      <c r="H437" s="87" t="str">
        <f t="shared" si="56"/>
        <v/>
      </c>
      <c r="I437" s="128">
        <f>_xlfn.IFNA((VLOOKUP($C437,Code!$H:$Q,5,FALSE))/(((VLOOKUP($C437,Code!$H:$Q,7,FALSE))+(VLOOKUP($C437,Code!$H:$Q,8,FALSE)))/2)-G437,0)</f>
        <v>0</v>
      </c>
      <c r="J437" s="55" t="str">
        <f>IFERROR(POWER((VLOOKUP(C437,Code!H:W,12,FALSE))/(VLOOKUP(C437,Code!H:W,15,FALSE)),1/(P437-1))-1,"")</f>
        <v/>
      </c>
      <c r="K437" s="55" t="str">
        <f>IFERROR(POWER((VLOOKUP(C437,Code!H:W,13,FALSE))/(VLOOKUP(C437,Code!H:W,16,FALSE)),1/(P437-1))-1,"")</f>
        <v/>
      </c>
      <c r="L437" s="75" t="str">
        <f>IFERROR(VLOOKUP(C437,Code!H:W,13,FALSE)*4/VLOOKUP(C437,Code!H:W,12,FALSE),"")</f>
        <v/>
      </c>
      <c r="M437" s="55" t="str">
        <f t="shared" si="57"/>
        <v/>
      </c>
      <c r="N437" s="55" t="str">
        <f t="shared" si="58"/>
        <v/>
      </c>
      <c r="O437" s="55" t="str">
        <f t="shared" si="59"/>
        <v/>
      </c>
      <c r="P437" s="196" t="str">
        <f>IFERROR(YEARFRAC(VLOOKUP(C437,Code!H:W,11,FALSE),VLOOKUP(C437,Code!H:W,14,FALSE),3),"")</f>
        <v/>
      </c>
      <c r="Q437" s="2"/>
      <c r="R437" s="85" t="str">
        <f t="shared" ca="1" si="60"/>
        <v/>
      </c>
      <c r="S437" s="86" t="str">
        <f>IFERROR(VLOOKUP($C437,Code!$H:$Q,5,FALSE),"")</f>
        <v/>
      </c>
      <c r="T437" s="88" t="str">
        <f t="shared" ca="1" si="61"/>
        <v/>
      </c>
      <c r="U437" s="89" t="str">
        <f t="shared" ca="1" si="62"/>
        <v/>
      </c>
      <c r="V437" s="90" t="str">
        <f>IFERROR(VLOOKUP($C437,Code!$H:$Q,6,FALSE),"")</f>
        <v/>
      </c>
      <c r="W437" s="91" t="str">
        <f t="shared" ca="1" si="63"/>
        <v/>
      </c>
      <c r="X437" s="12"/>
      <c r="Y437" s="12"/>
      <c r="Z437" s="12"/>
      <c r="AA437" s="12"/>
      <c r="AB437" s="12"/>
    </row>
    <row r="438" spans="1:28" s="10" customFormat="1" ht="15" hidden="1">
      <c r="A438" s="9"/>
      <c r="B438" s="137"/>
      <c r="C438" s="142"/>
      <c r="D438" s="82" t="str">
        <f>IFERROR(VLOOKUP($C438,Code!$H:$K,2,FALSE),"")</f>
        <v/>
      </c>
      <c r="E438" s="83" t="str">
        <f>IFERROR(VLOOKUP($C438,Code!$H:$K,3,FALSE),"")</f>
        <v/>
      </c>
      <c r="F438" s="84" t="str">
        <f>IFERROR(VLOOKUP($C438,Code!$H:$K,4,FALSE),"")</f>
        <v/>
      </c>
      <c r="G438" s="128">
        <f>_xlfn.IFNA(((VLOOKUP($C438,Code!$H:$Q,9,FALSE))+(VLOOKUP($C438,Code!$H:$Q,10,FALSE)))/2*0.5/(((VLOOKUP($C438,Code!$H:$Q,7,FALSE))+(VLOOKUP($C438,Code!$H:$Q,8,FALSE)))/2),0)</f>
        <v>0</v>
      </c>
      <c r="H438" s="87" t="str">
        <f t="shared" si="56"/>
        <v/>
      </c>
      <c r="I438" s="128">
        <f>_xlfn.IFNA((VLOOKUP($C438,Code!$H:$Q,5,FALSE))/(((VLOOKUP($C438,Code!$H:$Q,7,FALSE))+(VLOOKUP($C438,Code!$H:$Q,8,FALSE)))/2)-G438,0)</f>
        <v>0</v>
      </c>
      <c r="J438" s="55" t="str">
        <f>IFERROR(POWER((VLOOKUP(C438,Code!H:W,12,FALSE))/(VLOOKUP(C438,Code!H:W,15,FALSE)),1/(P438-1))-1,"")</f>
        <v/>
      </c>
      <c r="K438" s="55" t="str">
        <f>IFERROR(POWER((VLOOKUP(C438,Code!H:W,13,FALSE))/(VLOOKUP(C438,Code!H:W,16,FALSE)),1/(P438-1))-1,"")</f>
        <v/>
      </c>
      <c r="L438" s="75" t="str">
        <f>IFERROR(VLOOKUP(C438,Code!H:W,13,FALSE)*4/VLOOKUP(C438,Code!H:W,12,FALSE),"")</f>
        <v/>
      </c>
      <c r="M438" s="55" t="str">
        <f t="shared" si="57"/>
        <v/>
      </c>
      <c r="N438" s="55" t="str">
        <f t="shared" si="58"/>
        <v/>
      </c>
      <c r="O438" s="55" t="str">
        <f t="shared" si="59"/>
        <v/>
      </c>
      <c r="P438" s="196" t="str">
        <f>IFERROR(YEARFRAC(VLOOKUP(C438,Code!H:W,11,FALSE),VLOOKUP(C438,Code!H:W,14,FALSE),3),"")</f>
        <v/>
      </c>
      <c r="Q438" s="2"/>
      <c r="R438" s="85" t="str">
        <f t="shared" ca="1" si="60"/>
        <v/>
      </c>
      <c r="S438" s="86" t="str">
        <f>IFERROR(VLOOKUP($C438,Code!$H:$Q,5,FALSE),"")</f>
        <v/>
      </c>
      <c r="T438" s="88" t="str">
        <f t="shared" ca="1" si="61"/>
        <v/>
      </c>
      <c r="U438" s="89" t="str">
        <f t="shared" ca="1" si="62"/>
        <v/>
      </c>
      <c r="V438" s="90" t="str">
        <f>IFERROR(VLOOKUP($C438,Code!$H:$Q,6,FALSE),"")</f>
        <v/>
      </c>
      <c r="W438" s="91" t="str">
        <f t="shared" ca="1" si="63"/>
        <v/>
      </c>
      <c r="X438" s="12"/>
      <c r="Y438" s="12"/>
      <c r="Z438" s="12"/>
      <c r="AA438" s="12"/>
      <c r="AB438" s="12"/>
    </row>
    <row r="439" spans="1:28" s="10" customFormat="1" ht="15" hidden="1">
      <c r="A439" s="9"/>
      <c r="B439" s="137"/>
      <c r="C439" s="142"/>
      <c r="D439" s="82" t="str">
        <f>IFERROR(VLOOKUP($C439,Code!$H:$K,2,FALSE),"")</f>
        <v/>
      </c>
      <c r="E439" s="83" t="str">
        <f>IFERROR(VLOOKUP($C439,Code!$H:$K,3,FALSE),"")</f>
        <v/>
      </c>
      <c r="F439" s="84" t="str">
        <f>IFERROR(VLOOKUP($C439,Code!$H:$K,4,FALSE),"")</f>
        <v/>
      </c>
      <c r="G439" s="128">
        <f>_xlfn.IFNA(((VLOOKUP($C439,Code!$H:$Q,9,FALSE))+(VLOOKUP($C439,Code!$H:$Q,10,FALSE)))/2*0.5/(((VLOOKUP($C439,Code!$H:$Q,7,FALSE))+(VLOOKUP($C439,Code!$H:$Q,8,FALSE)))/2),0)</f>
        <v>0</v>
      </c>
      <c r="H439" s="87" t="str">
        <f t="shared" si="56"/>
        <v/>
      </c>
      <c r="I439" s="128">
        <f>_xlfn.IFNA((VLOOKUP($C439,Code!$H:$Q,5,FALSE))/(((VLOOKUP($C439,Code!$H:$Q,7,FALSE))+(VLOOKUP($C439,Code!$H:$Q,8,FALSE)))/2)-G439,0)</f>
        <v>0</v>
      </c>
      <c r="J439" s="55" t="str">
        <f>IFERROR(POWER((VLOOKUP(C439,Code!H:W,12,FALSE))/(VLOOKUP(C439,Code!H:W,15,FALSE)),1/(P439-1))-1,"")</f>
        <v/>
      </c>
      <c r="K439" s="55" t="str">
        <f>IFERROR(POWER((VLOOKUP(C439,Code!H:W,13,FALSE))/(VLOOKUP(C439,Code!H:W,16,FALSE)),1/(P439-1))-1,"")</f>
        <v/>
      </c>
      <c r="L439" s="75" t="str">
        <f>IFERROR(VLOOKUP(C439,Code!H:W,13,FALSE)*4/VLOOKUP(C439,Code!H:W,12,FALSE),"")</f>
        <v/>
      </c>
      <c r="M439" s="55" t="str">
        <f t="shared" si="57"/>
        <v/>
      </c>
      <c r="N439" s="55" t="str">
        <f t="shared" si="58"/>
        <v/>
      </c>
      <c r="O439" s="55" t="str">
        <f t="shared" si="59"/>
        <v/>
      </c>
      <c r="P439" s="196" t="str">
        <f>IFERROR(YEARFRAC(VLOOKUP(C439,Code!H:W,11,FALSE),VLOOKUP(C439,Code!H:W,14,FALSE),3),"")</f>
        <v/>
      </c>
      <c r="Q439" s="2"/>
      <c r="R439" s="85" t="str">
        <f t="shared" ca="1" si="60"/>
        <v/>
      </c>
      <c r="S439" s="86" t="str">
        <f>IFERROR(VLOOKUP($C439,Code!$H:$Q,5,FALSE),"")</f>
        <v/>
      </c>
      <c r="T439" s="88" t="str">
        <f t="shared" ca="1" si="61"/>
        <v/>
      </c>
      <c r="U439" s="89" t="str">
        <f t="shared" ca="1" si="62"/>
        <v/>
      </c>
      <c r="V439" s="90" t="str">
        <f>IFERROR(VLOOKUP($C439,Code!$H:$Q,6,FALSE),"")</f>
        <v/>
      </c>
      <c r="W439" s="91" t="str">
        <f t="shared" ca="1" si="63"/>
        <v/>
      </c>
      <c r="X439" s="12"/>
      <c r="Y439" s="12"/>
      <c r="Z439" s="12"/>
      <c r="AA439" s="12"/>
      <c r="AB439" s="12"/>
    </row>
    <row r="440" spans="1:28" s="10" customFormat="1" ht="15" hidden="1">
      <c r="A440" s="9"/>
      <c r="B440" s="137"/>
      <c r="C440" s="142"/>
      <c r="D440" s="82" t="str">
        <f>IFERROR(VLOOKUP($C440,Code!$H:$K,2,FALSE),"")</f>
        <v/>
      </c>
      <c r="E440" s="83" t="str">
        <f>IFERROR(VLOOKUP($C440,Code!$H:$K,3,FALSE),"")</f>
        <v/>
      </c>
      <c r="F440" s="84" t="str">
        <f>IFERROR(VLOOKUP($C440,Code!$H:$K,4,FALSE),"")</f>
        <v/>
      </c>
      <c r="G440" s="128">
        <f>_xlfn.IFNA(((VLOOKUP($C440,Code!$H:$Q,9,FALSE))+(VLOOKUP($C440,Code!$H:$Q,10,FALSE)))/2*0.5/(((VLOOKUP($C440,Code!$H:$Q,7,FALSE))+(VLOOKUP($C440,Code!$H:$Q,8,FALSE)))/2),0)</f>
        <v>0</v>
      </c>
      <c r="H440" s="87" t="str">
        <f t="shared" si="56"/>
        <v/>
      </c>
      <c r="I440" s="128">
        <f>_xlfn.IFNA((VLOOKUP($C440,Code!$H:$Q,5,FALSE))/(((VLOOKUP($C440,Code!$H:$Q,7,FALSE))+(VLOOKUP($C440,Code!$H:$Q,8,FALSE)))/2)-G440,0)</f>
        <v>0</v>
      </c>
      <c r="J440" s="55" t="str">
        <f>IFERROR(POWER((VLOOKUP(C440,Code!H:W,12,FALSE))/(VLOOKUP(C440,Code!H:W,15,FALSE)),1/(P440-1))-1,"")</f>
        <v/>
      </c>
      <c r="K440" s="55" t="str">
        <f>IFERROR(POWER((VLOOKUP(C440,Code!H:W,13,FALSE))/(VLOOKUP(C440,Code!H:W,16,FALSE)),1/(P440-1))-1,"")</f>
        <v/>
      </c>
      <c r="L440" s="75" t="str">
        <f>IFERROR(VLOOKUP(C440,Code!H:W,13,FALSE)*4/VLOOKUP(C440,Code!H:W,12,FALSE),"")</f>
        <v/>
      </c>
      <c r="M440" s="55" t="str">
        <f t="shared" si="57"/>
        <v/>
      </c>
      <c r="N440" s="55" t="str">
        <f t="shared" si="58"/>
        <v/>
      </c>
      <c r="O440" s="55" t="str">
        <f t="shared" si="59"/>
        <v/>
      </c>
      <c r="P440" s="196" t="str">
        <f>IFERROR(YEARFRAC(VLOOKUP(C440,Code!H:W,11,FALSE),VLOOKUP(C440,Code!H:W,14,FALSE),3),"")</f>
        <v/>
      </c>
      <c r="Q440" s="2"/>
      <c r="R440" s="85" t="str">
        <f t="shared" ca="1" si="60"/>
        <v/>
      </c>
      <c r="S440" s="86" t="str">
        <f>IFERROR(VLOOKUP($C440,Code!$H:$Q,5,FALSE),"")</f>
        <v/>
      </c>
      <c r="T440" s="88" t="str">
        <f t="shared" ca="1" si="61"/>
        <v/>
      </c>
      <c r="U440" s="89" t="str">
        <f t="shared" ca="1" si="62"/>
        <v/>
      </c>
      <c r="V440" s="90" t="str">
        <f>IFERROR(VLOOKUP($C440,Code!$H:$Q,6,FALSE),"")</f>
        <v/>
      </c>
      <c r="W440" s="91" t="str">
        <f t="shared" ca="1" si="63"/>
        <v/>
      </c>
      <c r="X440" s="12"/>
      <c r="Y440" s="12"/>
      <c r="Z440" s="12"/>
      <c r="AA440" s="12"/>
      <c r="AB440" s="12"/>
    </row>
    <row r="441" spans="1:28" s="10" customFormat="1" ht="15" hidden="1">
      <c r="A441" s="9"/>
      <c r="B441" s="137"/>
      <c r="C441" s="142"/>
      <c r="D441" s="82" t="str">
        <f>IFERROR(VLOOKUP($C441,Code!$H:$K,2,FALSE),"")</f>
        <v/>
      </c>
      <c r="E441" s="83" t="str">
        <f>IFERROR(VLOOKUP($C441,Code!$H:$K,3,FALSE),"")</f>
        <v/>
      </c>
      <c r="F441" s="84" t="str">
        <f>IFERROR(VLOOKUP($C441,Code!$H:$K,4,FALSE),"")</f>
        <v/>
      </c>
      <c r="G441" s="128">
        <f>_xlfn.IFNA(((VLOOKUP($C441,Code!$H:$Q,9,FALSE))+(VLOOKUP($C441,Code!$H:$Q,10,FALSE)))/2*0.5/(((VLOOKUP($C441,Code!$H:$Q,7,FALSE))+(VLOOKUP($C441,Code!$H:$Q,8,FALSE)))/2),0)</f>
        <v>0</v>
      </c>
      <c r="H441" s="87" t="str">
        <f t="shared" si="56"/>
        <v/>
      </c>
      <c r="I441" s="128">
        <f>_xlfn.IFNA((VLOOKUP($C441,Code!$H:$Q,5,FALSE))/(((VLOOKUP($C441,Code!$H:$Q,7,FALSE))+(VLOOKUP($C441,Code!$H:$Q,8,FALSE)))/2)-G441,0)</f>
        <v>0</v>
      </c>
      <c r="J441" s="55" t="str">
        <f>IFERROR(POWER((VLOOKUP(C441,Code!H:W,12,FALSE))/(VLOOKUP(C441,Code!H:W,15,FALSE)),1/(P441-1))-1,"")</f>
        <v/>
      </c>
      <c r="K441" s="55" t="str">
        <f>IFERROR(POWER((VLOOKUP(C441,Code!H:W,13,FALSE))/(VLOOKUP(C441,Code!H:W,16,FALSE)),1/(P441-1))-1,"")</f>
        <v/>
      </c>
      <c r="L441" s="75" t="str">
        <f>IFERROR(VLOOKUP(C441,Code!H:W,13,FALSE)*4/VLOOKUP(C441,Code!H:W,12,FALSE),"")</f>
        <v/>
      </c>
      <c r="M441" s="55" t="str">
        <f t="shared" si="57"/>
        <v/>
      </c>
      <c r="N441" s="55" t="str">
        <f t="shared" si="58"/>
        <v/>
      </c>
      <c r="O441" s="55" t="str">
        <f t="shared" si="59"/>
        <v/>
      </c>
      <c r="P441" s="196" t="str">
        <f>IFERROR(YEARFRAC(VLOOKUP(C441,Code!H:W,11,FALSE),VLOOKUP(C441,Code!H:W,14,FALSE),3),"")</f>
        <v/>
      </c>
      <c r="Q441" s="2"/>
      <c r="R441" s="85" t="str">
        <f t="shared" ca="1" si="60"/>
        <v/>
      </c>
      <c r="S441" s="86" t="str">
        <f>IFERROR(VLOOKUP($C441,Code!$H:$Q,5,FALSE),"")</f>
        <v/>
      </c>
      <c r="T441" s="88" t="str">
        <f t="shared" ca="1" si="61"/>
        <v/>
      </c>
      <c r="U441" s="89" t="str">
        <f t="shared" ca="1" si="62"/>
        <v/>
      </c>
      <c r="V441" s="90" t="str">
        <f>IFERROR(VLOOKUP($C441,Code!$H:$Q,6,FALSE),"")</f>
        <v/>
      </c>
      <c r="W441" s="91" t="str">
        <f t="shared" ca="1" si="63"/>
        <v/>
      </c>
      <c r="X441" s="12"/>
      <c r="Y441" s="12"/>
      <c r="Z441" s="12"/>
      <c r="AA441" s="12"/>
      <c r="AB441" s="12"/>
    </row>
    <row r="442" spans="1:28" s="10" customFormat="1" ht="15" hidden="1">
      <c r="A442" s="9"/>
      <c r="B442" s="137"/>
      <c r="C442" s="142"/>
      <c r="D442" s="82" t="str">
        <f>IFERROR(VLOOKUP($C442,Code!$H:$K,2,FALSE),"")</f>
        <v/>
      </c>
      <c r="E442" s="83" t="str">
        <f>IFERROR(VLOOKUP($C442,Code!$H:$K,3,FALSE),"")</f>
        <v/>
      </c>
      <c r="F442" s="84" t="str">
        <f>IFERROR(VLOOKUP($C442,Code!$H:$K,4,FALSE),"")</f>
        <v/>
      </c>
      <c r="G442" s="128">
        <f>_xlfn.IFNA(((VLOOKUP($C442,Code!$H:$Q,9,FALSE))+(VLOOKUP($C442,Code!$H:$Q,10,FALSE)))/2*0.5/(((VLOOKUP($C442,Code!$H:$Q,7,FALSE))+(VLOOKUP($C442,Code!$H:$Q,8,FALSE)))/2),0)</f>
        <v>0</v>
      </c>
      <c r="H442" s="87" t="str">
        <f t="shared" si="56"/>
        <v/>
      </c>
      <c r="I442" s="128">
        <f>_xlfn.IFNA((VLOOKUP($C442,Code!$H:$Q,5,FALSE))/(((VLOOKUP($C442,Code!$H:$Q,7,FALSE))+(VLOOKUP($C442,Code!$H:$Q,8,FALSE)))/2)-G442,0)</f>
        <v>0</v>
      </c>
      <c r="J442" s="55" t="str">
        <f>IFERROR(POWER((VLOOKUP(C442,Code!H:W,12,FALSE))/(VLOOKUP(C442,Code!H:W,15,FALSE)),1/(P442-1))-1,"")</f>
        <v/>
      </c>
      <c r="K442" s="55" t="str">
        <f>IFERROR(POWER((VLOOKUP(C442,Code!H:W,13,FALSE))/(VLOOKUP(C442,Code!H:W,16,FALSE)),1/(P442-1))-1,"")</f>
        <v/>
      </c>
      <c r="L442" s="75" t="str">
        <f>IFERROR(VLOOKUP(C442,Code!H:W,13,FALSE)*4/VLOOKUP(C442,Code!H:W,12,FALSE),"")</f>
        <v/>
      </c>
      <c r="M442" s="55" t="str">
        <f t="shared" si="57"/>
        <v/>
      </c>
      <c r="N442" s="55" t="str">
        <f t="shared" si="58"/>
        <v/>
      </c>
      <c r="O442" s="55" t="str">
        <f t="shared" si="59"/>
        <v/>
      </c>
      <c r="P442" s="196" t="str">
        <f>IFERROR(YEARFRAC(VLOOKUP(C442,Code!H:W,11,FALSE),VLOOKUP(C442,Code!H:W,14,FALSE),3),"")</f>
        <v/>
      </c>
      <c r="Q442" s="2"/>
      <c r="R442" s="85" t="str">
        <f t="shared" ca="1" si="60"/>
        <v/>
      </c>
      <c r="S442" s="86" t="str">
        <f>IFERROR(VLOOKUP($C442,Code!$H:$Q,5,FALSE),"")</f>
        <v/>
      </c>
      <c r="T442" s="88" t="str">
        <f t="shared" ca="1" si="61"/>
        <v/>
      </c>
      <c r="U442" s="89" t="str">
        <f t="shared" ca="1" si="62"/>
        <v/>
      </c>
      <c r="V442" s="90" t="str">
        <f>IFERROR(VLOOKUP($C442,Code!$H:$Q,6,FALSE),"")</f>
        <v/>
      </c>
      <c r="W442" s="91" t="str">
        <f t="shared" ca="1" si="63"/>
        <v/>
      </c>
      <c r="X442" s="12"/>
      <c r="Y442" s="12"/>
      <c r="Z442" s="12"/>
      <c r="AA442" s="12"/>
      <c r="AB442" s="12"/>
    </row>
    <row r="443" spans="1:28" s="10" customFormat="1" ht="15" hidden="1">
      <c r="A443" s="9"/>
      <c r="B443" s="137"/>
      <c r="C443" s="142"/>
      <c r="D443" s="82" t="str">
        <f>IFERROR(VLOOKUP($C443,Code!$H:$K,2,FALSE),"")</f>
        <v/>
      </c>
      <c r="E443" s="83" t="str">
        <f>IFERROR(VLOOKUP($C443,Code!$H:$K,3,FALSE),"")</f>
        <v/>
      </c>
      <c r="F443" s="84" t="str">
        <f>IFERROR(VLOOKUP($C443,Code!$H:$K,4,FALSE),"")</f>
        <v/>
      </c>
      <c r="G443" s="128">
        <f>_xlfn.IFNA(((VLOOKUP($C443,Code!$H:$Q,9,FALSE))+(VLOOKUP($C443,Code!$H:$Q,10,FALSE)))/2*0.5/(((VLOOKUP($C443,Code!$H:$Q,7,FALSE))+(VLOOKUP($C443,Code!$H:$Q,8,FALSE)))/2),0)</f>
        <v>0</v>
      </c>
      <c r="H443" s="87" t="str">
        <f t="shared" si="56"/>
        <v/>
      </c>
      <c r="I443" s="128">
        <f>_xlfn.IFNA((VLOOKUP($C443,Code!$H:$Q,5,FALSE))/(((VLOOKUP($C443,Code!$H:$Q,7,FALSE))+(VLOOKUP($C443,Code!$H:$Q,8,FALSE)))/2)-G443,0)</f>
        <v>0</v>
      </c>
      <c r="J443" s="55" t="str">
        <f>IFERROR(POWER((VLOOKUP(C443,Code!H:W,12,FALSE))/(VLOOKUP(C443,Code!H:W,15,FALSE)),1/(P443-1))-1,"")</f>
        <v/>
      </c>
      <c r="K443" s="55" t="str">
        <f>IFERROR(POWER((VLOOKUP(C443,Code!H:W,13,FALSE))/(VLOOKUP(C443,Code!H:W,16,FALSE)),1/(P443-1))-1,"")</f>
        <v/>
      </c>
      <c r="L443" s="75" t="str">
        <f>IFERROR(VLOOKUP(C443,Code!H:W,13,FALSE)*4/VLOOKUP(C443,Code!H:W,12,FALSE),"")</f>
        <v/>
      </c>
      <c r="M443" s="55" t="str">
        <f t="shared" si="57"/>
        <v/>
      </c>
      <c r="N443" s="55" t="str">
        <f t="shared" si="58"/>
        <v/>
      </c>
      <c r="O443" s="55" t="str">
        <f t="shared" si="59"/>
        <v/>
      </c>
      <c r="P443" s="196" t="str">
        <f>IFERROR(YEARFRAC(VLOOKUP(C443,Code!H:W,11,FALSE),VLOOKUP(C443,Code!H:W,14,FALSE),3),"")</f>
        <v/>
      </c>
      <c r="Q443" s="2"/>
      <c r="R443" s="85" t="str">
        <f t="shared" ca="1" si="60"/>
        <v/>
      </c>
      <c r="S443" s="86" t="str">
        <f>IFERROR(VLOOKUP($C443,Code!$H:$Q,5,FALSE),"")</f>
        <v/>
      </c>
      <c r="T443" s="88" t="str">
        <f t="shared" ca="1" si="61"/>
        <v/>
      </c>
      <c r="U443" s="89" t="str">
        <f t="shared" ca="1" si="62"/>
        <v/>
      </c>
      <c r="V443" s="90" t="str">
        <f>IFERROR(VLOOKUP($C443,Code!$H:$Q,6,FALSE),"")</f>
        <v/>
      </c>
      <c r="W443" s="91" t="str">
        <f t="shared" ca="1" si="63"/>
        <v/>
      </c>
      <c r="X443" s="12"/>
      <c r="Y443" s="12"/>
      <c r="Z443" s="12"/>
      <c r="AA443" s="12"/>
      <c r="AB443" s="12"/>
    </row>
    <row r="444" spans="1:28" s="10" customFormat="1" ht="15" hidden="1">
      <c r="A444" s="9"/>
      <c r="B444" s="137"/>
      <c r="C444" s="142"/>
      <c r="D444" s="82" t="str">
        <f>IFERROR(VLOOKUP($C444,Code!$H:$K,2,FALSE),"")</f>
        <v/>
      </c>
      <c r="E444" s="83" t="str">
        <f>IFERROR(VLOOKUP($C444,Code!$H:$K,3,FALSE),"")</f>
        <v/>
      </c>
      <c r="F444" s="84" t="str">
        <f>IFERROR(VLOOKUP($C444,Code!$H:$K,4,FALSE),"")</f>
        <v/>
      </c>
      <c r="G444" s="128">
        <f>_xlfn.IFNA(((VLOOKUP($C444,Code!$H:$Q,9,FALSE))+(VLOOKUP($C444,Code!$H:$Q,10,FALSE)))/2*0.5/(((VLOOKUP($C444,Code!$H:$Q,7,FALSE))+(VLOOKUP($C444,Code!$H:$Q,8,FALSE)))/2),0)</f>
        <v>0</v>
      </c>
      <c r="H444" s="87" t="str">
        <f t="shared" si="56"/>
        <v/>
      </c>
      <c r="I444" s="128">
        <f>_xlfn.IFNA((VLOOKUP($C444,Code!$H:$Q,5,FALSE))/(((VLOOKUP($C444,Code!$H:$Q,7,FALSE))+(VLOOKUP($C444,Code!$H:$Q,8,FALSE)))/2)-G444,0)</f>
        <v>0</v>
      </c>
      <c r="J444" s="55" t="str">
        <f>IFERROR(POWER((VLOOKUP(C444,Code!H:W,12,FALSE))/(VLOOKUP(C444,Code!H:W,15,FALSE)),1/(P444-1))-1,"")</f>
        <v/>
      </c>
      <c r="K444" s="55" t="str">
        <f>IFERROR(POWER((VLOOKUP(C444,Code!H:W,13,FALSE))/(VLOOKUP(C444,Code!H:W,16,FALSE)),1/(P444-1))-1,"")</f>
        <v/>
      </c>
      <c r="L444" s="75" t="str">
        <f>IFERROR(VLOOKUP(C444,Code!H:W,13,FALSE)*4/VLOOKUP(C444,Code!H:W,12,FALSE),"")</f>
        <v/>
      </c>
      <c r="M444" s="55" t="str">
        <f t="shared" si="57"/>
        <v/>
      </c>
      <c r="N444" s="55" t="str">
        <f t="shared" si="58"/>
        <v/>
      </c>
      <c r="O444" s="55" t="str">
        <f t="shared" si="59"/>
        <v/>
      </c>
      <c r="P444" s="196" t="str">
        <f>IFERROR(YEARFRAC(VLOOKUP(C444,Code!H:W,11,FALSE),VLOOKUP(C444,Code!H:W,14,FALSE),3),"")</f>
        <v/>
      </c>
      <c r="Q444" s="2"/>
      <c r="R444" s="85" t="str">
        <f t="shared" ca="1" si="60"/>
        <v/>
      </c>
      <c r="S444" s="86" t="str">
        <f>IFERROR(VLOOKUP($C444,Code!$H:$Q,5,FALSE),"")</f>
        <v/>
      </c>
      <c r="T444" s="88" t="str">
        <f t="shared" ca="1" si="61"/>
        <v/>
      </c>
      <c r="U444" s="89" t="str">
        <f t="shared" ca="1" si="62"/>
        <v/>
      </c>
      <c r="V444" s="90" t="str">
        <f>IFERROR(VLOOKUP($C444,Code!$H:$Q,6,FALSE),"")</f>
        <v/>
      </c>
      <c r="W444" s="91" t="str">
        <f t="shared" ca="1" si="63"/>
        <v/>
      </c>
      <c r="X444" s="12"/>
      <c r="Y444" s="12"/>
      <c r="Z444" s="12"/>
      <c r="AA444" s="12"/>
      <c r="AB444" s="12"/>
    </row>
    <row r="445" spans="1:28" s="10" customFormat="1" ht="15" hidden="1">
      <c r="A445" s="9"/>
      <c r="B445" s="137"/>
      <c r="C445" s="142"/>
      <c r="D445" s="82" t="str">
        <f>IFERROR(VLOOKUP($C445,Code!$H:$K,2,FALSE),"")</f>
        <v/>
      </c>
      <c r="E445" s="83" t="str">
        <f>IFERROR(VLOOKUP($C445,Code!$H:$K,3,FALSE),"")</f>
        <v/>
      </c>
      <c r="F445" s="84" t="str">
        <f>IFERROR(VLOOKUP($C445,Code!$H:$K,4,FALSE),"")</f>
        <v/>
      </c>
      <c r="G445" s="128">
        <f>_xlfn.IFNA(((VLOOKUP($C445,Code!$H:$Q,9,FALSE))+(VLOOKUP($C445,Code!$H:$Q,10,FALSE)))/2*0.5/(((VLOOKUP($C445,Code!$H:$Q,7,FALSE))+(VLOOKUP($C445,Code!$H:$Q,8,FALSE)))/2),0)</f>
        <v>0</v>
      </c>
      <c r="H445" s="87" t="str">
        <f t="shared" si="56"/>
        <v/>
      </c>
      <c r="I445" s="128">
        <f>_xlfn.IFNA((VLOOKUP($C445,Code!$H:$Q,5,FALSE))/(((VLOOKUP($C445,Code!$H:$Q,7,FALSE))+(VLOOKUP($C445,Code!$H:$Q,8,FALSE)))/2)-G445,0)</f>
        <v>0</v>
      </c>
      <c r="J445" s="55" t="str">
        <f>IFERROR(POWER((VLOOKUP(C445,Code!H:W,12,FALSE))/(VLOOKUP(C445,Code!H:W,15,FALSE)),1/(P445-1))-1,"")</f>
        <v/>
      </c>
      <c r="K445" s="55" t="str">
        <f>IFERROR(POWER((VLOOKUP(C445,Code!H:W,13,FALSE))/(VLOOKUP(C445,Code!H:W,16,FALSE)),1/(P445-1))-1,"")</f>
        <v/>
      </c>
      <c r="L445" s="75" t="str">
        <f>IFERROR(VLOOKUP(C445,Code!H:W,13,FALSE)*4/VLOOKUP(C445,Code!H:W,12,FALSE),"")</f>
        <v/>
      </c>
      <c r="M445" s="55" t="str">
        <f t="shared" si="57"/>
        <v/>
      </c>
      <c r="N445" s="55" t="str">
        <f t="shared" si="58"/>
        <v/>
      </c>
      <c r="O445" s="55" t="str">
        <f t="shared" si="59"/>
        <v/>
      </c>
      <c r="P445" s="196" t="str">
        <f>IFERROR(YEARFRAC(VLOOKUP(C445,Code!H:W,11,FALSE),VLOOKUP(C445,Code!H:W,14,FALSE),3),"")</f>
        <v/>
      </c>
      <c r="Q445" s="2"/>
      <c r="R445" s="85" t="str">
        <f t="shared" ca="1" si="60"/>
        <v/>
      </c>
      <c r="S445" s="86" t="str">
        <f>IFERROR(VLOOKUP($C445,Code!$H:$Q,5,FALSE),"")</f>
        <v/>
      </c>
      <c r="T445" s="88" t="str">
        <f t="shared" ca="1" si="61"/>
        <v/>
      </c>
      <c r="U445" s="89" t="str">
        <f t="shared" ca="1" si="62"/>
        <v/>
      </c>
      <c r="V445" s="90" t="str">
        <f>IFERROR(VLOOKUP($C445,Code!$H:$Q,6,FALSE),"")</f>
        <v/>
      </c>
      <c r="W445" s="91" t="str">
        <f t="shared" ca="1" si="63"/>
        <v/>
      </c>
      <c r="X445" s="12"/>
      <c r="Y445" s="12"/>
      <c r="Z445" s="12"/>
      <c r="AA445" s="12"/>
      <c r="AB445" s="12"/>
    </row>
    <row r="446" spans="1:28" s="10" customFormat="1" ht="15" hidden="1">
      <c r="A446" s="9"/>
      <c r="B446" s="137"/>
      <c r="C446" s="142"/>
      <c r="D446" s="82" t="str">
        <f>IFERROR(VLOOKUP($C446,Code!$H:$K,2,FALSE),"")</f>
        <v/>
      </c>
      <c r="E446" s="83" t="str">
        <f>IFERROR(VLOOKUP($C446,Code!$H:$K,3,FALSE),"")</f>
        <v/>
      </c>
      <c r="F446" s="84" t="str">
        <f>IFERROR(VLOOKUP($C446,Code!$H:$K,4,FALSE),"")</f>
        <v/>
      </c>
      <c r="G446" s="128">
        <f>_xlfn.IFNA(((VLOOKUP($C446,Code!$H:$Q,9,FALSE))+(VLOOKUP($C446,Code!$H:$Q,10,FALSE)))/2*0.5/(((VLOOKUP($C446,Code!$H:$Q,7,FALSE))+(VLOOKUP($C446,Code!$H:$Q,8,FALSE)))/2),0)</f>
        <v>0</v>
      </c>
      <c r="H446" s="87" t="str">
        <f t="shared" si="56"/>
        <v/>
      </c>
      <c r="I446" s="128">
        <f>_xlfn.IFNA((VLOOKUP($C446,Code!$H:$Q,5,FALSE))/(((VLOOKUP($C446,Code!$H:$Q,7,FALSE))+(VLOOKUP($C446,Code!$H:$Q,8,FALSE)))/2)-G446,0)</f>
        <v>0</v>
      </c>
      <c r="J446" s="55" t="str">
        <f>IFERROR(POWER((VLOOKUP(C446,Code!H:W,12,FALSE))/(VLOOKUP(C446,Code!H:W,15,FALSE)),1/(P446-1))-1,"")</f>
        <v/>
      </c>
      <c r="K446" s="55" t="str">
        <f>IFERROR(POWER((VLOOKUP(C446,Code!H:W,13,FALSE))/(VLOOKUP(C446,Code!H:W,16,FALSE)),1/(P446-1))-1,"")</f>
        <v/>
      </c>
      <c r="L446" s="75" t="str">
        <f>IFERROR(VLOOKUP(C446,Code!H:W,13,FALSE)*4/VLOOKUP(C446,Code!H:W,12,FALSE),"")</f>
        <v/>
      </c>
      <c r="M446" s="55" t="str">
        <f t="shared" si="57"/>
        <v/>
      </c>
      <c r="N446" s="55" t="str">
        <f t="shared" si="58"/>
        <v/>
      </c>
      <c r="O446" s="55" t="str">
        <f t="shared" si="59"/>
        <v/>
      </c>
      <c r="P446" s="196" t="str">
        <f>IFERROR(YEARFRAC(VLOOKUP(C446,Code!H:W,11,FALSE),VLOOKUP(C446,Code!H:W,14,FALSE),3),"")</f>
        <v/>
      </c>
      <c r="Q446" s="2"/>
      <c r="R446" s="85" t="str">
        <f t="shared" ca="1" si="60"/>
        <v/>
      </c>
      <c r="S446" s="86" t="str">
        <f>IFERROR(VLOOKUP($C446,Code!$H:$Q,5,FALSE),"")</f>
        <v/>
      </c>
      <c r="T446" s="88" t="str">
        <f t="shared" ca="1" si="61"/>
        <v/>
      </c>
      <c r="U446" s="89" t="str">
        <f t="shared" ca="1" si="62"/>
        <v/>
      </c>
      <c r="V446" s="90" t="str">
        <f>IFERROR(VLOOKUP($C446,Code!$H:$Q,6,FALSE),"")</f>
        <v/>
      </c>
      <c r="W446" s="91" t="str">
        <f t="shared" ca="1" si="63"/>
        <v/>
      </c>
      <c r="X446" s="12"/>
      <c r="Y446" s="12"/>
      <c r="Z446" s="12"/>
      <c r="AA446" s="12"/>
      <c r="AB446" s="12"/>
    </row>
    <row r="447" spans="1:28" s="10" customFormat="1" ht="15" hidden="1">
      <c r="A447" s="9"/>
      <c r="B447" s="137"/>
      <c r="C447" s="142"/>
      <c r="D447" s="82" t="str">
        <f>IFERROR(VLOOKUP($C447,Code!$H:$K,2,FALSE),"")</f>
        <v/>
      </c>
      <c r="E447" s="83" t="str">
        <f>IFERROR(VLOOKUP($C447,Code!$H:$K,3,FALSE),"")</f>
        <v/>
      </c>
      <c r="F447" s="84" t="str">
        <f>IFERROR(VLOOKUP($C447,Code!$H:$K,4,FALSE),"")</f>
        <v/>
      </c>
      <c r="G447" s="128">
        <f>_xlfn.IFNA(((VLOOKUP($C447,Code!$H:$Q,9,FALSE))+(VLOOKUP($C447,Code!$H:$Q,10,FALSE)))/2*0.5/(((VLOOKUP($C447,Code!$H:$Q,7,FALSE))+(VLOOKUP($C447,Code!$H:$Q,8,FALSE)))/2),0)</f>
        <v>0</v>
      </c>
      <c r="H447" s="87" t="str">
        <f t="shared" si="56"/>
        <v/>
      </c>
      <c r="I447" s="128">
        <f>_xlfn.IFNA((VLOOKUP($C447,Code!$H:$Q,5,FALSE))/(((VLOOKUP($C447,Code!$H:$Q,7,FALSE))+(VLOOKUP($C447,Code!$H:$Q,8,FALSE)))/2)-G447,0)</f>
        <v>0</v>
      </c>
      <c r="J447" s="55" t="str">
        <f>IFERROR(POWER((VLOOKUP(C447,Code!H:W,12,FALSE))/(VLOOKUP(C447,Code!H:W,15,FALSE)),1/(P447-1))-1,"")</f>
        <v/>
      </c>
      <c r="K447" s="55" t="str">
        <f>IFERROR(POWER((VLOOKUP(C447,Code!H:W,13,FALSE))/(VLOOKUP(C447,Code!H:W,16,FALSE)),1/(P447-1))-1,"")</f>
        <v/>
      </c>
      <c r="L447" s="75" t="str">
        <f>IFERROR(VLOOKUP(C447,Code!H:W,13,FALSE)*4/VLOOKUP(C447,Code!H:W,12,FALSE),"")</f>
        <v/>
      </c>
      <c r="M447" s="55" t="str">
        <f t="shared" si="57"/>
        <v/>
      </c>
      <c r="N447" s="55" t="str">
        <f t="shared" si="58"/>
        <v/>
      </c>
      <c r="O447" s="55" t="str">
        <f t="shared" si="59"/>
        <v/>
      </c>
      <c r="P447" s="196" t="str">
        <f>IFERROR(YEARFRAC(VLOOKUP(C447,Code!H:W,11,FALSE),VLOOKUP(C447,Code!H:W,14,FALSE),3),"")</f>
        <v/>
      </c>
      <c r="Q447" s="2"/>
      <c r="R447" s="85" t="str">
        <f t="shared" ca="1" si="60"/>
        <v/>
      </c>
      <c r="S447" s="86" t="str">
        <f>IFERROR(VLOOKUP($C447,Code!$H:$Q,5,FALSE),"")</f>
        <v/>
      </c>
      <c r="T447" s="88" t="str">
        <f t="shared" ca="1" si="61"/>
        <v/>
      </c>
      <c r="U447" s="89" t="str">
        <f t="shared" ca="1" si="62"/>
        <v/>
      </c>
      <c r="V447" s="90" t="str">
        <f>IFERROR(VLOOKUP($C447,Code!$H:$Q,6,FALSE),"")</f>
        <v/>
      </c>
      <c r="W447" s="91" t="str">
        <f t="shared" ca="1" si="63"/>
        <v/>
      </c>
      <c r="X447" s="12"/>
      <c r="Y447" s="12"/>
      <c r="Z447" s="12"/>
      <c r="AA447" s="12"/>
      <c r="AB447" s="12"/>
    </row>
    <row r="448" spans="1:28" s="10" customFormat="1" ht="15" hidden="1">
      <c r="A448" s="9"/>
      <c r="B448" s="137"/>
      <c r="C448" s="142"/>
      <c r="D448" s="82" t="str">
        <f>IFERROR(VLOOKUP($C448,Code!$H:$K,2,FALSE),"")</f>
        <v/>
      </c>
      <c r="E448" s="83" t="str">
        <f>IFERROR(VLOOKUP($C448,Code!$H:$K,3,FALSE),"")</f>
        <v/>
      </c>
      <c r="F448" s="84" t="str">
        <f>IFERROR(VLOOKUP($C448,Code!$H:$K,4,FALSE),"")</f>
        <v/>
      </c>
      <c r="G448" s="128">
        <f>_xlfn.IFNA(((VLOOKUP($C448,Code!$H:$Q,9,FALSE))+(VLOOKUP($C448,Code!$H:$Q,10,FALSE)))/2*0.5/(((VLOOKUP($C448,Code!$H:$Q,7,FALSE))+(VLOOKUP($C448,Code!$H:$Q,8,FALSE)))/2),0)</f>
        <v>0</v>
      </c>
      <c r="H448" s="87" t="str">
        <f t="shared" si="56"/>
        <v/>
      </c>
      <c r="I448" s="128">
        <f>_xlfn.IFNA((VLOOKUP($C448,Code!$H:$Q,5,FALSE))/(((VLOOKUP($C448,Code!$H:$Q,7,FALSE))+(VLOOKUP($C448,Code!$H:$Q,8,FALSE)))/2)-G448,0)</f>
        <v>0</v>
      </c>
      <c r="J448" s="55" t="str">
        <f>IFERROR(POWER((VLOOKUP(C448,Code!H:W,12,FALSE))/(VLOOKUP(C448,Code!H:W,15,FALSE)),1/(P448-1))-1,"")</f>
        <v/>
      </c>
      <c r="K448" s="55" t="str">
        <f>IFERROR(POWER((VLOOKUP(C448,Code!H:W,13,FALSE))/(VLOOKUP(C448,Code!H:W,16,FALSE)),1/(P448-1))-1,"")</f>
        <v/>
      </c>
      <c r="L448" s="75" t="str">
        <f>IFERROR(VLOOKUP(C448,Code!H:W,13,FALSE)*4/VLOOKUP(C448,Code!H:W,12,FALSE),"")</f>
        <v/>
      </c>
      <c r="M448" s="55" t="str">
        <f t="shared" si="57"/>
        <v/>
      </c>
      <c r="N448" s="55" t="str">
        <f t="shared" si="58"/>
        <v/>
      </c>
      <c r="O448" s="55" t="str">
        <f t="shared" si="59"/>
        <v/>
      </c>
      <c r="P448" s="196" t="str">
        <f>IFERROR(YEARFRAC(VLOOKUP(C448,Code!H:W,11,FALSE),VLOOKUP(C448,Code!H:W,14,FALSE),3),"")</f>
        <v/>
      </c>
      <c r="Q448" s="2"/>
      <c r="R448" s="85" t="str">
        <f t="shared" ca="1" si="60"/>
        <v/>
      </c>
      <c r="S448" s="86" t="str">
        <f>IFERROR(VLOOKUP($C448,Code!$H:$Q,5,FALSE),"")</f>
        <v/>
      </c>
      <c r="T448" s="88" t="str">
        <f t="shared" ca="1" si="61"/>
        <v/>
      </c>
      <c r="U448" s="89" t="str">
        <f t="shared" ca="1" si="62"/>
        <v/>
      </c>
      <c r="V448" s="90" t="str">
        <f>IFERROR(VLOOKUP($C448,Code!$H:$Q,6,FALSE),"")</f>
        <v/>
      </c>
      <c r="W448" s="91" t="str">
        <f t="shared" ca="1" si="63"/>
        <v/>
      </c>
      <c r="X448" s="12"/>
      <c r="Y448" s="12"/>
      <c r="Z448" s="12"/>
      <c r="AA448" s="12"/>
      <c r="AB448" s="12"/>
    </row>
    <row r="449" spans="1:28" s="10" customFormat="1" ht="15" hidden="1">
      <c r="A449" s="9"/>
      <c r="B449" s="137"/>
      <c r="C449" s="142"/>
      <c r="D449" s="82" t="str">
        <f>IFERROR(VLOOKUP($C449,Code!$H:$K,2,FALSE),"")</f>
        <v/>
      </c>
      <c r="E449" s="83" t="str">
        <f>IFERROR(VLOOKUP($C449,Code!$H:$K,3,FALSE),"")</f>
        <v/>
      </c>
      <c r="F449" s="84" t="str">
        <f>IFERROR(VLOOKUP($C449,Code!$H:$K,4,FALSE),"")</f>
        <v/>
      </c>
      <c r="G449" s="128">
        <f>_xlfn.IFNA(((VLOOKUP($C449,Code!$H:$Q,9,FALSE))+(VLOOKUP($C449,Code!$H:$Q,10,FALSE)))/2*0.5/(((VLOOKUP($C449,Code!$H:$Q,7,FALSE))+(VLOOKUP($C449,Code!$H:$Q,8,FALSE)))/2),0)</f>
        <v>0</v>
      </c>
      <c r="H449" s="87" t="str">
        <f t="shared" si="56"/>
        <v/>
      </c>
      <c r="I449" s="128">
        <f>_xlfn.IFNA((VLOOKUP($C449,Code!$H:$Q,5,FALSE))/(((VLOOKUP($C449,Code!$H:$Q,7,FALSE))+(VLOOKUP($C449,Code!$H:$Q,8,FALSE)))/2)-G449,0)</f>
        <v>0</v>
      </c>
      <c r="J449" s="55" t="str">
        <f>IFERROR(POWER((VLOOKUP(C449,Code!H:W,12,FALSE))/(VLOOKUP(C449,Code!H:W,15,FALSE)),1/(P449-1))-1,"")</f>
        <v/>
      </c>
      <c r="K449" s="55" t="str">
        <f>IFERROR(POWER((VLOOKUP(C449,Code!H:W,13,FALSE))/(VLOOKUP(C449,Code!H:W,16,FALSE)),1/(P449-1))-1,"")</f>
        <v/>
      </c>
      <c r="L449" s="75" t="str">
        <f>IFERROR(VLOOKUP(C449,Code!H:W,13,FALSE)*4/VLOOKUP(C449,Code!H:W,12,FALSE),"")</f>
        <v/>
      </c>
      <c r="M449" s="55" t="str">
        <f t="shared" si="57"/>
        <v/>
      </c>
      <c r="N449" s="55" t="str">
        <f t="shared" si="58"/>
        <v/>
      </c>
      <c r="O449" s="55" t="str">
        <f t="shared" si="59"/>
        <v/>
      </c>
      <c r="P449" s="196" t="str">
        <f>IFERROR(YEARFRAC(VLOOKUP(C449,Code!H:W,11,FALSE),VLOOKUP(C449,Code!H:W,14,FALSE),3),"")</f>
        <v/>
      </c>
      <c r="Q449" s="2"/>
      <c r="R449" s="85" t="str">
        <f t="shared" ca="1" si="60"/>
        <v/>
      </c>
      <c r="S449" s="86" t="str">
        <f>IFERROR(VLOOKUP($C449,Code!$H:$Q,5,FALSE),"")</f>
        <v/>
      </c>
      <c r="T449" s="88" t="str">
        <f t="shared" ca="1" si="61"/>
        <v/>
      </c>
      <c r="U449" s="89" t="str">
        <f t="shared" ca="1" si="62"/>
        <v/>
      </c>
      <c r="V449" s="90" t="str">
        <f>IFERROR(VLOOKUP($C449,Code!$H:$Q,6,FALSE),"")</f>
        <v/>
      </c>
      <c r="W449" s="91" t="str">
        <f t="shared" ca="1" si="63"/>
        <v/>
      </c>
      <c r="X449" s="12"/>
      <c r="Y449" s="12"/>
      <c r="Z449" s="12"/>
      <c r="AA449" s="12"/>
      <c r="AB449" s="12"/>
    </row>
    <row r="450" spans="1:28" s="10" customFormat="1" ht="15" hidden="1">
      <c r="A450" s="9"/>
      <c r="B450" s="137"/>
      <c r="C450" s="142"/>
      <c r="D450" s="82" t="str">
        <f>IFERROR(VLOOKUP($C450,Code!$H:$K,2,FALSE),"")</f>
        <v/>
      </c>
      <c r="E450" s="83" t="str">
        <f>IFERROR(VLOOKUP($C450,Code!$H:$K,3,FALSE),"")</f>
        <v/>
      </c>
      <c r="F450" s="84" t="str">
        <f>IFERROR(VLOOKUP($C450,Code!$H:$K,4,FALSE),"")</f>
        <v/>
      </c>
      <c r="G450" s="128">
        <f>_xlfn.IFNA(((VLOOKUP($C450,Code!$H:$Q,9,FALSE))+(VLOOKUP($C450,Code!$H:$Q,10,FALSE)))/2*0.5/(((VLOOKUP($C450,Code!$H:$Q,7,FALSE))+(VLOOKUP($C450,Code!$H:$Q,8,FALSE)))/2),0)</f>
        <v>0</v>
      </c>
      <c r="H450" s="87" t="str">
        <f t="shared" si="56"/>
        <v/>
      </c>
      <c r="I450" s="128">
        <f>_xlfn.IFNA((VLOOKUP($C450,Code!$H:$Q,5,FALSE))/(((VLOOKUP($C450,Code!$H:$Q,7,FALSE))+(VLOOKUP($C450,Code!$H:$Q,8,FALSE)))/2)-G450,0)</f>
        <v>0</v>
      </c>
      <c r="J450" s="55" t="str">
        <f>IFERROR(POWER((VLOOKUP(C450,Code!H:W,12,FALSE))/(VLOOKUP(C450,Code!H:W,15,FALSE)),1/(P450-1))-1,"")</f>
        <v/>
      </c>
      <c r="K450" s="55" t="str">
        <f>IFERROR(POWER((VLOOKUP(C450,Code!H:W,13,FALSE))/(VLOOKUP(C450,Code!H:W,16,FALSE)),1/(P450-1))-1,"")</f>
        <v/>
      </c>
      <c r="L450" s="75" t="str">
        <f>IFERROR(VLOOKUP(C450,Code!H:W,13,FALSE)*4/VLOOKUP(C450,Code!H:W,12,FALSE),"")</f>
        <v/>
      </c>
      <c r="M450" s="55" t="str">
        <f t="shared" si="57"/>
        <v/>
      </c>
      <c r="N450" s="55" t="str">
        <f t="shared" si="58"/>
        <v/>
      </c>
      <c r="O450" s="55" t="str">
        <f t="shared" si="59"/>
        <v/>
      </c>
      <c r="P450" s="196" t="str">
        <f>IFERROR(YEARFRAC(VLOOKUP(C450,Code!H:W,11,FALSE),VLOOKUP(C450,Code!H:W,14,FALSE),3),"")</f>
        <v/>
      </c>
      <c r="Q450" s="2"/>
      <c r="R450" s="85" t="str">
        <f t="shared" ca="1" si="60"/>
        <v/>
      </c>
      <c r="S450" s="86" t="str">
        <f>IFERROR(VLOOKUP($C450,Code!$H:$Q,5,FALSE),"")</f>
        <v/>
      </c>
      <c r="T450" s="88" t="str">
        <f t="shared" ca="1" si="61"/>
        <v/>
      </c>
      <c r="U450" s="89" t="str">
        <f t="shared" ca="1" si="62"/>
        <v/>
      </c>
      <c r="V450" s="90" t="str">
        <f>IFERROR(VLOOKUP($C450,Code!$H:$Q,6,FALSE),"")</f>
        <v/>
      </c>
      <c r="W450" s="91" t="str">
        <f t="shared" ca="1" si="63"/>
        <v/>
      </c>
      <c r="X450" s="12"/>
      <c r="Y450" s="12"/>
      <c r="Z450" s="12"/>
      <c r="AA450" s="12"/>
      <c r="AB450" s="12"/>
    </row>
    <row r="451" spans="1:28" s="10" customFormat="1" ht="15" hidden="1">
      <c r="A451" s="9"/>
      <c r="B451" s="137"/>
      <c r="C451" s="142"/>
      <c r="D451" s="82" t="str">
        <f>IFERROR(VLOOKUP($C451,Code!$H:$K,2,FALSE),"")</f>
        <v/>
      </c>
      <c r="E451" s="83" t="str">
        <f>IFERROR(VLOOKUP($C451,Code!$H:$K,3,FALSE),"")</f>
        <v/>
      </c>
      <c r="F451" s="84" t="str">
        <f>IFERROR(VLOOKUP($C451,Code!$H:$K,4,FALSE),"")</f>
        <v/>
      </c>
      <c r="G451" s="128">
        <f>_xlfn.IFNA(((VLOOKUP($C451,Code!$H:$Q,9,FALSE))+(VLOOKUP($C451,Code!$H:$Q,10,FALSE)))/2*0.5/(((VLOOKUP($C451,Code!$H:$Q,7,FALSE))+(VLOOKUP($C451,Code!$H:$Q,8,FALSE)))/2),0)</f>
        <v>0</v>
      </c>
      <c r="H451" s="87" t="str">
        <f t="shared" si="56"/>
        <v/>
      </c>
      <c r="I451" s="128">
        <f>_xlfn.IFNA((VLOOKUP($C451,Code!$H:$Q,5,FALSE))/(((VLOOKUP($C451,Code!$H:$Q,7,FALSE))+(VLOOKUP($C451,Code!$H:$Q,8,FALSE)))/2)-G451,0)</f>
        <v>0</v>
      </c>
      <c r="J451" s="55" t="str">
        <f>IFERROR(POWER((VLOOKUP(C451,Code!H:W,12,FALSE))/(VLOOKUP(C451,Code!H:W,15,FALSE)),1/(P451-1))-1,"")</f>
        <v/>
      </c>
      <c r="K451" s="55" t="str">
        <f>IFERROR(POWER((VLOOKUP(C451,Code!H:W,13,FALSE))/(VLOOKUP(C451,Code!H:W,16,FALSE)),1/(P451-1))-1,"")</f>
        <v/>
      </c>
      <c r="L451" s="75" t="str">
        <f>IFERROR(VLOOKUP(C451,Code!H:W,13,FALSE)*4/VLOOKUP(C451,Code!H:W,12,FALSE),"")</f>
        <v/>
      </c>
      <c r="M451" s="55" t="str">
        <f t="shared" si="57"/>
        <v/>
      </c>
      <c r="N451" s="55" t="str">
        <f t="shared" si="58"/>
        <v/>
      </c>
      <c r="O451" s="55" t="str">
        <f t="shared" si="59"/>
        <v/>
      </c>
      <c r="P451" s="196" t="str">
        <f>IFERROR(YEARFRAC(VLOOKUP(C451,Code!H:W,11,FALSE),VLOOKUP(C451,Code!H:W,14,FALSE),3),"")</f>
        <v/>
      </c>
      <c r="Q451" s="2"/>
      <c r="R451" s="85" t="str">
        <f t="shared" ca="1" si="60"/>
        <v/>
      </c>
      <c r="S451" s="86" t="str">
        <f>IFERROR(VLOOKUP($C451,Code!$H:$Q,5,FALSE),"")</f>
        <v/>
      </c>
      <c r="T451" s="88" t="str">
        <f t="shared" ca="1" si="61"/>
        <v/>
      </c>
      <c r="U451" s="89" t="str">
        <f t="shared" ca="1" si="62"/>
        <v/>
      </c>
      <c r="V451" s="90" t="str">
        <f>IFERROR(VLOOKUP($C451,Code!$H:$Q,6,FALSE),"")</f>
        <v/>
      </c>
      <c r="W451" s="91" t="str">
        <f t="shared" ca="1" si="63"/>
        <v/>
      </c>
      <c r="X451" s="12"/>
      <c r="Y451" s="12"/>
      <c r="Z451" s="12"/>
      <c r="AA451" s="12"/>
      <c r="AB451" s="12"/>
    </row>
    <row r="452" spans="1:28" s="10" customFormat="1" ht="15" hidden="1">
      <c r="A452" s="9"/>
      <c r="B452" s="137"/>
      <c r="C452" s="142"/>
      <c r="D452" s="82" t="str">
        <f>IFERROR(VLOOKUP($C452,Code!$H:$K,2,FALSE),"")</f>
        <v/>
      </c>
      <c r="E452" s="83" t="str">
        <f>IFERROR(VLOOKUP($C452,Code!$H:$K,3,FALSE),"")</f>
        <v/>
      </c>
      <c r="F452" s="84" t="str">
        <f>IFERROR(VLOOKUP($C452,Code!$H:$K,4,FALSE),"")</f>
        <v/>
      </c>
      <c r="G452" s="128">
        <f>_xlfn.IFNA(((VLOOKUP($C452,Code!$H:$Q,9,FALSE))+(VLOOKUP($C452,Code!$H:$Q,10,FALSE)))/2*0.5/(((VLOOKUP($C452,Code!$H:$Q,7,FALSE))+(VLOOKUP($C452,Code!$H:$Q,8,FALSE)))/2),0)</f>
        <v>0</v>
      </c>
      <c r="H452" s="87" t="str">
        <f t="shared" ref="H452:H515" si="64">IFERROR(IF(G452&gt;9E+306,"",IF(G452&gt;70%,"XL",IF(G452&gt;60%,"L",IF(G452&gt;50%,"M",IF(G452&gt;0%,"S",""))))),"")</f>
        <v/>
      </c>
      <c r="I452" s="128">
        <f>_xlfn.IFNA((VLOOKUP($C452,Code!$H:$Q,5,FALSE))/(((VLOOKUP($C452,Code!$H:$Q,7,FALSE))+(VLOOKUP($C452,Code!$H:$Q,8,FALSE)))/2)-G452,0)</f>
        <v>0</v>
      </c>
      <c r="J452" s="55" t="str">
        <f>IFERROR(POWER((VLOOKUP(C452,Code!H:W,12,FALSE))/(VLOOKUP(C452,Code!H:W,15,FALSE)),1/(P452-1))-1,"")</f>
        <v/>
      </c>
      <c r="K452" s="55" t="str">
        <f>IFERROR(POWER((VLOOKUP(C452,Code!H:W,13,FALSE))/(VLOOKUP(C452,Code!H:W,16,FALSE)),1/(P452-1))-1,"")</f>
        <v/>
      </c>
      <c r="L452" s="75" t="str">
        <f>IFERROR(VLOOKUP(C452,Code!H:W,13,FALSE)*4/VLOOKUP(C452,Code!H:W,12,FALSE),"")</f>
        <v/>
      </c>
      <c r="M452" s="55" t="str">
        <f t="shared" ref="M452:M520" si="65">IF(SUM(J452:K452)=0,"",SUM(J452:K452))</f>
        <v/>
      </c>
      <c r="N452" s="55" t="str">
        <f t="shared" ref="N452:N520" si="66">IFERROR(IF(L452&gt;3%,IF((K452+L452)&gt;12%,"Venture","-"),"-"),"")</f>
        <v/>
      </c>
      <c r="O452" s="55" t="str">
        <f t="shared" ref="O452:O520" si="67">IFERROR(IF(OR(L452&lt;3%,L452=""),IF((K452+L452)&gt;15%,"Value","-"),"-"),"")</f>
        <v/>
      </c>
      <c r="P452" s="196" t="str">
        <f>IFERROR(YEARFRAC(VLOOKUP(C452,Code!H:W,11,FALSE),VLOOKUP(C452,Code!H:W,14,FALSE),3),"")</f>
        <v/>
      </c>
      <c r="Q452" s="2"/>
      <c r="R452" s="85" t="str">
        <f t="shared" ref="R452:R515" ca="1" si="68">IFERROR(IF(OR(_xlfn.DAYS(Q452,TODAY())+1&lt;0,C452=0),"",_xlfn.DAYS(Q452,TODAY())+1),"")</f>
        <v/>
      </c>
      <c r="S452" s="86" t="str">
        <f>IFERROR(VLOOKUP($C452,Code!$H:$Q,5,FALSE),"")</f>
        <v/>
      </c>
      <c r="T452" s="88" t="str">
        <f t="shared" ref="T452:T515" ca="1" si="69">IFERROR(IF(V452*S452*SQRT(R452/365)=0,"",V452*S452*SQRT(R452/365)),"")</f>
        <v/>
      </c>
      <c r="U452" s="89" t="str">
        <f t="shared" ref="U452:U515" ca="1" si="70">IFERROR(V452-T452,"")</f>
        <v/>
      </c>
      <c r="V452" s="90" t="str">
        <f>IFERROR(VLOOKUP($C452,Code!$H:$Q,6,FALSE),"")</f>
        <v/>
      </c>
      <c r="W452" s="91" t="str">
        <f t="shared" ref="W452:W515" ca="1" si="71">IFERROR(V452+T452,"")</f>
        <v/>
      </c>
      <c r="X452" s="12"/>
      <c r="Y452" s="12"/>
      <c r="Z452" s="12"/>
      <c r="AA452" s="12"/>
      <c r="AB452" s="12"/>
    </row>
    <row r="453" spans="1:28" s="10" customFormat="1" ht="15" hidden="1">
      <c r="A453" s="9"/>
      <c r="B453" s="137"/>
      <c r="C453" s="142"/>
      <c r="D453" s="82" t="str">
        <f>IFERROR(VLOOKUP($C453,Code!$H:$K,2,FALSE),"")</f>
        <v/>
      </c>
      <c r="E453" s="83" t="str">
        <f>IFERROR(VLOOKUP($C453,Code!$H:$K,3,FALSE),"")</f>
        <v/>
      </c>
      <c r="F453" s="84" t="str">
        <f>IFERROR(VLOOKUP($C453,Code!$H:$K,4,FALSE),"")</f>
        <v/>
      </c>
      <c r="G453" s="128">
        <f>_xlfn.IFNA(((VLOOKUP($C453,Code!$H:$Q,9,FALSE))+(VLOOKUP($C453,Code!$H:$Q,10,FALSE)))/2*0.5/(((VLOOKUP($C453,Code!$H:$Q,7,FALSE))+(VLOOKUP($C453,Code!$H:$Q,8,FALSE)))/2),0)</f>
        <v>0</v>
      </c>
      <c r="H453" s="87" t="str">
        <f t="shared" si="64"/>
        <v/>
      </c>
      <c r="I453" s="128">
        <f>_xlfn.IFNA((VLOOKUP($C453,Code!$H:$Q,5,FALSE))/(((VLOOKUP($C453,Code!$H:$Q,7,FALSE))+(VLOOKUP($C453,Code!$H:$Q,8,FALSE)))/2)-G453,0)</f>
        <v>0</v>
      </c>
      <c r="J453" s="55" t="str">
        <f>IFERROR(POWER((VLOOKUP(C453,Code!H:W,12,FALSE))/(VLOOKUP(C453,Code!H:W,15,FALSE)),1/(P453-1))-1,"")</f>
        <v/>
      </c>
      <c r="K453" s="55" t="str">
        <f>IFERROR(POWER((VLOOKUP(C453,Code!H:W,13,FALSE))/(VLOOKUP(C453,Code!H:W,16,FALSE)),1/(P453-1))-1,"")</f>
        <v/>
      </c>
      <c r="L453" s="75" t="str">
        <f>IFERROR(VLOOKUP(C453,Code!H:W,13,FALSE)*4/VLOOKUP(C453,Code!H:W,12,FALSE),"")</f>
        <v/>
      </c>
      <c r="M453" s="55" t="str">
        <f t="shared" si="65"/>
        <v/>
      </c>
      <c r="N453" s="55" t="str">
        <f t="shared" si="66"/>
        <v/>
      </c>
      <c r="O453" s="55" t="str">
        <f t="shared" si="67"/>
        <v/>
      </c>
      <c r="P453" s="196" t="str">
        <f>IFERROR(YEARFRAC(VLOOKUP(C453,Code!H:W,11,FALSE),VLOOKUP(C453,Code!H:W,14,FALSE),3),"")</f>
        <v/>
      </c>
      <c r="Q453" s="2"/>
      <c r="R453" s="85" t="str">
        <f t="shared" ca="1" si="68"/>
        <v/>
      </c>
      <c r="S453" s="86" t="str">
        <f>IFERROR(VLOOKUP($C453,Code!$H:$Q,5,FALSE),"")</f>
        <v/>
      </c>
      <c r="T453" s="88" t="str">
        <f t="shared" ca="1" si="69"/>
        <v/>
      </c>
      <c r="U453" s="89" t="str">
        <f t="shared" ca="1" si="70"/>
        <v/>
      </c>
      <c r="V453" s="90" t="str">
        <f>IFERROR(VLOOKUP($C453,Code!$H:$Q,6,FALSE),"")</f>
        <v/>
      </c>
      <c r="W453" s="91" t="str">
        <f t="shared" ca="1" si="71"/>
        <v/>
      </c>
      <c r="X453" s="12"/>
      <c r="Y453" s="12"/>
      <c r="Z453" s="12"/>
      <c r="AA453" s="12"/>
      <c r="AB453" s="12"/>
    </row>
    <row r="454" spans="1:28" s="10" customFormat="1" ht="15" hidden="1">
      <c r="A454" s="9"/>
      <c r="B454" s="137"/>
      <c r="C454" s="142"/>
      <c r="D454" s="82" t="str">
        <f>IFERROR(VLOOKUP($C454,Code!$H:$K,2,FALSE),"")</f>
        <v/>
      </c>
      <c r="E454" s="83" t="str">
        <f>IFERROR(VLOOKUP($C454,Code!$H:$K,3,FALSE),"")</f>
        <v/>
      </c>
      <c r="F454" s="84" t="str">
        <f>IFERROR(VLOOKUP($C454,Code!$H:$K,4,FALSE),"")</f>
        <v/>
      </c>
      <c r="G454" s="128">
        <f>_xlfn.IFNA(((VLOOKUP($C454,Code!$H:$Q,9,FALSE))+(VLOOKUP($C454,Code!$H:$Q,10,FALSE)))/2*0.5/(((VLOOKUP($C454,Code!$H:$Q,7,FALSE))+(VLOOKUP($C454,Code!$H:$Q,8,FALSE)))/2),0)</f>
        <v>0</v>
      </c>
      <c r="H454" s="87" t="str">
        <f t="shared" si="64"/>
        <v/>
      </c>
      <c r="I454" s="128">
        <f>_xlfn.IFNA((VLOOKUP($C454,Code!$H:$Q,5,FALSE))/(((VLOOKUP($C454,Code!$H:$Q,7,FALSE))+(VLOOKUP($C454,Code!$H:$Q,8,FALSE)))/2)-G454,0)</f>
        <v>0</v>
      </c>
      <c r="J454" s="55" t="str">
        <f>IFERROR(POWER((VLOOKUP(C454,Code!H:W,12,FALSE))/(VLOOKUP(C454,Code!H:W,15,FALSE)),1/(P454-1))-1,"")</f>
        <v/>
      </c>
      <c r="K454" s="55" t="str">
        <f>IFERROR(POWER((VLOOKUP(C454,Code!H:W,13,FALSE))/(VLOOKUP(C454,Code!H:W,16,FALSE)),1/(P454-1))-1,"")</f>
        <v/>
      </c>
      <c r="L454" s="75" t="str">
        <f>IFERROR(VLOOKUP(C454,Code!H:W,13,FALSE)*4/VLOOKUP(C454,Code!H:W,12,FALSE),"")</f>
        <v/>
      </c>
      <c r="M454" s="55" t="str">
        <f t="shared" si="65"/>
        <v/>
      </c>
      <c r="N454" s="55" t="str">
        <f t="shared" si="66"/>
        <v/>
      </c>
      <c r="O454" s="55" t="str">
        <f t="shared" si="67"/>
        <v/>
      </c>
      <c r="P454" s="196" t="str">
        <f>IFERROR(YEARFRAC(VLOOKUP(C454,Code!H:W,11,FALSE),VLOOKUP(C454,Code!H:W,14,FALSE),3),"")</f>
        <v/>
      </c>
      <c r="Q454" s="2"/>
      <c r="R454" s="85" t="str">
        <f t="shared" ca="1" si="68"/>
        <v/>
      </c>
      <c r="S454" s="86" t="str">
        <f>IFERROR(VLOOKUP($C454,Code!$H:$Q,5,FALSE),"")</f>
        <v/>
      </c>
      <c r="T454" s="88" t="str">
        <f t="shared" ca="1" si="69"/>
        <v/>
      </c>
      <c r="U454" s="89" t="str">
        <f t="shared" ca="1" si="70"/>
        <v/>
      </c>
      <c r="V454" s="90" t="str">
        <f>IFERROR(VLOOKUP($C454,Code!$H:$Q,6,FALSE),"")</f>
        <v/>
      </c>
      <c r="W454" s="91" t="str">
        <f t="shared" ca="1" si="71"/>
        <v/>
      </c>
      <c r="X454" s="12"/>
      <c r="Y454" s="12"/>
      <c r="Z454" s="12"/>
      <c r="AA454" s="12"/>
      <c r="AB454" s="12"/>
    </row>
    <row r="455" spans="1:28" s="10" customFormat="1" ht="15" hidden="1">
      <c r="A455" s="9"/>
      <c r="B455" s="137"/>
      <c r="C455" s="142"/>
      <c r="D455" s="82" t="str">
        <f>IFERROR(VLOOKUP($C455,Code!$H:$K,2,FALSE),"")</f>
        <v/>
      </c>
      <c r="E455" s="83" t="str">
        <f>IFERROR(VLOOKUP($C455,Code!$H:$K,3,FALSE),"")</f>
        <v/>
      </c>
      <c r="F455" s="84" t="str">
        <f>IFERROR(VLOOKUP($C455,Code!$H:$K,4,FALSE),"")</f>
        <v/>
      </c>
      <c r="G455" s="128">
        <f>_xlfn.IFNA(((VLOOKUP($C455,Code!$H:$Q,9,FALSE))+(VLOOKUP($C455,Code!$H:$Q,10,FALSE)))/2*0.5/(((VLOOKUP($C455,Code!$H:$Q,7,FALSE))+(VLOOKUP($C455,Code!$H:$Q,8,FALSE)))/2),0)</f>
        <v>0</v>
      </c>
      <c r="H455" s="87" t="str">
        <f t="shared" si="64"/>
        <v/>
      </c>
      <c r="I455" s="128">
        <f>_xlfn.IFNA((VLOOKUP($C455,Code!$H:$Q,5,FALSE))/(((VLOOKUP($C455,Code!$H:$Q,7,FALSE))+(VLOOKUP($C455,Code!$H:$Q,8,FALSE)))/2)-G455,0)</f>
        <v>0</v>
      </c>
      <c r="J455" s="55" t="str">
        <f>IFERROR(POWER((VLOOKUP(C455,Code!H:W,12,FALSE))/(VLOOKUP(C455,Code!H:W,15,FALSE)),1/(P455-1))-1,"")</f>
        <v/>
      </c>
      <c r="K455" s="55" t="str">
        <f>IFERROR(POWER((VLOOKUP(C455,Code!H:W,13,FALSE))/(VLOOKUP(C455,Code!H:W,16,FALSE)),1/(P455-1))-1,"")</f>
        <v/>
      </c>
      <c r="L455" s="75" t="str">
        <f>IFERROR(VLOOKUP(C455,Code!H:W,13,FALSE)*4/VLOOKUP(C455,Code!H:W,12,FALSE),"")</f>
        <v/>
      </c>
      <c r="M455" s="55" t="str">
        <f t="shared" si="65"/>
        <v/>
      </c>
      <c r="N455" s="55" t="str">
        <f t="shared" si="66"/>
        <v/>
      </c>
      <c r="O455" s="55" t="str">
        <f t="shared" si="67"/>
        <v/>
      </c>
      <c r="P455" s="196" t="str">
        <f>IFERROR(YEARFRAC(VLOOKUP(C455,Code!H:W,11,FALSE),VLOOKUP(C455,Code!H:W,14,FALSE),3),"")</f>
        <v/>
      </c>
      <c r="Q455" s="2"/>
      <c r="R455" s="85" t="str">
        <f t="shared" ca="1" si="68"/>
        <v/>
      </c>
      <c r="S455" s="86" t="str">
        <f>IFERROR(VLOOKUP($C455,Code!$H:$Q,5,FALSE),"")</f>
        <v/>
      </c>
      <c r="T455" s="88" t="str">
        <f t="shared" ca="1" si="69"/>
        <v/>
      </c>
      <c r="U455" s="89" t="str">
        <f t="shared" ca="1" si="70"/>
        <v/>
      </c>
      <c r="V455" s="90" t="str">
        <f>IFERROR(VLOOKUP($C455,Code!$H:$Q,6,FALSE),"")</f>
        <v/>
      </c>
      <c r="W455" s="91" t="str">
        <f t="shared" ca="1" si="71"/>
        <v/>
      </c>
      <c r="X455" s="12"/>
      <c r="Y455" s="12"/>
      <c r="Z455" s="12"/>
      <c r="AA455" s="12"/>
      <c r="AB455" s="12"/>
    </row>
    <row r="456" spans="1:28" s="10" customFormat="1" ht="15" hidden="1">
      <c r="A456" s="9"/>
      <c r="B456" s="137"/>
      <c r="C456" s="142"/>
      <c r="D456" s="82" t="str">
        <f>IFERROR(VLOOKUP($C456,Code!$H:$K,2,FALSE),"")</f>
        <v/>
      </c>
      <c r="E456" s="83" t="str">
        <f>IFERROR(VLOOKUP($C456,Code!$H:$K,3,FALSE),"")</f>
        <v/>
      </c>
      <c r="F456" s="84" t="str">
        <f>IFERROR(VLOOKUP($C456,Code!$H:$K,4,FALSE),"")</f>
        <v/>
      </c>
      <c r="G456" s="128">
        <f>_xlfn.IFNA(((VLOOKUP($C456,Code!$H:$Q,9,FALSE))+(VLOOKUP($C456,Code!$H:$Q,10,FALSE)))/2*0.5/(((VLOOKUP($C456,Code!$H:$Q,7,FALSE))+(VLOOKUP($C456,Code!$H:$Q,8,FALSE)))/2),0)</f>
        <v>0</v>
      </c>
      <c r="H456" s="87" t="str">
        <f t="shared" si="64"/>
        <v/>
      </c>
      <c r="I456" s="128">
        <f>_xlfn.IFNA((VLOOKUP($C456,Code!$H:$Q,5,FALSE))/(((VLOOKUP($C456,Code!$H:$Q,7,FALSE))+(VLOOKUP($C456,Code!$H:$Q,8,FALSE)))/2)-G456,0)</f>
        <v>0</v>
      </c>
      <c r="J456" s="55" t="str">
        <f>IFERROR(POWER((VLOOKUP(C456,Code!H:W,12,FALSE))/(VLOOKUP(C456,Code!H:W,15,FALSE)),1/(P456-1))-1,"")</f>
        <v/>
      </c>
      <c r="K456" s="55" t="str">
        <f>IFERROR(POWER((VLOOKUP(C456,Code!H:W,13,FALSE))/(VLOOKUP(C456,Code!H:W,16,FALSE)),1/(P456-1))-1,"")</f>
        <v/>
      </c>
      <c r="L456" s="75" t="str">
        <f>IFERROR(VLOOKUP(C456,Code!H:W,13,FALSE)*4/VLOOKUP(C456,Code!H:W,12,FALSE),"")</f>
        <v/>
      </c>
      <c r="M456" s="55" t="str">
        <f t="shared" si="65"/>
        <v/>
      </c>
      <c r="N456" s="55" t="str">
        <f t="shared" si="66"/>
        <v/>
      </c>
      <c r="O456" s="55" t="str">
        <f t="shared" si="67"/>
        <v/>
      </c>
      <c r="P456" s="196" t="str">
        <f>IFERROR(YEARFRAC(VLOOKUP(C456,Code!H:W,11,FALSE),VLOOKUP(C456,Code!H:W,14,FALSE),3),"")</f>
        <v/>
      </c>
      <c r="Q456" s="2"/>
      <c r="R456" s="85" t="str">
        <f t="shared" ca="1" si="68"/>
        <v/>
      </c>
      <c r="S456" s="86" t="str">
        <f>IFERROR(VLOOKUP($C456,Code!$H:$Q,5,FALSE),"")</f>
        <v/>
      </c>
      <c r="T456" s="88" t="str">
        <f t="shared" ca="1" si="69"/>
        <v/>
      </c>
      <c r="U456" s="89" t="str">
        <f t="shared" ca="1" si="70"/>
        <v/>
      </c>
      <c r="V456" s="90" t="str">
        <f>IFERROR(VLOOKUP($C456,Code!$H:$Q,6,FALSE),"")</f>
        <v/>
      </c>
      <c r="W456" s="91" t="str">
        <f t="shared" ca="1" si="71"/>
        <v/>
      </c>
      <c r="X456" s="12"/>
      <c r="Y456" s="12"/>
      <c r="Z456" s="12"/>
      <c r="AA456" s="12"/>
      <c r="AB456" s="12"/>
    </row>
    <row r="457" spans="1:28" s="10" customFormat="1" ht="15" hidden="1">
      <c r="A457" s="9"/>
      <c r="B457" s="137"/>
      <c r="C457" s="142"/>
      <c r="D457" s="82" t="str">
        <f>IFERROR(VLOOKUP($C457,Code!$H:$K,2,FALSE),"")</f>
        <v/>
      </c>
      <c r="E457" s="83" t="str">
        <f>IFERROR(VLOOKUP($C457,Code!$H:$K,3,FALSE),"")</f>
        <v/>
      </c>
      <c r="F457" s="84" t="str">
        <f>IFERROR(VLOOKUP($C457,Code!$H:$K,4,FALSE),"")</f>
        <v/>
      </c>
      <c r="G457" s="128">
        <f>_xlfn.IFNA(((VLOOKUP($C457,Code!$H:$Q,9,FALSE))+(VLOOKUP($C457,Code!$H:$Q,10,FALSE)))/2*0.5/(((VLOOKUP($C457,Code!$H:$Q,7,FALSE))+(VLOOKUP($C457,Code!$H:$Q,8,FALSE)))/2),0)</f>
        <v>0</v>
      </c>
      <c r="H457" s="87" t="str">
        <f t="shared" si="64"/>
        <v/>
      </c>
      <c r="I457" s="128">
        <f>_xlfn.IFNA((VLOOKUP($C457,Code!$H:$Q,5,FALSE))/(((VLOOKUP($C457,Code!$H:$Q,7,FALSE))+(VLOOKUP($C457,Code!$H:$Q,8,FALSE)))/2)-G457,0)</f>
        <v>0</v>
      </c>
      <c r="J457" s="55" t="str">
        <f>IFERROR(POWER((VLOOKUP(C457,Code!H:W,12,FALSE))/(VLOOKUP(C457,Code!H:W,15,FALSE)),1/(P457-1))-1,"")</f>
        <v/>
      </c>
      <c r="K457" s="55" t="str">
        <f>IFERROR(POWER((VLOOKUP(C457,Code!H:W,13,FALSE))/(VLOOKUP(C457,Code!H:W,16,FALSE)),1/(P457-1))-1,"")</f>
        <v/>
      </c>
      <c r="L457" s="75" t="str">
        <f>IFERROR(VLOOKUP(C457,Code!H:W,13,FALSE)*4/VLOOKUP(C457,Code!H:W,12,FALSE),"")</f>
        <v/>
      </c>
      <c r="M457" s="55" t="str">
        <f t="shared" si="65"/>
        <v/>
      </c>
      <c r="N457" s="55" t="str">
        <f t="shared" si="66"/>
        <v/>
      </c>
      <c r="O457" s="55" t="str">
        <f t="shared" si="67"/>
        <v/>
      </c>
      <c r="P457" s="196" t="str">
        <f>IFERROR(YEARFRAC(VLOOKUP(C457,Code!H:W,11,FALSE),VLOOKUP(C457,Code!H:W,14,FALSE),3),"")</f>
        <v/>
      </c>
      <c r="Q457" s="2"/>
      <c r="R457" s="85" t="str">
        <f t="shared" ca="1" si="68"/>
        <v/>
      </c>
      <c r="S457" s="86" t="str">
        <f>IFERROR(VLOOKUP($C457,Code!$H:$Q,5,FALSE),"")</f>
        <v/>
      </c>
      <c r="T457" s="88" t="str">
        <f t="shared" ca="1" si="69"/>
        <v/>
      </c>
      <c r="U457" s="89" t="str">
        <f t="shared" ca="1" si="70"/>
        <v/>
      </c>
      <c r="V457" s="90" t="str">
        <f>IFERROR(VLOOKUP($C457,Code!$H:$Q,6,FALSE),"")</f>
        <v/>
      </c>
      <c r="W457" s="91" t="str">
        <f t="shared" ca="1" si="71"/>
        <v/>
      </c>
      <c r="X457" s="12"/>
      <c r="Y457" s="12"/>
      <c r="Z457" s="12"/>
      <c r="AA457" s="12"/>
      <c r="AB457" s="12"/>
    </row>
    <row r="458" spans="1:28" s="10" customFormat="1" ht="15" hidden="1">
      <c r="A458" s="9"/>
      <c r="B458" s="137"/>
      <c r="C458" s="142"/>
      <c r="D458" s="82" t="str">
        <f>IFERROR(VLOOKUP($C458,Code!$H:$K,2,FALSE),"")</f>
        <v/>
      </c>
      <c r="E458" s="83" t="str">
        <f>IFERROR(VLOOKUP($C458,Code!$H:$K,3,FALSE),"")</f>
        <v/>
      </c>
      <c r="F458" s="84" t="str">
        <f>IFERROR(VLOOKUP($C458,Code!$H:$K,4,FALSE),"")</f>
        <v/>
      </c>
      <c r="G458" s="128">
        <f>_xlfn.IFNA(((VLOOKUP($C458,Code!$H:$Q,9,FALSE))+(VLOOKUP($C458,Code!$H:$Q,10,FALSE)))/2*0.5/(((VLOOKUP($C458,Code!$H:$Q,7,FALSE))+(VLOOKUP($C458,Code!$H:$Q,8,FALSE)))/2),0)</f>
        <v>0</v>
      </c>
      <c r="H458" s="87" t="str">
        <f t="shared" si="64"/>
        <v/>
      </c>
      <c r="I458" s="128">
        <f>_xlfn.IFNA((VLOOKUP($C458,Code!$H:$Q,5,FALSE))/(((VLOOKUP($C458,Code!$H:$Q,7,FALSE))+(VLOOKUP($C458,Code!$H:$Q,8,FALSE)))/2)-G458,0)</f>
        <v>0</v>
      </c>
      <c r="J458" s="55" t="str">
        <f>IFERROR(POWER((VLOOKUP(C458,Code!H:W,12,FALSE))/(VLOOKUP(C458,Code!H:W,15,FALSE)),1/(P458-1))-1,"")</f>
        <v/>
      </c>
      <c r="K458" s="55" t="str">
        <f>IFERROR(POWER((VLOOKUP(C458,Code!H:W,13,FALSE))/(VLOOKUP(C458,Code!H:W,16,FALSE)),1/(P458-1))-1,"")</f>
        <v/>
      </c>
      <c r="L458" s="75" t="str">
        <f>IFERROR(VLOOKUP(C458,Code!H:W,13,FALSE)*4/VLOOKUP(C458,Code!H:W,12,FALSE),"")</f>
        <v/>
      </c>
      <c r="M458" s="55" t="str">
        <f t="shared" si="65"/>
        <v/>
      </c>
      <c r="N458" s="55" t="str">
        <f t="shared" si="66"/>
        <v/>
      </c>
      <c r="O458" s="55" t="str">
        <f t="shared" si="67"/>
        <v/>
      </c>
      <c r="P458" s="196" t="str">
        <f>IFERROR(YEARFRAC(VLOOKUP(C458,Code!H:W,11,FALSE),VLOOKUP(C458,Code!H:W,14,FALSE),3),"")</f>
        <v/>
      </c>
      <c r="Q458" s="2"/>
      <c r="R458" s="85" t="str">
        <f t="shared" ca="1" si="68"/>
        <v/>
      </c>
      <c r="S458" s="86" t="str">
        <f>IFERROR(VLOOKUP($C458,Code!$H:$Q,5,FALSE),"")</f>
        <v/>
      </c>
      <c r="T458" s="88" t="str">
        <f t="shared" ca="1" si="69"/>
        <v/>
      </c>
      <c r="U458" s="89" t="str">
        <f t="shared" ca="1" si="70"/>
        <v/>
      </c>
      <c r="V458" s="90" t="str">
        <f>IFERROR(VLOOKUP($C458,Code!$H:$Q,6,FALSE),"")</f>
        <v/>
      </c>
      <c r="W458" s="91" t="str">
        <f t="shared" ca="1" si="71"/>
        <v/>
      </c>
      <c r="X458" s="12"/>
      <c r="Y458" s="12"/>
      <c r="Z458" s="12"/>
      <c r="AA458" s="12"/>
      <c r="AB458" s="12"/>
    </row>
    <row r="459" spans="1:28" s="10" customFormat="1" ht="15" hidden="1">
      <c r="A459" s="9"/>
      <c r="B459" s="137"/>
      <c r="C459" s="142"/>
      <c r="D459" s="82" t="str">
        <f>IFERROR(VLOOKUP($C459,Code!$H:$K,2,FALSE),"")</f>
        <v/>
      </c>
      <c r="E459" s="83" t="str">
        <f>IFERROR(VLOOKUP($C459,Code!$H:$K,3,FALSE),"")</f>
        <v/>
      </c>
      <c r="F459" s="84" t="str">
        <f>IFERROR(VLOOKUP($C459,Code!$H:$K,4,FALSE),"")</f>
        <v/>
      </c>
      <c r="G459" s="128">
        <f>_xlfn.IFNA(((VLOOKUP($C459,Code!$H:$Q,9,FALSE))+(VLOOKUP($C459,Code!$H:$Q,10,FALSE)))/2*0.5/(((VLOOKUP($C459,Code!$H:$Q,7,FALSE))+(VLOOKUP($C459,Code!$H:$Q,8,FALSE)))/2),0)</f>
        <v>0</v>
      </c>
      <c r="H459" s="87" t="str">
        <f t="shared" si="64"/>
        <v/>
      </c>
      <c r="I459" s="128">
        <f>_xlfn.IFNA((VLOOKUP($C459,Code!$H:$Q,5,FALSE))/(((VLOOKUP($C459,Code!$H:$Q,7,FALSE))+(VLOOKUP($C459,Code!$H:$Q,8,FALSE)))/2)-G459,0)</f>
        <v>0</v>
      </c>
      <c r="J459" s="55" t="str">
        <f>IFERROR(POWER((VLOOKUP(C459,Code!H:W,12,FALSE))/(VLOOKUP(C459,Code!H:W,15,FALSE)),1/(P459-1))-1,"")</f>
        <v/>
      </c>
      <c r="K459" s="55" t="str">
        <f>IFERROR(POWER((VLOOKUP(C459,Code!H:W,13,FALSE))/(VLOOKUP(C459,Code!H:W,16,FALSE)),1/(P459-1))-1,"")</f>
        <v/>
      </c>
      <c r="L459" s="75" t="str">
        <f>IFERROR(VLOOKUP(C459,Code!H:W,13,FALSE)*4/VLOOKUP(C459,Code!H:W,12,FALSE),"")</f>
        <v/>
      </c>
      <c r="M459" s="55" t="str">
        <f t="shared" si="65"/>
        <v/>
      </c>
      <c r="N459" s="55" t="str">
        <f t="shared" si="66"/>
        <v/>
      </c>
      <c r="O459" s="55" t="str">
        <f t="shared" si="67"/>
        <v/>
      </c>
      <c r="P459" s="196" t="str">
        <f>IFERROR(YEARFRAC(VLOOKUP(C459,Code!H:W,11,FALSE),VLOOKUP(C459,Code!H:W,14,FALSE),3),"")</f>
        <v/>
      </c>
      <c r="Q459" s="2"/>
      <c r="R459" s="85" t="str">
        <f t="shared" ca="1" si="68"/>
        <v/>
      </c>
      <c r="S459" s="86" t="str">
        <f>IFERROR(VLOOKUP($C459,Code!$H:$Q,5,FALSE),"")</f>
        <v/>
      </c>
      <c r="T459" s="88" t="str">
        <f t="shared" ca="1" si="69"/>
        <v/>
      </c>
      <c r="U459" s="89" t="str">
        <f t="shared" ca="1" si="70"/>
        <v/>
      </c>
      <c r="V459" s="90" t="str">
        <f>IFERROR(VLOOKUP($C459,Code!$H:$Q,6,FALSE),"")</f>
        <v/>
      </c>
      <c r="W459" s="91" t="str">
        <f t="shared" ca="1" si="71"/>
        <v/>
      </c>
      <c r="X459" s="12"/>
      <c r="Y459" s="12"/>
      <c r="Z459" s="12"/>
      <c r="AA459" s="12"/>
      <c r="AB459" s="12"/>
    </row>
    <row r="460" spans="1:28" s="10" customFormat="1" ht="15" hidden="1">
      <c r="A460" s="9"/>
      <c r="B460" s="137"/>
      <c r="C460" s="142"/>
      <c r="D460" s="82" t="str">
        <f>IFERROR(VLOOKUP($C460,Code!$H:$K,2,FALSE),"")</f>
        <v/>
      </c>
      <c r="E460" s="83" t="str">
        <f>IFERROR(VLOOKUP($C460,Code!$H:$K,3,FALSE),"")</f>
        <v/>
      </c>
      <c r="F460" s="84" t="str">
        <f>IFERROR(VLOOKUP($C460,Code!$H:$K,4,FALSE),"")</f>
        <v/>
      </c>
      <c r="G460" s="128">
        <f>_xlfn.IFNA(((VLOOKUP($C460,Code!$H:$Q,9,FALSE))+(VLOOKUP($C460,Code!$H:$Q,10,FALSE)))/2*0.5/(((VLOOKUP($C460,Code!$H:$Q,7,FALSE))+(VLOOKUP($C460,Code!$H:$Q,8,FALSE)))/2),0)</f>
        <v>0</v>
      </c>
      <c r="H460" s="87" t="str">
        <f t="shared" si="64"/>
        <v/>
      </c>
      <c r="I460" s="128">
        <f>_xlfn.IFNA((VLOOKUP($C460,Code!$H:$Q,5,FALSE))/(((VLOOKUP($C460,Code!$H:$Q,7,FALSE))+(VLOOKUP($C460,Code!$H:$Q,8,FALSE)))/2)-G460,0)</f>
        <v>0</v>
      </c>
      <c r="J460" s="55" t="str">
        <f>IFERROR(POWER((VLOOKUP(C460,Code!H:W,12,FALSE))/(VLOOKUP(C460,Code!H:W,15,FALSE)),1/(P460-1))-1,"")</f>
        <v/>
      </c>
      <c r="K460" s="55" t="str">
        <f>IFERROR(POWER((VLOOKUP(C460,Code!H:W,13,FALSE))/(VLOOKUP(C460,Code!H:W,16,FALSE)),1/(P460-1))-1,"")</f>
        <v/>
      </c>
      <c r="L460" s="75" t="str">
        <f>IFERROR(VLOOKUP(C460,Code!H:W,13,FALSE)*4/VLOOKUP(C460,Code!H:W,12,FALSE),"")</f>
        <v/>
      </c>
      <c r="M460" s="55" t="str">
        <f t="shared" si="65"/>
        <v/>
      </c>
      <c r="N460" s="55" t="str">
        <f t="shared" si="66"/>
        <v/>
      </c>
      <c r="O460" s="55" t="str">
        <f t="shared" si="67"/>
        <v/>
      </c>
      <c r="P460" s="196" t="str">
        <f>IFERROR(YEARFRAC(VLOOKUP(C460,Code!H:W,11,FALSE),VLOOKUP(C460,Code!H:W,14,FALSE),3),"")</f>
        <v/>
      </c>
      <c r="Q460" s="2"/>
      <c r="R460" s="85" t="str">
        <f t="shared" ca="1" si="68"/>
        <v/>
      </c>
      <c r="S460" s="86" t="str">
        <f>IFERROR(VLOOKUP($C460,Code!$H:$Q,5,FALSE),"")</f>
        <v/>
      </c>
      <c r="T460" s="88" t="str">
        <f t="shared" ca="1" si="69"/>
        <v/>
      </c>
      <c r="U460" s="89" t="str">
        <f t="shared" ca="1" si="70"/>
        <v/>
      </c>
      <c r="V460" s="90" t="str">
        <f>IFERROR(VLOOKUP($C460,Code!$H:$Q,6,FALSE),"")</f>
        <v/>
      </c>
      <c r="W460" s="91" t="str">
        <f t="shared" ca="1" si="71"/>
        <v/>
      </c>
      <c r="X460" s="12"/>
      <c r="Y460" s="12"/>
      <c r="Z460" s="12"/>
      <c r="AA460" s="12"/>
      <c r="AB460" s="12"/>
    </row>
    <row r="461" spans="1:28" s="10" customFormat="1" ht="15" hidden="1">
      <c r="A461" s="9"/>
      <c r="B461" s="137"/>
      <c r="C461" s="142"/>
      <c r="D461" s="82" t="str">
        <f>IFERROR(VLOOKUP($C461,Code!$H:$K,2,FALSE),"")</f>
        <v/>
      </c>
      <c r="E461" s="83" t="str">
        <f>IFERROR(VLOOKUP($C461,Code!$H:$K,3,FALSE),"")</f>
        <v/>
      </c>
      <c r="F461" s="84" t="str">
        <f>IFERROR(VLOOKUP($C461,Code!$H:$K,4,FALSE),"")</f>
        <v/>
      </c>
      <c r="G461" s="128">
        <f>_xlfn.IFNA(((VLOOKUP($C461,Code!$H:$Q,9,FALSE))+(VLOOKUP($C461,Code!$H:$Q,10,FALSE)))/2*0.5/(((VLOOKUP($C461,Code!$H:$Q,7,FALSE))+(VLOOKUP($C461,Code!$H:$Q,8,FALSE)))/2),0)</f>
        <v>0</v>
      </c>
      <c r="H461" s="87" t="str">
        <f t="shared" si="64"/>
        <v/>
      </c>
      <c r="I461" s="128">
        <f>_xlfn.IFNA((VLOOKUP($C461,Code!$H:$Q,5,FALSE))/(((VLOOKUP($C461,Code!$H:$Q,7,FALSE))+(VLOOKUP($C461,Code!$H:$Q,8,FALSE)))/2)-G461,0)</f>
        <v>0</v>
      </c>
      <c r="J461" s="55" t="str">
        <f>IFERROR(POWER((VLOOKUP(C461,Code!H:W,12,FALSE))/(VLOOKUP(C461,Code!H:W,15,FALSE)),1/(P461-1))-1,"")</f>
        <v/>
      </c>
      <c r="K461" s="55" t="str">
        <f>IFERROR(POWER((VLOOKUP(C461,Code!H:W,13,FALSE))/(VLOOKUP(C461,Code!H:W,16,FALSE)),1/(P461-1))-1,"")</f>
        <v/>
      </c>
      <c r="L461" s="75" t="str">
        <f>IFERROR(VLOOKUP(C461,Code!H:W,13,FALSE)*4/VLOOKUP(C461,Code!H:W,12,FALSE),"")</f>
        <v/>
      </c>
      <c r="M461" s="55" t="str">
        <f t="shared" si="65"/>
        <v/>
      </c>
      <c r="N461" s="55" t="str">
        <f t="shared" si="66"/>
        <v/>
      </c>
      <c r="O461" s="55" t="str">
        <f t="shared" si="67"/>
        <v/>
      </c>
      <c r="P461" s="196" t="str">
        <f>IFERROR(YEARFRAC(VLOOKUP(C461,Code!H:W,11,FALSE),VLOOKUP(C461,Code!H:W,14,FALSE),3),"")</f>
        <v/>
      </c>
      <c r="Q461" s="2"/>
      <c r="R461" s="85" t="str">
        <f t="shared" ca="1" si="68"/>
        <v/>
      </c>
      <c r="S461" s="86" t="str">
        <f>IFERROR(VLOOKUP($C461,Code!$H:$Q,5,FALSE),"")</f>
        <v/>
      </c>
      <c r="T461" s="88" t="str">
        <f t="shared" ca="1" si="69"/>
        <v/>
      </c>
      <c r="U461" s="89" t="str">
        <f t="shared" ca="1" si="70"/>
        <v/>
      </c>
      <c r="V461" s="90" t="str">
        <f>IFERROR(VLOOKUP($C461,Code!$H:$Q,6,FALSE),"")</f>
        <v/>
      </c>
      <c r="W461" s="91" t="str">
        <f t="shared" ca="1" si="71"/>
        <v/>
      </c>
      <c r="X461" s="12"/>
      <c r="Y461" s="12"/>
      <c r="Z461" s="12"/>
      <c r="AA461" s="12"/>
      <c r="AB461" s="12"/>
    </row>
    <row r="462" spans="1:28" s="10" customFormat="1" ht="15" hidden="1">
      <c r="A462" s="9"/>
      <c r="B462" s="137"/>
      <c r="C462" s="142"/>
      <c r="D462" s="82" t="str">
        <f>IFERROR(VLOOKUP($C462,Code!$H:$K,2,FALSE),"")</f>
        <v/>
      </c>
      <c r="E462" s="83" t="str">
        <f>IFERROR(VLOOKUP($C462,Code!$H:$K,3,FALSE),"")</f>
        <v/>
      </c>
      <c r="F462" s="84" t="str">
        <f>IFERROR(VLOOKUP($C462,Code!$H:$K,4,FALSE),"")</f>
        <v/>
      </c>
      <c r="G462" s="128">
        <f>_xlfn.IFNA(((VLOOKUP($C462,Code!$H:$Q,9,FALSE))+(VLOOKUP($C462,Code!$H:$Q,10,FALSE)))/2*0.5/(((VLOOKUP($C462,Code!$H:$Q,7,FALSE))+(VLOOKUP($C462,Code!$H:$Q,8,FALSE)))/2),0)</f>
        <v>0</v>
      </c>
      <c r="H462" s="87" t="str">
        <f t="shared" si="64"/>
        <v/>
      </c>
      <c r="I462" s="128">
        <f>_xlfn.IFNA((VLOOKUP($C462,Code!$H:$Q,5,FALSE))/(((VLOOKUP($C462,Code!$H:$Q,7,FALSE))+(VLOOKUP($C462,Code!$H:$Q,8,FALSE)))/2)-G462,0)</f>
        <v>0</v>
      </c>
      <c r="J462" s="55" t="str">
        <f>IFERROR(POWER((VLOOKUP(C462,Code!H:W,12,FALSE))/(VLOOKUP(C462,Code!H:W,15,FALSE)),1/(P462-1))-1,"")</f>
        <v/>
      </c>
      <c r="K462" s="55" t="str">
        <f>IFERROR(POWER((VLOOKUP(C462,Code!H:W,13,FALSE))/(VLOOKUP(C462,Code!H:W,16,FALSE)),1/(P462-1))-1,"")</f>
        <v/>
      </c>
      <c r="L462" s="75" t="str">
        <f>IFERROR(VLOOKUP(C462,Code!H:W,13,FALSE)*4/VLOOKUP(C462,Code!H:W,12,FALSE),"")</f>
        <v/>
      </c>
      <c r="M462" s="55" t="str">
        <f t="shared" si="65"/>
        <v/>
      </c>
      <c r="N462" s="55" t="str">
        <f t="shared" si="66"/>
        <v/>
      </c>
      <c r="O462" s="55" t="str">
        <f t="shared" si="67"/>
        <v/>
      </c>
      <c r="P462" s="196" t="str">
        <f>IFERROR(YEARFRAC(VLOOKUP(C462,Code!H:W,11,FALSE),VLOOKUP(C462,Code!H:W,14,FALSE),3),"")</f>
        <v/>
      </c>
      <c r="Q462" s="2"/>
      <c r="R462" s="85" t="str">
        <f t="shared" ca="1" si="68"/>
        <v/>
      </c>
      <c r="S462" s="86" t="str">
        <f>IFERROR(VLOOKUP($C462,Code!$H:$Q,5,FALSE),"")</f>
        <v/>
      </c>
      <c r="T462" s="88" t="str">
        <f t="shared" ca="1" si="69"/>
        <v/>
      </c>
      <c r="U462" s="89" t="str">
        <f t="shared" ca="1" si="70"/>
        <v/>
      </c>
      <c r="V462" s="90" t="str">
        <f>IFERROR(VLOOKUP($C462,Code!$H:$Q,6,FALSE),"")</f>
        <v/>
      </c>
      <c r="W462" s="91" t="str">
        <f t="shared" ca="1" si="71"/>
        <v/>
      </c>
      <c r="X462" s="12"/>
      <c r="Y462" s="12"/>
      <c r="Z462" s="12"/>
      <c r="AA462" s="12"/>
      <c r="AB462" s="12"/>
    </row>
    <row r="463" spans="1:28" s="10" customFormat="1" ht="15" hidden="1">
      <c r="A463" s="9"/>
      <c r="B463" s="137"/>
      <c r="C463" s="142"/>
      <c r="D463" s="82" t="str">
        <f>IFERROR(VLOOKUP($C463,Code!$H:$K,2,FALSE),"")</f>
        <v/>
      </c>
      <c r="E463" s="83" t="str">
        <f>IFERROR(VLOOKUP($C463,Code!$H:$K,3,FALSE),"")</f>
        <v/>
      </c>
      <c r="F463" s="84" t="str">
        <f>IFERROR(VLOOKUP($C463,Code!$H:$K,4,FALSE),"")</f>
        <v/>
      </c>
      <c r="G463" s="128">
        <f>_xlfn.IFNA(((VLOOKUP($C463,Code!$H:$Q,9,FALSE))+(VLOOKUP($C463,Code!$H:$Q,10,FALSE)))/2*0.5/(((VLOOKUP($C463,Code!$H:$Q,7,FALSE))+(VLOOKUP($C463,Code!$H:$Q,8,FALSE)))/2),0)</f>
        <v>0</v>
      </c>
      <c r="H463" s="87" t="str">
        <f t="shared" si="64"/>
        <v/>
      </c>
      <c r="I463" s="128">
        <f>_xlfn.IFNA((VLOOKUP($C463,Code!$H:$Q,5,FALSE))/(((VLOOKUP($C463,Code!$H:$Q,7,FALSE))+(VLOOKUP($C463,Code!$H:$Q,8,FALSE)))/2)-G463,0)</f>
        <v>0</v>
      </c>
      <c r="J463" s="55" t="str">
        <f>IFERROR(POWER((VLOOKUP(C463,Code!H:W,12,FALSE))/(VLOOKUP(C463,Code!H:W,15,FALSE)),1/(P463-1))-1,"")</f>
        <v/>
      </c>
      <c r="K463" s="55" t="str">
        <f>IFERROR(POWER((VLOOKUP(C463,Code!H:W,13,FALSE))/(VLOOKUP(C463,Code!H:W,16,FALSE)),1/(P463-1))-1,"")</f>
        <v/>
      </c>
      <c r="L463" s="75" t="str">
        <f>IFERROR(VLOOKUP(C463,Code!H:W,13,FALSE)*4/VLOOKUP(C463,Code!H:W,12,FALSE),"")</f>
        <v/>
      </c>
      <c r="M463" s="55" t="str">
        <f t="shared" si="65"/>
        <v/>
      </c>
      <c r="N463" s="55" t="str">
        <f t="shared" si="66"/>
        <v/>
      </c>
      <c r="O463" s="55" t="str">
        <f t="shared" si="67"/>
        <v/>
      </c>
      <c r="P463" s="196" t="str">
        <f>IFERROR(YEARFRAC(VLOOKUP(C463,Code!H:W,11,FALSE),VLOOKUP(C463,Code!H:W,14,FALSE),3),"")</f>
        <v/>
      </c>
      <c r="Q463" s="2"/>
      <c r="R463" s="85" t="str">
        <f t="shared" ca="1" si="68"/>
        <v/>
      </c>
      <c r="S463" s="86" t="str">
        <f>IFERROR(VLOOKUP($C463,Code!$H:$Q,5,FALSE),"")</f>
        <v/>
      </c>
      <c r="T463" s="88" t="str">
        <f t="shared" ca="1" si="69"/>
        <v/>
      </c>
      <c r="U463" s="89" t="str">
        <f t="shared" ca="1" si="70"/>
        <v/>
      </c>
      <c r="V463" s="90" t="str">
        <f>IFERROR(VLOOKUP($C463,Code!$H:$Q,6,FALSE),"")</f>
        <v/>
      </c>
      <c r="W463" s="91" t="str">
        <f t="shared" ca="1" si="71"/>
        <v/>
      </c>
      <c r="X463" s="12"/>
      <c r="Y463" s="12"/>
      <c r="Z463" s="12"/>
      <c r="AA463" s="12"/>
      <c r="AB463" s="12"/>
    </row>
    <row r="464" spans="1:28" s="10" customFormat="1" ht="15" hidden="1">
      <c r="A464" s="9"/>
      <c r="B464" s="137"/>
      <c r="C464" s="142"/>
      <c r="D464" s="82" t="str">
        <f>IFERROR(VLOOKUP($C464,Code!$H:$K,2,FALSE),"")</f>
        <v/>
      </c>
      <c r="E464" s="83" t="str">
        <f>IFERROR(VLOOKUP($C464,Code!$H:$K,3,FALSE),"")</f>
        <v/>
      </c>
      <c r="F464" s="84" t="str">
        <f>IFERROR(VLOOKUP($C464,Code!$H:$K,4,FALSE),"")</f>
        <v/>
      </c>
      <c r="G464" s="128">
        <f>_xlfn.IFNA(((VLOOKUP($C464,Code!$H:$Q,9,FALSE))+(VLOOKUP($C464,Code!$H:$Q,10,FALSE)))/2*0.5/(((VLOOKUP($C464,Code!$H:$Q,7,FALSE))+(VLOOKUP($C464,Code!$H:$Q,8,FALSE)))/2),0)</f>
        <v>0</v>
      </c>
      <c r="H464" s="87" t="str">
        <f t="shared" si="64"/>
        <v/>
      </c>
      <c r="I464" s="128">
        <f>_xlfn.IFNA((VLOOKUP($C464,Code!$H:$Q,5,FALSE))/(((VLOOKUP($C464,Code!$H:$Q,7,FALSE))+(VLOOKUP($C464,Code!$H:$Q,8,FALSE)))/2)-G464,0)</f>
        <v>0</v>
      </c>
      <c r="J464" s="55" t="str">
        <f>IFERROR(POWER((VLOOKUP(C464,Code!H:W,12,FALSE))/(VLOOKUP(C464,Code!H:W,15,FALSE)),1/(P464-1))-1,"")</f>
        <v/>
      </c>
      <c r="K464" s="55" t="str">
        <f>IFERROR(POWER((VLOOKUP(C464,Code!H:W,13,FALSE))/(VLOOKUP(C464,Code!H:W,16,FALSE)),1/(P464-1))-1,"")</f>
        <v/>
      </c>
      <c r="L464" s="75" t="str">
        <f>IFERROR(VLOOKUP(C464,Code!H:W,13,FALSE)*4/VLOOKUP(C464,Code!H:W,12,FALSE),"")</f>
        <v/>
      </c>
      <c r="M464" s="55" t="str">
        <f t="shared" si="65"/>
        <v/>
      </c>
      <c r="N464" s="55" t="str">
        <f t="shared" si="66"/>
        <v/>
      </c>
      <c r="O464" s="55" t="str">
        <f t="shared" si="67"/>
        <v/>
      </c>
      <c r="P464" s="196" t="str">
        <f>IFERROR(YEARFRAC(VLOOKUP(C464,Code!H:W,11,FALSE),VLOOKUP(C464,Code!H:W,14,FALSE),3),"")</f>
        <v/>
      </c>
      <c r="Q464" s="2"/>
      <c r="R464" s="85" t="str">
        <f t="shared" ca="1" si="68"/>
        <v/>
      </c>
      <c r="S464" s="86" t="str">
        <f>IFERROR(VLOOKUP($C464,Code!$H:$Q,5,FALSE),"")</f>
        <v/>
      </c>
      <c r="T464" s="88" t="str">
        <f t="shared" ca="1" si="69"/>
        <v/>
      </c>
      <c r="U464" s="89" t="str">
        <f t="shared" ca="1" si="70"/>
        <v/>
      </c>
      <c r="V464" s="90" t="str">
        <f>IFERROR(VLOOKUP($C464,Code!$H:$Q,6,FALSE),"")</f>
        <v/>
      </c>
      <c r="W464" s="91" t="str">
        <f t="shared" ca="1" si="71"/>
        <v/>
      </c>
      <c r="X464" s="12"/>
      <c r="Y464" s="12"/>
      <c r="Z464" s="12"/>
      <c r="AA464" s="12"/>
      <c r="AB464" s="12"/>
    </row>
    <row r="465" spans="1:28" s="10" customFormat="1" ht="15" hidden="1">
      <c r="A465" s="9"/>
      <c r="B465" s="137"/>
      <c r="C465" s="142"/>
      <c r="D465" s="82" t="str">
        <f>IFERROR(VLOOKUP($C465,Code!$H:$K,2,FALSE),"")</f>
        <v/>
      </c>
      <c r="E465" s="83" t="str">
        <f>IFERROR(VLOOKUP($C465,Code!$H:$K,3,FALSE),"")</f>
        <v/>
      </c>
      <c r="F465" s="84" t="str">
        <f>IFERROR(VLOOKUP($C465,Code!$H:$K,4,FALSE),"")</f>
        <v/>
      </c>
      <c r="G465" s="128">
        <f>_xlfn.IFNA(((VLOOKUP($C465,Code!$H:$Q,9,FALSE))+(VLOOKUP($C465,Code!$H:$Q,10,FALSE)))/2*0.5/(((VLOOKUP($C465,Code!$H:$Q,7,FALSE))+(VLOOKUP($C465,Code!$H:$Q,8,FALSE)))/2),0)</f>
        <v>0</v>
      </c>
      <c r="H465" s="87" t="str">
        <f t="shared" si="64"/>
        <v/>
      </c>
      <c r="I465" s="128">
        <f>_xlfn.IFNA((VLOOKUP($C465,Code!$H:$Q,5,FALSE))/(((VLOOKUP($C465,Code!$H:$Q,7,FALSE))+(VLOOKUP($C465,Code!$H:$Q,8,FALSE)))/2)-G465,0)</f>
        <v>0</v>
      </c>
      <c r="J465" s="55" t="str">
        <f>IFERROR(POWER((VLOOKUP(C465,Code!H:W,12,FALSE))/(VLOOKUP(C465,Code!H:W,15,FALSE)),1/(P465-1))-1,"")</f>
        <v/>
      </c>
      <c r="K465" s="55" t="str">
        <f>IFERROR(POWER((VLOOKUP(C465,Code!H:W,13,FALSE))/(VLOOKUP(C465,Code!H:W,16,FALSE)),1/(P465-1))-1,"")</f>
        <v/>
      </c>
      <c r="L465" s="75" t="str">
        <f>IFERROR(VLOOKUP(C465,Code!H:W,13,FALSE)*4/VLOOKUP(C465,Code!H:W,12,FALSE),"")</f>
        <v/>
      </c>
      <c r="M465" s="55" t="str">
        <f t="shared" si="65"/>
        <v/>
      </c>
      <c r="N465" s="55" t="str">
        <f t="shared" si="66"/>
        <v/>
      </c>
      <c r="O465" s="55" t="str">
        <f t="shared" si="67"/>
        <v/>
      </c>
      <c r="P465" s="196" t="str">
        <f>IFERROR(YEARFRAC(VLOOKUP(C465,Code!H:W,11,FALSE),VLOOKUP(C465,Code!H:W,14,FALSE),3),"")</f>
        <v/>
      </c>
      <c r="Q465" s="2"/>
      <c r="R465" s="85" t="str">
        <f t="shared" ca="1" si="68"/>
        <v/>
      </c>
      <c r="S465" s="86" t="str">
        <f>IFERROR(VLOOKUP($C465,Code!$H:$Q,5,FALSE),"")</f>
        <v/>
      </c>
      <c r="T465" s="88" t="str">
        <f t="shared" ca="1" si="69"/>
        <v/>
      </c>
      <c r="U465" s="89" t="str">
        <f t="shared" ca="1" si="70"/>
        <v/>
      </c>
      <c r="V465" s="90" t="str">
        <f>IFERROR(VLOOKUP($C465,Code!$H:$Q,6,FALSE),"")</f>
        <v/>
      </c>
      <c r="W465" s="91" t="str">
        <f t="shared" ca="1" si="71"/>
        <v/>
      </c>
      <c r="X465" s="12"/>
      <c r="Y465" s="12"/>
      <c r="Z465" s="12"/>
      <c r="AA465" s="12"/>
      <c r="AB465" s="12"/>
    </row>
    <row r="466" spans="1:28" s="10" customFormat="1" ht="15" hidden="1">
      <c r="A466" s="9"/>
      <c r="B466" s="137"/>
      <c r="C466" s="142"/>
      <c r="D466" s="82" t="str">
        <f>IFERROR(VLOOKUP($C466,Code!$H:$K,2,FALSE),"")</f>
        <v/>
      </c>
      <c r="E466" s="83" t="str">
        <f>IFERROR(VLOOKUP($C466,Code!$H:$K,3,FALSE),"")</f>
        <v/>
      </c>
      <c r="F466" s="84" t="str">
        <f>IFERROR(VLOOKUP($C466,Code!$H:$K,4,FALSE),"")</f>
        <v/>
      </c>
      <c r="G466" s="128">
        <f>_xlfn.IFNA(((VLOOKUP($C466,Code!$H:$Q,9,FALSE))+(VLOOKUP($C466,Code!$H:$Q,10,FALSE)))/2*0.5/(((VLOOKUP($C466,Code!$H:$Q,7,FALSE))+(VLOOKUP($C466,Code!$H:$Q,8,FALSE)))/2),0)</f>
        <v>0</v>
      </c>
      <c r="H466" s="87" t="str">
        <f t="shared" si="64"/>
        <v/>
      </c>
      <c r="I466" s="128">
        <f>_xlfn.IFNA((VLOOKUP($C466,Code!$H:$Q,5,FALSE))/(((VLOOKUP($C466,Code!$H:$Q,7,FALSE))+(VLOOKUP($C466,Code!$H:$Q,8,FALSE)))/2)-G466,0)</f>
        <v>0</v>
      </c>
      <c r="J466" s="55" t="str">
        <f>IFERROR(POWER((VLOOKUP(C466,Code!H:W,12,FALSE))/(VLOOKUP(C466,Code!H:W,15,FALSE)),1/(P466-1))-1,"")</f>
        <v/>
      </c>
      <c r="K466" s="55" t="str">
        <f>IFERROR(POWER((VLOOKUP(C466,Code!H:W,13,FALSE))/(VLOOKUP(C466,Code!H:W,16,FALSE)),1/(P466-1))-1,"")</f>
        <v/>
      </c>
      <c r="L466" s="75" t="str">
        <f>IFERROR(VLOOKUP(C466,Code!H:W,13,FALSE)*4/VLOOKUP(C466,Code!H:W,12,FALSE),"")</f>
        <v/>
      </c>
      <c r="M466" s="55" t="str">
        <f t="shared" si="65"/>
        <v/>
      </c>
      <c r="N466" s="55" t="str">
        <f t="shared" si="66"/>
        <v/>
      </c>
      <c r="O466" s="55" t="str">
        <f t="shared" si="67"/>
        <v/>
      </c>
      <c r="P466" s="196" t="str">
        <f>IFERROR(YEARFRAC(VLOOKUP(C466,Code!H:W,11,FALSE),VLOOKUP(C466,Code!H:W,14,FALSE),3),"")</f>
        <v/>
      </c>
      <c r="Q466" s="2"/>
      <c r="R466" s="85" t="str">
        <f t="shared" ca="1" si="68"/>
        <v/>
      </c>
      <c r="S466" s="86" t="str">
        <f>IFERROR(VLOOKUP($C466,Code!$H:$Q,5,FALSE),"")</f>
        <v/>
      </c>
      <c r="T466" s="88" t="str">
        <f t="shared" ca="1" si="69"/>
        <v/>
      </c>
      <c r="U466" s="89" t="str">
        <f t="shared" ca="1" si="70"/>
        <v/>
      </c>
      <c r="V466" s="90" t="str">
        <f>IFERROR(VLOOKUP($C466,Code!$H:$Q,6,FALSE),"")</f>
        <v/>
      </c>
      <c r="W466" s="91" t="str">
        <f t="shared" ca="1" si="71"/>
        <v/>
      </c>
      <c r="X466" s="12"/>
      <c r="Y466" s="12"/>
      <c r="Z466" s="12"/>
      <c r="AA466" s="12"/>
      <c r="AB466" s="12"/>
    </row>
    <row r="467" spans="1:28" s="10" customFormat="1" ht="15" hidden="1">
      <c r="A467" s="9"/>
      <c r="B467" s="137"/>
      <c r="C467" s="142"/>
      <c r="D467" s="82" t="str">
        <f>IFERROR(VLOOKUP($C467,Code!$H:$K,2,FALSE),"")</f>
        <v/>
      </c>
      <c r="E467" s="83" t="str">
        <f>IFERROR(VLOOKUP($C467,Code!$H:$K,3,FALSE),"")</f>
        <v/>
      </c>
      <c r="F467" s="84" t="str">
        <f>IFERROR(VLOOKUP($C467,Code!$H:$K,4,FALSE),"")</f>
        <v/>
      </c>
      <c r="G467" s="128">
        <f>_xlfn.IFNA(((VLOOKUP($C467,Code!$H:$Q,9,FALSE))+(VLOOKUP($C467,Code!$H:$Q,10,FALSE)))/2*0.5/(((VLOOKUP($C467,Code!$H:$Q,7,FALSE))+(VLOOKUP($C467,Code!$H:$Q,8,FALSE)))/2),0)</f>
        <v>0</v>
      </c>
      <c r="H467" s="87" t="str">
        <f t="shared" si="64"/>
        <v/>
      </c>
      <c r="I467" s="128">
        <f>_xlfn.IFNA((VLOOKUP($C467,Code!$H:$Q,5,FALSE))/(((VLOOKUP($C467,Code!$H:$Q,7,FALSE))+(VLOOKUP($C467,Code!$H:$Q,8,FALSE)))/2)-G467,0)</f>
        <v>0</v>
      </c>
      <c r="J467" s="55" t="str">
        <f>IFERROR(POWER((VLOOKUP(C467,Code!H:W,12,FALSE))/(VLOOKUP(C467,Code!H:W,15,FALSE)),1/(P467-1))-1,"")</f>
        <v/>
      </c>
      <c r="K467" s="55" t="str">
        <f>IFERROR(POWER((VLOOKUP(C467,Code!H:W,13,FALSE))/(VLOOKUP(C467,Code!H:W,16,FALSE)),1/(P467-1))-1,"")</f>
        <v/>
      </c>
      <c r="L467" s="75" t="str">
        <f>IFERROR(VLOOKUP(C467,Code!H:W,13,FALSE)*4/VLOOKUP(C467,Code!H:W,12,FALSE),"")</f>
        <v/>
      </c>
      <c r="M467" s="55" t="str">
        <f t="shared" si="65"/>
        <v/>
      </c>
      <c r="N467" s="55" t="str">
        <f t="shared" si="66"/>
        <v/>
      </c>
      <c r="O467" s="55" t="str">
        <f t="shared" si="67"/>
        <v/>
      </c>
      <c r="P467" s="196" t="str">
        <f>IFERROR(YEARFRAC(VLOOKUP(C467,Code!H:W,11,FALSE),VLOOKUP(C467,Code!H:W,14,FALSE),3),"")</f>
        <v/>
      </c>
      <c r="Q467" s="2"/>
      <c r="R467" s="85" t="str">
        <f t="shared" ca="1" si="68"/>
        <v/>
      </c>
      <c r="S467" s="86" t="str">
        <f>IFERROR(VLOOKUP($C467,Code!$H:$Q,5,FALSE),"")</f>
        <v/>
      </c>
      <c r="T467" s="88" t="str">
        <f t="shared" ca="1" si="69"/>
        <v/>
      </c>
      <c r="U467" s="89" t="str">
        <f t="shared" ca="1" si="70"/>
        <v/>
      </c>
      <c r="V467" s="90" t="str">
        <f>IFERROR(VLOOKUP($C467,Code!$H:$Q,6,FALSE),"")</f>
        <v/>
      </c>
      <c r="W467" s="91" t="str">
        <f t="shared" ca="1" si="71"/>
        <v/>
      </c>
      <c r="X467" s="12"/>
      <c r="Y467" s="12"/>
      <c r="Z467" s="12"/>
      <c r="AA467" s="12"/>
      <c r="AB467" s="12"/>
    </row>
    <row r="468" spans="1:28" s="10" customFormat="1" ht="15" hidden="1">
      <c r="A468" s="9"/>
      <c r="B468" s="137"/>
      <c r="C468" s="142"/>
      <c r="D468" s="82" t="str">
        <f>IFERROR(VLOOKUP($C468,Code!$H:$K,2,FALSE),"")</f>
        <v/>
      </c>
      <c r="E468" s="83" t="str">
        <f>IFERROR(VLOOKUP($C468,Code!$H:$K,3,FALSE),"")</f>
        <v/>
      </c>
      <c r="F468" s="84" t="str">
        <f>IFERROR(VLOOKUP($C468,Code!$H:$K,4,FALSE),"")</f>
        <v/>
      </c>
      <c r="G468" s="128">
        <f>_xlfn.IFNA(((VLOOKUP($C468,Code!$H:$Q,9,FALSE))+(VLOOKUP($C468,Code!$H:$Q,10,FALSE)))/2*0.5/(((VLOOKUP($C468,Code!$H:$Q,7,FALSE))+(VLOOKUP($C468,Code!$H:$Q,8,FALSE)))/2),0)</f>
        <v>0</v>
      </c>
      <c r="H468" s="87" t="str">
        <f t="shared" si="64"/>
        <v/>
      </c>
      <c r="I468" s="128">
        <f>_xlfn.IFNA((VLOOKUP($C468,Code!$H:$Q,5,FALSE))/(((VLOOKUP($C468,Code!$H:$Q,7,FALSE))+(VLOOKUP($C468,Code!$H:$Q,8,FALSE)))/2)-G468,0)</f>
        <v>0</v>
      </c>
      <c r="J468" s="55" t="str">
        <f>IFERROR(POWER((VLOOKUP(C468,Code!H:W,12,FALSE))/(VLOOKUP(C468,Code!H:W,15,FALSE)),1/(P468-1))-1,"")</f>
        <v/>
      </c>
      <c r="K468" s="55" t="str">
        <f>IFERROR(POWER((VLOOKUP(C468,Code!H:W,13,FALSE))/(VLOOKUP(C468,Code!H:W,16,FALSE)),1/(P468-1))-1,"")</f>
        <v/>
      </c>
      <c r="L468" s="75" t="str">
        <f>IFERROR(VLOOKUP(C468,Code!H:W,13,FALSE)*4/VLOOKUP(C468,Code!H:W,12,FALSE),"")</f>
        <v/>
      </c>
      <c r="M468" s="55" t="str">
        <f t="shared" si="65"/>
        <v/>
      </c>
      <c r="N468" s="55" t="str">
        <f t="shared" si="66"/>
        <v/>
      </c>
      <c r="O468" s="55" t="str">
        <f t="shared" si="67"/>
        <v/>
      </c>
      <c r="P468" s="196" t="str">
        <f>IFERROR(YEARFRAC(VLOOKUP(C468,Code!H:W,11,FALSE),VLOOKUP(C468,Code!H:W,14,FALSE),3),"")</f>
        <v/>
      </c>
      <c r="Q468" s="2"/>
      <c r="R468" s="85" t="str">
        <f t="shared" ca="1" si="68"/>
        <v/>
      </c>
      <c r="S468" s="86" t="str">
        <f>IFERROR(VLOOKUP($C468,Code!$H:$Q,5,FALSE),"")</f>
        <v/>
      </c>
      <c r="T468" s="88" t="str">
        <f t="shared" ca="1" si="69"/>
        <v/>
      </c>
      <c r="U468" s="89" t="str">
        <f t="shared" ca="1" si="70"/>
        <v/>
      </c>
      <c r="V468" s="90" t="str">
        <f>IFERROR(VLOOKUP($C468,Code!$H:$Q,6,FALSE),"")</f>
        <v/>
      </c>
      <c r="W468" s="91" t="str">
        <f t="shared" ca="1" si="71"/>
        <v/>
      </c>
      <c r="X468" s="12"/>
      <c r="Y468" s="12"/>
      <c r="Z468" s="12"/>
      <c r="AA468" s="12"/>
      <c r="AB468" s="12"/>
    </row>
    <row r="469" spans="1:28" s="10" customFormat="1" ht="15" hidden="1">
      <c r="A469" s="9"/>
      <c r="B469" s="137"/>
      <c r="C469" s="142"/>
      <c r="D469" s="82" t="str">
        <f>IFERROR(VLOOKUP($C469,Code!$H:$K,2,FALSE),"")</f>
        <v/>
      </c>
      <c r="E469" s="83" t="str">
        <f>IFERROR(VLOOKUP($C469,Code!$H:$K,3,FALSE),"")</f>
        <v/>
      </c>
      <c r="F469" s="84" t="str">
        <f>IFERROR(VLOOKUP($C469,Code!$H:$K,4,FALSE),"")</f>
        <v/>
      </c>
      <c r="G469" s="128">
        <f>_xlfn.IFNA(((VLOOKUP($C469,Code!$H:$Q,9,FALSE))+(VLOOKUP($C469,Code!$H:$Q,10,FALSE)))/2*0.5/(((VLOOKUP($C469,Code!$H:$Q,7,FALSE))+(VLOOKUP($C469,Code!$H:$Q,8,FALSE)))/2),0)</f>
        <v>0</v>
      </c>
      <c r="H469" s="87" t="str">
        <f t="shared" si="64"/>
        <v/>
      </c>
      <c r="I469" s="128">
        <f>_xlfn.IFNA((VLOOKUP($C469,Code!$H:$Q,5,FALSE))/(((VLOOKUP($C469,Code!$H:$Q,7,FALSE))+(VLOOKUP($C469,Code!$H:$Q,8,FALSE)))/2)-G469,0)</f>
        <v>0</v>
      </c>
      <c r="J469" s="55" t="str">
        <f>IFERROR(POWER((VLOOKUP(C469,Code!H:W,12,FALSE))/(VLOOKUP(C469,Code!H:W,15,FALSE)),1/(P469-1))-1,"")</f>
        <v/>
      </c>
      <c r="K469" s="55" t="str">
        <f>IFERROR(POWER((VLOOKUP(C469,Code!H:W,13,FALSE))/(VLOOKUP(C469,Code!H:W,16,FALSE)),1/(P469-1))-1,"")</f>
        <v/>
      </c>
      <c r="L469" s="75" t="str">
        <f>IFERROR(VLOOKUP(C469,Code!H:W,13,FALSE)*4/VLOOKUP(C469,Code!H:W,12,FALSE),"")</f>
        <v/>
      </c>
      <c r="M469" s="55" t="str">
        <f t="shared" si="65"/>
        <v/>
      </c>
      <c r="N469" s="55" t="str">
        <f t="shared" si="66"/>
        <v/>
      </c>
      <c r="O469" s="55" t="str">
        <f t="shared" si="67"/>
        <v/>
      </c>
      <c r="P469" s="196" t="str">
        <f>IFERROR(YEARFRAC(VLOOKUP(C469,Code!H:W,11,FALSE),VLOOKUP(C469,Code!H:W,14,FALSE),3),"")</f>
        <v/>
      </c>
      <c r="Q469" s="2"/>
      <c r="R469" s="85" t="str">
        <f t="shared" ca="1" si="68"/>
        <v/>
      </c>
      <c r="S469" s="86" t="str">
        <f>IFERROR(VLOOKUP($C469,Code!$H:$Q,5,FALSE),"")</f>
        <v/>
      </c>
      <c r="T469" s="88" t="str">
        <f t="shared" ca="1" si="69"/>
        <v/>
      </c>
      <c r="U469" s="89" t="str">
        <f t="shared" ca="1" si="70"/>
        <v/>
      </c>
      <c r="V469" s="90" t="str">
        <f>IFERROR(VLOOKUP($C469,Code!$H:$Q,6,FALSE),"")</f>
        <v/>
      </c>
      <c r="W469" s="91" t="str">
        <f t="shared" ca="1" si="71"/>
        <v/>
      </c>
      <c r="X469" s="12"/>
      <c r="Y469" s="12"/>
      <c r="Z469" s="12"/>
      <c r="AA469" s="12"/>
      <c r="AB469" s="12"/>
    </row>
    <row r="470" spans="1:28" s="10" customFormat="1" ht="15" hidden="1">
      <c r="A470" s="9"/>
      <c r="B470" s="137"/>
      <c r="C470" s="142"/>
      <c r="D470" s="82" t="str">
        <f>IFERROR(VLOOKUP($C470,Code!$H:$K,2,FALSE),"")</f>
        <v/>
      </c>
      <c r="E470" s="83" t="str">
        <f>IFERROR(VLOOKUP($C470,Code!$H:$K,3,FALSE),"")</f>
        <v/>
      </c>
      <c r="F470" s="84" t="str">
        <f>IFERROR(VLOOKUP($C470,Code!$H:$K,4,FALSE),"")</f>
        <v/>
      </c>
      <c r="G470" s="128">
        <f>_xlfn.IFNA(((VLOOKUP($C470,Code!$H:$Q,9,FALSE))+(VLOOKUP($C470,Code!$H:$Q,10,FALSE)))/2*0.5/(((VLOOKUP($C470,Code!$H:$Q,7,FALSE))+(VLOOKUP($C470,Code!$H:$Q,8,FALSE)))/2),0)</f>
        <v>0</v>
      </c>
      <c r="H470" s="87" t="str">
        <f t="shared" si="64"/>
        <v/>
      </c>
      <c r="I470" s="128">
        <f>_xlfn.IFNA((VLOOKUP($C470,Code!$H:$Q,5,FALSE))/(((VLOOKUP($C470,Code!$H:$Q,7,FALSE))+(VLOOKUP($C470,Code!$H:$Q,8,FALSE)))/2)-G470,0)</f>
        <v>0</v>
      </c>
      <c r="J470" s="55" t="str">
        <f>IFERROR(POWER((VLOOKUP(C470,Code!H:W,12,FALSE))/(VLOOKUP(C470,Code!H:W,15,FALSE)),1/(P470-1))-1,"")</f>
        <v/>
      </c>
      <c r="K470" s="55" t="str">
        <f>IFERROR(POWER((VLOOKUP(C470,Code!H:W,13,FALSE))/(VLOOKUP(C470,Code!H:W,16,FALSE)),1/(P470-1))-1,"")</f>
        <v/>
      </c>
      <c r="L470" s="75" t="str">
        <f>IFERROR(VLOOKUP(C470,Code!H:W,13,FALSE)*4/VLOOKUP(C470,Code!H:W,12,FALSE),"")</f>
        <v/>
      </c>
      <c r="M470" s="55" t="str">
        <f t="shared" si="65"/>
        <v/>
      </c>
      <c r="N470" s="55" t="str">
        <f t="shared" si="66"/>
        <v/>
      </c>
      <c r="O470" s="55" t="str">
        <f t="shared" si="67"/>
        <v/>
      </c>
      <c r="P470" s="196" t="str">
        <f>IFERROR(YEARFRAC(VLOOKUP(C470,Code!H:W,11,FALSE),VLOOKUP(C470,Code!H:W,14,FALSE),3),"")</f>
        <v/>
      </c>
      <c r="Q470" s="2"/>
      <c r="R470" s="85" t="str">
        <f t="shared" ca="1" si="68"/>
        <v/>
      </c>
      <c r="S470" s="86" t="str">
        <f>IFERROR(VLOOKUP($C470,Code!$H:$Q,5,FALSE),"")</f>
        <v/>
      </c>
      <c r="T470" s="88" t="str">
        <f t="shared" ca="1" si="69"/>
        <v/>
      </c>
      <c r="U470" s="89" t="str">
        <f t="shared" ca="1" si="70"/>
        <v/>
      </c>
      <c r="V470" s="90" t="str">
        <f>IFERROR(VLOOKUP($C470,Code!$H:$Q,6,FALSE),"")</f>
        <v/>
      </c>
      <c r="W470" s="91" t="str">
        <f t="shared" ca="1" si="71"/>
        <v/>
      </c>
      <c r="X470" s="12"/>
      <c r="Y470" s="12"/>
      <c r="Z470" s="12"/>
      <c r="AA470" s="12"/>
      <c r="AB470" s="12"/>
    </row>
    <row r="471" spans="1:28" s="10" customFormat="1" ht="15" hidden="1">
      <c r="A471" s="9"/>
      <c r="B471" s="137"/>
      <c r="C471" s="142"/>
      <c r="D471" s="82" t="str">
        <f>IFERROR(VLOOKUP($C471,Code!$H:$K,2,FALSE),"")</f>
        <v/>
      </c>
      <c r="E471" s="83" t="str">
        <f>IFERROR(VLOOKUP($C471,Code!$H:$K,3,FALSE),"")</f>
        <v/>
      </c>
      <c r="F471" s="84" t="str">
        <f>IFERROR(VLOOKUP($C471,Code!$H:$K,4,FALSE),"")</f>
        <v/>
      </c>
      <c r="G471" s="128">
        <f>_xlfn.IFNA(((VLOOKUP($C471,Code!$H:$Q,9,FALSE))+(VLOOKUP($C471,Code!$H:$Q,10,FALSE)))/2*0.5/(((VLOOKUP($C471,Code!$H:$Q,7,FALSE))+(VLOOKUP($C471,Code!$H:$Q,8,FALSE)))/2),0)</f>
        <v>0</v>
      </c>
      <c r="H471" s="87" t="str">
        <f t="shared" si="64"/>
        <v/>
      </c>
      <c r="I471" s="128">
        <f>_xlfn.IFNA((VLOOKUP($C471,Code!$H:$Q,5,FALSE))/(((VLOOKUP($C471,Code!$H:$Q,7,FALSE))+(VLOOKUP($C471,Code!$H:$Q,8,FALSE)))/2)-G471,0)</f>
        <v>0</v>
      </c>
      <c r="J471" s="55" t="str">
        <f>IFERROR(POWER((VLOOKUP(C471,Code!H:W,12,FALSE))/(VLOOKUP(C471,Code!H:W,15,FALSE)),1/(P471-1))-1,"")</f>
        <v/>
      </c>
      <c r="K471" s="55" t="str">
        <f>IFERROR(POWER((VLOOKUP(C471,Code!H:W,13,FALSE))/(VLOOKUP(C471,Code!H:W,16,FALSE)),1/(P471-1))-1,"")</f>
        <v/>
      </c>
      <c r="L471" s="75" t="str">
        <f>IFERROR(VLOOKUP(C471,Code!H:W,13,FALSE)*4/VLOOKUP(C471,Code!H:W,12,FALSE),"")</f>
        <v/>
      </c>
      <c r="M471" s="55" t="str">
        <f t="shared" si="65"/>
        <v/>
      </c>
      <c r="N471" s="55" t="str">
        <f t="shared" si="66"/>
        <v/>
      </c>
      <c r="O471" s="55" t="str">
        <f t="shared" si="67"/>
        <v/>
      </c>
      <c r="P471" s="196" t="str">
        <f>IFERROR(YEARFRAC(VLOOKUP(C471,Code!H:W,11,FALSE),VLOOKUP(C471,Code!H:W,14,FALSE),3),"")</f>
        <v/>
      </c>
      <c r="Q471" s="2"/>
      <c r="R471" s="85" t="str">
        <f t="shared" ca="1" si="68"/>
        <v/>
      </c>
      <c r="S471" s="86" t="str">
        <f>IFERROR(VLOOKUP($C471,Code!$H:$Q,5,FALSE),"")</f>
        <v/>
      </c>
      <c r="T471" s="88" t="str">
        <f t="shared" ca="1" si="69"/>
        <v/>
      </c>
      <c r="U471" s="89" t="str">
        <f t="shared" ca="1" si="70"/>
        <v/>
      </c>
      <c r="V471" s="90" t="str">
        <f>IFERROR(VLOOKUP($C471,Code!$H:$Q,6,FALSE),"")</f>
        <v/>
      </c>
      <c r="W471" s="91" t="str">
        <f t="shared" ca="1" si="71"/>
        <v/>
      </c>
      <c r="X471" s="12"/>
      <c r="Y471" s="12"/>
      <c r="Z471" s="12"/>
      <c r="AA471" s="12"/>
      <c r="AB471" s="12"/>
    </row>
    <row r="472" spans="1:28" s="10" customFormat="1" ht="15" hidden="1">
      <c r="A472" s="9"/>
      <c r="B472" s="137"/>
      <c r="C472" s="142"/>
      <c r="D472" s="82" t="str">
        <f>IFERROR(VLOOKUP($C472,Code!$H:$K,2,FALSE),"")</f>
        <v/>
      </c>
      <c r="E472" s="83" t="str">
        <f>IFERROR(VLOOKUP($C472,Code!$H:$K,3,FALSE),"")</f>
        <v/>
      </c>
      <c r="F472" s="84" t="str">
        <f>IFERROR(VLOOKUP($C472,Code!$H:$K,4,FALSE),"")</f>
        <v/>
      </c>
      <c r="G472" s="128">
        <f>_xlfn.IFNA(((VLOOKUP($C472,Code!$H:$Q,9,FALSE))+(VLOOKUP($C472,Code!$H:$Q,10,FALSE)))/2*0.5/(((VLOOKUP($C472,Code!$H:$Q,7,FALSE))+(VLOOKUP($C472,Code!$H:$Q,8,FALSE)))/2),0)</f>
        <v>0</v>
      </c>
      <c r="H472" s="87" t="str">
        <f t="shared" si="64"/>
        <v/>
      </c>
      <c r="I472" s="128">
        <f>_xlfn.IFNA((VLOOKUP($C472,Code!$H:$Q,5,FALSE))/(((VLOOKUP($C472,Code!$H:$Q,7,FALSE))+(VLOOKUP($C472,Code!$H:$Q,8,FALSE)))/2)-G472,0)</f>
        <v>0</v>
      </c>
      <c r="J472" s="55" t="str">
        <f>IFERROR(POWER((VLOOKUP(C472,Code!H:W,12,FALSE))/(VLOOKUP(C472,Code!H:W,15,FALSE)),1/(P472-1))-1,"")</f>
        <v/>
      </c>
      <c r="K472" s="55" t="str">
        <f>IFERROR(POWER((VLOOKUP(C472,Code!H:W,13,FALSE))/(VLOOKUP(C472,Code!H:W,16,FALSE)),1/(P472-1))-1,"")</f>
        <v/>
      </c>
      <c r="L472" s="75" t="str">
        <f>IFERROR(VLOOKUP(C472,Code!H:W,13,FALSE)*4/VLOOKUP(C472,Code!H:W,12,FALSE),"")</f>
        <v/>
      </c>
      <c r="M472" s="55" t="str">
        <f t="shared" si="65"/>
        <v/>
      </c>
      <c r="N472" s="55" t="str">
        <f t="shared" si="66"/>
        <v/>
      </c>
      <c r="O472" s="55" t="str">
        <f t="shared" si="67"/>
        <v/>
      </c>
      <c r="P472" s="196" t="str">
        <f>IFERROR(YEARFRAC(VLOOKUP(C472,Code!H:W,11,FALSE),VLOOKUP(C472,Code!H:W,14,FALSE),3),"")</f>
        <v/>
      </c>
      <c r="Q472" s="2"/>
      <c r="R472" s="85" t="str">
        <f t="shared" ca="1" si="68"/>
        <v/>
      </c>
      <c r="S472" s="86" t="str">
        <f>IFERROR(VLOOKUP($C472,Code!$H:$Q,5,FALSE),"")</f>
        <v/>
      </c>
      <c r="T472" s="88" t="str">
        <f t="shared" ca="1" si="69"/>
        <v/>
      </c>
      <c r="U472" s="89" t="str">
        <f t="shared" ca="1" si="70"/>
        <v/>
      </c>
      <c r="V472" s="90" t="str">
        <f>IFERROR(VLOOKUP($C472,Code!$H:$Q,6,FALSE),"")</f>
        <v/>
      </c>
      <c r="W472" s="91" t="str">
        <f t="shared" ca="1" si="71"/>
        <v/>
      </c>
      <c r="X472" s="12"/>
      <c r="Y472" s="12"/>
      <c r="Z472" s="12"/>
      <c r="AA472" s="12"/>
      <c r="AB472" s="12"/>
    </row>
    <row r="473" spans="1:28" s="10" customFormat="1" ht="15" hidden="1">
      <c r="A473" s="9"/>
      <c r="B473" s="137"/>
      <c r="C473" s="142"/>
      <c r="D473" s="82" t="str">
        <f>IFERROR(VLOOKUP($C473,Code!$H:$K,2,FALSE),"")</f>
        <v/>
      </c>
      <c r="E473" s="83" t="str">
        <f>IFERROR(VLOOKUP($C473,Code!$H:$K,3,FALSE),"")</f>
        <v/>
      </c>
      <c r="F473" s="84" t="str">
        <f>IFERROR(VLOOKUP($C473,Code!$H:$K,4,FALSE),"")</f>
        <v/>
      </c>
      <c r="G473" s="128">
        <f>_xlfn.IFNA(((VLOOKUP($C473,Code!$H:$Q,9,FALSE))+(VLOOKUP($C473,Code!$H:$Q,10,FALSE)))/2*0.5/(((VLOOKUP($C473,Code!$H:$Q,7,FALSE))+(VLOOKUP($C473,Code!$H:$Q,8,FALSE)))/2),0)</f>
        <v>0</v>
      </c>
      <c r="H473" s="87" t="str">
        <f t="shared" si="64"/>
        <v/>
      </c>
      <c r="I473" s="128">
        <f>_xlfn.IFNA((VLOOKUP($C473,Code!$H:$Q,5,FALSE))/(((VLOOKUP($C473,Code!$H:$Q,7,FALSE))+(VLOOKUP($C473,Code!$H:$Q,8,FALSE)))/2)-G473,0)</f>
        <v>0</v>
      </c>
      <c r="J473" s="55" t="str">
        <f>IFERROR(POWER((VLOOKUP(C473,Code!H:W,12,FALSE))/(VLOOKUP(C473,Code!H:W,15,FALSE)),1/(P473-1))-1,"")</f>
        <v/>
      </c>
      <c r="K473" s="55" t="str">
        <f>IFERROR(POWER((VLOOKUP(C473,Code!H:W,13,FALSE))/(VLOOKUP(C473,Code!H:W,16,FALSE)),1/(P473-1))-1,"")</f>
        <v/>
      </c>
      <c r="L473" s="75" t="str">
        <f>IFERROR(VLOOKUP(C473,Code!H:W,13,FALSE)*4/VLOOKUP(C473,Code!H:W,12,FALSE),"")</f>
        <v/>
      </c>
      <c r="M473" s="55" t="str">
        <f t="shared" si="65"/>
        <v/>
      </c>
      <c r="N473" s="55" t="str">
        <f t="shared" si="66"/>
        <v/>
      </c>
      <c r="O473" s="55" t="str">
        <f t="shared" si="67"/>
        <v/>
      </c>
      <c r="P473" s="196" t="str">
        <f>IFERROR(YEARFRAC(VLOOKUP(C473,Code!H:W,11,FALSE),VLOOKUP(C473,Code!H:W,14,FALSE),3),"")</f>
        <v/>
      </c>
      <c r="Q473" s="2"/>
      <c r="R473" s="85" t="str">
        <f t="shared" ca="1" si="68"/>
        <v/>
      </c>
      <c r="S473" s="86" t="str">
        <f>IFERROR(VLOOKUP($C473,Code!$H:$Q,5,FALSE),"")</f>
        <v/>
      </c>
      <c r="T473" s="88" t="str">
        <f t="shared" ca="1" si="69"/>
        <v/>
      </c>
      <c r="U473" s="89" t="str">
        <f t="shared" ca="1" si="70"/>
        <v/>
      </c>
      <c r="V473" s="90" t="str">
        <f>IFERROR(VLOOKUP($C473,Code!$H:$Q,6,FALSE),"")</f>
        <v/>
      </c>
      <c r="W473" s="91" t="str">
        <f t="shared" ca="1" si="71"/>
        <v/>
      </c>
      <c r="X473" s="12"/>
      <c r="Y473" s="12"/>
      <c r="Z473" s="12"/>
      <c r="AA473" s="12"/>
      <c r="AB473" s="12"/>
    </row>
    <row r="474" spans="1:28" s="10" customFormat="1" ht="15" hidden="1">
      <c r="A474" s="9"/>
      <c r="B474" s="137"/>
      <c r="C474" s="142"/>
      <c r="D474" s="82" t="str">
        <f>IFERROR(VLOOKUP($C474,Code!$H:$K,2,FALSE),"")</f>
        <v/>
      </c>
      <c r="E474" s="83" t="str">
        <f>IFERROR(VLOOKUP($C474,Code!$H:$K,3,FALSE),"")</f>
        <v/>
      </c>
      <c r="F474" s="84" t="str">
        <f>IFERROR(VLOOKUP($C474,Code!$H:$K,4,FALSE),"")</f>
        <v/>
      </c>
      <c r="G474" s="128">
        <f>_xlfn.IFNA(((VLOOKUP($C474,Code!$H:$Q,9,FALSE))+(VLOOKUP($C474,Code!$H:$Q,10,FALSE)))/2*0.5/(((VLOOKUP($C474,Code!$H:$Q,7,FALSE))+(VLOOKUP($C474,Code!$H:$Q,8,FALSE)))/2),0)</f>
        <v>0</v>
      </c>
      <c r="H474" s="87" t="str">
        <f t="shared" si="64"/>
        <v/>
      </c>
      <c r="I474" s="128">
        <f>_xlfn.IFNA((VLOOKUP($C474,Code!$H:$Q,5,FALSE))/(((VLOOKUP($C474,Code!$H:$Q,7,FALSE))+(VLOOKUP($C474,Code!$H:$Q,8,FALSE)))/2)-G474,0)</f>
        <v>0</v>
      </c>
      <c r="J474" s="55" t="str">
        <f>IFERROR(POWER((VLOOKUP(C474,Code!H:W,12,FALSE))/(VLOOKUP(C474,Code!H:W,15,FALSE)),1/(P474-1))-1,"")</f>
        <v/>
      </c>
      <c r="K474" s="55" t="str">
        <f>IFERROR(POWER((VLOOKUP(C474,Code!H:W,13,FALSE))/(VLOOKUP(C474,Code!H:W,16,FALSE)),1/(P474-1))-1,"")</f>
        <v/>
      </c>
      <c r="L474" s="75" t="str">
        <f>IFERROR(VLOOKUP(C474,Code!H:W,13,FALSE)*4/VLOOKUP(C474,Code!H:W,12,FALSE),"")</f>
        <v/>
      </c>
      <c r="M474" s="55" t="str">
        <f t="shared" si="65"/>
        <v/>
      </c>
      <c r="N474" s="55" t="str">
        <f t="shared" si="66"/>
        <v/>
      </c>
      <c r="O474" s="55" t="str">
        <f t="shared" si="67"/>
        <v/>
      </c>
      <c r="P474" s="196" t="str">
        <f>IFERROR(YEARFRAC(VLOOKUP(C474,Code!H:W,11,FALSE),VLOOKUP(C474,Code!H:W,14,FALSE),3),"")</f>
        <v/>
      </c>
      <c r="Q474" s="2"/>
      <c r="R474" s="85" t="str">
        <f t="shared" ca="1" si="68"/>
        <v/>
      </c>
      <c r="S474" s="86" t="str">
        <f>IFERROR(VLOOKUP($C474,Code!$H:$Q,5,FALSE),"")</f>
        <v/>
      </c>
      <c r="T474" s="88" t="str">
        <f t="shared" ca="1" si="69"/>
        <v/>
      </c>
      <c r="U474" s="89" t="str">
        <f t="shared" ca="1" si="70"/>
        <v/>
      </c>
      <c r="V474" s="90" t="str">
        <f>IFERROR(VLOOKUP($C474,Code!$H:$Q,6,FALSE),"")</f>
        <v/>
      </c>
      <c r="W474" s="91" t="str">
        <f t="shared" ca="1" si="71"/>
        <v/>
      </c>
      <c r="X474" s="12"/>
      <c r="Y474" s="12"/>
      <c r="Z474" s="12"/>
      <c r="AA474" s="12"/>
      <c r="AB474" s="12"/>
    </row>
    <row r="475" spans="1:28" s="10" customFormat="1" ht="15" hidden="1">
      <c r="A475" s="9"/>
      <c r="B475" s="137"/>
      <c r="C475" s="142"/>
      <c r="D475" s="82" t="str">
        <f>IFERROR(VLOOKUP($C475,Code!$H:$K,2,FALSE),"")</f>
        <v/>
      </c>
      <c r="E475" s="83" t="str">
        <f>IFERROR(VLOOKUP($C475,Code!$H:$K,3,FALSE),"")</f>
        <v/>
      </c>
      <c r="F475" s="84" t="str">
        <f>IFERROR(VLOOKUP($C475,Code!$H:$K,4,FALSE),"")</f>
        <v/>
      </c>
      <c r="G475" s="128">
        <f>_xlfn.IFNA(((VLOOKUP($C475,Code!$H:$Q,9,FALSE))+(VLOOKUP($C475,Code!$H:$Q,10,FALSE)))/2*0.5/(((VLOOKUP($C475,Code!$H:$Q,7,FALSE))+(VLOOKUP($C475,Code!$H:$Q,8,FALSE)))/2),0)</f>
        <v>0</v>
      </c>
      <c r="H475" s="87" t="str">
        <f t="shared" si="64"/>
        <v/>
      </c>
      <c r="I475" s="128">
        <f>_xlfn.IFNA((VLOOKUP($C475,Code!$H:$Q,5,FALSE))/(((VLOOKUP($C475,Code!$H:$Q,7,FALSE))+(VLOOKUP($C475,Code!$H:$Q,8,FALSE)))/2)-G475,0)</f>
        <v>0</v>
      </c>
      <c r="J475" s="55" t="str">
        <f>IFERROR(POWER((VLOOKUP(C475,Code!H:W,12,FALSE))/(VLOOKUP(C475,Code!H:W,15,FALSE)),1/(P475-1))-1,"")</f>
        <v/>
      </c>
      <c r="K475" s="55" t="str">
        <f>IFERROR(POWER((VLOOKUP(C475,Code!H:W,13,FALSE))/(VLOOKUP(C475,Code!H:W,16,FALSE)),1/(P475-1))-1,"")</f>
        <v/>
      </c>
      <c r="L475" s="75" t="str">
        <f>IFERROR(VLOOKUP(C475,Code!H:W,13,FALSE)*4/VLOOKUP(C475,Code!H:W,12,FALSE),"")</f>
        <v/>
      </c>
      <c r="M475" s="55" t="str">
        <f t="shared" si="65"/>
        <v/>
      </c>
      <c r="N475" s="55" t="str">
        <f t="shared" si="66"/>
        <v/>
      </c>
      <c r="O475" s="55" t="str">
        <f t="shared" si="67"/>
        <v/>
      </c>
      <c r="P475" s="196" t="str">
        <f>IFERROR(YEARFRAC(VLOOKUP(C475,Code!H:W,11,FALSE),VLOOKUP(C475,Code!H:W,14,FALSE),3),"")</f>
        <v/>
      </c>
      <c r="Q475" s="2"/>
      <c r="R475" s="85" t="str">
        <f t="shared" ca="1" si="68"/>
        <v/>
      </c>
      <c r="S475" s="86" t="str">
        <f>IFERROR(VLOOKUP($C475,Code!$H:$Q,5,FALSE),"")</f>
        <v/>
      </c>
      <c r="T475" s="88" t="str">
        <f t="shared" ca="1" si="69"/>
        <v/>
      </c>
      <c r="U475" s="89" t="str">
        <f t="shared" ca="1" si="70"/>
        <v/>
      </c>
      <c r="V475" s="90" t="str">
        <f>IFERROR(VLOOKUP($C475,Code!$H:$Q,6,FALSE),"")</f>
        <v/>
      </c>
      <c r="W475" s="91" t="str">
        <f t="shared" ca="1" si="71"/>
        <v/>
      </c>
      <c r="X475" s="12"/>
      <c r="Y475" s="12"/>
      <c r="Z475" s="12"/>
      <c r="AA475" s="12"/>
      <c r="AB475" s="12"/>
    </row>
    <row r="476" spans="1:28" s="10" customFormat="1" ht="15" hidden="1">
      <c r="A476" s="9"/>
      <c r="B476" s="137"/>
      <c r="C476" s="142"/>
      <c r="D476" s="82" t="str">
        <f>IFERROR(VLOOKUP($C476,Code!$H:$K,2,FALSE),"")</f>
        <v/>
      </c>
      <c r="E476" s="83" t="str">
        <f>IFERROR(VLOOKUP($C476,Code!$H:$K,3,FALSE),"")</f>
        <v/>
      </c>
      <c r="F476" s="84" t="str">
        <f>IFERROR(VLOOKUP($C476,Code!$H:$K,4,FALSE),"")</f>
        <v/>
      </c>
      <c r="G476" s="128">
        <f>_xlfn.IFNA(((VLOOKUP($C476,Code!$H:$Q,9,FALSE))+(VLOOKUP($C476,Code!$H:$Q,10,FALSE)))/2*0.5/(((VLOOKUP($C476,Code!$H:$Q,7,FALSE))+(VLOOKUP($C476,Code!$H:$Q,8,FALSE)))/2),0)</f>
        <v>0</v>
      </c>
      <c r="H476" s="87" t="str">
        <f t="shared" si="64"/>
        <v/>
      </c>
      <c r="I476" s="128">
        <f>_xlfn.IFNA((VLOOKUP($C476,Code!$H:$Q,5,FALSE))/(((VLOOKUP($C476,Code!$H:$Q,7,FALSE))+(VLOOKUP($C476,Code!$H:$Q,8,FALSE)))/2)-G476,0)</f>
        <v>0</v>
      </c>
      <c r="J476" s="55" t="str">
        <f>IFERROR(POWER((VLOOKUP(C476,Code!H:W,12,FALSE))/(VLOOKUP(C476,Code!H:W,15,FALSE)),1/(P476-1))-1,"")</f>
        <v/>
      </c>
      <c r="K476" s="55" t="str">
        <f>IFERROR(POWER((VLOOKUP(C476,Code!H:W,13,FALSE))/(VLOOKUP(C476,Code!H:W,16,FALSE)),1/(P476-1))-1,"")</f>
        <v/>
      </c>
      <c r="L476" s="75" t="str">
        <f>IFERROR(VLOOKUP(C476,Code!H:W,13,FALSE)*4/VLOOKUP(C476,Code!H:W,12,FALSE),"")</f>
        <v/>
      </c>
      <c r="M476" s="55" t="str">
        <f t="shared" si="65"/>
        <v/>
      </c>
      <c r="N476" s="55" t="str">
        <f t="shared" si="66"/>
        <v/>
      </c>
      <c r="O476" s="55" t="str">
        <f t="shared" si="67"/>
        <v/>
      </c>
      <c r="P476" s="196" t="str">
        <f>IFERROR(YEARFRAC(VLOOKUP(C476,Code!H:W,11,FALSE),VLOOKUP(C476,Code!H:W,14,FALSE),3),"")</f>
        <v/>
      </c>
      <c r="Q476" s="2"/>
      <c r="R476" s="85" t="str">
        <f t="shared" ca="1" si="68"/>
        <v/>
      </c>
      <c r="S476" s="86" t="str">
        <f>IFERROR(VLOOKUP($C476,Code!$H:$Q,5,FALSE),"")</f>
        <v/>
      </c>
      <c r="T476" s="88" t="str">
        <f t="shared" ca="1" si="69"/>
        <v/>
      </c>
      <c r="U476" s="89" t="str">
        <f t="shared" ca="1" si="70"/>
        <v/>
      </c>
      <c r="V476" s="90" t="str">
        <f>IFERROR(VLOOKUP($C476,Code!$H:$Q,6,FALSE),"")</f>
        <v/>
      </c>
      <c r="W476" s="91" t="str">
        <f t="shared" ca="1" si="71"/>
        <v/>
      </c>
      <c r="X476" s="12"/>
      <c r="Y476" s="12"/>
      <c r="Z476" s="12"/>
      <c r="AA476" s="12"/>
      <c r="AB476" s="12"/>
    </row>
    <row r="477" spans="1:28" s="10" customFormat="1" ht="15" hidden="1">
      <c r="A477" s="9"/>
      <c r="B477" s="137"/>
      <c r="C477" s="142"/>
      <c r="D477" s="82" t="str">
        <f>IFERROR(VLOOKUP($C477,Code!$H:$K,2,FALSE),"")</f>
        <v/>
      </c>
      <c r="E477" s="83" t="str">
        <f>IFERROR(VLOOKUP($C477,Code!$H:$K,3,FALSE),"")</f>
        <v/>
      </c>
      <c r="F477" s="84" t="str">
        <f>IFERROR(VLOOKUP($C477,Code!$H:$K,4,FALSE),"")</f>
        <v/>
      </c>
      <c r="G477" s="128">
        <f>_xlfn.IFNA(((VLOOKUP($C477,Code!$H:$Q,9,FALSE))+(VLOOKUP($C477,Code!$H:$Q,10,FALSE)))/2*0.5/(((VLOOKUP($C477,Code!$H:$Q,7,FALSE))+(VLOOKUP($C477,Code!$H:$Q,8,FALSE)))/2),0)</f>
        <v>0</v>
      </c>
      <c r="H477" s="87" t="str">
        <f t="shared" si="64"/>
        <v/>
      </c>
      <c r="I477" s="128">
        <f>_xlfn.IFNA((VLOOKUP($C477,Code!$H:$Q,5,FALSE))/(((VLOOKUP($C477,Code!$H:$Q,7,FALSE))+(VLOOKUP($C477,Code!$H:$Q,8,FALSE)))/2)-G477,0)</f>
        <v>0</v>
      </c>
      <c r="J477" s="55" t="str">
        <f>IFERROR(POWER((VLOOKUP(C477,Code!H:W,12,FALSE))/(VLOOKUP(C477,Code!H:W,15,FALSE)),1/(P477-1))-1,"")</f>
        <v/>
      </c>
      <c r="K477" s="55" t="str">
        <f>IFERROR(POWER((VLOOKUP(C477,Code!H:W,13,FALSE))/(VLOOKUP(C477,Code!H:W,16,FALSE)),1/(P477-1))-1,"")</f>
        <v/>
      </c>
      <c r="L477" s="75" t="str">
        <f>IFERROR(VLOOKUP(C477,Code!H:W,13,FALSE)*4/VLOOKUP(C477,Code!H:W,12,FALSE),"")</f>
        <v/>
      </c>
      <c r="M477" s="55" t="str">
        <f t="shared" si="65"/>
        <v/>
      </c>
      <c r="N477" s="55" t="str">
        <f t="shared" si="66"/>
        <v/>
      </c>
      <c r="O477" s="55" t="str">
        <f t="shared" si="67"/>
        <v/>
      </c>
      <c r="P477" s="196" t="str">
        <f>IFERROR(YEARFRAC(VLOOKUP(C477,Code!H:W,11,FALSE),VLOOKUP(C477,Code!H:W,14,FALSE),3),"")</f>
        <v/>
      </c>
      <c r="Q477" s="2"/>
      <c r="R477" s="85" t="str">
        <f t="shared" ca="1" si="68"/>
        <v/>
      </c>
      <c r="S477" s="86" t="str">
        <f>IFERROR(VLOOKUP($C477,Code!$H:$Q,5,FALSE),"")</f>
        <v/>
      </c>
      <c r="T477" s="88" t="str">
        <f t="shared" ca="1" si="69"/>
        <v/>
      </c>
      <c r="U477" s="89" t="str">
        <f t="shared" ca="1" si="70"/>
        <v/>
      </c>
      <c r="V477" s="90" t="str">
        <f>IFERROR(VLOOKUP($C477,Code!$H:$Q,6,FALSE),"")</f>
        <v/>
      </c>
      <c r="W477" s="91" t="str">
        <f t="shared" ca="1" si="71"/>
        <v/>
      </c>
      <c r="X477" s="12"/>
      <c r="Y477" s="12"/>
      <c r="Z477" s="12"/>
      <c r="AA477" s="12"/>
      <c r="AB477" s="12"/>
    </row>
    <row r="478" spans="1:28" s="10" customFormat="1" ht="15" hidden="1">
      <c r="A478" s="9"/>
      <c r="B478" s="137"/>
      <c r="C478" s="142"/>
      <c r="D478" s="82" t="str">
        <f>IFERROR(VLOOKUP($C478,Code!$H:$K,2,FALSE),"")</f>
        <v/>
      </c>
      <c r="E478" s="83" t="str">
        <f>IFERROR(VLOOKUP($C478,Code!$H:$K,3,FALSE),"")</f>
        <v/>
      </c>
      <c r="F478" s="84" t="str">
        <f>IFERROR(VLOOKUP($C478,Code!$H:$K,4,FALSE),"")</f>
        <v/>
      </c>
      <c r="G478" s="128">
        <f>_xlfn.IFNA(((VLOOKUP($C478,Code!$H:$Q,9,FALSE))+(VLOOKUP($C478,Code!$H:$Q,10,FALSE)))/2*0.5/(((VLOOKUP($C478,Code!$H:$Q,7,FALSE))+(VLOOKUP($C478,Code!$H:$Q,8,FALSE)))/2),0)</f>
        <v>0</v>
      </c>
      <c r="H478" s="87" t="str">
        <f t="shared" si="64"/>
        <v/>
      </c>
      <c r="I478" s="128">
        <f>_xlfn.IFNA((VLOOKUP($C478,Code!$H:$Q,5,FALSE))/(((VLOOKUP($C478,Code!$H:$Q,7,FALSE))+(VLOOKUP($C478,Code!$H:$Q,8,FALSE)))/2)-G478,0)</f>
        <v>0</v>
      </c>
      <c r="J478" s="55" t="str">
        <f>IFERROR(POWER((VLOOKUP(C478,Code!H:W,12,FALSE))/(VLOOKUP(C478,Code!H:W,15,FALSE)),1/(P478-1))-1,"")</f>
        <v/>
      </c>
      <c r="K478" s="55" t="str">
        <f>IFERROR(POWER((VLOOKUP(C478,Code!H:W,13,FALSE))/(VLOOKUP(C478,Code!H:W,16,FALSE)),1/(P478-1))-1,"")</f>
        <v/>
      </c>
      <c r="L478" s="75" t="str">
        <f>IFERROR(VLOOKUP(C478,Code!H:W,13,FALSE)*4/VLOOKUP(C478,Code!H:W,12,FALSE),"")</f>
        <v/>
      </c>
      <c r="M478" s="55" t="str">
        <f t="shared" si="65"/>
        <v/>
      </c>
      <c r="N478" s="55" t="str">
        <f t="shared" si="66"/>
        <v/>
      </c>
      <c r="O478" s="55" t="str">
        <f t="shared" si="67"/>
        <v/>
      </c>
      <c r="P478" s="196" t="str">
        <f>IFERROR(YEARFRAC(VLOOKUP(C478,Code!H:W,11,FALSE),VLOOKUP(C478,Code!H:W,14,FALSE),3),"")</f>
        <v/>
      </c>
      <c r="Q478" s="2"/>
      <c r="R478" s="85" t="str">
        <f t="shared" ca="1" si="68"/>
        <v/>
      </c>
      <c r="S478" s="86" t="str">
        <f>IFERROR(VLOOKUP($C478,Code!$H:$Q,5,FALSE),"")</f>
        <v/>
      </c>
      <c r="T478" s="88" t="str">
        <f t="shared" ca="1" si="69"/>
        <v/>
      </c>
      <c r="U478" s="89" t="str">
        <f t="shared" ca="1" si="70"/>
        <v/>
      </c>
      <c r="V478" s="90" t="str">
        <f>IFERROR(VLOOKUP($C478,Code!$H:$Q,6,FALSE),"")</f>
        <v/>
      </c>
      <c r="W478" s="91" t="str">
        <f t="shared" ca="1" si="71"/>
        <v/>
      </c>
      <c r="X478" s="12"/>
      <c r="Y478" s="12"/>
      <c r="Z478" s="12"/>
      <c r="AA478" s="12"/>
      <c r="AB478" s="12"/>
    </row>
    <row r="479" spans="1:28" s="10" customFormat="1" ht="15" hidden="1">
      <c r="A479" s="9"/>
      <c r="B479" s="137"/>
      <c r="C479" s="142"/>
      <c r="D479" s="82" t="str">
        <f>IFERROR(VLOOKUP($C479,Code!$H:$K,2,FALSE),"")</f>
        <v/>
      </c>
      <c r="E479" s="83" t="str">
        <f>IFERROR(VLOOKUP($C479,Code!$H:$K,3,FALSE),"")</f>
        <v/>
      </c>
      <c r="F479" s="84" t="str">
        <f>IFERROR(VLOOKUP($C479,Code!$H:$K,4,FALSE),"")</f>
        <v/>
      </c>
      <c r="G479" s="128">
        <f>_xlfn.IFNA(((VLOOKUP($C479,Code!$H:$Q,9,FALSE))+(VLOOKUP($C479,Code!$H:$Q,10,FALSE)))/2*0.5/(((VLOOKUP($C479,Code!$H:$Q,7,FALSE))+(VLOOKUP($C479,Code!$H:$Q,8,FALSE)))/2),0)</f>
        <v>0</v>
      </c>
      <c r="H479" s="87" t="str">
        <f t="shared" si="64"/>
        <v/>
      </c>
      <c r="I479" s="128">
        <f>_xlfn.IFNA((VLOOKUP($C479,Code!$H:$Q,5,FALSE))/(((VLOOKUP($C479,Code!$H:$Q,7,FALSE))+(VLOOKUP($C479,Code!$H:$Q,8,FALSE)))/2)-G479,0)</f>
        <v>0</v>
      </c>
      <c r="J479" s="55" t="str">
        <f>IFERROR(POWER((VLOOKUP(C479,Code!H:W,12,FALSE))/(VLOOKUP(C479,Code!H:W,15,FALSE)),1/(P479-1))-1,"")</f>
        <v/>
      </c>
      <c r="K479" s="55" t="str">
        <f>IFERROR(POWER((VLOOKUP(C479,Code!H:W,13,FALSE))/(VLOOKUP(C479,Code!H:W,16,FALSE)),1/(P479-1))-1,"")</f>
        <v/>
      </c>
      <c r="L479" s="75" t="str">
        <f>IFERROR(VLOOKUP(C479,Code!H:W,13,FALSE)*4/VLOOKUP(C479,Code!H:W,12,FALSE),"")</f>
        <v/>
      </c>
      <c r="M479" s="55" t="str">
        <f t="shared" si="65"/>
        <v/>
      </c>
      <c r="N479" s="55" t="str">
        <f t="shared" si="66"/>
        <v/>
      </c>
      <c r="O479" s="55" t="str">
        <f t="shared" si="67"/>
        <v/>
      </c>
      <c r="P479" s="196" t="str">
        <f>IFERROR(YEARFRAC(VLOOKUP(C479,Code!H:W,11,FALSE),VLOOKUP(C479,Code!H:W,14,FALSE),3),"")</f>
        <v/>
      </c>
      <c r="Q479" s="2"/>
      <c r="R479" s="85" t="str">
        <f t="shared" ca="1" si="68"/>
        <v/>
      </c>
      <c r="S479" s="86" t="str">
        <f>IFERROR(VLOOKUP($C479,Code!$H:$Q,5,FALSE),"")</f>
        <v/>
      </c>
      <c r="T479" s="88" t="str">
        <f t="shared" ca="1" si="69"/>
        <v/>
      </c>
      <c r="U479" s="89" t="str">
        <f t="shared" ca="1" si="70"/>
        <v/>
      </c>
      <c r="V479" s="90" t="str">
        <f>IFERROR(VLOOKUP($C479,Code!$H:$Q,6,FALSE),"")</f>
        <v/>
      </c>
      <c r="W479" s="91" t="str">
        <f t="shared" ca="1" si="71"/>
        <v/>
      </c>
      <c r="X479" s="12"/>
      <c r="Y479" s="12"/>
      <c r="Z479" s="12"/>
      <c r="AA479" s="12"/>
      <c r="AB479" s="12"/>
    </row>
    <row r="480" spans="1:28" s="10" customFormat="1" ht="15" hidden="1">
      <c r="A480" s="9"/>
      <c r="B480" s="137"/>
      <c r="C480" s="142"/>
      <c r="D480" s="82" t="str">
        <f>IFERROR(VLOOKUP($C480,Code!$H:$K,2,FALSE),"")</f>
        <v/>
      </c>
      <c r="E480" s="83" t="str">
        <f>IFERROR(VLOOKUP($C480,Code!$H:$K,3,FALSE),"")</f>
        <v/>
      </c>
      <c r="F480" s="84" t="str">
        <f>IFERROR(VLOOKUP($C480,Code!$H:$K,4,FALSE),"")</f>
        <v/>
      </c>
      <c r="G480" s="128">
        <f>_xlfn.IFNA(((VLOOKUP($C480,Code!$H:$Q,9,FALSE))+(VLOOKUP($C480,Code!$H:$Q,10,FALSE)))/2*0.5/(((VLOOKUP($C480,Code!$H:$Q,7,FALSE))+(VLOOKUP($C480,Code!$H:$Q,8,FALSE)))/2),0)</f>
        <v>0</v>
      </c>
      <c r="H480" s="87" t="str">
        <f t="shared" si="64"/>
        <v/>
      </c>
      <c r="I480" s="128">
        <f>_xlfn.IFNA((VLOOKUP($C480,Code!$H:$Q,5,FALSE))/(((VLOOKUP($C480,Code!$H:$Q,7,FALSE))+(VLOOKUP($C480,Code!$H:$Q,8,FALSE)))/2)-G480,0)</f>
        <v>0</v>
      </c>
      <c r="J480" s="55" t="str">
        <f>IFERROR(POWER((VLOOKUP(C480,Code!H:W,12,FALSE))/(VLOOKUP(C480,Code!H:W,15,FALSE)),1/(P480-1))-1,"")</f>
        <v/>
      </c>
      <c r="K480" s="55" t="str">
        <f>IFERROR(POWER((VLOOKUP(C480,Code!H:W,13,FALSE))/(VLOOKUP(C480,Code!H:W,16,FALSE)),1/(P480-1))-1,"")</f>
        <v/>
      </c>
      <c r="L480" s="75" t="str">
        <f>IFERROR(VLOOKUP(C480,Code!H:W,13,FALSE)*4/VLOOKUP(C480,Code!H:W,12,FALSE),"")</f>
        <v/>
      </c>
      <c r="M480" s="55" t="str">
        <f t="shared" si="65"/>
        <v/>
      </c>
      <c r="N480" s="55" t="str">
        <f t="shared" si="66"/>
        <v/>
      </c>
      <c r="O480" s="55" t="str">
        <f t="shared" si="67"/>
        <v/>
      </c>
      <c r="P480" s="196" t="str">
        <f>IFERROR(YEARFRAC(VLOOKUP(C480,Code!H:W,11,FALSE),VLOOKUP(C480,Code!H:W,14,FALSE),3),"")</f>
        <v/>
      </c>
      <c r="Q480" s="2"/>
      <c r="R480" s="85" t="str">
        <f t="shared" ca="1" si="68"/>
        <v/>
      </c>
      <c r="S480" s="86" t="str">
        <f>IFERROR(VLOOKUP($C480,Code!$H:$Q,5,FALSE),"")</f>
        <v/>
      </c>
      <c r="T480" s="88" t="str">
        <f t="shared" ca="1" si="69"/>
        <v/>
      </c>
      <c r="U480" s="89" t="str">
        <f t="shared" ca="1" si="70"/>
        <v/>
      </c>
      <c r="V480" s="90" t="str">
        <f>IFERROR(VLOOKUP($C480,Code!$H:$Q,6,FALSE),"")</f>
        <v/>
      </c>
      <c r="W480" s="91" t="str">
        <f t="shared" ca="1" si="71"/>
        <v/>
      </c>
      <c r="X480" s="12"/>
      <c r="Y480" s="12"/>
      <c r="Z480" s="12"/>
      <c r="AA480" s="12"/>
      <c r="AB480" s="12"/>
    </row>
    <row r="481" spans="1:28" s="10" customFormat="1" ht="15" hidden="1">
      <c r="A481" s="9"/>
      <c r="B481" s="137"/>
      <c r="C481" s="142"/>
      <c r="D481" s="82" t="str">
        <f>IFERROR(VLOOKUP($C481,Code!$H:$K,2,FALSE),"")</f>
        <v/>
      </c>
      <c r="E481" s="83" t="str">
        <f>IFERROR(VLOOKUP($C481,Code!$H:$K,3,FALSE),"")</f>
        <v/>
      </c>
      <c r="F481" s="84" t="str">
        <f>IFERROR(VLOOKUP($C481,Code!$H:$K,4,FALSE),"")</f>
        <v/>
      </c>
      <c r="G481" s="128">
        <f>_xlfn.IFNA(((VLOOKUP($C481,Code!$H:$Q,9,FALSE))+(VLOOKUP($C481,Code!$H:$Q,10,FALSE)))/2*0.5/(((VLOOKUP($C481,Code!$H:$Q,7,FALSE))+(VLOOKUP($C481,Code!$H:$Q,8,FALSE)))/2),0)</f>
        <v>0</v>
      </c>
      <c r="H481" s="87" t="str">
        <f t="shared" si="64"/>
        <v/>
      </c>
      <c r="I481" s="128">
        <f>_xlfn.IFNA((VLOOKUP($C481,Code!$H:$Q,5,FALSE))/(((VLOOKUP($C481,Code!$H:$Q,7,FALSE))+(VLOOKUP($C481,Code!$H:$Q,8,FALSE)))/2)-G481,0)</f>
        <v>0</v>
      </c>
      <c r="J481" s="55" t="str">
        <f>IFERROR(POWER((VLOOKUP(C481,Code!H:W,12,FALSE))/(VLOOKUP(C481,Code!H:W,15,FALSE)),1/(P481-1))-1,"")</f>
        <v/>
      </c>
      <c r="K481" s="55" t="str">
        <f>IFERROR(POWER((VLOOKUP(C481,Code!H:W,13,FALSE))/(VLOOKUP(C481,Code!H:W,16,FALSE)),1/(P481-1))-1,"")</f>
        <v/>
      </c>
      <c r="L481" s="75" t="str">
        <f>IFERROR(VLOOKUP(C481,Code!H:W,13,FALSE)*4/VLOOKUP(C481,Code!H:W,12,FALSE),"")</f>
        <v/>
      </c>
      <c r="M481" s="55" t="str">
        <f t="shared" si="65"/>
        <v/>
      </c>
      <c r="N481" s="55" t="str">
        <f t="shared" si="66"/>
        <v/>
      </c>
      <c r="O481" s="55" t="str">
        <f t="shared" si="67"/>
        <v/>
      </c>
      <c r="P481" s="196" t="str">
        <f>IFERROR(YEARFRAC(VLOOKUP(C481,Code!H:W,11,FALSE),VLOOKUP(C481,Code!H:W,14,FALSE),3),"")</f>
        <v/>
      </c>
      <c r="Q481" s="2"/>
      <c r="R481" s="85" t="str">
        <f t="shared" ca="1" si="68"/>
        <v/>
      </c>
      <c r="S481" s="86" t="str">
        <f>IFERROR(VLOOKUP($C481,Code!$H:$Q,5,FALSE),"")</f>
        <v/>
      </c>
      <c r="T481" s="88" t="str">
        <f t="shared" ca="1" si="69"/>
        <v/>
      </c>
      <c r="U481" s="89" t="str">
        <f t="shared" ca="1" si="70"/>
        <v/>
      </c>
      <c r="V481" s="90" t="str">
        <f>IFERROR(VLOOKUP($C481,Code!$H:$Q,6,FALSE),"")</f>
        <v/>
      </c>
      <c r="W481" s="91" t="str">
        <f t="shared" ca="1" si="71"/>
        <v/>
      </c>
      <c r="X481" s="12"/>
      <c r="Y481" s="12"/>
      <c r="Z481" s="12"/>
      <c r="AA481" s="12"/>
      <c r="AB481" s="12"/>
    </row>
    <row r="482" spans="1:28" s="10" customFormat="1" ht="15" hidden="1">
      <c r="A482" s="9"/>
      <c r="B482" s="137"/>
      <c r="C482" s="142"/>
      <c r="D482" s="82" t="str">
        <f>IFERROR(VLOOKUP($C482,Code!$H:$K,2,FALSE),"")</f>
        <v/>
      </c>
      <c r="E482" s="83" t="str">
        <f>IFERROR(VLOOKUP($C482,Code!$H:$K,3,FALSE),"")</f>
        <v/>
      </c>
      <c r="F482" s="84" t="str">
        <f>IFERROR(VLOOKUP($C482,Code!$H:$K,4,FALSE),"")</f>
        <v/>
      </c>
      <c r="G482" s="128">
        <f>_xlfn.IFNA(((VLOOKUP($C482,Code!$H:$Q,9,FALSE))+(VLOOKUP($C482,Code!$H:$Q,10,FALSE)))/2*0.5/(((VLOOKUP($C482,Code!$H:$Q,7,FALSE))+(VLOOKUP($C482,Code!$H:$Q,8,FALSE)))/2),0)</f>
        <v>0</v>
      </c>
      <c r="H482" s="87" t="str">
        <f t="shared" si="64"/>
        <v/>
      </c>
      <c r="I482" s="128">
        <f>_xlfn.IFNA((VLOOKUP($C482,Code!$H:$Q,5,FALSE))/(((VLOOKUP($C482,Code!$H:$Q,7,FALSE))+(VLOOKUP($C482,Code!$H:$Q,8,FALSE)))/2)-G482,0)</f>
        <v>0</v>
      </c>
      <c r="J482" s="55" t="str">
        <f>IFERROR(POWER((VLOOKUP(C482,Code!H:W,12,FALSE))/(VLOOKUP(C482,Code!H:W,15,FALSE)),1/(P482-1))-1,"")</f>
        <v/>
      </c>
      <c r="K482" s="55" t="str">
        <f>IFERROR(POWER((VLOOKUP(C482,Code!H:W,13,FALSE))/(VLOOKUP(C482,Code!H:W,16,FALSE)),1/(P482-1))-1,"")</f>
        <v/>
      </c>
      <c r="L482" s="75" t="str">
        <f>IFERROR(VLOOKUP(C482,Code!H:W,13,FALSE)*4/VLOOKUP(C482,Code!H:W,12,FALSE),"")</f>
        <v/>
      </c>
      <c r="M482" s="55" t="str">
        <f t="shared" si="65"/>
        <v/>
      </c>
      <c r="N482" s="55" t="str">
        <f t="shared" si="66"/>
        <v/>
      </c>
      <c r="O482" s="55" t="str">
        <f t="shared" si="67"/>
        <v/>
      </c>
      <c r="P482" s="196" t="str">
        <f>IFERROR(YEARFRAC(VLOOKUP(C482,Code!H:W,11,FALSE),VLOOKUP(C482,Code!H:W,14,FALSE),3),"")</f>
        <v/>
      </c>
      <c r="Q482" s="2"/>
      <c r="R482" s="85" t="str">
        <f t="shared" ca="1" si="68"/>
        <v/>
      </c>
      <c r="S482" s="86" t="str">
        <f>IFERROR(VLOOKUP($C482,Code!$H:$Q,5,FALSE),"")</f>
        <v/>
      </c>
      <c r="T482" s="88" t="str">
        <f t="shared" ca="1" si="69"/>
        <v/>
      </c>
      <c r="U482" s="89" t="str">
        <f t="shared" ca="1" si="70"/>
        <v/>
      </c>
      <c r="V482" s="90" t="str">
        <f>IFERROR(VLOOKUP($C482,Code!$H:$Q,6,FALSE),"")</f>
        <v/>
      </c>
      <c r="W482" s="91" t="str">
        <f t="shared" ca="1" si="71"/>
        <v/>
      </c>
      <c r="X482" s="12"/>
      <c r="Y482" s="12"/>
      <c r="Z482" s="12"/>
      <c r="AA482" s="12"/>
      <c r="AB482" s="12"/>
    </row>
    <row r="483" spans="1:28" s="10" customFormat="1" ht="15" hidden="1">
      <c r="A483" s="9"/>
      <c r="B483" s="137"/>
      <c r="C483" s="142"/>
      <c r="D483" s="82" t="str">
        <f>IFERROR(VLOOKUP($C483,Code!$H:$K,2,FALSE),"")</f>
        <v/>
      </c>
      <c r="E483" s="83" t="str">
        <f>IFERROR(VLOOKUP($C483,Code!$H:$K,3,FALSE),"")</f>
        <v/>
      </c>
      <c r="F483" s="84" t="str">
        <f>IFERROR(VLOOKUP($C483,Code!$H:$K,4,FALSE),"")</f>
        <v/>
      </c>
      <c r="G483" s="128">
        <f>_xlfn.IFNA(((VLOOKUP($C483,Code!$H:$Q,9,FALSE))+(VLOOKUP($C483,Code!$H:$Q,10,FALSE)))/2*0.5/(((VLOOKUP($C483,Code!$H:$Q,7,FALSE))+(VLOOKUP($C483,Code!$H:$Q,8,FALSE)))/2),0)</f>
        <v>0</v>
      </c>
      <c r="H483" s="87" t="str">
        <f t="shared" si="64"/>
        <v/>
      </c>
      <c r="I483" s="128">
        <f>_xlfn.IFNA((VLOOKUP($C483,Code!$H:$Q,5,FALSE))/(((VLOOKUP($C483,Code!$H:$Q,7,FALSE))+(VLOOKUP($C483,Code!$H:$Q,8,FALSE)))/2)-G483,0)</f>
        <v>0</v>
      </c>
      <c r="J483" s="55" t="str">
        <f>IFERROR(POWER((VLOOKUP(C483,Code!H:W,12,FALSE))/(VLOOKUP(C483,Code!H:W,15,FALSE)),1/(P483-1))-1,"")</f>
        <v/>
      </c>
      <c r="K483" s="55" t="str">
        <f>IFERROR(POWER((VLOOKUP(C483,Code!H:W,13,FALSE))/(VLOOKUP(C483,Code!H:W,16,FALSE)),1/(P483-1))-1,"")</f>
        <v/>
      </c>
      <c r="L483" s="75" t="str">
        <f>IFERROR(VLOOKUP(C483,Code!H:W,13,FALSE)*4/VLOOKUP(C483,Code!H:W,12,FALSE),"")</f>
        <v/>
      </c>
      <c r="M483" s="55" t="str">
        <f t="shared" si="65"/>
        <v/>
      </c>
      <c r="N483" s="55" t="str">
        <f t="shared" si="66"/>
        <v/>
      </c>
      <c r="O483" s="55" t="str">
        <f t="shared" si="67"/>
        <v/>
      </c>
      <c r="P483" s="196" t="str">
        <f>IFERROR(YEARFRAC(VLOOKUP(C483,Code!H:W,11,FALSE),VLOOKUP(C483,Code!H:W,14,FALSE),3),"")</f>
        <v/>
      </c>
      <c r="Q483" s="2"/>
      <c r="R483" s="85" t="str">
        <f t="shared" ca="1" si="68"/>
        <v/>
      </c>
      <c r="S483" s="86" t="str">
        <f>IFERROR(VLOOKUP($C483,Code!$H:$Q,5,FALSE),"")</f>
        <v/>
      </c>
      <c r="T483" s="88" t="str">
        <f t="shared" ca="1" si="69"/>
        <v/>
      </c>
      <c r="U483" s="89" t="str">
        <f t="shared" ca="1" si="70"/>
        <v/>
      </c>
      <c r="V483" s="90" t="str">
        <f>IFERROR(VLOOKUP($C483,Code!$H:$Q,6,FALSE),"")</f>
        <v/>
      </c>
      <c r="W483" s="91" t="str">
        <f t="shared" ca="1" si="71"/>
        <v/>
      </c>
      <c r="X483" s="12"/>
      <c r="Y483" s="12"/>
      <c r="Z483" s="12"/>
      <c r="AA483" s="12"/>
      <c r="AB483" s="12"/>
    </row>
    <row r="484" spans="1:28" s="10" customFormat="1" ht="15" hidden="1">
      <c r="A484" s="9"/>
      <c r="B484" s="137"/>
      <c r="C484" s="142"/>
      <c r="D484" s="82" t="str">
        <f>IFERROR(VLOOKUP($C484,Code!$H:$K,2,FALSE),"")</f>
        <v/>
      </c>
      <c r="E484" s="83" t="str">
        <f>IFERROR(VLOOKUP($C484,Code!$H:$K,3,FALSE),"")</f>
        <v/>
      </c>
      <c r="F484" s="84" t="str">
        <f>IFERROR(VLOOKUP($C484,Code!$H:$K,4,FALSE),"")</f>
        <v/>
      </c>
      <c r="G484" s="128">
        <f>_xlfn.IFNA(((VLOOKUP($C484,Code!$H:$Q,9,FALSE))+(VLOOKUP($C484,Code!$H:$Q,10,FALSE)))/2*0.5/(((VLOOKUP($C484,Code!$H:$Q,7,FALSE))+(VLOOKUP($C484,Code!$H:$Q,8,FALSE)))/2),0)</f>
        <v>0</v>
      </c>
      <c r="H484" s="87" t="str">
        <f t="shared" si="64"/>
        <v/>
      </c>
      <c r="I484" s="128">
        <f>_xlfn.IFNA((VLOOKUP($C484,Code!$H:$Q,5,FALSE))/(((VLOOKUP($C484,Code!$H:$Q,7,FALSE))+(VLOOKUP($C484,Code!$H:$Q,8,FALSE)))/2)-G484,0)</f>
        <v>0</v>
      </c>
      <c r="J484" s="55" t="str">
        <f>IFERROR(POWER((VLOOKUP(C484,Code!H:W,12,FALSE))/(VLOOKUP(C484,Code!H:W,15,FALSE)),1/(P484-1))-1,"")</f>
        <v/>
      </c>
      <c r="K484" s="55" t="str">
        <f>IFERROR(POWER((VLOOKUP(C484,Code!H:W,13,FALSE))/(VLOOKUP(C484,Code!H:W,16,FALSE)),1/(P484-1))-1,"")</f>
        <v/>
      </c>
      <c r="L484" s="75" t="str">
        <f>IFERROR(VLOOKUP(C484,Code!H:W,13,FALSE)*4/VLOOKUP(C484,Code!H:W,12,FALSE),"")</f>
        <v/>
      </c>
      <c r="M484" s="55" t="str">
        <f t="shared" si="65"/>
        <v/>
      </c>
      <c r="N484" s="55" t="str">
        <f t="shared" si="66"/>
        <v/>
      </c>
      <c r="O484" s="55" t="str">
        <f t="shared" si="67"/>
        <v/>
      </c>
      <c r="P484" s="196" t="str">
        <f>IFERROR(YEARFRAC(VLOOKUP(C484,Code!H:W,11,FALSE),VLOOKUP(C484,Code!H:W,14,FALSE),3),"")</f>
        <v/>
      </c>
      <c r="Q484" s="2"/>
      <c r="R484" s="85" t="str">
        <f t="shared" ca="1" si="68"/>
        <v/>
      </c>
      <c r="S484" s="86" t="str">
        <f>IFERROR(VLOOKUP($C484,Code!$H:$Q,5,FALSE),"")</f>
        <v/>
      </c>
      <c r="T484" s="88" t="str">
        <f t="shared" ca="1" si="69"/>
        <v/>
      </c>
      <c r="U484" s="89" t="str">
        <f t="shared" ca="1" si="70"/>
        <v/>
      </c>
      <c r="V484" s="90" t="str">
        <f>IFERROR(VLOOKUP($C484,Code!$H:$Q,6,FALSE),"")</f>
        <v/>
      </c>
      <c r="W484" s="91" t="str">
        <f t="shared" ca="1" si="71"/>
        <v/>
      </c>
      <c r="X484" s="12"/>
      <c r="Y484" s="12"/>
      <c r="Z484" s="12"/>
      <c r="AA484" s="12"/>
      <c r="AB484" s="12"/>
    </row>
    <row r="485" spans="1:28" s="10" customFormat="1" ht="15" hidden="1">
      <c r="A485" s="9"/>
      <c r="B485" s="137"/>
      <c r="C485" s="142"/>
      <c r="D485" s="82" t="str">
        <f>IFERROR(VLOOKUP($C485,Code!$H:$K,2,FALSE),"")</f>
        <v/>
      </c>
      <c r="E485" s="83" t="str">
        <f>IFERROR(VLOOKUP($C485,Code!$H:$K,3,FALSE),"")</f>
        <v/>
      </c>
      <c r="F485" s="84" t="str">
        <f>IFERROR(VLOOKUP($C485,Code!$H:$K,4,FALSE),"")</f>
        <v/>
      </c>
      <c r="G485" s="128">
        <f>_xlfn.IFNA(((VLOOKUP($C485,Code!$H:$Q,9,FALSE))+(VLOOKUP($C485,Code!$H:$Q,10,FALSE)))/2*0.5/(((VLOOKUP($C485,Code!$H:$Q,7,FALSE))+(VLOOKUP($C485,Code!$H:$Q,8,FALSE)))/2),0)</f>
        <v>0</v>
      </c>
      <c r="H485" s="87" t="str">
        <f t="shared" si="64"/>
        <v/>
      </c>
      <c r="I485" s="128">
        <f>_xlfn.IFNA((VLOOKUP($C485,Code!$H:$Q,5,FALSE))/(((VLOOKUP($C485,Code!$H:$Q,7,FALSE))+(VLOOKUP($C485,Code!$H:$Q,8,FALSE)))/2)-G485,0)</f>
        <v>0</v>
      </c>
      <c r="J485" s="55" t="str">
        <f>IFERROR(POWER((VLOOKUP(C485,Code!H:W,12,FALSE))/(VLOOKUP(C485,Code!H:W,15,FALSE)),1/(P485-1))-1,"")</f>
        <v/>
      </c>
      <c r="K485" s="55" t="str">
        <f>IFERROR(POWER((VLOOKUP(C485,Code!H:W,13,FALSE))/(VLOOKUP(C485,Code!H:W,16,FALSE)),1/(P485-1))-1,"")</f>
        <v/>
      </c>
      <c r="L485" s="75" t="str">
        <f>IFERROR(VLOOKUP(C485,Code!H:W,13,FALSE)*4/VLOOKUP(C485,Code!H:W,12,FALSE),"")</f>
        <v/>
      </c>
      <c r="M485" s="55" t="str">
        <f t="shared" si="65"/>
        <v/>
      </c>
      <c r="N485" s="55" t="str">
        <f t="shared" si="66"/>
        <v/>
      </c>
      <c r="O485" s="55" t="str">
        <f t="shared" si="67"/>
        <v/>
      </c>
      <c r="P485" s="196" t="str">
        <f>IFERROR(YEARFRAC(VLOOKUP(C485,Code!H:W,11,FALSE),VLOOKUP(C485,Code!H:W,14,FALSE),3),"")</f>
        <v/>
      </c>
      <c r="Q485" s="2"/>
      <c r="R485" s="85" t="str">
        <f t="shared" ca="1" si="68"/>
        <v/>
      </c>
      <c r="S485" s="86" t="str">
        <f>IFERROR(VLOOKUP($C485,Code!$H:$Q,5,FALSE),"")</f>
        <v/>
      </c>
      <c r="T485" s="88" t="str">
        <f t="shared" ca="1" si="69"/>
        <v/>
      </c>
      <c r="U485" s="89" t="str">
        <f t="shared" ca="1" si="70"/>
        <v/>
      </c>
      <c r="V485" s="90" t="str">
        <f>IFERROR(VLOOKUP($C485,Code!$H:$Q,6,FALSE),"")</f>
        <v/>
      </c>
      <c r="W485" s="91" t="str">
        <f t="shared" ca="1" si="71"/>
        <v/>
      </c>
      <c r="X485" s="12"/>
      <c r="Y485" s="12"/>
      <c r="Z485" s="12"/>
      <c r="AA485" s="12"/>
      <c r="AB485" s="12"/>
    </row>
    <row r="486" spans="1:28" s="10" customFormat="1" ht="15" hidden="1">
      <c r="A486" s="9"/>
      <c r="B486" s="137"/>
      <c r="C486" s="142"/>
      <c r="D486" s="82" t="str">
        <f>IFERROR(VLOOKUP($C486,Code!$H:$K,2,FALSE),"")</f>
        <v/>
      </c>
      <c r="E486" s="83" t="str">
        <f>IFERROR(VLOOKUP($C486,Code!$H:$K,3,FALSE),"")</f>
        <v/>
      </c>
      <c r="F486" s="84" t="str">
        <f>IFERROR(VLOOKUP($C486,Code!$H:$K,4,FALSE),"")</f>
        <v/>
      </c>
      <c r="G486" s="128">
        <f>_xlfn.IFNA(((VLOOKUP($C486,Code!$H:$Q,9,FALSE))+(VLOOKUP($C486,Code!$H:$Q,10,FALSE)))/2*0.5/(((VLOOKUP($C486,Code!$H:$Q,7,FALSE))+(VLOOKUP($C486,Code!$H:$Q,8,FALSE)))/2),0)</f>
        <v>0</v>
      </c>
      <c r="H486" s="87" t="str">
        <f t="shared" si="64"/>
        <v/>
      </c>
      <c r="I486" s="128">
        <f>_xlfn.IFNA((VLOOKUP($C486,Code!$H:$Q,5,FALSE))/(((VLOOKUP($C486,Code!$H:$Q,7,FALSE))+(VLOOKUP($C486,Code!$H:$Q,8,FALSE)))/2)-G486,0)</f>
        <v>0</v>
      </c>
      <c r="J486" s="55" t="str">
        <f>IFERROR(POWER((VLOOKUP(C486,Code!H:W,12,FALSE))/(VLOOKUP(C486,Code!H:W,15,FALSE)),1/(P486-1))-1,"")</f>
        <v/>
      </c>
      <c r="K486" s="55" t="str">
        <f>IFERROR(POWER((VLOOKUP(C486,Code!H:W,13,FALSE))/(VLOOKUP(C486,Code!H:W,16,FALSE)),1/(P486-1))-1,"")</f>
        <v/>
      </c>
      <c r="L486" s="75" t="str">
        <f>IFERROR(VLOOKUP(C486,Code!H:W,13,FALSE)*4/VLOOKUP(C486,Code!H:W,12,FALSE),"")</f>
        <v/>
      </c>
      <c r="M486" s="55" t="str">
        <f t="shared" si="65"/>
        <v/>
      </c>
      <c r="N486" s="55" t="str">
        <f t="shared" si="66"/>
        <v/>
      </c>
      <c r="O486" s="55" t="str">
        <f t="shared" si="67"/>
        <v/>
      </c>
      <c r="P486" s="196" t="str">
        <f>IFERROR(YEARFRAC(VLOOKUP(C486,Code!H:W,11,FALSE),VLOOKUP(C486,Code!H:W,14,FALSE),3),"")</f>
        <v/>
      </c>
      <c r="Q486" s="2"/>
      <c r="R486" s="85" t="str">
        <f t="shared" ca="1" si="68"/>
        <v/>
      </c>
      <c r="S486" s="86" t="str">
        <f>IFERROR(VLOOKUP($C486,Code!$H:$Q,5,FALSE),"")</f>
        <v/>
      </c>
      <c r="T486" s="88" t="str">
        <f t="shared" ca="1" si="69"/>
        <v/>
      </c>
      <c r="U486" s="89" t="str">
        <f t="shared" ca="1" si="70"/>
        <v/>
      </c>
      <c r="V486" s="90" t="str">
        <f>IFERROR(VLOOKUP($C486,Code!$H:$Q,6,FALSE),"")</f>
        <v/>
      </c>
      <c r="W486" s="91" t="str">
        <f t="shared" ca="1" si="71"/>
        <v/>
      </c>
      <c r="X486" s="12"/>
      <c r="Y486" s="12"/>
      <c r="Z486" s="12"/>
      <c r="AA486" s="12"/>
      <c r="AB486" s="12"/>
    </row>
    <row r="487" spans="1:28" s="10" customFormat="1" ht="15" hidden="1">
      <c r="A487" s="9"/>
      <c r="B487" s="137"/>
      <c r="C487" s="142"/>
      <c r="D487" s="82" t="str">
        <f>IFERROR(VLOOKUP($C487,Code!$H:$K,2,FALSE),"")</f>
        <v/>
      </c>
      <c r="E487" s="83" t="str">
        <f>IFERROR(VLOOKUP($C487,Code!$H:$K,3,FALSE),"")</f>
        <v/>
      </c>
      <c r="F487" s="84" t="str">
        <f>IFERROR(VLOOKUP($C487,Code!$H:$K,4,FALSE),"")</f>
        <v/>
      </c>
      <c r="G487" s="128">
        <f>_xlfn.IFNA(((VLOOKUP($C487,Code!$H:$Q,9,FALSE))+(VLOOKUP($C487,Code!$H:$Q,10,FALSE)))/2*0.5/(((VLOOKUP($C487,Code!$H:$Q,7,FALSE))+(VLOOKUP($C487,Code!$H:$Q,8,FALSE)))/2),0)</f>
        <v>0</v>
      </c>
      <c r="H487" s="87" t="str">
        <f t="shared" si="64"/>
        <v/>
      </c>
      <c r="I487" s="128">
        <f>_xlfn.IFNA((VLOOKUP($C487,Code!$H:$Q,5,FALSE))/(((VLOOKUP($C487,Code!$H:$Q,7,FALSE))+(VLOOKUP($C487,Code!$H:$Q,8,FALSE)))/2)-G487,0)</f>
        <v>0</v>
      </c>
      <c r="J487" s="55" t="str">
        <f>IFERROR(POWER((VLOOKUP(C487,Code!H:W,12,FALSE))/(VLOOKUP(C487,Code!H:W,15,FALSE)),1/(P487-1))-1,"")</f>
        <v/>
      </c>
      <c r="K487" s="55" t="str">
        <f>IFERROR(POWER((VLOOKUP(C487,Code!H:W,13,FALSE))/(VLOOKUP(C487,Code!H:W,16,FALSE)),1/(P487-1))-1,"")</f>
        <v/>
      </c>
      <c r="L487" s="75" t="str">
        <f>IFERROR(VLOOKUP(C487,Code!H:W,13,FALSE)*4/VLOOKUP(C487,Code!H:W,12,FALSE),"")</f>
        <v/>
      </c>
      <c r="M487" s="55" t="str">
        <f t="shared" si="65"/>
        <v/>
      </c>
      <c r="N487" s="55" t="str">
        <f t="shared" si="66"/>
        <v/>
      </c>
      <c r="O487" s="55" t="str">
        <f t="shared" si="67"/>
        <v/>
      </c>
      <c r="P487" s="196" t="str">
        <f>IFERROR(YEARFRAC(VLOOKUP(C487,Code!H:W,11,FALSE),VLOOKUP(C487,Code!H:W,14,FALSE),3),"")</f>
        <v/>
      </c>
      <c r="Q487" s="2"/>
      <c r="R487" s="85" t="str">
        <f t="shared" ca="1" si="68"/>
        <v/>
      </c>
      <c r="S487" s="86" t="str">
        <f>IFERROR(VLOOKUP($C487,Code!$H:$Q,5,FALSE),"")</f>
        <v/>
      </c>
      <c r="T487" s="88" t="str">
        <f t="shared" ca="1" si="69"/>
        <v/>
      </c>
      <c r="U487" s="89" t="str">
        <f t="shared" ca="1" si="70"/>
        <v/>
      </c>
      <c r="V487" s="90" t="str">
        <f>IFERROR(VLOOKUP($C487,Code!$H:$Q,6,FALSE),"")</f>
        <v/>
      </c>
      <c r="W487" s="91" t="str">
        <f t="shared" ca="1" si="71"/>
        <v/>
      </c>
      <c r="X487" s="12"/>
      <c r="Y487" s="12"/>
      <c r="Z487" s="12"/>
      <c r="AA487" s="12"/>
      <c r="AB487" s="12"/>
    </row>
    <row r="488" spans="1:28" s="10" customFormat="1" ht="15" hidden="1">
      <c r="A488" s="9"/>
      <c r="B488" s="137"/>
      <c r="C488" s="142"/>
      <c r="D488" s="82" t="str">
        <f>IFERROR(VLOOKUP($C488,Code!$H:$K,2,FALSE),"")</f>
        <v/>
      </c>
      <c r="E488" s="83" t="str">
        <f>IFERROR(VLOOKUP($C488,Code!$H:$K,3,FALSE),"")</f>
        <v/>
      </c>
      <c r="F488" s="84" t="str">
        <f>IFERROR(VLOOKUP($C488,Code!$H:$K,4,FALSE),"")</f>
        <v/>
      </c>
      <c r="G488" s="128">
        <f>_xlfn.IFNA(((VLOOKUP($C488,Code!$H:$Q,9,FALSE))+(VLOOKUP($C488,Code!$H:$Q,10,FALSE)))/2*0.5/(((VLOOKUP($C488,Code!$H:$Q,7,FALSE))+(VLOOKUP($C488,Code!$H:$Q,8,FALSE)))/2),0)</f>
        <v>0</v>
      </c>
      <c r="H488" s="87" t="str">
        <f t="shared" si="64"/>
        <v/>
      </c>
      <c r="I488" s="128">
        <f>_xlfn.IFNA((VLOOKUP($C488,Code!$H:$Q,5,FALSE))/(((VLOOKUP($C488,Code!$H:$Q,7,FALSE))+(VLOOKUP($C488,Code!$H:$Q,8,FALSE)))/2)-G488,0)</f>
        <v>0</v>
      </c>
      <c r="J488" s="55" t="str">
        <f>IFERROR(POWER((VLOOKUP(C488,Code!H:W,12,FALSE))/(VLOOKUP(C488,Code!H:W,15,FALSE)),1/(P488-1))-1,"")</f>
        <v/>
      </c>
      <c r="K488" s="55" t="str">
        <f>IFERROR(POWER((VLOOKUP(C488,Code!H:W,13,FALSE))/(VLOOKUP(C488,Code!H:W,16,FALSE)),1/(P488-1))-1,"")</f>
        <v/>
      </c>
      <c r="L488" s="75" t="str">
        <f>IFERROR(VLOOKUP(C488,Code!H:W,13,FALSE)*4/VLOOKUP(C488,Code!H:W,12,FALSE),"")</f>
        <v/>
      </c>
      <c r="M488" s="55" t="str">
        <f t="shared" si="65"/>
        <v/>
      </c>
      <c r="N488" s="55" t="str">
        <f t="shared" si="66"/>
        <v/>
      </c>
      <c r="O488" s="55" t="str">
        <f t="shared" si="67"/>
        <v/>
      </c>
      <c r="P488" s="196" t="str">
        <f>IFERROR(YEARFRAC(VLOOKUP(C488,Code!H:W,11,FALSE),VLOOKUP(C488,Code!H:W,14,FALSE),3),"")</f>
        <v/>
      </c>
      <c r="Q488" s="2"/>
      <c r="R488" s="85" t="str">
        <f t="shared" ca="1" si="68"/>
        <v/>
      </c>
      <c r="S488" s="86" t="str">
        <f>IFERROR(VLOOKUP($C488,Code!$H:$Q,5,FALSE),"")</f>
        <v/>
      </c>
      <c r="T488" s="88" t="str">
        <f t="shared" ca="1" si="69"/>
        <v/>
      </c>
      <c r="U488" s="89" t="str">
        <f t="shared" ca="1" si="70"/>
        <v/>
      </c>
      <c r="V488" s="90" t="str">
        <f>IFERROR(VLOOKUP($C488,Code!$H:$Q,6,FALSE),"")</f>
        <v/>
      </c>
      <c r="W488" s="91" t="str">
        <f t="shared" ca="1" si="71"/>
        <v/>
      </c>
      <c r="X488" s="12"/>
      <c r="Y488" s="12"/>
      <c r="Z488" s="12"/>
      <c r="AA488" s="12"/>
      <c r="AB488" s="12"/>
    </row>
    <row r="489" spans="1:28" s="10" customFormat="1" ht="15" hidden="1">
      <c r="A489" s="9"/>
      <c r="B489" s="137"/>
      <c r="C489" s="142"/>
      <c r="D489" s="82" t="str">
        <f>IFERROR(VLOOKUP($C489,Code!$H:$K,2,FALSE),"")</f>
        <v/>
      </c>
      <c r="E489" s="83" t="str">
        <f>IFERROR(VLOOKUP($C489,Code!$H:$K,3,FALSE),"")</f>
        <v/>
      </c>
      <c r="F489" s="84" t="str">
        <f>IFERROR(VLOOKUP($C489,Code!$H:$K,4,FALSE),"")</f>
        <v/>
      </c>
      <c r="G489" s="128">
        <f>_xlfn.IFNA(((VLOOKUP($C489,Code!$H:$Q,9,FALSE))+(VLOOKUP($C489,Code!$H:$Q,10,FALSE)))/2*0.5/(((VLOOKUP($C489,Code!$H:$Q,7,FALSE))+(VLOOKUP($C489,Code!$H:$Q,8,FALSE)))/2),0)</f>
        <v>0</v>
      </c>
      <c r="H489" s="87" t="str">
        <f t="shared" si="64"/>
        <v/>
      </c>
      <c r="I489" s="128">
        <f>_xlfn.IFNA((VLOOKUP($C489,Code!$H:$Q,5,FALSE))/(((VLOOKUP($C489,Code!$H:$Q,7,FALSE))+(VLOOKUP($C489,Code!$H:$Q,8,FALSE)))/2)-G489,0)</f>
        <v>0</v>
      </c>
      <c r="J489" s="55" t="str">
        <f>IFERROR(POWER((VLOOKUP(C489,Code!H:W,12,FALSE))/(VLOOKUP(C489,Code!H:W,15,FALSE)),1/(P489-1))-1,"")</f>
        <v/>
      </c>
      <c r="K489" s="55" t="str">
        <f>IFERROR(POWER((VLOOKUP(C489,Code!H:W,13,FALSE))/(VLOOKUP(C489,Code!H:W,16,FALSE)),1/(P489-1))-1,"")</f>
        <v/>
      </c>
      <c r="L489" s="75" t="str">
        <f>IFERROR(VLOOKUP(C489,Code!H:W,13,FALSE)*4/VLOOKUP(C489,Code!H:W,12,FALSE),"")</f>
        <v/>
      </c>
      <c r="M489" s="55" t="str">
        <f t="shared" si="65"/>
        <v/>
      </c>
      <c r="N489" s="55" t="str">
        <f t="shared" si="66"/>
        <v/>
      </c>
      <c r="O489" s="55" t="str">
        <f t="shared" si="67"/>
        <v/>
      </c>
      <c r="P489" s="196" t="str">
        <f>IFERROR(YEARFRAC(VLOOKUP(C489,Code!H:W,11,FALSE),VLOOKUP(C489,Code!H:W,14,FALSE),3),"")</f>
        <v/>
      </c>
      <c r="Q489" s="2"/>
      <c r="R489" s="85" t="str">
        <f t="shared" ca="1" si="68"/>
        <v/>
      </c>
      <c r="S489" s="86" t="str">
        <f>IFERROR(VLOOKUP($C489,Code!$H:$Q,5,FALSE),"")</f>
        <v/>
      </c>
      <c r="T489" s="88" t="str">
        <f t="shared" ca="1" si="69"/>
        <v/>
      </c>
      <c r="U489" s="89" t="str">
        <f t="shared" ca="1" si="70"/>
        <v/>
      </c>
      <c r="V489" s="90" t="str">
        <f>IFERROR(VLOOKUP($C489,Code!$H:$Q,6,FALSE),"")</f>
        <v/>
      </c>
      <c r="W489" s="91" t="str">
        <f t="shared" ca="1" si="71"/>
        <v/>
      </c>
      <c r="X489" s="12"/>
      <c r="Y489" s="12"/>
      <c r="Z489" s="12"/>
      <c r="AA489" s="12"/>
      <c r="AB489" s="12"/>
    </row>
    <row r="490" spans="1:28" s="10" customFormat="1" ht="15" hidden="1">
      <c r="A490" s="9"/>
      <c r="B490" s="137"/>
      <c r="C490" s="142"/>
      <c r="D490" s="82" t="str">
        <f>IFERROR(VLOOKUP($C490,Code!$H:$K,2,FALSE),"")</f>
        <v/>
      </c>
      <c r="E490" s="83" t="str">
        <f>IFERROR(VLOOKUP($C490,Code!$H:$K,3,FALSE),"")</f>
        <v/>
      </c>
      <c r="F490" s="84" t="str">
        <f>IFERROR(VLOOKUP($C490,Code!$H:$K,4,FALSE),"")</f>
        <v/>
      </c>
      <c r="G490" s="128">
        <f>_xlfn.IFNA(((VLOOKUP($C490,Code!$H:$Q,9,FALSE))+(VLOOKUP($C490,Code!$H:$Q,10,FALSE)))/2*0.5/(((VLOOKUP($C490,Code!$H:$Q,7,FALSE))+(VLOOKUP($C490,Code!$H:$Q,8,FALSE)))/2),0)</f>
        <v>0</v>
      </c>
      <c r="H490" s="87" t="str">
        <f t="shared" si="64"/>
        <v/>
      </c>
      <c r="I490" s="128">
        <f>_xlfn.IFNA((VLOOKUP($C490,Code!$H:$Q,5,FALSE))/(((VLOOKUP($C490,Code!$H:$Q,7,FALSE))+(VLOOKUP($C490,Code!$H:$Q,8,FALSE)))/2)-G490,0)</f>
        <v>0</v>
      </c>
      <c r="J490" s="55" t="str">
        <f>IFERROR(POWER((VLOOKUP(C490,Code!H:W,12,FALSE))/(VLOOKUP(C490,Code!H:W,15,FALSE)),1/(P490-1))-1,"")</f>
        <v/>
      </c>
      <c r="K490" s="55" t="str">
        <f>IFERROR(POWER((VLOOKUP(C490,Code!H:W,13,FALSE))/(VLOOKUP(C490,Code!H:W,16,FALSE)),1/(P490-1))-1,"")</f>
        <v/>
      </c>
      <c r="L490" s="75" t="str">
        <f>IFERROR(VLOOKUP(C490,Code!H:W,13,FALSE)*4/VLOOKUP(C490,Code!H:W,12,FALSE),"")</f>
        <v/>
      </c>
      <c r="M490" s="55" t="str">
        <f t="shared" si="65"/>
        <v/>
      </c>
      <c r="N490" s="55" t="str">
        <f t="shared" si="66"/>
        <v/>
      </c>
      <c r="O490" s="55" t="str">
        <f t="shared" si="67"/>
        <v/>
      </c>
      <c r="P490" s="196" t="str">
        <f>IFERROR(YEARFRAC(VLOOKUP(C490,Code!H:W,11,FALSE),VLOOKUP(C490,Code!H:W,14,FALSE),3),"")</f>
        <v/>
      </c>
      <c r="Q490" s="2"/>
      <c r="R490" s="85" t="str">
        <f t="shared" ca="1" si="68"/>
        <v/>
      </c>
      <c r="S490" s="86" t="str">
        <f>IFERROR(VLOOKUP($C490,Code!$H:$Q,5,FALSE),"")</f>
        <v/>
      </c>
      <c r="T490" s="88" t="str">
        <f t="shared" ca="1" si="69"/>
        <v/>
      </c>
      <c r="U490" s="89" t="str">
        <f t="shared" ca="1" si="70"/>
        <v/>
      </c>
      <c r="V490" s="90" t="str">
        <f>IFERROR(VLOOKUP($C490,Code!$H:$Q,6,FALSE),"")</f>
        <v/>
      </c>
      <c r="W490" s="91" t="str">
        <f t="shared" ca="1" si="71"/>
        <v/>
      </c>
      <c r="X490" s="12"/>
      <c r="Y490" s="12"/>
      <c r="Z490" s="12"/>
      <c r="AA490" s="12"/>
      <c r="AB490" s="12"/>
    </row>
    <row r="491" spans="1:28" s="10" customFormat="1" ht="15" hidden="1">
      <c r="A491" s="9"/>
      <c r="B491" s="137"/>
      <c r="C491" s="142"/>
      <c r="D491" s="82" t="str">
        <f>IFERROR(VLOOKUP($C491,Code!$H:$K,2,FALSE),"")</f>
        <v/>
      </c>
      <c r="E491" s="83" t="str">
        <f>IFERROR(VLOOKUP($C491,Code!$H:$K,3,FALSE),"")</f>
        <v/>
      </c>
      <c r="F491" s="84" t="str">
        <f>IFERROR(VLOOKUP($C491,Code!$H:$K,4,FALSE),"")</f>
        <v/>
      </c>
      <c r="G491" s="128">
        <f>_xlfn.IFNA(((VLOOKUP($C491,Code!$H:$Q,9,FALSE))+(VLOOKUP($C491,Code!$H:$Q,10,FALSE)))/2*0.5/(((VLOOKUP($C491,Code!$H:$Q,7,FALSE))+(VLOOKUP($C491,Code!$H:$Q,8,FALSE)))/2),0)</f>
        <v>0</v>
      </c>
      <c r="H491" s="87" t="str">
        <f t="shared" si="64"/>
        <v/>
      </c>
      <c r="I491" s="128">
        <f>_xlfn.IFNA((VLOOKUP($C491,Code!$H:$Q,5,FALSE))/(((VLOOKUP($C491,Code!$H:$Q,7,FALSE))+(VLOOKUP($C491,Code!$H:$Q,8,FALSE)))/2)-G491,0)</f>
        <v>0</v>
      </c>
      <c r="J491" s="55" t="str">
        <f>IFERROR(POWER((VLOOKUP(C491,Code!H:W,12,FALSE))/(VLOOKUP(C491,Code!H:W,15,FALSE)),1/(P491-1))-1,"")</f>
        <v/>
      </c>
      <c r="K491" s="55" t="str">
        <f>IFERROR(POWER((VLOOKUP(C491,Code!H:W,13,FALSE))/(VLOOKUP(C491,Code!H:W,16,FALSE)),1/(P491-1))-1,"")</f>
        <v/>
      </c>
      <c r="L491" s="75" t="str">
        <f>IFERROR(VLOOKUP(C491,Code!H:W,13,FALSE)*4/VLOOKUP(C491,Code!H:W,12,FALSE),"")</f>
        <v/>
      </c>
      <c r="M491" s="55" t="str">
        <f t="shared" si="65"/>
        <v/>
      </c>
      <c r="N491" s="55" t="str">
        <f t="shared" si="66"/>
        <v/>
      </c>
      <c r="O491" s="55" t="str">
        <f t="shared" si="67"/>
        <v/>
      </c>
      <c r="P491" s="196" t="str">
        <f>IFERROR(YEARFRAC(VLOOKUP(C491,Code!H:W,11,FALSE),VLOOKUP(C491,Code!H:W,14,FALSE),3),"")</f>
        <v/>
      </c>
      <c r="Q491" s="2"/>
      <c r="R491" s="85" t="str">
        <f t="shared" ca="1" si="68"/>
        <v/>
      </c>
      <c r="S491" s="86" t="str">
        <f>IFERROR(VLOOKUP($C491,Code!$H:$Q,5,FALSE),"")</f>
        <v/>
      </c>
      <c r="T491" s="88" t="str">
        <f t="shared" ca="1" si="69"/>
        <v/>
      </c>
      <c r="U491" s="89" t="str">
        <f t="shared" ca="1" si="70"/>
        <v/>
      </c>
      <c r="V491" s="90" t="str">
        <f>IFERROR(VLOOKUP($C491,Code!$H:$Q,6,FALSE),"")</f>
        <v/>
      </c>
      <c r="W491" s="91" t="str">
        <f t="shared" ca="1" si="71"/>
        <v/>
      </c>
      <c r="X491" s="12"/>
      <c r="Y491" s="12"/>
      <c r="Z491" s="12"/>
      <c r="AA491" s="12"/>
      <c r="AB491" s="12"/>
    </row>
    <row r="492" spans="1:28" s="10" customFormat="1" ht="15" hidden="1">
      <c r="A492" s="9"/>
      <c r="B492" s="137"/>
      <c r="C492" s="142"/>
      <c r="D492" s="82" t="str">
        <f>IFERROR(VLOOKUP($C492,Code!$H:$K,2,FALSE),"")</f>
        <v/>
      </c>
      <c r="E492" s="83" t="str">
        <f>IFERROR(VLOOKUP($C492,Code!$H:$K,3,FALSE),"")</f>
        <v/>
      </c>
      <c r="F492" s="84" t="str">
        <f>IFERROR(VLOOKUP($C492,Code!$H:$K,4,FALSE),"")</f>
        <v/>
      </c>
      <c r="G492" s="128">
        <f>_xlfn.IFNA(((VLOOKUP($C492,Code!$H:$Q,9,FALSE))+(VLOOKUP($C492,Code!$H:$Q,10,FALSE)))/2*0.5/(((VLOOKUP($C492,Code!$H:$Q,7,FALSE))+(VLOOKUP($C492,Code!$H:$Q,8,FALSE)))/2),0)</f>
        <v>0</v>
      </c>
      <c r="H492" s="87" t="str">
        <f t="shared" si="64"/>
        <v/>
      </c>
      <c r="I492" s="128">
        <f>_xlfn.IFNA((VLOOKUP($C492,Code!$H:$Q,5,FALSE))/(((VLOOKUP($C492,Code!$H:$Q,7,FALSE))+(VLOOKUP($C492,Code!$H:$Q,8,FALSE)))/2)-G492,0)</f>
        <v>0</v>
      </c>
      <c r="J492" s="55" t="str">
        <f>IFERROR(POWER((VLOOKUP(C492,Code!H:W,12,FALSE))/(VLOOKUP(C492,Code!H:W,15,FALSE)),1/(P492-1))-1,"")</f>
        <v/>
      </c>
      <c r="K492" s="55" t="str">
        <f>IFERROR(POWER((VLOOKUP(C492,Code!H:W,13,FALSE))/(VLOOKUP(C492,Code!H:W,16,FALSE)),1/(P492-1))-1,"")</f>
        <v/>
      </c>
      <c r="L492" s="75" t="str">
        <f>IFERROR(VLOOKUP(C492,Code!H:W,13,FALSE)*4/VLOOKUP(C492,Code!H:W,12,FALSE),"")</f>
        <v/>
      </c>
      <c r="M492" s="55" t="str">
        <f t="shared" si="65"/>
        <v/>
      </c>
      <c r="N492" s="55" t="str">
        <f t="shared" si="66"/>
        <v/>
      </c>
      <c r="O492" s="55" t="str">
        <f t="shared" si="67"/>
        <v/>
      </c>
      <c r="P492" s="196" t="str">
        <f>IFERROR(YEARFRAC(VLOOKUP(C492,Code!H:W,11,FALSE),VLOOKUP(C492,Code!H:W,14,FALSE),3),"")</f>
        <v/>
      </c>
      <c r="Q492" s="2"/>
      <c r="R492" s="85" t="str">
        <f t="shared" ca="1" si="68"/>
        <v/>
      </c>
      <c r="S492" s="86" t="str">
        <f>IFERROR(VLOOKUP($C492,Code!$H:$Q,5,FALSE),"")</f>
        <v/>
      </c>
      <c r="T492" s="88" t="str">
        <f t="shared" ca="1" si="69"/>
        <v/>
      </c>
      <c r="U492" s="89" t="str">
        <f t="shared" ca="1" si="70"/>
        <v/>
      </c>
      <c r="V492" s="90" t="str">
        <f>IFERROR(VLOOKUP($C492,Code!$H:$Q,6,FALSE),"")</f>
        <v/>
      </c>
      <c r="W492" s="91" t="str">
        <f t="shared" ca="1" si="71"/>
        <v/>
      </c>
      <c r="X492" s="12"/>
      <c r="Y492" s="12"/>
      <c r="Z492" s="12"/>
      <c r="AA492" s="12"/>
      <c r="AB492" s="12"/>
    </row>
    <row r="493" spans="1:28" s="10" customFormat="1" ht="15" hidden="1">
      <c r="A493" s="9"/>
      <c r="B493" s="137"/>
      <c r="C493" s="142"/>
      <c r="D493" s="82" t="str">
        <f>IFERROR(VLOOKUP($C493,Code!$H:$K,2,FALSE),"")</f>
        <v/>
      </c>
      <c r="E493" s="83" t="str">
        <f>IFERROR(VLOOKUP($C493,Code!$H:$K,3,FALSE),"")</f>
        <v/>
      </c>
      <c r="F493" s="84" t="str">
        <f>IFERROR(VLOOKUP($C493,Code!$H:$K,4,FALSE),"")</f>
        <v/>
      </c>
      <c r="G493" s="128">
        <f>_xlfn.IFNA(((VLOOKUP($C493,Code!$H:$Q,9,FALSE))+(VLOOKUP($C493,Code!$H:$Q,10,FALSE)))/2*0.5/(((VLOOKUP($C493,Code!$H:$Q,7,FALSE))+(VLOOKUP($C493,Code!$H:$Q,8,FALSE)))/2),0)</f>
        <v>0</v>
      </c>
      <c r="H493" s="87" t="str">
        <f t="shared" si="64"/>
        <v/>
      </c>
      <c r="I493" s="128">
        <f>_xlfn.IFNA((VLOOKUP($C493,Code!$H:$Q,5,FALSE))/(((VLOOKUP($C493,Code!$H:$Q,7,FALSE))+(VLOOKUP($C493,Code!$H:$Q,8,FALSE)))/2)-G493,0)</f>
        <v>0</v>
      </c>
      <c r="J493" s="55" t="str">
        <f>IFERROR(POWER((VLOOKUP(C493,Code!H:W,12,FALSE))/(VLOOKUP(C493,Code!H:W,15,FALSE)),1/(P493-1))-1,"")</f>
        <v/>
      </c>
      <c r="K493" s="55" t="str">
        <f>IFERROR(POWER((VLOOKUP(C493,Code!H:W,13,FALSE))/(VLOOKUP(C493,Code!H:W,16,FALSE)),1/(P493-1))-1,"")</f>
        <v/>
      </c>
      <c r="L493" s="75" t="str">
        <f>IFERROR(VLOOKUP(C493,Code!H:W,13,FALSE)*4/VLOOKUP(C493,Code!H:W,12,FALSE),"")</f>
        <v/>
      </c>
      <c r="M493" s="55" t="str">
        <f t="shared" si="65"/>
        <v/>
      </c>
      <c r="N493" s="55" t="str">
        <f t="shared" si="66"/>
        <v/>
      </c>
      <c r="O493" s="55" t="str">
        <f t="shared" si="67"/>
        <v/>
      </c>
      <c r="P493" s="196" t="str">
        <f>IFERROR(YEARFRAC(VLOOKUP(C493,Code!H:W,11,FALSE),VLOOKUP(C493,Code!H:W,14,FALSE),3),"")</f>
        <v/>
      </c>
      <c r="Q493" s="2"/>
      <c r="R493" s="85" t="str">
        <f t="shared" ca="1" si="68"/>
        <v/>
      </c>
      <c r="S493" s="86" t="str">
        <f>IFERROR(VLOOKUP($C493,Code!$H:$Q,5,FALSE),"")</f>
        <v/>
      </c>
      <c r="T493" s="88" t="str">
        <f t="shared" ca="1" si="69"/>
        <v/>
      </c>
      <c r="U493" s="89" t="str">
        <f t="shared" ca="1" si="70"/>
        <v/>
      </c>
      <c r="V493" s="90" t="str">
        <f>IFERROR(VLOOKUP($C493,Code!$H:$Q,6,FALSE),"")</f>
        <v/>
      </c>
      <c r="W493" s="91" t="str">
        <f t="shared" ca="1" si="71"/>
        <v/>
      </c>
      <c r="X493" s="12"/>
      <c r="Y493" s="12"/>
      <c r="Z493" s="12"/>
      <c r="AA493" s="12"/>
      <c r="AB493" s="12"/>
    </row>
    <row r="494" spans="1:28" s="10" customFormat="1" ht="15" hidden="1">
      <c r="A494" s="9"/>
      <c r="B494" s="137"/>
      <c r="C494" s="142"/>
      <c r="D494" s="82" t="str">
        <f>IFERROR(VLOOKUP($C494,Code!$H:$K,2,FALSE),"")</f>
        <v/>
      </c>
      <c r="E494" s="83" t="str">
        <f>IFERROR(VLOOKUP($C494,Code!$H:$K,3,FALSE),"")</f>
        <v/>
      </c>
      <c r="F494" s="84" t="str">
        <f>IFERROR(VLOOKUP($C494,Code!$H:$K,4,FALSE),"")</f>
        <v/>
      </c>
      <c r="G494" s="128">
        <f>_xlfn.IFNA(((VLOOKUP($C494,Code!$H:$Q,9,FALSE))+(VLOOKUP($C494,Code!$H:$Q,10,FALSE)))/2*0.5/(((VLOOKUP($C494,Code!$H:$Q,7,FALSE))+(VLOOKUP($C494,Code!$H:$Q,8,FALSE)))/2),0)</f>
        <v>0</v>
      </c>
      <c r="H494" s="87" t="str">
        <f t="shared" si="64"/>
        <v/>
      </c>
      <c r="I494" s="128">
        <f>_xlfn.IFNA((VLOOKUP($C494,Code!$H:$Q,5,FALSE))/(((VLOOKUP($C494,Code!$H:$Q,7,FALSE))+(VLOOKUP($C494,Code!$H:$Q,8,FALSE)))/2)-G494,0)</f>
        <v>0</v>
      </c>
      <c r="J494" s="55" t="str">
        <f>IFERROR(POWER((VLOOKUP(C494,Code!H:W,12,FALSE))/(VLOOKUP(C494,Code!H:W,15,FALSE)),1/(P494-1))-1,"")</f>
        <v/>
      </c>
      <c r="K494" s="55" t="str">
        <f>IFERROR(POWER((VLOOKUP(C494,Code!H:W,13,FALSE))/(VLOOKUP(C494,Code!H:W,16,FALSE)),1/(P494-1))-1,"")</f>
        <v/>
      </c>
      <c r="L494" s="75" t="str">
        <f>IFERROR(VLOOKUP(C494,Code!H:W,13,FALSE)*4/VLOOKUP(C494,Code!H:W,12,FALSE),"")</f>
        <v/>
      </c>
      <c r="M494" s="55" t="str">
        <f t="shared" si="65"/>
        <v/>
      </c>
      <c r="N494" s="55" t="str">
        <f t="shared" si="66"/>
        <v/>
      </c>
      <c r="O494" s="55" t="str">
        <f t="shared" si="67"/>
        <v/>
      </c>
      <c r="P494" s="196" t="str">
        <f>IFERROR(YEARFRAC(VLOOKUP(C494,Code!H:W,11,FALSE),VLOOKUP(C494,Code!H:W,14,FALSE),3),"")</f>
        <v/>
      </c>
      <c r="Q494" s="2"/>
      <c r="R494" s="85" t="str">
        <f t="shared" ca="1" si="68"/>
        <v/>
      </c>
      <c r="S494" s="86" t="str">
        <f>IFERROR(VLOOKUP($C494,Code!$H:$Q,5,FALSE),"")</f>
        <v/>
      </c>
      <c r="T494" s="88" t="str">
        <f t="shared" ca="1" si="69"/>
        <v/>
      </c>
      <c r="U494" s="89" t="str">
        <f t="shared" ca="1" si="70"/>
        <v/>
      </c>
      <c r="V494" s="90" t="str">
        <f>IFERROR(VLOOKUP($C494,Code!$H:$Q,6,FALSE),"")</f>
        <v/>
      </c>
      <c r="W494" s="91" t="str">
        <f t="shared" ca="1" si="71"/>
        <v/>
      </c>
      <c r="X494" s="12"/>
      <c r="Y494" s="12"/>
      <c r="Z494" s="12"/>
      <c r="AA494" s="12"/>
      <c r="AB494" s="12"/>
    </row>
    <row r="495" spans="1:28" s="10" customFormat="1" ht="15" hidden="1">
      <c r="A495" s="9"/>
      <c r="B495" s="137"/>
      <c r="C495" s="142"/>
      <c r="D495" s="82" t="str">
        <f>IFERROR(VLOOKUP($C495,Code!$H:$K,2,FALSE),"")</f>
        <v/>
      </c>
      <c r="E495" s="83" t="str">
        <f>IFERROR(VLOOKUP($C495,Code!$H:$K,3,FALSE),"")</f>
        <v/>
      </c>
      <c r="F495" s="84" t="str">
        <f>IFERROR(VLOOKUP($C495,Code!$H:$K,4,FALSE),"")</f>
        <v/>
      </c>
      <c r="G495" s="128">
        <f>_xlfn.IFNA(((VLOOKUP($C495,Code!$H:$Q,9,FALSE))+(VLOOKUP($C495,Code!$H:$Q,10,FALSE)))/2*0.5/(((VLOOKUP($C495,Code!$H:$Q,7,FALSE))+(VLOOKUP($C495,Code!$H:$Q,8,FALSE)))/2),0)</f>
        <v>0</v>
      </c>
      <c r="H495" s="87" t="str">
        <f t="shared" si="64"/>
        <v/>
      </c>
      <c r="I495" s="128">
        <f>_xlfn.IFNA((VLOOKUP($C495,Code!$H:$Q,5,FALSE))/(((VLOOKUP($C495,Code!$H:$Q,7,FALSE))+(VLOOKUP($C495,Code!$H:$Q,8,FALSE)))/2)-G495,0)</f>
        <v>0</v>
      </c>
      <c r="J495" s="55" t="str">
        <f>IFERROR(POWER((VLOOKUP(C495,Code!H:W,12,FALSE))/(VLOOKUP(C495,Code!H:W,15,FALSE)),1/(P495-1))-1,"")</f>
        <v/>
      </c>
      <c r="K495" s="55" t="str">
        <f>IFERROR(POWER((VLOOKUP(C495,Code!H:W,13,FALSE))/(VLOOKUP(C495,Code!H:W,16,FALSE)),1/(P495-1))-1,"")</f>
        <v/>
      </c>
      <c r="L495" s="75" t="str">
        <f>IFERROR(VLOOKUP(C495,Code!H:W,13,FALSE)*4/VLOOKUP(C495,Code!H:W,12,FALSE),"")</f>
        <v/>
      </c>
      <c r="M495" s="55" t="str">
        <f t="shared" si="65"/>
        <v/>
      </c>
      <c r="N495" s="55" t="str">
        <f t="shared" si="66"/>
        <v/>
      </c>
      <c r="O495" s="55" t="str">
        <f t="shared" si="67"/>
        <v/>
      </c>
      <c r="P495" s="196" t="str">
        <f>IFERROR(YEARFRAC(VLOOKUP(C495,Code!H:W,11,FALSE),VLOOKUP(C495,Code!H:W,14,FALSE),3),"")</f>
        <v/>
      </c>
      <c r="Q495" s="2"/>
      <c r="R495" s="85" t="str">
        <f t="shared" ca="1" si="68"/>
        <v/>
      </c>
      <c r="S495" s="86" t="str">
        <f>IFERROR(VLOOKUP($C495,Code!$H:$Q,5,FALSE),"")</f>
        <v/>
      </c>
      <c r="T495" s="88" t="str">
        <f t="shared" ca="1" si="69"/>
        <v/>
      </c>
      <c r="U495" s="89" t="str">
        <f t="shared" ca="1" si="70"/>
        <v/>
      </c>
      <c r="V495" s="90" t="str">
        <f>IFERROR(VLOOKUP($C495,Code!$H:$Q,6,FALSE),"")</f>
        <v/>
      </c>
      <c r="W495" s="91" t="str">
        <f t="shared" ca="1" si="71"/>
        <v/>
      </c>
      <c r="X495" s="12"/>
      <c r="Y495" s="12"/>
      <c r="Z495" s="12"/>
      <c r="AA495" s="12"/>
      <c r="AB495" s="12"/>
    </row>
    <row r="496" spans="1:28" s="10" customFormat="1" ht="15" hidden="1">
      <c r="A496" s="9"/>
      <c r="B496" s="137"/>
      <c r="C496" s="142"/>
      <c r="D496" s="82" t="str">
        <f>IFERROR(VLOOKUP($C496,Code!$H:$K,2,FALSE),"")</f>
        <v/>
      </c>
      <c r="E496" s="83" t="str">
        <f>IFERROR(VLOOKUP($C496,Code!$H:$K,3,FALSE),"")</f>
        <v/>
      </c>
      <c r="F496" s="84" t="str">
        <f>IFERROR(VLOOKUP($C496,Code!$H:$K,4,FALSE),"")</f>
        <v/>
      </c>
      <c r="G496" s="128">
        <f>_xlfn.IFNA(((VLOOKUP($C496,Code!$H:$Q,9,FALSE))+(VLOOKUP($C496,Code!$H:$Q,10,FALSE)))/2*0.5/(((VLOOKUP($C496,Code!$H:$Q,7,FALSE))+(VLOOKUP($C496,Code!$H:$Q,8,FALSE)))/2),0)</f>
        <v>0</v>
      </c>
      <c r="H496" s="87" t="str">
        <f t="shared" si="64"/>
        <v/>
      </c>
      <c r="I496" s="128">
        <f>_xlfn.IFNA((VLOOKUP($C496,Code!$H:$Q,5,FALSE))/(((VLOOKUP($C496,Code!$H:$Q,7,FALSE))+(VLOOKUP($C496,Code!$H:$Q,8,FALSE)))/2)-G496,0)</f>
        <v>0</v>
      </c>
      <c r="J496" s="55" t="str">
        <f>IFERROR(POWER((VLOOKUP(C496,Code!H:W,12,FALSE))/(VLOOKUP(C496,Code!H:W,15,FALSE)),1/(P496-1))-1,"")</f>
        <v/>
      </c>
      <c r="K496" s="55" t="str">
        <f>IFERROR(POWER((VLOOKUP(C496,Code!H:W,13,FALSE))/(VLOOKUP(C496,Code!H:W,16,FALSE)),1/(P496-1))-1,"")</f>
        <v/>
      </c>
      <c r="L496" s="75" t="str">
        <f>IFERROR(VLOOKUP(C496,Code!H:W,13,FALSE)*4/VLOOKUP(C496,Code!H:W,12,FALSE),"")</f>
        <v/>
      </c>
      <c r="M496" s="55" t="str">
        <f t="shared" si="65"/>
        <v/>
      </c>
      <c r="N496" s="55" t="str">
        <f t="shared" si="66"/>
        <v/>
      </c>
      <c r="O496" s="55" t="str">
        <f t="shared" si="67"/>
        <v/>
      </c>
      <c r="P496" s="196" t="str">
        <f>IFERROR(YEARFRAC(VLOOKUP(C496,Code!H:W,11,FALSE),VLOOKUP(C496,Code!H:W,14,FALSE),3),"")</f>
        <v/>
      </c>
      <c r="Q496" s="2"/>
      <c r="R496" s="85" t="str">
        <f t="shared" ca="1" si="68"/>
        <v/>
      </c>
      <c r="S496" s="86" t="str">
        <f>IFERROR(VLOOKUP($C496,Code!$H:$Q,5,FALSE),"")</f>
        <v/>
      </c>
      <c r="T496" s="88" t="str">
        <f t="shared" ca="1" si="69"/>
        <v/>
      </c>
      <c r="U496" s="89" t="str">
        <f t="shared" ca="1" si="70"/>
        <v/>
      </c>
      <c r="V496" s="90" t="str">
        <f>IFERROR(VLOOKUP($C496,Code!$H:$Q,6,FALSE),"")</f>
        <v/>
      </c>
      <c r="W496" s="91" t="str">
        <f t="shared" ca="1" si="71"/>
        <v/>
      </c>
      <c r="X496" s="12"/>
      <c r="Y496" s="12"/>
      <c r="Z496" s="12"/>
      <c r="AA496" s="12"/>
      <c r="AB496" s="12"/>
    </row>
    <row r="497" spans="1:28" s="10" customFormat="1" ht="15" hidden="1">
      <c r="A497" s="9"/>
      <c r="B497" s="137"/>
      <c r="C497" s="142"/>
      <c r="D497" s="82" t="str">
        <f>IFERROR(VLOOKUP($C497,Code!$H:$K,2,FALSE),"")</f>
        <v/>
      </c>
      <c r="E497" s="83" t="str">
        <f>IFERROR(VLOOKUP($C497,Code!$H:$K,3,FALSE),"")</f>
        <v/>
      </c>
      <c r="F497" s="84" t="str">
        <f>IFERROR(VLOOKUP($C497,Code!$H:$K,4,FALSE),"")</f>
        <v/>
      </c>
      <c r="G497" s="128">
        <f>_xlfn.IFNA(((VLOOKUP($C497,Code!$H:$Q,9,FALSE))+(VLOOKUP($C497,Code!$H:$Q,10,FALSE)))/2*0.5/(((VLOOKUP($C497,Code!$H:$Q,7,FALSE))+(VLOOKUP($C497,Code!$H:$Q,8,FALSE)))/2),0)</f>
        <v>0</v>
      </c>
      <c r="H497" s="87" t="str">
        <f t="shared" si="64"/>
        <v/>
      </c>
      <c r="I497" s="128">
        <f>_xlfn.IFNA((VLOOKUP($C497,Code!$H:$Q,5,FALSE))/(((VLOOKUP($C497,Code!$H:$Q,7,FALSE))+(VLOOKUP($C497,Code!$H:$Q,8,FALSE)))/2)-G497,0)</f>
        <v>0</v>
      </c>
      <c r="J497" s="55" t="str">
        <f>IFERROR(POWER((VLOOKUP(C497,Code!H:W,12,FALSE))/(VLOOKUP(C497,Code!H:W,15,FALSE)),1/(P497-1))-1,"")</f>
        <v/>
      </c>
      <c r="K497" s="55" t="str">
        <f>IFERROR(POWER((VLOOKUP(C497,Code!H:W,13,FALSE))/(VLOOKUP(C497,Code!H:W,16,FALSE)),1/(P497-1))-1,"")</f>
        <v/>
      </c>
      <c r="L497" s="75" t="str">
        <f>IFERROR(VLOOKUP(C497,Code!H:W,13,FALSE)*4/VLOOKUP(C497,Code!H:W,12,FALSE),"")</f>
        <v/>
      </c>
      <c r="M497" s="55" t="str">
        <f t="shared" si="65"/>
        <v/>
      </c>
      <c r="N497" s="55" t="str">
        <f t="shared" si="66"/>
        <v/>
      </c>
      <c r="O497" s="55" t="str">
        <f t="shared" si="67"/>
        <v/>
      </c>
      <c r="P497" s="196" t="str">
        <f>IFERROR(YEARFRAC(VLOOKUP(C497,Code!H:W,11,FALSE),VLOOKUP(C497,Code!H:W,14,FALSE),3),"")</f>
        <v/>
      </c>
      <c r="Q497" s="2"/>
      <c r="R497" s="85" t="str">
        <f t="shared" ca="1" si="68"/>
        <v/>
      </c>
      <c r="S497" s="86" t="str">
        <f>IFERROR(VLOOKUP($C497,Code!$H:$Q,5,FALSE),"")</f>
        <v/>
      </c>
      <c r="T497" s="88" t="str">
        <f t="shared" ca="1" si="69"/>
        <v/>
      </c>
      <c r="U497" s="89" t="str">
        <f t="shared" ca="1" si="70"/>
        <v/>
      </c>
      <c r="V497" s="90" t="str">
        <f>IFERROR(VLOOKUP($C497,Code!$H:$Q,6,FALSE),"")</f>
        <v/>
      </c>
      <c r="W497" s="91" t="str">
        <f t="shared" ca="1" si="71"/>
        <v/>
      </c>
      <c r="X497" s="12"/>
      <c r="Y497" s="12"/>
      <c r="Z497" s="12"/>
      <c r="AA497" s="12"/>
      <c r="AB497" s="12"/>
    </row>
    <row r="498" spans="1:28" s="10" customFormat="1" ht="15" hidden="1">
      <c r="A498" s="9"/>
      <c r="B498" s="137"/>
      <c r="C498" s="142"/>
      <c r="D498" s="82" t="str">
        <f>IFERROR(VLOOKUP($C498,Code!$H:$K,2,FALSE),"")</f>
        <v/>
      </c>
      <c r="E498" s="83" t="str">
        <f>IFERROR(VLOOKUP($C498,Code!$H:$K,3,FALSE),"")</f>
        <v/>
      </c>
      <c r="F498" s="84" t="str">
        <f>IFERROR(VLOOKUP($C498,Code!$H:$K,4,FALSE),"")</f>
        <v/>
      </c>
      <c r="G498" s="128">
        <f>_xlfn.IFNA(((VLOOKUP($C498,Code!$H:$Q,9,FALSE))+(VLOOKUP($C498,Code!$H:$Q,10,FALSE)))/2*0.5/(((VLOOKUP($C498,Code!$H:$Q,7,FALSE))+(VLOOKUP($C498,Code!$H:$Q,8,FALSE)))/2),0)</f>
        <v>0</v>
      </c>
      <c r="H498" s="87" t="str">
        <f t="shared" si="64"/>
        <v/>
      </c>
      <c r="I498" s="128">
        <f>_xlfn.IFNA((VLOOKUP($C498,Code!$H:$Q,5,FALSE))/(((VLOOKUP($C498,Code!$H:$Q,7,FALSE))+(VLOOKUP($C498,Code!$H:$Q,8,FALSE)))/2)-G498,0)</f>
        <v>0</v>
      </c>
      <c r="J498" s="55" t="str">
        <f>IFERROR(POWER((VLOOKUP(C498,Code!H:W,12,FALSE))/(VLOOKUP(C498,Code!H:W,15,FALSE)),1/(P498-1))-1,"")</f>
        <v/>
      </c>
      <c r="K498" s="55" t="str">
        <f>IFERROR(POWER((VLOOKUP(C498,Code!H:W,13,FALSE))/(VLOOKUP(C498,Code!H:W,16,FALSE)),1/(P498-1))-1,"")</f>
        <v/>
      </c>
      <c r="L498" s="75" t="str">
        <f>IFERROR(VLOOKUP(C498,Code!H:W,13,FALSE)*4/VLOOKUP(C498,Code!H:W,12,FALSE),"")</f>
        <v/>
      </c>
      <c r="M498" s="55" t="str">
        <f t="shared" si="65"/>
        <v/>
      </c>
      <c r="N498" s="55" t="str">
        <f t="shared" si="66"/>
        <v/>
      </c>
      <c r="O498" s="55" t="str">
        <f t="shared" si="67"/>
        <v/>
      </c>
      <c r="P498" s="196" t="str">
        <f>IFERROR(YEARFRAC(VLOOKUP(C498,Code!H:W,11,FALSE),VLOOKUP(C498,Code!H:W,14,FALSE),3),"")</f>
        <v/>
      </c>
      <c r="Q498" s="2"/>
      <c r="R498" s="85" t="str">
        <f t="shared" ca="1" si="68"/>
        <v/>
      </c>
      <c r="S498" s="86" t="str">
        <f>IFERROR(VLOOKUP($C498,Code!$H:$Q,5,FALSE),"")</f>
        <v/>
      </c>
      <c r="T498" s="88" t="str">
        <f t="shared" ca="1" si="69"/>
        <v/>
      </c>
      <c r="U498" s="89" t="str">
        <f t="shared" ca="1" si="70"/>
        <v/>
      </c>
      <c r="V498" s="90" t="str">
        <f>IFERROR(VLOOKUP($C498,Code!$H:$Q,6,FALSE),"")</f>
        <v/>
      </c>
      <c r="W498" s="91" t="str">
        <f t="shared" ca="1" si="71"/>
        <v/>
      </c>
      <c r="X498" s="12"/>
      <c r="Y498" s="12"/>
      <c r="Z498" s="12"/>
      <c r="AA498" s="12"/>
      <c r="AB498" s="12"/>
    </row>
    <row r="499" spans="1:28" s="10" customFormat="1" ht="15" hidden="1">
      <c r="A499" s="9"/>
      <c r="B499" s="137"/>
      <c r="C499" s="142"/>
      <c r="D499" s="82" t="str">
        <f>IFERROR(VLOOKUP($C499,Code!$H:$K,2,FALSE),"")</f>
        <v/>
      </c>
      <c r="E499" s="83" t="str">
        <f>IFERROR(VLOOKUP($C499,Code!$H:$K,3,FALSE),"")</f>
        <v/>
      </c>
      <c r="F499" s="84" t="str">
        <f>IFERROR(VLOOKUP($C499,Code!$H:$K,4,FALSE),"")</f>
        <v/>
      </c>
      <c r="G499" s="128">
        <f>_xlfn.IFNA(((VLOOKUP($C499,Code!$H:$Q,9,FALSE))+(VLOOKUP($C499,Code!$H:$Q,10,FALSE)))/2*0.5/(((VLOOKUP($C499,Code!$H:$Q,7,FALSE))+(VLOOKUP($C499,Code!$H:$Q,8,FALSE)))/2),0)</f>
        <v>0</v>
      </c>
      <c r="H499" s="87" t="str">
        <f t="shared" si="64"/>
        <v/>
      </c>
      <c r="I499" s="128">
        <f>_xlfn.IFNA((VLOOKUP($C499,Code!$H:$Q,5,FALSE))/(((VLOOKUP($C499,Code!$H:$Q,7,FALSE))+(VLOOKUP($C499,Code!$H:$Q,8,FALSE)))/2)-G499,0)</f>
        <v>0</v>
      </c>
      <c r="J499" s="55" t="str">
        <f>IFERROR(POWER((VLOOKUP(C499,Code!H:W,12,FALSE))/(VLOOKUP(C499,Code!H:W,15,FALSE)),1/(P499-1))-1,"")</f>
        <v/>
      </c>
      <c r="K499" s="55" t="str">
        <f>IFERROR(POWER((VLOOKUP(C499,Code!H:W,13,FALSE))/(VLOOKUP(C499,Code!H:W,16,FALSE)),1/(P499-1))-1,"")</f>
        <v/>
      </c>
      <c r="L499" s="75" t="str">
        <f>IFERROR(VLOOKUP(C499,Code!H:W,13,FALSE)*4/VLOOKUP(C499,Code!H:W,12,FALSE),"")</f>
        <v/>
      </c>
      <c r="M499" s="55" t="str">
        <f t="shared" si="65"/>
        <v/>
      </c>
      <c r="N499" s="55" t="str">
        <f t="shared" si="66"/>
        <v/>
      </c>
      <c r="O499" s="55" t="str">
        <f t="shared" si="67"/>
        <v/>
      </c>
      <c r="P499" s="196" t="str">
        <f>IFERROR(YEARFRAC(VLOOKUP(C499,Code!H:W,11,FALSE),VLOOKUP(C499,Code!H:W,14,FALSE),3),"")</f>
        <v/>
      </c>
      <c r="Q499" s="2"/>
      <c r="R499" s="85" t="str">
        <f t="shared" ca="1" si="68"/>
        <v/>
      </c>
      <c r="S499" s="86" t="str">
        <f>IFERROR(VLOOKUP($C499,Code!$H:$Q,5,FALSE),"")</f>
        <v/>
      </c>
      <c r="T499" s="88" t="str">
        <f t="shared" ca="1" si="69"/>
        <v/>
      </c>
      <c r="U499" s="89" t="str">
        <f t="shared" ca="1" si="70"/>
        <v/>
      </c>
      <c r="V499" s="90" t="str">
        <f>IFERROR(VLOOKUP($C499,Code!$H:$Q,6,FALSE),"")</f>
        <v/>
      </c>
      <c r="W499" s="91" t="str">
        <f t="shared" ca="1" si="71"/>
        <v/>
      </c>
      <c r="X499" s="12"/>
      <c r="Y499" s="12"/>
      <c r="Z499" s="12"/>
      <c r="AA499" s="12"/>
      <c r="AB499" s="12"/>
    </row>
    <row r="500" spans="1:28" s="10" customFormat="1" ht="15" hidden="1">
      <c r="A500" s="9"/>
      <c r="B500" s="137"/>
      <c r="C500" s="142"/>
      <c r="D500" s="82" t="str">
        <f>IFERROR(VLOOKUP($C500,Code!$H:$K,2,FALSE),"")</f>
        <v/>
      </c>
      <c r="E500" s="83" t="str">
        <f>IFERROR(VLOOKUP($C500,Code!$H:$K,3,FALSE),"")</f>
        <v/>
      </c>
      <c r="F500" s="84" t="str">
        <f>IFERROR(VLOOKUP($C500,Code!$H:$K,4,FALSE),"")</f>
        <v/>
      </c>
      <c r="G500" s="128">
        <f>_xlfn.IFNA(((VLOOKUP($C500,Code!$H:$Q,9,FALSE))+(VLOOKUP($C500,Code!$H:$Q,10,FALSE)))/2*0.5/(((VLOOKUP($C500,Code!$H:$Q,7,FALSE))+(VLOOKUP($C500,Code!$H:$Q,8,FALSE)))/2),0)</f>
        <v>0</v>
      </c>
      <c r="H500" s="87" t="str">
        <f t="shared" si="64"/>
        <v/>
      </c>
      <c r="I500" s="128">
        <f>_xlfn.IFNA((VLOOKUP($C500,Code!$H:$Q,5,FALSE))/(((VLOOKUP($C500,Code!$H:$Q,7,FALSE))+(VLOOKUP($C500,Code!$H:$Q,8,FALSE)))/2)-G500,0)</f>
        <v>0</v>
      </c>
      <c r="J500" s="55" t="str">
        <f>IFERROR(POWER((VLOOKUP(C500,Code!H:W,12,FALSE))/(VLOOKUP(C500,Code!H:W,15,FALSE)),1/(P500-1))-1,"")</f>
        <v/>
      </c>
      <c r="K500" s="55" t="str">
        <f>IFERROR(POWER((VLOOKUP(C500,Code!H:W,13,FALSE))/(VLOOKUP(C500,Code!H:W,16,FALSE)),1/(P500-1))-1,"")</f>
        <v/>
      </c>
      <c r="L500" s="75" t="str">
        <f>IFERROR(VLOOKUP(C500,Code!H:W,13,FALSE)*4/VLOOKUP(C500,Code!H:W,12,FALSE),"")</f>
        <v/>
      </c>
      <c r="M500" s="55" t="str">
        <f t="shared" si="65"/>
        <v/>
      </c>
      <c r="N500" s="55" t="str">
        <f t="shared" si="66"/>
        <v/>
      </c>
      <c r="O500" s="55" t="str">
        <f t="shared" si="67"/>
        <v/>
      </c>
      <c r="P500" s="196" t="str">
        <f>IFERROR(YEARFRAC(VLOOKUP(C500,Code!H:W,11,FALSE),VLOOKUP(C500,Code!H:W,14,FALSE),3),"")</f>
        <v/>
      </c>
      <c r="Q500" s="2"/>
      <c r="R500" s="85" t="str">
        <f t="shared" ca="1" si="68"/>
        <v/>
      </c>
      <c r="S500" s="86" t="str">
        <f>IFERROR(VLOOKUP($C500,Code!$H:$Q,5,FALSE),"")</f>
        <v/>
      </c>
      <c r="T500" s="88" t="str">
        <f t="shared" ca="1" si="69"/>
        <v/>
      </c>
      <c r="U500" s="89" t="str">
        <f t="shared" ca="1" si="70"/>
        <v/>
      </c>
      <c r="V500" s="90" t="str">
        <f>IFERROR(VLOOKUP($C500,Code!$H:$Q,6,FALSE),"")</f>
        <v/>
      </c>
      <c r="W500" s="91" t="str">
        <f t="shared" ca="1" si="71"/>
        <v/>
      </c>
      <c r="X500" s="12"/>
      <c r="Y500" s="12"/>
      <c r="Z500" s="12"/>
      <c r="AA500" s="12"/>
      <c r="AB500" s="12"/>
    </row>
    <row r="501" spans="1:28" s="10" customFormat="1" ht="15" hidden="1">
      <c r="A501" s="9"/>
      <c r="B501" s="137"/>
      <c r="C501" s="142"/>
      <c r="D501" s="82" t="str">
        <f>IFERROR(VLOOKUP($C501,Code!$H:$K,2,FALSE),"")</f>
        <v/>
      </c>
      <c r="E501" s="83" t="str">
        <f>IFERROR(VLOOKUP($C501,Code!$H:$K,3,FALSE),"")</f>
        <v/>
      </c>
      <c r="F501" s="84" t="str">
        <f>IFERROR(VLOOKUP($C501,Code!$H:$K,4,FALSE),"")</f>
        <v/>
      </c>
      <c r="G501" s="128">
        <f>_xlfn.IFNA(((VLOOKUP($C501,Code!$H:$Q,9,FALSE))+(VLOOKUP($C501,Code!$H:$Q,10,FALSE)))/2*0.5/(((VLOOKUP($C501,Code!$H:$Q,7,FALSE))+(VLOOKUP($C501,Code!$H:$Q,8,FALSE)))/2),0)</f>
        <v>0</v>
      </c>
      <c r="H501" s="87" t="str">
        <f t="shared" si="64"/>
        <v/>
      </c>
      <c r="I501" s="128">
        <f>_xlfn.IFNA((VLOOKUP($C501,Code!$H:$Q,5,FALSE))/(((VLOOKUP($C501,Code!$H:$Q,7,FALSE))+(VLOOKUP($C501,Code!$H:$Q,8,FALSE)))/2)-G501,0)</f>
        <v>0</v>
      </c>
      <c r="J501" s="55" t="str">
        <f>IFERROR(POWER((VLOOKUP(C501,Code!H:W,12,FALSE))/(VLOOKUP(C501,Code!H:W,15,FALSE)),1/(P501-1))-1,"")</f>
        <v/>
      </c>
      <c r="K501" s="55" t="str">
        <f>IFERROR(POWER((VLOOKUP(C501,Code!H:W,13,FALSE))/(VLOOKUP(C501,Code!H:W,16,FALSE)),1/(P501-1))-1,"")</f>
        <v/>
      </c>
      <c r="L501" s="75" t="str">
        <f>IFERROR(VLOOKUP(C501,Code!H:W,13,FALSE)*4/VLOOKUP(C501,Code!H:W,12,FALSE),"")</f>
        <v/>
      </c>
      <c r="M501" s="55" t="str">
        <f t="shared" si="65"/>
        <v/>
      </c>
      <c r="N501" s="55" t="str">
        <f t="shared" si="66"/>
        <v/>
      </c>
      <c r="O501" s="55" t="str">
        <f t="shared" si="67"/>
        <v/>
      </c>
      <c r="P501" s="196" t="str">
        <f>IFERROR(YEARFRAC(VLOOKUP(C501,Code!H:W,11,FALSE),VLOOKUP(C501,Code!H:W,14,FALSE),3),"")</f>
        <v/>
      </c>
      <c r="Q501" s="2"/>
      <c r="R501" s="85" t="str">
        <f t="shared" ca="1" si="68"/>
        <v/>
      </c>
      <c r="S501" s="86" t="str">
        <f>IFERROR(VLOOKUP($C501,Code!$H:$Q,5,FALSE),"")</f>
        <v/>
      </c>
      <c r="T501" s="88" t="str">
        <f t="shared" ca="1" si="69"/>
        <v/>
      </c>
      <c r="U501" s="89" t="str">
        <f t="shared" ca="1" si="70"/>
        <v/>
      </c>
      <c r="V501" s="90" t="str">
        <f>IFERROR(VLOOKUP($C501,Code!$H:$Q,6,FALSE),"")</f>
        <v/>
      </c>
      <c r="W501" s="91" t="str">
        <f t="shared" ca="1" si="71"/>
        <v/>
      </c>
      <c r="X501" s="12"/>
      <c r="Y501" s="12"/>
      <c r="Z501" s="12"/>
      <c r="AA501" s="12"/>
      <c r="AB501" s="12"/>
    </row>
    <row r="502" spans="1:28" s="10" customFormat="1" ht="15" hidden="1">
      <c r="A502" s="9"/>
      <c r="B502" s="137"/>
      <c r="C502" s="142"/>
      <c r="D502" s="82" t="str">
        <f>IFERROR(VLOOKUP($C502,Code!$H:$K,2,FALSE),"")</f>
        <v/>
      </c>
      <c r="E502" s="83" t="str">
        <f>IFERROR(VLOOKUP($C502,Code!$H:$K,3,FALSE),"")</f>
        <v/>
      </c>
      <c r="F502" s="84" t="str">
        <f>IFERROR(VLOOKUP($C502,Code!$H:$K,4,FALSE),"")</f>
        <v/>
      </c>
      <c r="G502" s="128">
        <f>_xlfn.IFNA(((VLOOKUP($C502,Code!$H:$Q,9,FALSE))+(VLOOKUP($C502,Code!$H:$Q,10,FALSE)))/2*0.5/(((VLOOKUP($C502,Code!$H:$Q,7,FALSE))+(VLOOKUP($C502,Code!$H:$Q,8,FALSE)))/2),0)</f>
        <v>0</v>
      </c>
      <c r="H502" s="87" t="str">
        <f t="shared" si="64"/>
        <v/>
      </c>
      <c r="I502" s="128">
        <f>_xlfn.IFNA((VLOOKUP($C502,Code!$H:$Q,5,FALSE))/(((VLOOKUP($C502,Code!$H:$Q,7,FALSE))+(VLOOKUP($C502,Code!$H:$Q,8,FALSE)))/2)-G502,0)</f>
        <v>0</v>
      </c>
      <c r="J502" s="55" t="str">
        <f>IFERROR(POWER((VLOOKUP(C502,Code!H:W,12,FALSE))/(VLOOKUP(C502,Code!H:W,15,FALSE)),1/(P502-1))-1,"")</f>
        <v/>
      </c>
      <c r="K502" s="55" t="str">
        <f>IFERROR(POWER((VLOOKUP(C502,Code!H:W,13,FALSE))/(VLOOKUP(C502,Code!H:W,16,FALSE)),1/(P502-1))-1,"")</f>
        <v/>
      </c>
      <c r="L502" s="75" t="str">
        <f>IFERROR(VLOOKUP(C502,Code!H:W,13,FALSE)*4/VLOOKUP(C502,Code!H:W,12,FALSE),"")</f>
        <v/>
      </c>
      <c r="M502" s="55" t="str">
        <f t="shared" si="65"/>
        <v/>
      </c>
      <c r="N502" s="55" t="str">
        <f t="shared" si="66"/>
        <v/>
      </c>
      <c r="O502" s="55" t="str">
        <f t="shared" si="67"/>
        <v/>
      </c>
      <c r="P502" s="196" t="str">
        <f>IFERROR(YEARFRAC(VLOOKUP(C502,Code!H:W,11,FALSE),VLOOKUP(C502,Code!H:W,14,FALSE),3),"")</f>
        <v/>
      </c>
      <c r="Q502" s="2"/>
      <c r="R502" s="85" t="str">
        <f t="shared" ca="1" si="68"/>
        <v/>
      </c>
      <c r="S502" s="86" t="str">
        <f>IFERROR(VLOOKUP($C502,Code!$H:$Q,5,FALSE),"")</f>
        <v/>
      </c>
      <c r="T502" s="88" t="str">
        <f t="shared" ca="1" si="69"/>
        <v/>
      </c>
      <c r="U502" s="89" t="str">
        <f t="shared" ca="1" si="70"/>
        <v/>
      </c>
      <c r="V502" s="90" t="str">
        <f>IFERROR(VLOOKUP($C502,Code!$H:$Q,6,FALSE),"")</f>
        <v/>
      </c>
      <c r="W502" s="91" t="str">
        <f t="shared" ca="1" si="71"/>
        <v/>
      </c>
      <c r="X502" s="12"/>
      <c r="Y502" s="12"/>
      <c r="Z502" s="12"/>
      <c r="AA502" s="12"/>
      <c r="AB502" s="12"/>
    </row>
    <row r="503" spans="1:28" s="10" customFormat="1" ht="15" hidden="1">
      <c r="A503" s="9"/>
      <c r="B503" s="137"/>
      <c r="C503" s="142"/>
      <c r="D503" s="82" t="str">
        <f>IFERROR(VLOOKUP($C503,Code!$H:$K,2,FALSE),"")</f>
        <v/>
      </c>
      <c r="E503" s="83" t="str">
        <f>IFERROR(VLOOKUP($C503,Code!$H:$K,3,FALSE),"")</f>
        <v/>
      </c>
      <c r="F503" s="84" t="str">
        <f>IFERROR(VLOOKUP($C503,Code!$H:$K,4,FALSE),"")</f>
        <v/>
      </c>
      <c r="G503" s="128">
        <f>_xlfn.IFNA(((VLOOKUP($C503,Code!$H:$Q,9,FALSE))+(VLOOKUP($C503,Code!$H:$Q,10,FALSE)))/2*0.5/(((VLOOKUP($C503,Code!$H:$Q,7,FALSE))+(VLOOKUP($C503,Code!$H:$Q,8,FALSE)))/2),0)</f>
        <v>0</v>
      </c>
      <c r="H503" s="87" t="str">
        <f t="shared" si="64"/>
        <v/>
      </c>
      <c r="I503" s="128">
        <f>_xlfn.IFNA((VLOOKUP($C503,Code!$H:$Q,5,FALSE))/(((VLOOKUP($C503,Code!$H:$Q,7,FALSE))+(VLOOKUP($C503,Code!$H:$Q,8,FALSE)))/2)-G503,0)</f>
        <v>0</v>
      </c>
      <c r="J503" s="55" t="str">
        <f>IFERROR(POWER((VLOOKUP(C503,Code!H:W,12,FALSE))/(VLOOKUP(C503,Code!H:W,15,FALSE)),1/(P503-1))-1,"")</f>
        <v/>
      </c>
      <c r="K503" s="55" t="str">
        <f>IFERROR(POWER((VLOOKUP(C503,Code!H:W,13,FALSE))/(VLOOKUP(C503,Code!H:W,16,FALSE)),1/(P503-1))-1,"")</f>
        <v/>
      </c>
      <c r="L503" s="75" t="str">
        <f>IFERROR(VLOOKUP(C503,Code!H:W,13,FALSE)*4/VLOOKUP(C503,Code!H:W,12,FALSE),"")</f>
        <v/>
      </c>
      <c r="M503" s="55" t="str">
        <f t="shared" si="65"/>
        <v/>
      </c>
      <c r="N503" s="55" t="str">
        <f t="shared" si="66"/>
        <v/>
      </c>
      <c r="O503" s="55" t="str">
        <f t="shared" si="67"/>
        <v/>
      </c>
      <c r="P503" s="196" t="str">
        <f>IFERROR(YEARFRAC(VLOOKUP(C503,Code!H:W,11,FALSE),VLOOKUP(C503,Code!H:W,14,FALSE),3),"")</f>
        <v/>
      </c>
      <c r="Q503" s="2"/>
      <c r="R503" s="85" t="str">
        <f t="shared" ca="1" si="68"/>
        <v/>
      </c>
      <c r="S503" s="86" t="str">
        <f>IFERROR(VLOOKUP($C503,Code!$H:$Q,5,FALSE),"")</f>
        <v/>
      </c>
      <c r="T503" s="88" t="str">
        <f t="shared" ca="1" si="69"/>
        <v/>
      </c>
      <c r="U503" s="89" t="str">
        <f t="shared" ca="1" si="70"/>
        <v/>
      </c>
      <c r="V503" s="90" t="str">
        <f>IFERROR(VLOOKUP($C503,Code!$H:$Q,6,FALSE),"")</f>
        <v/>
      </c>
      <c r="W503" s="91" t="str">
        <f t="shared" ca="1" si="71"/>
        <v/>
      </c>
      <c r="X503" s="12"/>
      <c r="Y503" s="12"/>
      <c r="Z503" s="12"/>
      <c r="AA503" s="12"/>
      <c r="AB503" s="12"/>
    </row>
    <row r="504" spans="1:28" s="10" customFormat="1" ht="15" hidden="1">
      <c r="A504" s="9"/>
      <c r="B504" s="137"/>
      <c r="C504" s="142"/>
      <c r="D504" s="82" t="str">
        <f>IFERROR(VLOOKUP($C504,Code!$H:$K,2,FALSE),"")</f>
        <v/>
      </c>
      <c r="E504" s="83" t="str">
        <f>IFERROR(VLOOKUP($C504,Code!$H:$K,3,FALSE),"")</f>
        <v/>
      </c>
      <c r="F504" s="84" t="str">
        <f>IFERROR(VLOOKUP($C504,Code!$H:$K,4,FALSE),"")</f>
        <v/>
      </c>
      <c r="G504" s="128">
        <f>_xlfn.IFNA(((VLOOKUP($C504,Code!$H:$Q,9,FALSE))+(VLOOKUP($C504,Code!$H:$Q,10,FALSE)))/2*0.5/(((VLOOKUP($C504,Code!$H:$Q,7,FALSE))+(VLOOKUP($C504,Code!$H:$Q,8,FALSE)))/2),0)</f>
        <v>0</v>
      </c>
      <c r="H504" s="87" t="str">
        <f t="shared" si="64"/>
        <v/>
      </c>
      <c r="I504" s="128">
        <f>_xlfn.IFNA((VLOOKUP($C504,Code!$H:$Q,5,FALSE))/(((VLOOKUP($C504,Code!$H:$Q,7,FALSE))+(VLOOKUP($C504,Code!$H:$Q,8,FALSE)))/2)-G504,0)</f>
        <v>0</v>
      </c>
      <c r="J504" s="55" t="str">
        <f>IFERROR(POWER((VLOOKUP(C504,Code!H:W,12,FALSE))/(VLOOKUP(C504,Code!H:W,15,FALSE)),1/(P504-1))-1,"")</f>
        <v/>
      </c>
      <c r="K504" s="55" t="str">
        <f>IFERROR(POWER((VLOOKUP(C504,Code!H:W,13,FALSE))/(VLOOKUP(C504,Code!H:W,16,FALSE)),1/(P504-1))-1,"")</f>
        <v/>
      </c>
      <c r="L504" s="75" t="str">
        <f>IFERROR(VLOOKUP(C504,Code!H:W,13,FALSE)*4/VLOOKUP(C504,Code!H:W,12,FALSE),"")</f>
        <v/>
      </c>
      <c r="M504" s="55" t="str">
        <f t="shared" si="65"/>
        <v/>
      </c>
      <c r="N504" s="55" t="str">
        <f t="shared" si="66"/>
        <v/>
      </c>
      <c r="O504" s="55" t="str">
        <f t="shared" si="67"/>
        <v/>
      </c>
      <c r="P504" s="196" t="str">
        <f>IFERROR(YEARFRAC(VLOOKUP(C504,Code!H:W,11,FALSE),VLOOKUP(C504,Code!H:W,14,FALSE),3),"")</f>
        <v/>
      </c>
      <c r="Q504" s="2"/>
      <c r="R504" s="85" t="str">
        <f t="shared" ca="1" si="68"/>
        <v/>
      </c>
      <c r="S504" s="86" t="str">
        <f>IFERROR(VLOOKUP($C504,Code!$H:$Q,5,FALSE),"")</f>
        <v/>
      </c>
      <c r="T504" s="88" t="str">
        <f t="shared" ca="1" si="69"/>
        <v/>
      </c>
      <c r="U504" s="89" t="str">
        <f t="shared" ca="1" si="70"/>
        <v/>
      </c>
      <c r="V504" s="90" t="str">
        <f>IFERROR(VLOOKUP($C504,Code!$H:$Q,6,FALSE),"")</f>
        <v/>
      </c>
      <c r="W504" s="91" t="str">
        <f t="shared" ca="1" si="71"/>
        <v/>
      </c>
      <c r="X504" s="12"/>
      <c r="Y504" s="12"/>
      <c r="Z504" s="12"/>
      <c r="AA504" s="12"/>
      <c r="AB504" s="12"/>
    </row>
    <row r="505" spans="1:28" s="10" customFormat="1" ht="15" hidden="1">
      <c r="A505" s="9"/>
      <c r="B505" s="137"/>
      <c r="C505" s="142"/>
      <c r="D505" s="82" t="str">
        <f>IFERROR(VLOOKUP($C505,Code!$H:$K,2,FALSE),"")</f>
        <v/>
      </c>
      <c r="E505" s="83" t="str">
        <f>IFERROR(VLOOKUP($C505,Code!$H:$K,3,FALSE),"")</f>
        <v/>
      </c>
      <c r="F505" s="84" t="str">
        <f>IFERROR(VLOOKUP($C505,Code!$H:$K,4,FALSE),"")</f>
        <v/>
      </c>
      <c r="G505" s="128">
        <f>_xlfn.IFNA(((VLOOKUP($C505,Code!$H:$Q,9,FALSE))+(VLOOKUP($C505,Code!$H:$Q,10,FALSE)))/2*0.5/(((VLOOKUP($C505,Code!$H:$Q,7,FALSE))+(VLOOKUP($C505,Code!$H:$Q,8,FALSE)))/2),0)</f>
        <v>0</v>
      </c>
      <c r="H505" s="87" t="str">
        <f t="shared" si="64"/>
        <v/>
      </c>
      <c r="I505" s="128">
        <f>_xlfn.IFNA((VLOOKUP($C505,Code!$H:$Q,5,FALSE))/(((VLOOKUP($C505,Code!$H:$Q,7,FALSE))+(VLOOKUP($C505,Code!$H:$Q,8,FALSE)))/2)-G505,0)</f>
        <v>0</v>
      </c>
      <c r="J505" s="55" t="str">
        <f>IFERROR(POWER((VLOOKUP(C505,Code!H:W,12,FALSE))/(VLOOKUP(C505,Code!H:W,15,FALSE)),1/(P505-1))-1,"")</f>
        <v/>
      </c>
      <c r="K505" s="55" t="str">
        <f>IFERROR(POWER((VLOOKUP(C505,Code!H:W,13,FALSE))/(VLOOKUP(C505,Code!H:W,16,FALSE)),1/(P505-1))-1,"")</f>
        <v/>
      </c>
      <c r="L505" s="75" t="str">
        <f>IFERROR(VLOOKUP(C505,Code!H:W,13,FALSE)*4/VLOOKUP(C505,Code!H:W,12,FALSE),"")</f>
        <v/>
      </c>
      <c r="M505" s="55" t="str">
        <f t="shared" si="65"/>
        <v/>
      </c>
      <c r="N505" s="55" t="str">
        <f t="shared" si="66"/>
        <v/>
      </c>
      <c r="O505" s="55" t="str">
        <f t="shared" si="67"/>
        <v/>
      </c>
      <c r="P505" s="196" t="str">
        <f>IFERROR(YEARFRAC(VLOOKUP(C505,Code!H:W,11,FALSE),VLOOKUP(C505,Code!H:W,14,FALSE),3),"")</f>
        <v/>
      </c>
      <c r="Q505" s="2"/>
      <c r="R505" s="85" t="str">
        <f t="shared" ca="1" si="68"/>
        <v/>
      </c>
      <c r="S505" s="86" t="str">
        <f>IFERROR(VLOOKUP($C505,Code!$H:$Q,5,FALSE),"")</f>
        <v/>
      </c>
      <c r="T505" s="88" t="str">
        <f t="shared" ca="1" si="69"/>
        <v/>
      </c>
      <c r="U505" s="89" t="str">
        <f t="shared" ca="1" si="70"/>
        <v/>
      </c>
      <c r="V505" s="90" t="str">
        <f>IFERROR(VLOOKUP($C505,Code!$H:$Q,6,FALSE),"")</f>
        <v/>
      </c>
      <c r="W505" s="91" t="str">
        <f t="shared" ca="1" si="71"/>
        <v/>
      </c>
      <c r="X505" s="12"/>
      <c r="Y505" s="12"/>
      <c r="Z505" s="12"/>
      <c r="AA505" s="12"/>
      <c r="AB505" s="12"/>
    </row>
    <row r="506" spans="1:28" s="10" customFormat="1" ht="15" hidden="1">
      <c r="A506" s="9"/>
      <c r="B506" s="137"/>
      <c r="C506" s="142"/>
      <c r="D506" s="82" t="str">
        <f>IFERROR(VLOOKUP($C506,Code!$H:$K,2,FALSE),"")</f>
        <v/>
      </c>
      <c r="E506" s="83" t="str">
        <f>IFERROR(VLOOKUP($C506,Code!$H:$K,3,FALSE),"")</f>
        <v/>
      </c>
      <c r="F506" s="84" t="str">
        <f>IFERROR(VLOOKUP($C506,Code!$H:$K,4,FALSE),"")</f>
        <v/>
      </c>
      <c r="G506" s="128">
        <f>_xlfn.IFNA(((VLOOKUP($C506,Code!$H:$Q,9,FALSE))+(VLOOKUP($C506,Code!$H:$Q,10,FALSE)))/2*0.5/(((VLOOKUP($C506,Code!$H:$Q,7,FALSE))+(VLOOKUP($C506,Code!$H:$Q,8,FALSE)))/2),0)</f>
        <v>0</v>
      </c>
      <c r="H506" s="87" t="str">
        <f t="shared" si="64"/>
        <v/>
      </c>
      <c r="I506" s="128">
        <f>_xlfn.IFNA((VLOOKUP($C506,Code!$H:$Q,5,FALSE))/(((VLOOKUP($C506,Code!$H:$Q,7,FALSE))+(VLOOKUP($C506,Code!$H:$Q,8,FALSE)))/2)-G506,0)</f>
        <v>0</v>
      </c>
      <c r="J506" s="55" t="str">
        <f>IFERROR(POWER((VLOOKUP(C506,Code!H:W,12,FALSE))/(VLOOKUP(C506,Code!H:W,15,FALSE)),1/(P506-1))-1,"")</f>
        <v/>
      </c>
      <c r="K506" s="55" t="str">
        <f>IFERROR(POWER((VLOOKUP(C506,Code!H:W,13,FALSE))/(VLOOKUP(C506,Code!H:W,16,FALSE)),1/(P506-1))-1,"")</f>
        <v/>
      </c>
      <c r="L506" s="75" t="str">
        <f>IFERROR(VLOOKUP(C506,Code!H:W,13,FALSE)*4/VLOOKUP(C506,Code!H:W,12,FALSE),"")</f>
        <v/>
      </c>
      <c r="M506" s="55" t="str">
        <f t="shared" si="65"/>
        <v/>
      </c>
      <c r="N506" s="55" t="str">
        <f t="shared" si="66"/>
        <v/>
      </c>
      <c r="O506" s="55" t="str">
        <f t="shared" si="67"/>
        <v/>
      </c>
      <c r="P506" s="196" t="str">
        <f>IFERROR(YEARFRAC(VLOOKUP(C506,Code!H:W,11,FALSE),VLOOKUP(C506,Code!H:W,14,FALSE),3),"")</f>
        <v/>
      </c>
      <c r="Q506" s="2"/>
      <c r="R506" s="85" t="str">
        <f t="shared" ca="1" si="68"/>
        <v/>
      </c>
      <c r="S506" s="86" t="str">
        <f>IFERROR(VLOOKUP($C506,Code!$H:$Q,5,FALSE),"")</f>
        <v/>
      </c>
      <c r="T506" s="88" t="str">
        <f t="shared" ca="1" si="69"/>
        <v/>
      </c>
      <c r="U506" s="89" t="str">
        <f t="shared" ca="1" si="70"/>
        <v/>
      </c>
      <c r="V506" s="90" t="str">
        <f>IFERROR(VLOOKUP($C506,Code!$H:$Q,6,FALSE),"")</f>
        <v/>
      </c>
      <c r="W506" s="91" t="str">
        <f t="shared" ca="1" si="71"/>
        <v/>
      </c>
      <c r="X506" s="12"/>
      <c r="Y506" s="12"/>
      <c r="Z506" s="12"/>
      <c r="AA506" s="12"/>
      <c r="AB506" s="12"/>
    </row>
    <row r="507" spans="1:28" s="10" customFormat="1" ht="15" hidden="1">
      <c r="A507" s="9"/>
      <c r="B507" s="137"/>
      <c r="C507" s="142"/>
      <c r="D507" s="82" t="str">
        <f>IFERROR(VLOOKUP($C507,Code!$H:$K,2,FALSE),"")</f>
        <v/>
      </c>
      <c r="E507" s="83" t="str">
        <f>IFERROR(VLOOKUP($C507,Code!$H:$K,3,FALSE),"")</f>
        <v/>
      </c>
      <c r="F507" s="84" t="str">
        <f>IFERROR(VLOOKUP($C507,Code!$H:$K,4,FALSE),"")</f>
        <v/>
      </c>
      <c r="G507" s="128">
        <f>_xlfn.IFNA(((VLOOKUP($C507,Code!$H:$Q,9,FALSE))+(VLOOKUP($C507,Code!$H:$Q,10,FALSE)))/2*0.5/(((VLOOKUP($C507,Code!$H:$Q,7,FALSE))+(VLOOKUP($C507,Code!$H:$Q,8,FALSE)))/2),0)</f>
        <v>0</v>
      </c>
      <c r="H507" s="87" t="str">
        <f t="shared" si="64"/>
        <v/>
      </c>
      <c r="I507" s="128">
        <f>_xlfn.IFNA((VLOOKUP($C507,Code!$H:$Q,5,FALSE))/(((VLOOKUP($C507,Code!$H:$Q,7,FALSE))+(VLOOKUP($C507,Code!$H:$Q,8,FALSE)))/2)-G507,0)</f>
        <v>0</v>
      </c>
      <c r="J507" s="55" t="str">
        <f>IFERROR(POWER((VLOOKUP(C507,Code!H:W,12,FALSE))/(VLOOKUP(C507,Code!H:W,15,FALSE)),1/(P507-1))-1,"")</f>
        <v/>
      </c>
      <c r="K507" s="55" t="str">
        <f>IFERROR(POWER((VLOOKUP(C507,Code!H:W,13,FALSE))/(VLOOKUP(C507,Code!H:W,16,FALSE)),1/(P507-1))-1,"")</f>
        <v/>
      </c>
      <c r="L507" s="75" t="str">
        <f>IFERROR(VLOOKUP(C507,Code!H:W,13,FALSE)*4/VLOOKUP(C507,Code!H:W,12,FALSE),"")</f>
        <v/>
      </c>
      <c r="M507" s="55" t="str">
        <f t="shared" si="65"/>
        <v/>
      </c>
      <c r="N507" s="55" t="str">
        <f t="shared" si="66"/>
        <v/>
      </c>
      <c r="O507" s="55" t="str">
        <f t="shared" si="67"/>
        <v/>
      </c>
      <c r="P507" s="196" t="str">
        <f>IFERROR(YEARFRAC(VLOOKUP(C507,Code!H:W,11,FALSE),VLOOKUP(C507,Code!H:W,14,FALSE),3),"")</f>
        <v/>
      </c>
      <c r="Q507" s="2"/>
      <c r="R507" s="85" t="str">
        <f t="shared" ca="1" si="68"/>
        <v/>
      </c>
      <c r="S507" s="86" t="str">
        <f>IFERROR(VLOOKUP($C507,Code!$H:$Q,5,FALSE),"")</f>
        <v/>
      </c>
      <c r="T507" s="88" t="str">
        <f t="shared" ca="1" si="69"/>
        <v/>
      </c>
      <c r="U507" s="89" t="str">
        <f t="shared" ca="1" si="70"/>
        <v/>
      </c>
      <c r="V507" s="90" t="str">
        <f>IFERROR(VLOOKUP($C507,Code!$H:$Q,6,FALSE),"")</f>
        <v/>
      </c>
      <c r="W507" s="91" t="str">
        <f t="shared" ca="1" si="71"/>
        <v/>
      </c>
      <c r="X507" s="12"/>
      <c r="Y507" s="12"/>
      <c r="Z507" s="12"/>
      <c r="AA507" s="12"/>
      <c r="AB507" s="12"/>
    </row>
    <row r="508" spans="1:28" s="10" customFormat="1" ht="15" hidden="1">
      <c r="A508" s="9"/>
      <c r="B508" s="137"/>
      <c r="C508" s="142"/>
      <c r="D508" s="82" t="str">
        <f>IFERROR(VLOOKUP($C508,Code!$H:$K,2,FALSE),"")</f>
        <v/>
      </c>
      <c r="E508" s="83" t="str">
        <f>IFERROR(VLOOKUP($C508,Code!$H:$K,3,FALSE),"")</f>
        <v/>
      </c>
      <c r="F508" s="84" t="str">
        <f>IFERROR(VLOOKUP($C508,Code!$H:$K,4,FALSE),"")</f>
        <v/>
      </c>
      <c r="G508" s="128">
        <f>_xlfn.IFNA(((VLOOKUP($C508,Code!$H:$Q,9,FALSE))+(VLOOKUP($C508,Code!$H:$Q,10,FALSE)))/2*0.5/(((VLOOKUP($C508,Code!$H:$Q,7,FALSE))+(VLOOKUP($C508,Code!$H:$Q,8,FALSE)))/2),0)</f>
        <v>0</v>
      </c>
      <c r="H508" s="87" t="str">
        <f t="shared" si="64"/>
        <v/>
      </c>
      <c r="I508" s="128">
        <f>_xlfn.IFNA((VLOOKUP($C508,Code!$H:$Q,5,FALSE))/(((VLOOKUP($C508,Code!$H:$Q,7,FALSE))+(VLOOKUP($C508,Code!$H:$Q,8,FALSE)))/2)-G508,0)</f>
        <v>0</v>
      </c>
      <c r="J508" s="55" t="str">
        <f>IFERROR(POWER((VLOOKUP(C508,Code!H:W,12,FALSE))/(VLOOKUP(C508,Code!H:W,15,FALSE)),1/(P508-1))-1,"")</f>
        <v/>
      </c>
      <c r="K508" s="55" t="str">
        <f>IFERROR(POWER((VLOOKUP(C508,Code!H:W,13,FALSE))/(VLOOKUP(C508,Code!H:W,16,FALSE)),1/(P508-1))-1,"")</f>
        <v/>
      </c>
      <c r="L508" s="75" t="str">
        <f>IFERROR(VLOOKUP(C508,Code!H:W,13,FALSE)*4/VLOOKUP(C508,Code!H:W,12,FALSE),"")</f>
        <v/>
      </c>
      <c r="M508" s="55" t="str">
        <f t="shared" si="65"/>
        <v/>
      </c>
      <c r="N508" s="55" t="str">
        <f t="shared" si="66"/>
        <v/>
      </c>
      <c r="O508" s="55" t="str">
        <f t="shared" si="67"/>
        <v/>
      </c>
      <c r="P508" s="196" t="str">
        <f>IFERROR(YEARFRAC(VLOOKUP(C508,Code!H:W,11,FALSE),VLOOKUP(C508,Code!H:W,14,FALSE),3),"")</f>
        <v/>
      </c>
      <c r="Q508" s="2"/>
      <c r="R508" s="85" t="str">
        <f t="shared" ca="1" si="68"/>
        <v/>
      </c>
      <c r="S508" s="86" t="str">
        <f>IFERROR(VLOOKUP($C508,Code!$H:$Q,5,FALSE),"")</f>
        <v/>
      </c>
      <c r="T508" s="88" t="str">
        <f t="shared" ca="1" si="69"/>
        <v/>
      </c>
      <c r="U508" s="89" t="str">
        <f t="shared" ca="1" si="70"/>
        <v/>
      </c>
      <c r="V508" s="90" t="str">
        <f>IFERROR(VLOOKUP($C508,Code!$H:$Q,6,FALSE),"")</f>
        <v/>
      </c>
      <c r="W508" s="91" t="str">
        <f t="shared" ca="1" si="71"/>
        <v/>
      </c>
      <c r="X508" s="12"/>
      <c r="Y508" s="12"/>
      <c r="Z508" s="12"/>
      <c r="AA508" s="12"/>
      <c r="AB508" s="12"/>
    </row>
    <row r="509" spans="1:28" s="10" customFormat="1" ht="15" hidden="1">
      <c r="A509" s="9"/>
      <c r="B509" s="137"/>
      <c r="C509" s="142"/>
      <c r="D509" s="82" t="str">
        <f>IFERROR(VLOOKUP($C509,Code!$H:$K,2,FALSE),"")</f>
        <v/>
      </c>
      <c r="E509" s="83" t="str">
        <f>IFERROR(VLOOKUP($C509,Code!$H:$K,3,FALSE),"")</f>
        <v/>
      </c>
      <c r="F509" s="84" t="str">
        <f>IFERROR(VLOOKUP($C509,Code!$H:$K,4,FALSE),"")</f>
        <v/>
      </c>
      <c r="G509" s="128">
        <f>_xlfn.IFNA(((VLOOKUP($C509,Code!$H:$Q,9,FALSE))+(VLOOKUP($C509,Code!$H:$Q,10,FALSE)))/2*0.5/(((VLOOKUP($C509,Code!$H:$Q,7,FALSE))+(VLOOKUP($C509,Code!$H:$Q,8,FALSE)))/2),0)</f>
        <v>0</v>
      </c>
      <c r="H509" s="87" t="str">
        <f t="shared" si="64"/>
        <v/>
      </c>
      <c r="I509" s="128">
        <f>_xlfn.IFNA((VLOOKUP($C509,Code!$H:$Q,5,FALSE))/(((VLOOKUP($C509,Code!$H:$Q,7,FALSE))+(VLOOKUP($C509,Code!$H:$Q,8,FALSE)))/2)-G509,0)</f>
        <v>0</v>
      </c>
      <c r="J509" s="55" t="str">
        <f>IFERROR(POWER((VLOOKUP(C509,Code!H:W,12,FALSE))/(VLOOKUP(C509,Code!H:W,15,FALSE)),1/(P509-1))-1,"")</f>
        <v/>
      </c>
      <c r="K509" s="55" t="str">
        <f>IFERROR(POWER((VLOOKUP(C509,Code!H:W,13,FALSE))/(VLOOKUP(C509,Code!H:W,16,FALSE)),1/(P509-1))-1,"")</f>
        <v/>
      </c>
      <c r="L509" s="75" t="str">
        <f>IFERROR(VLOOKUP(C509,Code!H:W,13,FALSE)*4/VLOOKUP(C509,Code!H:W,12,FALSE),"")</f>
        <v/>
      </c>
      <c r="M509" s="55" t="str">
        <f t="shared" si="65"/>
        <v/>
      </c>
      <c r="N509" s="55" t="str">
        <f t="shared" si="66"/>
        <v/>
      </c>
      <c r="O509" s="55" t="str">
        <f t="shared" si="67"/>
        <v/>
      </c>
      <c r="P509" s="196" t="str">
        <f>IFERROR(YEARFRAC(VLOOKUP(C509,Code!H:W,11,FALSE),VLOOKUP(C509,Code!H:W,14,FALSE),3),"")</f>
        <v/>
      </c>
      <c r="Q509" s="2"/>
      <c r="R509" s="85" t="str">
        <f t="shared" ca="1" si="68"/>
        <v/>
      </c>
      <c r="S509" s="86" t="str">
        <f>IFERROR(VLOOKUP($C509,Code!$H:$Q,5,FALSE),"")</f>
        <v/>
      </c>
      <c r="T509" s="88" t="str">
        <f t="shared" ca="1" si="69"/>
        <v/>
      </c>
      <c r="U509" s="89" t="str">
        <f t="shared" ca="1" si="70"/>
        <v/>
      </c>
      <c r="V509" s="90" t="str">
        <f>IFERROR(VLOOKUP($C509,Code!$H:$Q,6,FALSE),"")</f>
        <v/>
      </c>
      <c r="W509" s="91" t="str">
        <f t="shared" ca="1" si="71"/>
        <v/>
      </c>
      <c r="X509" s="12"/>
      <c r="Y509" s="12"/>
      <c r="Z509" s="12"/>
      <c r="AA509" s="12"/>
      <c r="AB509" s="12"/>
    </row>
    <row r="510" spans="1:28" s="10" customFormat="1" ht="15" hidden="1">
      <c r="A510" s="9"/>
      <c r="B510" s="137"/>
      <c r="C510" s="142"/>
      <c r="D510" s="82" t="str">
        <f>IFERROR(VLOOKUP($C510,Code!$H:$K,2,FALSE),"")</f>
        <v/>
      </c>
      <c r="E510" s="83" t="str">
        <f>IFERROR(VLOOKUP($C510,Code!$H:$K,3,FALSE),"")</f>
        <v/>
      </c>
      <c r="F510" s="84" t="str">
        <f>IFERROR(VLOOKUP($C510,Code!$H:$K,4,FALSE),"")</f>
        <v/>
      </c>
      <c r="G510" s="128">
        <f>_xlfn.IFNA(((VLOOKUP($C510,Code!$H:$Q,9,FALSE))+(VLOOKUP($C510,Code!$H:$Q,10,FALSE)))/2*0.5/(((VLOOKUP($C510,Code!$H:$Q,7,FALSE))+(VLOOKUP($C510,Code!$H:$Q,8,FALSE)))/2),0)</f>
        <v>0</v>
      </c>
      <c r="H510" s="87" t="str">
        <f t="shared" si="64"/>
        <v/>
      </c>
      <c r="I510" s="128">
        <f>_xlfn.IFNA((VLOOKUP($C510,Code!$H:$Q,5,FALSE))/(((VLOOKUP($C510,Code!$H:$Q,7,FALSE))+(VLOOKUP($C510,Code!$H:$Q,8,FALSE)))/2)-G510,0)</f>
        <v>0</v>
      </c>
      <c r="J510" s="55" t="str">
        <f>IFERROR(POWER((VLOOKUP(C510,Code!H:W,12,FALSE))/(VLOOKUP(C510,Code!H:W,15,FALSE)),1/(P510-1))-1,"")</f>
        <v/>
      </c>
      <c r="K510" s="55" t="str">
        <f>IFERROR(POWER((VLOOKUP(C510,Code!H:W,13,FALSE))/(VLOOKUP(C510,Code!H:W,16,FALSE)),1/(P510-1))-1,"")</f>
        <v/>
      </c>
      <c r="L510" s="75" t="str">
        <f>IFERROR(VLOOKUP(C510,Code!H:W,13,FALSE)*4/VLOOKUP(C510,Code!H:W,12,FALSE),"")</f>
        <v/>
      </c>
      <c r="M510" s="55" t="str">
        <f t="shared" si="65"/>
        <v/>
      </c>
      <c r="N510" s="55" t="str">
        <f t="shared" si="66"/>
        <v/>
      </c>
      <c r="O510" s="55" t="str">
        <f t="shared" si="67"/>
        <v/>
      </c>
      <c r="P510" s="196" t="str">
        <f>IFERROR(YEARFRAC(VLOOKUP(C510,Code!H:W,11,FALSE),VLOOKUP(C510,Code!H:W,14,FALSE),3),"")</f>
        <v/>
      </c>
      <c r="Q510" s="2"/>
      <c r="R510" s="85" t="str">
        <f t="shared" ca="1" si="68"/>
        <v/>
      </c>
      <c r="S510" s="86" t="str">
        <f>IFERROR(VLOOKUP($C510,Code!$H:$Q,5,FALSE),"")</f>
        <v/>
      </c>
      <c r="T510" s="88" t="str">
        <f t="shared" ca="1" si="69"/>
        <v/>
      </c>
      <c r="U510" s="89" t="str">
        <f t="shared" ca="1" si="70"/>
        <v/>
      </c>
      <c r="V510" s="90" t="str">
        <f>IFERROR(VLOOKUP($C510,Code!$H:$Q,6,FALSE),"")</f>
        <v/>
      </c>
      <c r="W510" s="91" t="str">
        <f t="shared" ca="1" si="71"/>
        <v/>
      </c>
      <c r="X510" s="12"/>
      <c r="Y510" s="12"/>
      <c r="Z510" s="12"/>
      <c r="AA510" s="12"/>
      <c r="AB510" s="12"/>
    </row>
    <row r="511" spans="1:28" s="10" customFormat="1" ht="15" hidden="1">
      <c r="A511" s="9"/>
      <c r="B511" s="137"/>
      <c r="C511" s="142"/>
      <c r="D511" s="82" t="str">
        <f>IFERROR(VLOOKUP($C511,Code!$H:$K,2,FALSE),"")</f>
        <v/>
      </c>
      <c r="E511" s="83" t="str">
        <f>IFERROR(VLOOKUP($C511,Code!$H:$K,3,FALSE),"")</f>
        <v/>
      </c>
      <c r="F511" s="84" t="str">
        <f>IFERROR(VLOOKUP($C511,Code!$H:$K,4,FALSE),"")</f>
        <v/>
      </c>
      <c r="G511" s="128">
        <f>_xlfn.IFNA(((VLOOKUP($C511,Code!$H:$Q,9,FALSE))+(VLOOKUP($C511,Code!$H:$Q,10,FALSE)))/2*0.5/(((VLOOKUP($C511,Code!$H:$Q,7,FALSE))+(VLOOKUP($C511,Code!$H:$Q,8,FALSE)))/2),0)</f>
        <v>0</v>
      </c>
      <c r="H511" s="87" t="str">
        <f t="shared" si="64"/>
        <v/>
      </c>
      <c r="I511" s="128">
        <f>_xlfn.IFNA((VLOOKUP($C511,Code!$H:$Q,5,FALSE))/(((VLOOKUP($C511,Code!$H:$Q,7,FALSE))+(VLOOKUP($C511,Code!$H:$Q,8,FALSE)))/2)-G511,0)</f>
        <v>0</v>
      </c>
      <c r="J511" s="55" t="str">
        <f>IFERROR(POWER((VLOOKUP(C511,Code!H:W,12,FALSE))/(VLOOKUP(C511,Code!H:W,15,FALSE)),1/(P511-1))-1,"")</f>
        <v/>
      </c>
      <c r="K511" s="55" t="str">
        <f>IFERROR(POWER((VLOOKUP(C511,Code!H:W,13,FALSE))/(VLOOKUP(C511,Code!H:W,16,FALSE)),1/(P511-1))-1,"")</f>
        <v/>
      </c>
      <c r="L511" s="75" t="str">
        <f>IFERROR(VLOOKUP(C511,Code!H:W,13,FALSE)*4/VLOOKUP(C511,Code!H:W,12,FALSE),"")</f>
        <v/>
      </c>
      <c r="M511" s="55" t="str">
        <f t="shared" si="65"/>
        <v/>
      </c>
      <c r="N511" s="55" t="str">
        <f t="shared" si="66"/>
        <v/>
      </c>
      <c r="O511" s="55" t="str">
        <f t="shared" si="67"/>
        <v/>
      </c>
      <c r="P511" s="196" t="str">
        <f>IFERROR(YEARFRAC(VLOOKUP(C511,Code!H:W,11,FALSE),VLOOKUP(C511,Code!H:W,14,FALSE),3),"")</f>
        <v/>
      </c>
      <c r="Q511" s="2"/>
      <c r="R511" s="85" t="str">
        <f t="shared" ca="1" si="68"/>
        <v/>
      </c>
      <c r="S511" s="86" t="str">
        <f>IFERROR(VLOOKUP($C511,Code!$H:$Q,5,FALSE),"")</f>
        <v/>
      </c>
      <c r="T511" s="88" t="str">
        <f t="shared" ca="1" si="69"/>
        <v/>
      </c>
      <c r="U511" s="89" t="str">
        <f t="shared" ca="1" si="70"/>
        <v/>
      </c>
      <c r="V511" s="90" t="str">
        <f>IFERROR(VLOOKUP($C511,Code!$H:$Q,6,FALSE),"")</f>
        <v/>
      </c>
      <c r="W511" s="91" t="str">
        <f t="shared" ca="1" si="71"/>
        <v/>
      </c>
      <c r="X511" s="12"/>
      <c r="Y511" s="12"/>
      <c r="Z511" s="12"/>
      <c r="AA511" s="12"/>
      <c r="AB511" s="12"/>
    </row>
    <row r="512" spans="1:28" s="10" customFormat="1" ht="15" hidden="1">
      <c r="A512" s="9"/>
      <c r="B512" s="137"/>
      <c r="C512" s="142"/>
      <c r="D512" s="82" t="str">
        <f>IFERROR(VLOOKUP($C512,Code!$H:$K,2,FALSE),"")</f>
        <v/>
      </c>
      <c r="E512" s="83" t="str">
        <f>IFERROR(VLOOKUP($C512,Code!$H:$K,3,FALSE),"")</f>
        <v/>
      </c>
      <c r="F512" s="84" t="str">
        <f>IFERROR(VLOOKUP($C512,Code!$H:$K,4,FALSE),"")</f>
        <v/>
      </c>
      <c r="G512" s="128">
        <f>_xlfn.IFNA(((VLOOKUP($C512,Code!$H:$Q,9,FALSE))+(VLOOKUP($C512,Code!$H:$Q,10,FALSE)))/2*0.5/(((VLOOKUP($C512,Code!$H:$Q,7,FALSE))+(VLOOKUP($C512,Code!$H:$Q,8,FALSE)))/2),0)</f>
        <v>0</v>
      </c>
      <c r="H512" s="87" t="str">
        <f t="shared" si="64"/>
        <v/>
      </c>
      <c r="I512" s="128">
        <f>_xlfn.IFNA((VLOOKUP($C512,Code!$H:$Q,5,FALSE))/(((VLOOKUP($C512,Code!$H:$Q,7,FALSE))+(VLOOKUP($C512,Code!$H:$Q,8,FALSE)))/2)-G512,0)</f>
        <v>0</v>
      </c>
      <c r="J512" s="55" t="str">
        <f>IFERROR(POWER((VLOOKUP(C512,Code!H:W,12,FALSE))/(VLOOKUP(C512,Code!H:W,15,FALSE)),1/(P512-1))-1,"")</f>
        <v/>
      </c>
      <c r="K512" s="55" t="str">
        <f>IFERROR(POWER((VLOOKUP(C512,Code!H:W,13,FALSE))/(VLOOKUP(C512,Code!H:W,16,FALSE)),1/(P512-1))-1,"")</f>
        <v/>
      </c>
      <c r="L512" s="75" t="str">
        <f>IFERROR(VLOOKUP(C512,Code!H:W,13,FALSE)*4/VLOOKUP(C512,Code!H:W,12,FALSE),"")</f>
        <v/>
      </c>
      <c r="M512" s="55" t="str">
        <f t="shared" si="65"/>
        <v/>
      </c>
      <c r="N512" s="55" t="str">
        <f t="shared" si="66"/>
        <v/>
      </c>
      <c r="O512" s="55" t="str">
        <f t="shared" si="67"/>
        <v/>
      </c>
      <c r="P512" s="196" t="str">
        <f>IFERROR(YEARFRAC(VLOOKUP(C512,Code!H:W,11,FALSE),VLOOKUP(C512,Code!H:W,14,FALSE),3),"")</f>
        <v/>
      </c>
      <c r="Q512" s="2"/>
      <c r="R512" s="85" t="str">
        <f t="shared" ca="1" si="68"/>
        <v/>
      </c>
      <c r="S512" s="86" t="str">
        <f>IFERROR(VLOOKUP($C512,Code!$H:$Q,5,FALSE),"")</f>
        <v/>
      </c>
      <c r="T512" s="88" t="str">
        <f t="shared" ca="1" si="69"/>
        <v/>
      </c>
      <c r="U512" s="89" t="str">
        <f t="shared" ca="1" si="70"/>
        <v/>
      </c>
      <c r="V512" s="90" t="str">
        <f>IFERROR(VLOOKUP($C512,Code!$H:$Q,6,FALSE),"")</f>
        <v/>
      </c>
      <c r="W512" s="91" t="str">
        <f t="shared" ca="1" si="71"/>
        <v/>
      </c>
      <c r="X512" s="12"/>
      <c r="Y512" s="12"/>
      <c r="Z512" s="12"/>
      <c r="AA512" s="12"/>
      <c r="AB512" s="12"/>
    </row>
    <row r="513" spans="1:28" s="10" customFormat="1" ht="15" hidden="1">
      <c r="A513" s="9"/>
      <c r="B513" s="137"/>
      <c r="C513" s="142"/>
      <c r="D513" s="82" t="str">
        <f>IFERROR(VLOOKUP($C513,Code!$H:$K,2,FALSE),"")</f>
        <v/>
      </c>
      <c r="E513" s="83" t="str">
        <f>IFERROR(VLOOKUP($C513,Code!$H:$K,3,FALSE),"")</f>
        <v/>
      </c>
      <c r="F513" s="84" t="str">
        <f>IFERROR(VLOOKUP($C513,Code!$H:$K,4,FALSE),"")</f>
        <v/>
      </c>
      <c r="G513" s="128">
        <f>_xlfn.IFNA(((VLOOKUP($C513,Code!$H:$Q,9,FALSE))+(VLOOKUP($C513,Code!$H:$Q,10,FALSE)))/2*0.5/(((VLOOKUP($C513,Code!$H:$Q,7,FALSE))+(VLOOKUP($C513,Code!$H:$Q,8,FALSE)))/2),0)</f>
        <v>0</v>
      </c>
      <c r="H513" s="87" t="str">
        <f t="shared" si="64"/>
        <v/>
      </c>
      <c r="I513" s="128">
        <f>_xlfn.IFNA((VLOOKUP($C513,Code!$H:$Q,5,FALSE))/(((VLOOKUP($C513,Code!$H:$Q,7,FALSE))+(VLOOKUP($C513,Code!$H:$Q,8,FALSE)))/2)-G513,0)</f>
        <v>0</v>
      </c>
      <c r="J513" s="55" t="str">
        <f>IFERROR(POWER((VLOOKUP(C513,Code!H:W,12,FALSE))/(VLOOKUP(C513,Code!H:W,15,FALSE)),1/(P513-1))-1,"")</f>
        <v/>
      </c>
      <c r="K513" s="55" t="str">
        <f>IFERROR(POWER((VLOOKUP(C513,Code!H:W,13,FALSE))/(VLOOKUP(C513,Code!H:W,16,FALSE)),1/(P513-1))-1,"")</f>
        <v/>
      </c>
      <c r="L513" s="75" t="str">
        <f>IFERROR(VLOOKUP(C513,Code!H:W,13,FALSE)*4/VLOOKUP(C513,Code!H:W,12,FALSE),"")</f>
        <v/>
      </c>
      <c r="M513" s="55" t="str">
        <f t="shared" si="65"/>
        <v/>
      </c>
      <c r="N513" s="55" t="str">
        <f t="shared" si="66"/>
        <v/>
      </c>
      <c r="O513" s="55" t="str">
        <f t="shared" si="67"/>
        <v/>
      </c>
      <c r="P513" s="196" t="str">
        <f>IFERROR(YEARFRAC(VLOOKUP(C513,Code!H:W,11,FALSE),VLOOKUP(C513,Code!H:W,14,FALSE),3),"")</f>
        <v/>
      </c>
      <c r="Q513" s="2"/>
      <c r="R513" s="85" t="str">
        <f t="shared" ca="1" si="68"/>
        <v/>
      </c>
      <c r="S513" s="86" t="str">
        <f>IFERROR(VLOOKUP($C513,Code!$H:$Q,5,FALSE),"")</f>
        <v/>
      </c>
      <c r="T513" s="88" t="str">
        <f t="shared" ca="1" si="69"/>
        <v/>
      </c>
      <c r="U513" s="89" t="str">
        <f t="shared" ca="1" si="70"/>
        <v/>
      </c>
      <c r="V513" s="90" t="str">
        <f>IFERROR(VLOOKUP($C513,Code!$H:$Q,6,FALSE),"")</f>
        <v/>
      </c>
      <c r="W513" s="91" t="str">
        <f t="shared" ca="1" si="71"/>
        <v/>
      </c>
      <c r="X513" s="12"/>
      <c r="Y513" s="12"/>
      <c r="Z513" s="12"/>
      <c r="AA513" s="12"/>
      <c r="AB513" s="12"/>
    </row>
    <row r="514" spans="1:28" s="10" customFormat="1" ht="15" hidden="1">
      <c r="A514" s="9"/>
      <c r="B514" s="137"/>
      <c r="C514" s="142"/>
      <c r="D514" s="82" t="str">
        <f>IFERROR(VLOOKUP($C514,Code!$H:$K,2,FALSE),"")</f>
        <v/>
      </c>
      <c r="E514" s="83" t="str">
        <f>IFERROR(VLOOKUP($C514,Code!$H:$K,3,FALSE),"")</f>
        <v/>
      </c>
      <c r="F514" s="84" t="str">
        <f>IFERROR(VLOOKUP($C514,Code!$H:$K,4,FALSE),"")</f>
        <v/>
      </c>
      <c r="G514" s="128">
        <f>_xlfn.IFNA(((VLOOKUP($C514,Code!$H:$Q,9,FALSE))+(VLOOKUP($C514,Code!$H:$Q,10,FALSE)))/2*0.5/(((VLOOKUP($C514,Code!$H:$Q,7,FALSE))+(VLOOKUP($C514,Code!$H:$Q,8,FALSE)))/2),0)</f>
        <v>0</v>
      </c>
      <c r="H514" s="87" t="str">
        <f t="shared" si="64"/>
        <v/>
      </c>
      <c r="I514" s="128">
        <f>_xlfn.IFNA((VLOOKUP($C514,Code!$H:$Q,5,FALSE))/(((VLOOKUP($C514,Code!$H:$Q,7,FALSE))+(VLOOKUP($C514,Code!$H:$Q,8,FALSE)))/2)-G514,0)</f>
        <v>0</v>
      </c>
      <c r="J514" s="55" t="str">
        <f>IFERROR(POWER((VLOOKUP(C514,Code!H:W,12,FALSE))/(VLOOKUP(C514,Code!H:W,15,FALSE)),1/(P514-1))-1,"")</f>
        <v/>
      </c>
      <c r="K514" s="55" t="str">
        <f>IFERROR(POWER((VLOOKUP(C514,Code!H:W,13,FALSE))/(VLOOKUP(C514,Code!H:W,16,FALSE)),1/(P514-1))-1,"")</f>
        <v/>
      </c>
      <c r="L514" s="75" t="str">
        <f>IFERROR(VLOOKUP(C514,Code!H:W,13,FALSE)*4/VLOOKUP(C514,Code!H:W,12,FALSE),"")</f>
        <v/>
      </c>
      <c r="M514" s="55" t="str">
        <f t="shared" si="65"/>
        <v/>
      </c>
      <c r="N514" s="55" t="str">
        <f t="shared" si="66"/>
        <v/>
      </c>
      <c r="O514" s="55" t="str">
        <f t="shared" si="67"/>
        <v/>
      </c>
      <c r="P514" s="196" t="str">
        <f>IFERROR(YEARFRAC(VLOOKUP(C514,Code!H:W,11,FALSE),VLOOKUP(C514,Code!H:W,14,FALSE),3),"")</f>
        <v/>
      </c>
      <c r="Q514" s="2"/>
      <c r="R514" s="85" t="str">
        <f t="shared" ca="1" si="68"/>
        <v/>
      </c>
      <c r="S514" s="86" t="str">
        <f>IFERROR(VLOOKUP($C514,Code!$H:$Q,5,FALSE),"")</f>
        <v/>
      </c>
      <c r="T514" s="88" t="str">
        <f t="shared" ca="1" si="69"/>
        <v/>
      </c>
      <c r="U514" s="89" t="str">
        <f t="shared" ca="1" si="70"/>
        <v/>
      </c>
      <c r="V514" s="90" t="str">
        <f>IFERROR(VLOOKUP($C514,Code!$H:$Q,6,FALSE),"")</f>
        <v/>
      </c>
      <c r="W514" s="91" t="str">
        <f t="shared" ca="1" si="71"/>
        <v/>
      </c>
      <c r="X514" s="12"/>
      <c r="Y514" s="12"/>
      <c r="Z514" s="12"/>
      <c r="AA514" s="12"/>
      <c r="AB514" s="12"/>
    </row>
    <row r="515" spans="1:28" s="10" customFormat="1" ht="15" hidden="1">
      <c r="A515" s="9"/>
      <c r="B515" s="137"/>
      <c r="C515" s="142"/>
      <c r="D515" s="82" t="str">
        <f>IFERROR(VLOOKUP($C515,Code!$H:$K,2,FALSE),"")</f>
        <v/>
      </c>
      <c r="E515" s="83" t="str">
        <f>IFERROR(VLOOKUP($C515,Code!$H:$K,3,FALSE),"")</f>
        <v/>
      </c>
      <c r="F515" s="84" t="str">
        <f>IFERROR(VLOOKUP($C515,Code!$H:$K,4,FALSE),"")</f>
        <v/>
      </c>
      <c r="G515" s="128">
        <f>_xlfn.IFNA(((VLOOKUP($C515,Code!$H:$Q,9,FALSE))+(VLOOKUP($C515,Code!$H:$Q,10,FALSE)))/2*0.5/(((VLOOKUP($C515,Code!$H:$Q,7,FALSE))+(VLOOKUP($C515,Code!$H:$Q,8,FALSE)))/2),0)</f>
        <v>0</v>
      </c>
      <c r="H515" s="87" t="str">
        <f t="shared" si="64"/>
        <v/>
      </c>
      <c r="I515" s="128">
        <f>_xlfn.IFNA((VLOOKUP($C515,Code!$H:$Q,5,FALSE))/(((VLOOKUP($C515,Code!$H:$Q,7,FALSE))+(VLOOKUP($C515,Code!$H:$Q,8,FALSE)))/2)-G515,0)</f>
        <v>0</v>
      </c>
      <c r="J515" s="55" t="str">
        <f>IFERROR(POWER((VLOOKUP(C515,Code!H:W,12,FALSE))/(VLOOKUP(C515,Code!H:W,15,FALSE)),1/(P515-1))-1,"")</f>
        <v/>
      </c>
      <c r="K515" s="55" t="str">
        <f>IFERROR(POWER((VLOOKUP(C515,Code!H:W,13,FALSE))/(VLOOKUP(C515,Code!H:W,16,FALSE)),1/(P515-1))-1,"")</f>
        <v/>
      </c>
      <c r="L515" s="75" t="str">
        <f>IFERROR(VLOOKUP(C515,Code!H:W,13,FALSE)*4/VLOOKUP(C515,Code!H:W,12,FALSE),"")</f>
        <v/>
      </c>
      <c r="M515" s="55" t="str">
        <f t="shared" si="65"/>
        <v/>
      </c>
      <c r="N515" s="55" t="str">
        <f t="shared" si="66"/>
        <v/>
      </c>
      <c r="O515" s="55" t="str">
        <f t="shared" si="67"/>
        <v/>
      </c>
      <c r="P515" s="196" t="str">
        <f>IFERROR(YEARFRAC(VLOOKUP(C515,Code!H:W,11,FALSE),VLOOKUP(C515,Code!H:W,14,FALSE),3),"")</f>
        <v/>
      </c>
      <c r="Q515" s="2"/>
      <c r="R515" s="85" t="str">
        <f t="shared" ca="1" si="68"/>
        <v/>
      </c>
      <c r="S515" s="86" t="str">
        <f>IFERROR(VLOOKUP($C515,Code!$H:$Q,5,FALSE),"")</f>
        <v/>
      </c>
      <c r="T515" s="88" t="str">
        <f t="shared" ca="1" si="69"/>
        <v/>
      </c>
      <c r="U515" s="89" t="str">
        <f t="shared" ca="1" si="70"/>
        <v/>
      </c>
      <c r="V515" s="90" t="str">
        <f>IFERROR(VLOOKUP($C515,Code!$H:$Q,6,FALSE),"")</f>
        <v/>
      </c>
      <c r="W515" s="91" t="str">
        <f t="shared" ca="1" si="71"/>
        <v/>
      </c>
      <c r="X515" s="12"/>
      <c r="Y515" s="12"/>
      <c r="Z515" s="12"/>
      <c r="AA515" s="12"/>
      <c r="AB515" s="12"/>
    </row>
    <row r="516" spans="1:28" s="10" customFormat="1" ht="15" hidden="1">
      <c r="A516" s="9"/>
      <c r="B516" s="137"/>
      <c r="C516" s="142"/>
      <c r="D516" s="82" t="str">
        <f>IFERROR(VLOOKUP($C516,Code!$H:$K,2,FALSE),"")</f>
        <v/>
      </c>
      <c r="E516" s="83" t="str">
        <f>IFERROR(VLOOKUP($C516,Code!$H:$K,3,FALSE),"")</f>
        <v/>
      </c>
      <c r="F516" s="84" t="str">
        <f>IFERROR(VLOOKUP($C516,Code!$H:$K,4,FALSE),"")</f>
        <v/>
      </c>
      <c r="G516" s="128">
        <f>_xlfn.IFNA(((VLOOKUP($C516,Code!$H:$Q,9,FALSE))+(VLOOKUP($C516,Code!$H:$Q,10,FALSE)))/2*0.5/(((VLOOKUP($C516,Code!$H:$Q,7,FALSE))+(VLOOKUP($C516,Code!$H:$Q,8,FALSE)))/2),0)</f>
        <v>0</v>
      </c>
      <c r="H516" s="87" t="str">
        <f t="shared" ref="H516:H520" si="72">IFERROR(IF(G516&gt;9E+306,"",IF(G516&gt;70%,"XL",IF(G516&gt;60%,"L",IF(G516&gt;50%,"M",IF(G516&gt;0%,"S",""))))),"")</f>
        <v/>
      </c>
      <c r="I516" s="128">
        <f>_xlfn.IFNA((VLOOKUP($C516,Code!$H:$Q,5,FALSE))/(((VLOOKUP($C516,Code!$H:$Q,7,FALSE))+(VLOOKUP($C516,Code!$H:$Q,8,FALSE)))/2)-G516,0)</f>
        <v>0</v>
      </c>
      <c r="J516" s="55" t="str">
        <f>IFERROR(POWER((VLOOKUP(C516,Code!H:W,12,FALSE))/(VLOOKUP(C516,Code!H:W,15,FALSE)),1/(P516-1))-1,"")</f>
        <v/>
      </c>
      <c r="K516" s="55" t="str">
        <f>IFERROR(POWER((VLOOKUP(C516,Code!H:W,13,FALSE))/(VLOOKUP(C516,Code!H:W,16,FALSE)),1/(P516-1))-1,"")</f>
        <v/>
      </c>
      <c r="L516" s="75" t="str">
        <f>IFERROR(VLOOKUP(C516,Code!H:W,13,FALSE)*4/VLOOKUP(C516,Code!H:W,12,FALSE),"")</f>
        <v/>
      </c>
      <c r="M516" s="55" t="str">
        <f t="shared" si="65"/>
        <v/>
      </c>
      <c r="N516" s="55" t="str">
        <f t="shared" si="66"/>
        <v/>
      </c>
      <c r="O516" s="55" t="str">
        <f t="shared" si="67"/>
        <v/>
      </c>
      <c r="P516" s="196" t="str">
        <f>IFERROR(YEARFRAC(VLOOKUP(C516,Code!H:W,11,FALSE),VLOOKUP(C516,Code!H:W,14,FALSE),3),"")</f>
        <v/>
      </c>
      <c r="Q516" s="2"/>
      <c r="R516" s="85" t="str">
        <f t="shared" ref="R516:R520" ca="1" si="73">IFERROR(IF(OR(_xlfn.DAYS(Q516,TODAY())+1&lt;0,C516=0),"",_xlfn.DAYS(Q516,TODAY())+1),"")</f>
        <v/>
      </c>
      <c r="S516" s="86" t="str">
        <f>IFERROR(VLOOKUP($C516,Code!$H:$Q,5,FALSE),"")</f>
        <v/>
      </c>
      <c r="T516" s="88" t="str">
        <f t="shared" ref="T516:T520" ca="1" si="74">IFERROR(IF(V516*S516*SQRT(R516/365)=0,"",V516*S516*SQRT(R516/365)),"")</f>
        <v/>
      </c>
      <c r="U516" s="89" t="str">
        <f t="shared" ref="U516:U520" ca="1" si="75">IFERROR(V516-T516,"")</f>
        <v/>
      </c>
      <c r="V516" s="90" t="str">
        <f>IFERROR(VLOOKUP($C516,Code!$H:$Q,6,FALSE),"")</f>
        <v/>
      </c>
      <c r="W516" s="91" t="str">
        <f t="shared" ref="W516:W520" ca="1" si="76">IFERROR(V516+T516,"")</f>
        <v/>
      </c>
      <c r="X516" s="12"/>
      <c r="Y516" s="12"/>
      <c r="Z516" s="12"/>
      <c r="AA516" s="12"/>
      <c r="AB516" s="12"/>
    </row>
    <row r="517" spans="1:28" s="10" customFormat="1" ht="15" hidden="1">
      <c r="A517" s="9"/>
      <c r="B517" s="137"/>
      <c r="C517" s="142"/>
      <c r="D517" s="82" t="str">
        <f>IFERROR(VLOOKUP($C517,Code!$H:$K,2,FALSE),"")</f>
        <v/>
      </c>
      <c r="E517" s="83" t="str">
        <f>IFERROR(VLOOKUP($C517,Code!$H:$K,3,FALSE),"")</f>
        <v/>
      </c>
      <c r="F517" s="84" t="str">
        <f>IFERROR(VLOOKUP($C517,Code!$H:$K,4,FALSE),"")</f>
        <v/>
      </c>
      <c r="G517" s="128">
        <f>_xlfn.IFNA(((VLOOKUP($C517,Code!$H:$Q,9,FALSE))+(VLOOKUP($C517,Code!$H:$Q,10,FALSE)))/2*0.5/(((VLOOKUP($C517,Code!$H:$Q,7,FALSE))+(VLOOKUP($C517,Code!$H:$Q,8,FALSE)))/2),0)</f>
        <v>0</v>
      </c>
      <c r="H517" s="87" t="str">
        <f t="shared" si="72"/>
        <v/>
      </c>
      <c r="I517" s="128">
        <f>_xlfn.IFNA((VLOOKUP($C517,Code!$H:$Q,5,FALSE))/(((VLOOKUP($C517,Code!$H:$Q,7,FALSE))+(VLOOKUP($C517,Code!$H:$Q,8,FALSE)))/2)-G517,0)</f>
        <v>0</v>
      </c>
      <c r="J517" s="55" t="str">
        <f>IFERROR(POWER((VLOOKUP(C517,Code!H:W,12,FALSE))/(VLOOKUP(C517,Code!H:W,15,FALSE)),1/(P517-1))-1,"")</f>
        <v/>
      </c>
      <c r="K517" s="55" t="str">
        <f>IFERROR(POWER((VLOOKUP(C517,Code!H:W,13,FALSE))/(VLOOKUP(C517,Code!H:W,16,FALSE)),1/(P517-1))-1,"")</f>
        <v/>
      </c>
      <c r="L517" s="75" t="str">
        <f>IFERROR(VLOOKUP(C517,Code!H:W,13,FALSE)*4/VLOOKUP(C517,Code!H:W,12,FALSE),"")</f>
        <v/>
      </c>
      <c r="M517" s="55" t="str">
        <f t="shared" si="65"/>
        <v/>
      </c>
      <c r="N517" s="55" t="str">
        <f t="shared" si="66"/>
        <v/>
      </c>
      <c r="O517" s="55" t="str">
        <f t="shared" si="67"/>
        <v/>
      </c>
      <c r="P517" s="196" t="str">
        <f>IFERROR(YEARFRAC(VLOOKUP(C517,Code!H:W,11,FALSE),VLOOKUP(C517,Code!H:W,14,FALSE),3),"")</f>
        <v/>
      </c>
      <c r="Q517" s="2"/>
      <c r="R517" s="85" t="str">
        <f t="shared" ca="1" si="73"/>
        <v/>
      </c>
      <c r="S517" s="86" t="str">
        <f>IFERROR(VLOOKUP($C517,Code!$H:$Q,5,FALSE),"")</f>
        <v/>
      </c>
      <c r="T517" s="88" t="str">
        <f t="shared" ca="1" si="74"/>
        <v/>
      </c>
      <c r="U517" s="89" t="str">
        <f t="shared" ca="1" si="75"/>
        <v/>
      </c>
      <c r="V517" s="90" t="str">
        <f>IFERROR(VLOOKUP($C517,Code!$H:$Q,6,FALSE),"")</f>
        <v/>
      </c>
      <c r="W517" s="91" t="str">
        <f t="shared" ca="1" si="76"/>
        <v/>
      </c>
      <c r="X517" s="12"/>
      <c r="Y517" s="12"/>
      <c r="Z517" s="12"/>
      <c r="AA517" s="12"/>
      <c r="AB517" s="12"/>
    </row>
    <row r="518" spans="1:28" s="10" customFormat="1" ht="15" hidden="1">
      <c r="A518" s="9"/>
      <c r="B518" s="137"/>
      <c r="C518" s="142"/>
      <c r="D518" s="82" t="str">
        <f>IFERROR(VLOOKUP($C518,Code!$H:$K,2,FALSE),"")</f>
        <v/>
      </c>
      <c r="E518" s="83" t="str">
        <f>IFERROR(VLOOKUP($C518,Code!$H:$K,3,FALSE),"")</f>
        <v/>
      </c>
      <c r="F518" s="84" t="str">
        <f>IFERROR(VLOOKUP($C518,Code!$H:$K,4,FALSE),"")</f>
        <v/>
      </c>
      <c r="G518" s="128">
        <f>_xlfn.IFNA(((VLOOKUP($C518,Code!$H:$Q,9,FALSE))+(VLOOKUP($C518,Code!$H:$Q,10,FALSE)))/2*0.5/(((VLOOKUP($C518,Code!$H:$Q,7,FALSE))+(VLOOKUP($C518,Code!$H:$Q,8,FALSE)))/2),0)</f>
        <v>0</v>
      </c>
      <c r="H518" s="87" t="str">
        <f t="shared" si="72"/>
        <v/>
      </c>
      <c r="I518" s="128">
        <f>_xlfn.IFNA((VLOOKUP($C518,Code!$H:$Q,5,FALSE))/(((VLOOKUP($C518,Code!$H:$Q,7,FALSE))+(VLOOKUP($C518,Code!$H:$Q,8,FALSE)))/2)-G518,0)</f>
        <v>0</v>
      </c>
      <c r="J518" s="55" t="str">
        <f>IFERROR(POWER((VLOOKUP(C518,Code!H:W,12,FALSE))/(VLOOKUP(C518,Code!H:W,15,FALSE)),1/(P518-1))-1,"")</f>
        <v/>
      </c>
      <c r="K518" s="55" t="str">
        <f>IFERROR(POWER((VLOOKUP(C518,Code!H:W,13,FALSE))/(VLOOKUP(C518,Code!H:W,16,FALSE)),1/(P518-1))-1,"")</f>
        <v/>
      </c>
      <c r="L518" s="75" t="str">
        <f>IFERROR(VLOOKUP(C518,Code!H:W,13,FALSE)*4/VLOOKUP(C518,Code!H:W,12,FALSE),"")</f>
        <v/>
      </c>
      <c r="M518" s="55" t="str">
        <f t="shared" si="65"/>
        <v/>
      </c>
      <c r="N518" s="55" t="str">
        <f t="shared" si="66"/>
        <v/>
      </c>
      <c r="O518" s="55" t="str">
        <f t="shared" si="67"/>
        <v/>
      </c>
      <c r="P518" s="196" t="str">
        <f>IFERROR(YEARFRAC(VLOOKUP(C518,Code!H:W,11,FALSE),VLOOKUP(C518,Code!H:W,14,FALSE),3),"")</f>
        <v/>
      </c>
      <c r="Q518" s="2"/>
      <c r="R518" s="85" t="str">
        <f t="shared" ca="1" si="73"/>
        <v/>
      </c>
      <c r="S518" s="86" t="str">
        <f>IFERROR(VLOOKUP($C518,Code!$H:$Q,5,FALSE),"")</f>
        <v/>
      </c>
      <c r="T518" s="88" t="str">
        <f t="shared" ca="1" si="74"/>
        <v/>
      </c>
      <c r="U518" s="89" t="str">
        <f t="shared" ca="1" si="75"/>
        <v/>
      </c>
      <c r="V518" s="90" t="str">
        <f>IFERROR(VLOOKUP($C518,Code!$H:$Q,6,FALSE),"")</f>
        <v/>
      </c>
      <c r="W518" s="91" t="str">
        <f t="shared" ca="1" si="76"/>
        <v/>
      </c>
      <c r="X518" s="12"/>
      <c r="Y518" s="12"/>
      <c r="Z518" s="12"/>
      <c r="AA518" s="12"/>
      <c r="AB518" s="12"/>
    </row>
    <row r="519" spans="1:28" s="10" customFormat="1" ht="15" hidden="1">
      <c r="A519" s="9"/>
      <c r="B519" s="137"/>
      <c r="C519" s="142"/>
      <c r="D519" s="82" t="str">
        <f>IFERROR(VLOOKUP($C519,Code!$H:$K,2,FALSE),"")</f>
        <v/>
      </c>
      <c r="E519" s="83" t="str">
        <f>IFERROR(VLOOKUP($C519,Code!$H:$K,3,FALSE),"")</f>
        <v/>
      </c>
      <c r="F519" s="84" t="str">
        <f>IFERROR(VLOOKUP($C519,Code!$H:$K,4,FALSE),"")</f>
        <v/>
      </c>
      <c r="G519" s="128">
        <f>_xlfn.IFNA(((VLOOKUP($C519,Code!$H:$Q,9,FALSE))+(VLOOKUP($C519,Code!$H:$Q,10,FALSE)))/2*0.5/(((VLOOKUP($C519,Code!$H:$Q,7,FALSE))+(VLOOKUP($C519,Code!$H:$Q,8,FALSE)))/2),0)</f>
        <v>0</v>
      </c>
      <c r="H519" s="87" t="str">
        <f t="shared" si="72"/>
        <v/>
      </c>
      <c r="I519" s="128">
        <f>_xlfn.IFNA((VLOOKUP($C519,Code!$H:$Q,5,FALSE))/(((VLOOKUP($C519,Code!$H:$Q,7,FALSE))+(VLOOKUP($C519,Code!$H:$Q,8,FALSE)))/2)-G519,0)</f>
        <v>0</v>
      </c>
      <c r="J519" s="55" t="str">
        <f>IFERROR(POWER((VLOOKUP(C519,Code!H:W,12,FALSE))/(VLOOKUP(C519,Code!H:W,15,FALSE)),1/(P519-1))-1,"")</f>
        <v/>
      </c>
      <c r="K519" s="55" t="str">
        <f>IFERROR(POWER((VLOOKUP(C519,Code!H:W,13,FALSE))/(VLOOKUP(C519,Code!H:W,16,FALSE)),1/(P519-1))-1,"")</f>
        <v/>
      </c>
      <c r="L519" s="75" t="str">
        <f>IFERROR(VLOOKUP(C519,Code!H:W,13,FALSE)*4/VLOOKUP(C519,Code!H:W,12,FALSE),"")</f>
        <v/>
      </c>
      <c r="M519" s="55" t="str">
        <f t="shared" si="65"/>
        <v/>
      </c>
      <c r="N519" s="55" t="str">
        <f t="shared" si="66"/>
        <v/>
      </c>
      <c r="O519" s="55" t="str">
        <f t="shared" si="67"/>
        <v/>
      </c>
      <c r="P519" s="196" t="str">
        <f>IFERROR(YEARFRAC(VLOOKUP(C519,Code!H:W,11,FALSE),VLOOKUP(C519,Code!H:W,14,FALSE),3),"")</f>
        <v/>
      </c>
      <c r="Q519" s="2"/>
      <c r="R519" s="85" t="str">
        <f t="shared" ca="1" si="73"/>
        <v/>
      </c>
      <c r="S519" s="86" t="str">
        <f>IFERROR(VLOOKUP($C519,Code!$H:$Q,5,FALSE),"")</f>
        <v/>
      </c>
      <c r="T519" s="88" t="str">
        <f t="shared" ca="1" si="74"/>
        <v/>
      </c>
      <c r="U519" s="89" t="str">
        <f t="shared" ca="1" si="75"/>
        <v/>
      </c>
      <c r="V519" s="90" t="str">
        <f>IFERROR(VLOOKUP($C519,Code!$H:$Q,6,FALSE),"")</f>
        <v/>
      </c>
      <c r="W519" s="91" t="str">
        <f t="shared" ca="1" si="76"/>
        <v/>
      </c>
      <c r="X519" s="12"/>
      <c r="Y519" s="12"/>
      <c r="Z519" s="12"/>
      <c r="AA519" s="12"/>
      <c r="AB519" s="12"/>
    </row>
    <row r="520" spans="1:28" s="27" customFormat="1" ht="15.75" hidden="1" thickBot="1">
      <c r="A520" s="15"/>
      <c r="B520" s="139"/>
      <c r="C520" s="143"/>
      <c r="D520" s="16" t="str">
        <f>IFERROR(VLOOKUP($C520,Code!$H:$K,2,FALSE),"")</f>
        <v/>
      </c>
      <c r="E520" s="17" t="str">
        <f>IFERROR(VLOOKUP($C520,Code!$H:$K,3,FALSE),"")</f>
        <v/>
      </c>
      <c r="F520" s="18" t="str">
        <f>IFERROR(VLOOKUP($C520,Code!$H:$K,4,FALSE),"")</f>
        <v/>
      </c>
      <c r="G520" s="128">
        <f>_xlfn.IFNA(((VLOOKUP($C520,Code!$H:$Q,9,FALSE))+(VLOOKUP($C520,Code!$H:$Q,10,FALSE)))/2*0.5/(((VLOOKUP($C520,Code!$H:$Q,7,FALSE))+(VLOOKUP($C520,Code!$H:$Q,8,FALSE)))/2),0)</f>
        <v>0</v>
      </c>
      <c r="H520" s="21" t="str">
        <f t="shared" si="72"/>
        <v/>
      </c>
      <c r="I520" s="128">
        <f>_xlfn.IFNA((VLOOKUP($C520,Code!$H:$Q,5,FALSE))/(((VLOOKUP($C520,Code!$H:$Q,7,FALSE))+(VLOOKUP($C520,Code!$H:$Q,8,FALSE)))/2)-G520,0)</f>
        <v>0</v>
      </c>
      <c r="J520" s="76" t="str">
        <f>IFERROR(POWER((VLOOKUP(C520,Code!H:W,12,FALSE))/(VLOOKUP(C520,Code!H:W,15,FALSE)),1/(P520-1))-1,"")</f>
        <v/>
      </c>
      <c r="K520" s="76" t="str">
        <f>IFERROR(POWER((VLOOKUP(C520,Code!H:W,13,FALSE))/(VLOOKUP(C520,Code!H:W,16,FALSE)),1/(P520-1))-1,"")</f>
        <v/>
      </c>
      <c r="L520" s="77" t="str">
        <f>IFERROR(VLOOKUP(C520,Code!H:W,13,FALSE)*4/VLOOKUP(C520,Code!H:W,12,FALSE),"")</f>
        <v/>
      </c>
      <c r="M520" s="76" t="str">
        <f t="shared" si="65"/>
        <v/>
      </c>
      <c r="N520" s="76" t="str">
        <f t="shared" si="66"/>
        <v/>
      </c>
      <c r="O520" s="76" t="str">
        <f t="shared" si="67"/>
        <v/>
      </c>
      <c r="P520" s="197" t="str">
        <f>IFERROR(YEARFRAC(VLOOKUP(C520,Code!H:W,11,FALSE),VLOOKUP(C520,Code!H:W,14,FALSE),3),"")</f>
        <v/>
      </c>
      <c r="Q520" s="8"/>
      <c r="R520" s="19" t="str">
        <f t="shared" ca="1" si="73"/>
        <v/>
      </c>
      <c r="S520" s="20" t="str">
        <f>IFERROR(VLOOKUP($C520,Code!$H:$Q,5,FALSE),"")</f>
        <v/>
      </c>
      <c r="T520" s="22" t="str">
        <f t="shared" ca="1" si="74"/>
        <v/>
      </c>
      <c r="U520" s="23" t="str">
        <f t="shared" ca="1" si="75"/>
        <v/>
      </c>
      <c r="V520" s="24" t="str">
        <f>IFERROR(VLOOKUP($C520,Code!$H:$Q,6,FALSE),"")</f>
        <v/>
      </c>
      <c r="W520" s="25" t="str">
        <f t="shared" ca="1" si="76"/>
        <v/>
      </c>
      <c r="X520" s="26"/>
      <c r="Y520" s="26"/>
      <c r="Z520" s="26"/>
      <c r="AA520" s="26"/>
      <c r="AB520" s="26"/>
    </row>
    <row r="521" spans="1:28" hidden="1">
      <c r="C521" s="11" t="s">
        <v>935</v>
      </c>
    </row>
  </sheetData>
  <sheetProtection selectLockedCells="1" sort="0" autoFilter="0"/>
  <autoFilter ref="A3:W521" xr:uid="{00000000-0009-0000-0000-000001000000}">
    <filterColumn colId="0">
      <filters>
        <filter val="1"/>
      </filters>
    </filterColumn>
    <sortState xmlns:xlrd2="http://schemas.microsoft.com/office/spreadsheetml/2017/richdata2" ref="A4:W10">
      <sortCondition descending="1" ref="I3:I521"/>
    </sortState>
  </autoFilter>
  <mergeCells count="5">
    <mergeCell ref="D1:F2"/>
    <mergeCell ref="Q1:Q2"/>
    <mergeCell ref="R1:T2"/>
    <mergeCell ref="G1:P1"/>
    <mergeCell ref="U1:W1"/>
  </mergeCells>
  <phoneticPr fontId="2" type="noConversion"/>
  <conditionalFormatting sqref="D1 D3:D1048576">
    <cfRule type="cellIs" dxfId="36" priority="15" operator="equal">
      <formula>"XLP"</formula>
    </cfRule>
    <cfRule type="cellIs" dxfId="35" priority="16" operator="equal">
      <formula>"XLU"</formula>
    </cfRule>
    <cfRule type="cellIs" dxfId="34" priority="17" operator="equal">
      <formula>"XLV"</formula>
    </cfRule>
    <cfRule type="cellIs" dxfId="33" priority="18" operator="equal">
      <formula>"XLRE"</formula>
    </cfRule>
    <cfRule type="cellIs" dxfId="32" priority="19" operator="equal">
      <formula>"XLF"</formula>
    </cfRule>
    <cfRule type="cellIs" dxfId="31" priority="20" operator="equal">
      <formula>"XLE"</formula>
    </cfRule>
    <cfRule type="cellIs" dxfId="30" priority="21" operator="equal">
      <formula>"XLC"</formula>
    </cfRule>
    <cfRule type="cellIs" dxfId="29" priority="22" operator="equal">
      <formula>"XLK"</formula>
    </cfRule>
    <cfRule type="cellIs" dxfId="28" priority="23" operator="equal">
      <formula>"XLI"</formula>
    </cfRule>
    <cfRule type="cellIs" dxfId="27" priority="24" operator="equal">
      <formula>"XLY"</formula>
    </cfRule>
  </conditionalFormatting>
  <conditionalFormatting sqref="C1:C1048576">
    <cfRule type="duplicateValues" dxfId="26" priority="1"/>
    <cfRule type="duplicateValues" dxfId="25" priority="8"/>
  </conditionalFormatting>
  <conditionalFormatting sqref="G1:G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{1B14E4F9-4425-4A49-9CBE-E3DB1B610598}</x14:id>
        </ext>
      </extLst>
    </cfRule>
  </conditionalFormatting>
  <conditionalFormatting sqref="I4:I520">
    <cfRule type="cellIs" dxfId="24" priority="3" operator="lessThan">
      <formula>0</formula>
    </cfRule>
    <cfRule type="cellIs" dxfId="23" priority="4" operator="greaterThan">
      <formula>0</formula>
    </cfRule>
  </conditionalFormatting>
  <hyperlinks>
    <hyperlink ref="D3" r:id="rId1" xr:uid="{00000000-0004-0000-01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Personal_Click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762000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14E4F9-4425-4A49-9CBE-E3DB1B6105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beginsWith" priority="26" operator="beginsWith" id="{5762C6E8-9989-4D35-A235-8BEE936FD96D}">
            <xm:f>LEFT(H2,LEN("XL"))="XL"</xm:f>
            <xm:f>"XL"</xm:f>
            <x14:dxf>
              <font>
                <b/>
                <i val="0"/>
                <color rgb="FF00B050"/>
              </font>
            </x14:dxf>
          </x14:cfRule>
          <xm:sqref>H2:H1048576</xm:sqref>
        </x14:conditionalFormatting>
        <x14:conditionalFormatting xmlns:xm="http://schemas.microsoft.com/office/excel/2006/main">
          <x14:cfRule type="beginsWith" priority="13" operator="beginsWith" id="{CD9A9CAD-8745-41E0-811C-DBCF90CF9FB5}">
            <xm:f>LEFT(J2,LEN("XL"))="XL"</xm:f>
            <xm:f>"XL"</xm:f>
            <x14:dxf>
              <font>
                <b/>
                <i val="0"/>
                <color rgb="FF00B050"/>
              </font>
            </x14:dxf>
          </x14:cfRule>
          <xm:sqref>J2</xm:sqref>
        </x14:conditionalFormatting>
        <x14:conditionalFormatting xmlns:xm="http://schemas.microsoft.com/office/excel/2006/main">
          <x14:cfRule type="beginsWith" priority="12" operator="beginsWith" id="{E16D701A-E41C-48D7-8158-504E5D0DEF1A}">
            <xm:f>LEFT(K2,LEN("XL"))="XL"</xm:f>
            <xm:f>"XL"</xm:f>
            <x14:dxf>
              <font>
                <b/>
                <i val="0"/>
                <color rgb="FF00B050"/>
              </font>
            </x14:dxf>
          </x14:cfRule>
          <xm:sqref>K2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H890"/>
  <sheetViews>
    <sheetView topLeftCell="A187" workbookViewId="0">
      <selection activeCell="A200" sqref="A200"/>
    </sheetView>
  </sheetViews>
  <sheetFormatPr defaultColWidth="9.140625" defaultRowHeight="13.5" thickBottom="1"/>
  <cols>
    <col min="1" max="1" width="6.85546875" style="61" bestFit="1" customWidth="1"/>
    <col min="2" max="2" width="7.140625" style="39" bestFit="1" customWidth="1"/>
    <col min="3" max="3" width="11.140625" style="39" bestFit="1" customWidth="1"/>
    <col min="4" max="4" width="9.28515625" style="40" bestFit="1" customWidth="1"/>
    <col min="5" max="5" width="17.85546875" style="373" bestFit="1" customWidth="1"/>
    <col min="6" max="6" width="8" style="106" customWidth="1"/>
    <col min="7" max="7" width="23.5703125" style="107" bestFit="1" customWidth="1"/>
    <col min="8" max="8" width="7.85546875" style="62" bestFit="1" customWidth="1"/>
    <col min="9" max="9" width="9.28515625" style="58" bestFit="1" customWidth="1"/>
    <col min="10" max="10" width="23.5703125" style="58" bestFit="1" customWidth="1"/>
    <col min="11" max="11" width="7.7109375" style="63" bestFit="1" customWidth="1"/>
    <col min="12" max="12" width="19.140625" style="116" bestFit="1" customWidth="1"/>
    <col min="13" max="13" width="11.28515625" style="116" bestFit="1" customWidth="1"/>
    <col min="14" max="14" width="9" style="39" bestFit="1" customWidth="1"/>
    <col min="15" max="15" width="8" style="39" bestFit="1" customWidth="1"/>
    <col min="16" max="16" width="9" style="39" bestFit="1" customWidth="1"/>
    <col min="17" max="17" width="8" style="39" bestFit="1" customWidth="1"/>
    <col min="18" max="18" width="11" style="64" bestFit="1" customWidth="1"/>
    <col min="19" max="19" width="9.5703125" style="65" bestFit="1" customWidth="1"/>
    <col min="20" max="20" width="7.7109375" style="65" bestFit="1" customWidth="1"/>
    <col min="21" max="21" width="11" style="65" bestFit="1" customWidth="1"/>
    <col min="22" max="22" width="9.5703125" style="65" bestFit="1" customWidth="1"/>
    <col min="23" max="23" width="7.7109375" style="66" bestFit="1" customWidth="1"/>
    <col min="24" max="24" width="19.7109375" style="110" customWidth="1"/>
    <col min="25" max="25" width="10.42578125" style="67" customWidth="1"/>
    <col min="26" max="26" width="11.28515625" style="67" customWidth="1"/>
    <col min="27" max="27" width="23.42578125" style="67" customWidth="1"/>
    <col min="28" max="28" width="7.42578125" style="67" customWidth="1"/>
    <col min="29" max="29" width="9.140625" style="67" customWidth="1"/>
    <col min="30" max="30" width="10.7109375" style="67" customWidth="1"/>
    <col min="31" max="31" width="10.28515625" style="67" customWidth="1"/>
    <col min="32" max="32" width="9.7109375" style="67" customWidth="1"/>
    <col min="33" max="33" width="18" style="67" customWidth="1"/>
    <col min="34" max="34" width="14.85546875" style="68" customWidth="1"/>
    <col min="35" max="16384" width="9.140625" style="58"/>
  </cols>
  <sheetData>
    <row r="1" spans="1:34" ht="15.75" customHeight="1" thickBot="1">
      <c r="A1" s="363" t="s">
        <v>580</v>
      </c>
      <c r="B1" s="364"/>
      <c r="C1" s="364"/>
      <c r="D1" s="365"/>
      <c r="E1" s="373" t="s">
        <v>891</v>
      </c>
      <c r="F1" s="369" t="s">
        <v>581</v>
      </c>
      <c r="G1" s="370"/>
      <c r="H1" s="375" t="s">
        <v>583</v>
      </c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7"/>
      <c r="X1" s="108" t="s">
        <v>558</v>
      </c>
      <c r="Y1" s="31" t="s">
        <v>559</v>
      </c>
      <c r="Z1" s="31" t="s">
        <v>560</v>
      </c>
      <c r="AA1" s="31" t="s">
        <v>561</v>
      </c>
      <c r="AB1" s="32" t="s">
        <v>562</v>
      </c>
      <c r="AC1" s="32" t="s">
        <v>563</v>
      </c>
      <c r="AD1" s="32" t="s">
        <v>564</v>
      </c>
      <c r="AE1" s="33" t="s">
        <v>565</v>
      </c>
      <c r="AF1" s="33" t="s">
        <v>566</v>
      </c>
      <c r="AG1" s="33" t="s">
        <v>567</v>
      </c>
      <c r="AH1" s="34" t="s">
        <v>568</v>
      </c>
    </row>
    <row r="2" spans="1:34" ht="16.5" customHeight="1" thickBot="1">
      <c r="A2" s="366"/>
      <c r="B2" s="367"/>
      <c r="C2" s="367"/>
      <c r="D2" s="368"/>
      <c r="E2" s="374"/>
      <c r="F2" s="371"/>
      <c r="G2" s="372"/>
      <c r="H2" s="381" t="s">
        <v>582</v>
      </c>
      <c r="I2" s="382"/>
      <c r="J2" s="382"/>
      <c r="K2" s="383"/>
      <c r="L2" s="115" t="s">
        <v>869</v>
      </c>
      <c r="M2" s="115" t="s">
        <v>870</v>
      </c>
      <c r="N2" s="382" t="s">
        <v>2</v>
      </c>
      <c r="O2" s="382"/>
      <c r="P2" s="382" t="s">
        <v>3</v>
      </c>
      <c r="Q2" s="383"/>
      <c r="R2" s="378" t="s">
        <v>623</v>
      </c>
      <c r="S2" s="379"/>
      <c r="T2" s="379"/>
      <c r="U2" s="379"/>
      <c r="V2" s="379"/>
      <c r="W2" s="380"/>
      <c r="X2" s="109" t="s">
        <v>526</v>
      </c>
      <c r="Y2" s="35" t="s">
        <v>530</v>
      </c>
      <c r="Z2" s="35" t="s">
        <v>532</v>
      </c>
      <c r="AA2" s="35" t="s">
        <v>557</v>
      </c>
      <c r="AB2" s="36" t="s">
        <v>527</v>
      </c>
      <c r="AC2" s="36" t="s">
        <v>528</v>
      </c>
      <c r="AD2" s="36" t="s">
        <v>531</v>
      </c>
      <c r="AE2" s="37" t="s">
        <v>529</v>
      </c>
      <c r="AF2" s="37" t="s">
        <v>533</v>
      </c>
      <c r="AG2" s="37" t="s">
        <v>536</v>
      </c>
      <c r="AH2" s="38" t="s">
        <v>534</v>
      </c>
    </row>
    <row r="3" spans="1:34" ht="16.5" customHeight="1" thickBot="1">
      <c r="A3" s="269" t="s">
        <v>5</v>
      </c>
      <c r="B3" s="270" t="s">
        <v>4</v>
      </c>
      <c r="C3" s="270" t="s">
        <v>11</v>
      </c>
      <c r="D3" s="271" t="s">
        <v>10</v>
      </c>
      <c r="E3" s="374"/>
      <c r="F3" s="272" t="s">
        <v>5</v>
      </c>
      <c r="G3" s="273" t="s">
        <v>11</v>
      </c>
      <c r="H3" s="274" t="s">
        <v>5</v>
      </c>
      <c r="I3" s="149" t="s">
        <v>4</v>
      </c>
      <c r="J3" s="149" t="s">
        <v>11</v>
      </c>
      <c r="K3" s="150" t="s">
        <v>10</v>
      </c>
      <c r="L3" s="149" t="s">
        <v>555</v>
      </c>
      <c r="M3" s="149" t="s">
        <v>612</v>
      </c>
      <c r="N3" s="149" t="s">
        <v>866</v>
      </c>
      <c r="O3" s="149" t="s">
        <v>867</v>
      </c>
      <c r="P3" s="149" t="s">
        <v>866</v>
      </c>
      <c r="Q3" s="150" t="s">
        <v>867</v>
      </c>
      <c r="R3" s="274" t="s">
        <v>615</v>
      </c>
      <c r="S3" s="149" t="s">
        <v>613</v>
      </c>
      <c r="T3" s="149" t="s">
        <v>614</v>
      </c>
      <c r="U3" s="149" t="s">
        <v>616</v>
      </c>
      <c r="V3" s="149" t="s">
        <v>617</v>
      </c>
      <c r="W3" s="150" t="s">
        <v>618</v>
      </c>
      <c r="X3" s="108" t="s">
        <v>17</v>
      </c>
      <c r="Y3" s="31" t="s">
        <v>20</v>
      </c>
      <c r="Z3" s="31" t="s">
        <v>524</v>
      </c>
      <c r="AA3" s="31" t="s">
        <v>14</v>
      </c>
      <c r="AB3" s="32" t="s">
        <v>19</v>
      </c>
      <c r="AC3" s="32" t="s">
        <v>522</v>
      </c>
      <c r="AD3" s="32" t="s">
        <v>13</v>
      </c>
      <c r="AE3" s="33" t="s">
        <v>15</v>
      </c>
      <c r="AF3" s="33" t="s">
        <v>525</v>
      </c>
      <c r="AG3" s="33" t="s">
        <v>16</v>
      </c>
      <c r="AH3" s="275" t="s">
        <v>523</v>
      </c>
    </row>
    <row r="4" spans="1:34" s="255" customFormat="1" ht="16.5" customHeight="1" thickBot="1">
      <c r="A4" s="276" t="s">
        <v>743</v>
      </c>
      <c r="B4" s="277"/>
      <c r="C4" s="277"/>
      <c r="D4" s="278" t="s">
        <v>744</v>
      </c>
      <c r="E4" s="374"/>
      <c r="F4" s="208" t="s">
        <v>1281</v>
      </c>
      <c r="G4" s="209" t="s">
        <v>1430</v>
      </c>
      <c r="H4" s="210" t="str">
        <f t="shared" ref="H4:H67" si="0">IF(F4="","",F4)</f>
        <v>A</v>
      </c>
      <c r="I4" s="211" t="str">
        <f t="shared" ref="I4:I67" si="1">IFERROR(INDEX($X$3:$AH$3,IF(IFERROR(MATCH(H4,X:X,0),0)&lt;&gt;0,1,IF(IFERROR(MATCH(H4,Y:Y,0),0)&lt;&gt;0,2,IF(IFERROR(MATCH(H4,Z:Z,0),0)&lt;&gt;0,3,IF(IFERROR(MATCH(H4,AA:AA,0),0)&lt;&gt;0,4,IF(IFERROR(MATCH(H4,AB:AB,0),0)&lt;&gt;0,5,IF(IFERROR(MATCH(H4,AC:AC,0),0)&lt;&gt;0,6,IF(IFERROR(MATCH(H4,AD:AD,0),0)&lt;&gt;0,7,IF(IFERROR(MATCH(H4,AE:AE,0),0)&lt;&gt;0,8,IF(IFERROR(MATCH(H4,AF:AF,0),0)&lt;&gt;0,9,IF(IFERROR(MATCH(H4,AG:AG,0),0)&lt;&gt;0,10,IF(IFERROR(MATCH(H4,AH:AH,0),0)&lt;&gt;0,11,"Z")))))))))))),"")</f>
        <v>XLV</v>
      </c>
      <c r="J4" s="212" t="str">
        <f t="shared" ref="J4:J67" si="2">IF(G4="","",G4)</f>
        <v>診斷與研究</v>
      </c>
      <c r="K4" s="213" t="str">
        <f>IF(H4="","",".SPX")</f>
        <v>.SPX</v>
      </c>
      <c r="L4" s="214">
        <v>0.24660000000000001</v>
      </c>
      <c r="M4" s="215">
        <v>155.04</v>
      </c>
      <c r="N4" s="214">
        <v>0.30159999999999998</v>
      </c>
      <c r="O4" s="214">
        <v>9.9000000000000005E-2</v>
      </c>
      <c r="P4" s="214">
        <v>0.3947</v>
      </c>
      <c r="Q4" s="216">
        <v>0.18729999999999999</v>
      </c>
      <c r="R4" s="217">
        <v>44379</v>
      </c>
      <c r="S4" s="218">
        <v>148.82000732421801</v>
      </c>
      <c r="T4" s="219">
        <v>0.19400000000000001</v>
      </c>
      <c r="U4" s="220">
        <v>42643</v>
      </c>
      <c r="V4" s="218">
        <v>45.220771789550703</v>
      </c>
      <c r="W4" s="221">
        <v>0.115</v>
      </c>
      <c r="X4" s="279" t="s">
        <v>935</v>
      </c>
      <c r="Y4" s="280" t="s">
        <v>994</v>
      </c>
      <c r="Z4" s="280" t="s">
        <v>1066</v>
      </c>
      <c r="AA4" s="280" t="s">
        <v>1136</v>
      </c>
      <c r="AB4" s="280" t="s">
        <v>1162</v>
      </c>
      <c r="AC4" s="280" t="s">
        <v>1184</v>
      </c>
      <c r="AD4" s="280" t="s">
        <v>1248</v>
      </c>
      <c r="AE4" s="280" t="s">
        <v>1277</v>
      </c>
      <c r="AF4" s="280" t="s">
        <v>1340</v>
      </c>
      <c r="AG4" s="280" t="s">
        <v>1368</v>
      </c>
      <c r="AH4" s="281" t="s">
        <v>1400</v>
      </c>
    </row>
    <row r="5" spans="1:34" ht="16.5" customHeight="1" thickBot="1">
      <c r="A5" s="102" t="s">
        <v>736</v>
      </c>
      <c r="B5" s="104"/>
      <c r="C5" s="104"/>
      <c r="D5" s="105" t="s">
        <v>741</v>
      </c>
      <c r="E5" s="374"/>
      <c r="F5" s="222" t="s">
        <v>467</v>
      </c>
      <c r="G5" s="223" t="s">
        <v>1431</v>
      </c>
      <c r="H5" s="224" t="str">
        <f t="shared" si="0"/>
        <v>AAL</v>
      </c>
      <c r="I5" s="225" t="str">
        <f t="shared" si="1"/>
        <v>XLI</v>
      </c>
      <c r="J5" s="226" t="str">
        <f t="shared" si="2"/>
        <v>航空公司</v>
      </c>
      <c r="K5" s="227" t="str">
        <f t="shared" ref="K5:K68" si="3">IF(H5="","",".SPX")</f>
        <v>.SPX</v>
      </c>
      <c r="L5" s="228">
        <v>0.46489999999999998</v>
      </c>
      <c r="M5" s="229">
        <v>20.7</v>
      </c>
      <c r="N5" s="228">
        <v>0.81850000000000001</v>
      </c>
      <c r="O5" s="228">
        <v>0.2797</v>
      </c>
      <c r="P5" s="228">
        <v>1.1906999999999999</v>
      </c>
      <c r="Q5" s="230">
        <v>0.3876</v>
      </c>
      <c r="R5" s="231">
        <v>43865</v>
      </c>
      <c r="S5" s="232">
        <v>28.4300003051757</v>
      </c>
      <c r="T5" s="233">
        <v>0.1</v>
      </c>
      <c r="U5" s="234">
        <v>42677</v>
      </c>
      <c r="V5" s="232">
        <v>38.054206848144503</v>
      </c>
      <c r="W5" s="235">
        <v>0.1</v>
      </c>
      <c r="X5" s="117" t="s">
        <v>936</v>
      </c>
      <c r="Y5" s="118" t="s">
        <v>995</v>
      </c>
      <c r="Z5" s="118" t="s">
        <v>1067</v>
      </c>
      <c r="AA5" s="118" t="s">
        <v>1137</v>
      </c>
      <c r="AB5" s="118" t="s">
        <v>1163</v>
      </c>
      <c r="AC5" s="118" t="s">
        <v>1185</v>
      </c>
      <c r="AD5" s="118" t="s">
        <v>1249</v>
      </c>
      <c r="AE5" s="118" t="s">
        <v>1278</v>
      </c>
      <c r="AF5" s="118" t="s">
        <v>1341</v>
      </c>
      <c r="AG5" s="118" t="s">
        <v>1369</v>
      </c>
      <c r="AH5" s="119" t="s">
        <v>1401</v>
      </c>
    </row>
    <row r="6" spans="1:34" ht="16.5" customHeight="1" thickBot="1">
      <c r="A6" s="102" t="s">
        <v>735</v>
      </c>
      <c r="B6" s="104"/>
      <c r="C6" s="104"/>
      <c r="D6" s="105" t="s">
        <v>740</v>
      </c>
      <c r="E6" s="374"/>
      <c r="F6" s="222" t="s">
        <v>365</v>
      </c>
      <c r="G6" s="223" t="s">
        <v>1432</v>
      </c>
      <c r="H6" s="224" t="str">
        <f t="shared" si="0"/>
        <v>AAP</v>
      </c>
      <c r="I6" s="225" t="str">
        <f t="shared" si="1"/>
        <v>XLY</v>
      </c>
      <c r="J6" s="226" t="str">
        <f t="shared" si="2"/>
        <v>專業零售</v>
      </c>
      <c r="K6" s="227" t="str">
        <f t="shared" si="3"/>
        <v>.SPX</v>
      </c>
      <c r="L6" s="228">
        <v>0.29270000000000002</v>
      </c>
      <c r="M6" s="229">
        <v>206.34</v>
      </c>
      <c r="N6" s="228">
        <v>0.41760000000000003</v>
      </c>
      <c r="O6" s="228">
        <v>0.1764</v>
      </c>
      <c r="P6" s="228">
        <v>0.52570000000000006</v>
      </c>
      <c r="Q6" s="230">
        <v>0.22690000000000002</v>
      </c>
      <c r="R6" s="231">
        <v>44364</v>
      </c>
      <c r="S6" s="232">
        <v>194.38999938964801</v>
      </c>
      <c r="T6" s="233">
        <v>1</v>
      </c>
      <c r="U6" s="234">
        <v>42634</v>
      </c>
      <c r="V6" s="232">
        <v>143.45803833007801</v>
      </c>
      <c r="W6" s="235">
        <v>0.06</v>
      </c>
      <c r="X6" s="117" t="s">
        <v>937</v>
      </c>
      <c r="Y6" s="118" t="s">
        <v>996</v>
      </c>
      <c r="Z6" s="118" t="s">
        <v>1068</v>
      </c>
      <c r="AA6" s="118" t="s">
        <v>1138</v>
      </c>
      <c r="AB6" s="118" t="s">
        <v>1164</v>
      </c>
      <c r="AC6" s="118" t="s">
        <v>1186</v>
      </c>
      <c r="AD6" s="118" t="s">
        <v>1250</v>
      </c>
      <c r="AE6" s="118" t="s">
        <v>1279</v>
      </c>
      <c r="AF6" s="118" t="s">
        <v>1342</v>
      </c>
      <c r="AG6" s="118" t="s">
        <v>1370</v>
      </c>
      <c r="AH6" s="119" t="s">
        <v>1402</v>
      </c>
    </row>
    <row r="7" spans="1:34" ht="16.5" customHeight="1" thickBot="1">
      <c r="A7" s="102" t="s">
        <v>658</v>
      </c>
      <c r="B7" s="104"/>
      <c r="C7" s="104"/>
      <c r="D7" s="105" t="s">
        <v>831</v>
      </c>
      <c r="E7" s="374"/>
      <c r="F7" s="222" t="s">
        <v>388</v>
      </c>
      <c r="G7" s="223" t="s">
        <v>1433</v>
      </c>
      <c r="H7" s="224" t="str">
        <f t="shared" si="0"/>
        <v>AAPL</v>
      </c>
      <c r="I7" s="225" t="str">
        <f t="shared" si="1"/>
        <v>XLK</v>
      </c>
      <c r="J7" s="226" t="str">
        <f t="shared" si="2"/>
        <v>消費類電子</v>
      </c>
      <c r="K7" s="227" t="str">
        <f t="shared" si="3"/>
        <v>.SPX</v>
      </c>
      <c r="L7" s="228">
        <v>0.20810000000000001</v>
      </c>
      <c r="M7" s="229">
        <v>147.06</v>
      </c>
      <c r="N7" s="228">
        <v>0.55489999999999995</v>
      </c>
      <c r="O7" s="228">
        <v>0.1555</v>
      </c>
      <c r="P7" s="228">
        <v>0.58850000000000002</v>
      </c>
      <c r="Q7" s="230">
        <v>0.18909999999999999</v>
      </c>
      <c r="R7" s="231">
        <v>44323</v>
      </c>
      <c r="S7" s="232">
        <v>130.21000671386699</v>
      </c>
      <c r="T7" s="233">
        <v>0.22</v>
      </c>
      <c r="U7" s="234">
        <v>42677</v>
      </c>
      <c r="V7" s="232">
        <v>25.921747207641602</v>
      </c>
      <c r="W7" s="235">
        <v>0.14249999999999999</v>
      </c>
      <c r="X7" s="117" t="s">
        <v>938</v>
      </c>
      <c r="Y7" s="118" t="s">
        <v>997</v>
      </c>
      <c r="Z7" s="118" t="s">
        <v>1069</v>
      </c>
      <c r="AA7" s="118" t="s">
        <v>1139</v>
      </c>
      <c r="AB7" s="118" t="s">
        <v>1165</v>
      </c>
      <c r="AC7" s="118" t="s">
        <v>1187</v>
      </c>
      <c r="AD7" s="118" t="s">
        <v>1251</v>
      </c>
      <c r="AE7" s="118" t="s">
        <v>1280</v>
      </c>
      <c r="AF7" s="118" t="s">
        <v>1343</v>
      </c>
      <c r="AG7" s="118" t="s">
        <v>1371</v>
      </c>
      <c r="AH7" s="119" t="s">
        <v>1403</v>
      </c>
    </row>
    <row r="8" spans="1:34" ht="16.5" customHeight="1" thickBot="1">
      <c r="A8" s="102" t="s">
        <v>653</v>
      </c>
      <c r="B8" s="104"/>
      <c r="C8" s="104"/>
      <c r="D8" s="105" t="s">
        <v>831</v>
      </c>
      <c r="E8" s="374"/>
      <c r="F8" s="222" t="s">
        <v>68</v>
      </c>
      <c r="G8" s="223" t="s">
        <v>1434</v>
      </c>
      <c r="H8" s="224" t="str">
        <f t="shared" si="0"/>
        <v>ABBV</v>
      </c>
      <c r="I8" s="225" t="str">
        <f t="shared" si="1"/>
        <v>XLV</v>
      </c>
      <c r="J8" s="226" t="str">
        <f t="shared" si="2"/>
        <v>藥品製造商— 常規</v>
      </c>
      <c r="K8" s="227" t="str">
        <f t="shared" si="3"/>
        <v>.SPX</v>
      </c>
      <c r="L8" s="228">
        <v>0.192</v>
      </c>
      <c r="M8" s="229">
        <v>115.12</v>
      </c>
      <c r="N8" s="228">
        <v>0.36530000000000001</v>
      </c>
      <c r="O8" s="228">
        <v>0.12590000000000001</v>
      </c>
      <c r="P8" s="228">
        <v>0.39140000000000003</v>
      </c>
      <c r="Q8" s="230">
        <v>0.19109999999999999</v>
      </c>
      <c r="R8" s="231">
        <v>44391</v>
      </c>
      <c r="S8" s="232">
        <v>117.36000061035099</v>
      </c>
      <c r="T8" s="233">
        <v>1.3</v>
      </c>
      <c r="U8" s="234">
        <v>42655</v>
      </c>
      <c r="V8" s="232">
        <v>49.232963562011697</v>
      </c>
      <c r="W8" s="235">
        <v>0.56999999999999995</v>
      </c>
      <c r="X8" s="117" t="s">
        <v>939</v>
      </c>
      <c r="Y8" s="118" t="s">
        <v>998</v>
      </c>
      <c r="Z8" s="118" t="s">
        <v>1070</v>
      </c>
      <c r="AA8" s="118" t="s">
        <v>1140</v>
      </c>
      <c r="AB8" s="118" t="s">
        <v>1166</v>
      </c>
      <c r="AC8" s="118" t="s">
        <v>1188</v>
      </c>
      <c r="AD8" s="118" t="s">
        <v>1252</v>
      </c>
      <c r="AE8" s="118" t="s">
        <v>1281</v>
      </c>
      <c r="AF8" s="118" t="s">
        <v>1344</v>
      </c>
      <c r="AG8" s="118" t="s">
        <v>1372</v>
      </c>
      <c r="AH8" s="119" t="s">
        <v>1404</v>
      </c>
    </row>
    <row r="9" spans="1:34" ht="16.5" customHeight="1" thickBot="1">
      <c r="A9" s="102" t="s">
        <v>649</v>
      </c>
      <c r="B9" s="104"/>
      <c r="C9" s="104"/>
      <c r="D9" s="105" t="s">
        <v>831</v>
      </c>
      <c r="E9" s="374"/>
      <c r="F9" s="222" t="s">
        <v>36</v>
      </c>
      <c r="G9" s="223" t="s">
        <v>1435</v>
      </c>
      <c r="H9" s="224" t="str">
        <f t="shared" si="0"/>
        <v>ABC</v>
      </c>
      <c r="I9" s="225" t="str">
        <f t="shared" si="1"/>
        <v>XLV</v>
      </c>
      <c r="J9" s="226" t="str">
        <f t="shared" si="2"/>
        <v>醫療分銷</v>
      </c>
      <c r="K9" s="227" t="str">
        <f t="shared" si="3"/>
        <v>.SPX</v>
      </c>
      <c r="L9" s="228">
        <v>0.2213</v>
      </c>
      <c r="M9" s="229">
        <v>120.49</v>
      </c>
      <c r="N9" s="228">
        <v>0.39660000000000001</v>
      </c>
      <c r="O9" s="228">
        <v>0.14810000000000001</v>
      </c>
      <c r="P9" s="228">
        <v>0.43829999999999997</v>
      </c>
      <c r="Q9" s="230">
        <v>0.21299999999999999</v>
      </c>
      <c r="R9" s="231">
        <v>44330</v>
      </c>
      <c r="S9" s="232">
        <v>116.51999664306599</v>
      </c>
      <c r="T9" s="233">
        <v>0.44</v>
      </c>
      <c r="U9" s="234">
        <v>42600</v>
      </c>
      <c r="V9" s="232">
        <v>81.803123474121094</v>
      </c>
      <c r="W9" s="235">
        <v>0.34</v>
      </c>
      <c r="X9" s="117" t="s">
        <v>940</v>
      </c>
      <c r="Y9" s="118" t="s">
        <v>999</v>
      </c>
      <c r="Z9" s="118" t="s">
        <v>1071</v>
      </c>
      <c r="AA9" s="118" t="s">
        <v>1141</v>
      </c>
      <c r="AB9" s="118" t="s">
        <v>1167</v>
      </c>
      <c r="AC9" s="118" t="s">
        <v>1189</v>
      </c>
      <c r="AD9" s="118" t="s">
        <v>1253</v>
      </c>
      <c r="AE9" s="118" t="s">
        <v>1282</v>
      </c>
      <c r="AF9" s="118" t="s">
        <v>1345</v>
      </c>
      <c r="AG9" s="118" t="s">
        <v>1373</v>
      </c>
      <c r="AH9" s="119" t="s">
        <v>1405</v>
      </c>
    </row>
    <row r="10" spans="1:34" ht="16.5" customHeight="1" thickBot="1">
      <c r="A10" s="102" t="s">
        <v>644</v>
      </c>
      <c r="B10" s="104"/>
      <c r="C10" s="104"/>
      <c r="D10" s="105" t="s">
        <v>831</v>
      </c>
      <c r="E10" s="374"/>
      <c r="F10" s="222" t="s">
        <v>94</v>
      </c>
      <c r="G10" s="223" t="s">
        <v>1436</v>
      </c>
      <c r="H10" s="224" t="str">
        <f t="shared" si="0"/>
        <v>ABMD</v>
      </c>
      <c r="I10" s="225" t="str">
        <f t="shared" si="1"/>
        <v>XLV</v>
      </c>
      <c r="J10" s="226" t="str">
        <f t="shared" si="2"/>
        <v>醫療設備</v>
      </c>
      <c r="K10" s="227" t="str">
        <f t="shared" si="3"/>
        <v>.SPX</v>
      </c>
      <c r="L10" s="228">
        <v>0.30890000000000001</v>
      </c>
      <c r="M10" s="229">
        <v>348.86</v>
      </c>
      <c r="N10" s="228">
        <v>0.46460000000000001</v>
      </c>
      <c r="O10" s="228">
        <v>0.2026</v>
      </c>
      <c r="P10" s="228">
        <v>0.60929999999999995</v>
      </c>
      <c r="Q10" s="230">
        <v>0.30890000000000001</v>
      </c>
      <c r="R10" s="231">
        <v>0</v>
      </c>
      <c r="S10" s="232">
        <v>0</v>
      </c>
      <c r="T10" s="233">
        <v>0</v>
      </c>
      <c r="U10" s="234">
        <v>0</v>
      </c>
      <c r="V10" s="232">
        <v>0</v>
      </c>
      <c r="W10" s="235">
        <v>0</v>
      </c>
      <c r="X10" s="117" t="s">
        <v>941</v>
      </c>
      <c r="Y10" s="118" t="s">
        <v>754</v>
      </c>
      <c r="Z10" s="118" t="s">
        <v>1072</v>
      </c>
      <c r="AA10" s="118" t="s">
        <v>1142</v>
      </c>
      <c r="AB10" s="118" t="s">
        <v>1168</v>
      </c>
      <c r="AC10" s="118" t="s">
        <v>1190</v>
      </c>
      <c r="AD10" s="118" t="s">
        <v>1254</v>
      </c>
      <c r="AE10" s="118" t="s">
        <v>1283</v>
      </c>
      <c r="AF10" s="118" t="s">
        <v>1346</v>
      </c>
      <c r="AG10" s="118" t="s">
        <v>1374</v>
      </c>
      <c r="AH10" s="119" t="s">
        <v>1406</v>
      </c>
    </row>
    <row r="11" spans="1:34" ht="16.5" customHeight="1" thickBot="1">
      <c r="A11" s="102" t="s">
        <v>643</v>
      </c>
      <c r="B11" s="104"/>
      <c r="C11" s="104"/>
      <c r="D11" s="105" t="s">
        <v>831</v>
      </c>
      <c r="E11" s="374"/>
      <c r="F11" s="222" t="s">
        <v>139</v>
      </c>
      <c r="G11" s="223" t="s">
        <v>1436</v>
      </c>
      <c r="H11" s="224" t="str">
        <f t="shared" si="0"/>
        <v>ABT</v>
      </c>
      <c r="I11" s="225" t="str">
        <f t="shared" si="1"/>
        <v>XLV</v>
      </c>
      <c r="J11" s="226" t="str">
        <f t="shared" si="2"/>
        <v>醫療設備</v>
      </c>
      <c r="K11" s="227" t="str">
        <f t="shared" si="3"/>
        <v>.SPX</v>
      </c>
      <c r="L11" s="228">
        <v>0.17660000000000001</v>
      </c>
      <c r="M11" s="229">
        <v>122.21</v>
      </c>
      <c r="N11" s="228">
        <v>0.3569</v>
      </c>
      <c r="O11" s="228">
        <v>0.1</v>
      </c>
      <c r="P11" s="228">
        <v>0.42270000000000002</v>
      </c>
      <c r="Q11" s="230">
        <v>0.17079999999999998</v>
      </c>
      <c r="R11" s="231">
        <v>44391</v>
      </c>
      <c r="S11" s="232">
        <v>117.169998168945</v>
      </c>
      <c r="T11" s="233">
        <v>0.45</v>
      </c>
      <c r="U11" s="234">
        <v>42655</v>
      </c>
      <c r="V11" s="232">
        <v>37.652927398681598</v>
      </c>
      <c r="W11" s="235">
        <v>0.26</v>
      </c>
      <c r="X11" s="117" t="s">
        <v>942</v>
      </c>
      <c r="Y11" s="118" t="s">
        <v>1000</v>
      </c>
      <c r="Z11" s="118" t="s">
        <v>1073</v>
      </c>
      <c r="AA11" s="118" t="s">
        <v>1143</v>
      </c>
      <c r="AB11" s="118" t="s">
        <v>1169</v>
      </c>
      <c r="AC11" s="118" t="s">
        <v>1191</v>
      </c>
      <c r="AD11" s="118" t="s">
        <v>1255</v>
      </c>
      <c r="AE11" s="118" t="s">
        <v>1284</v>
      </c>
      <c r="AF11" s="118" t="s">
        <v>1347</v>
      </c>
      <c r="AG11" s="118" t="s">
        <v>1375</v>
      </c>
      <c r="AH11" s="119" t="s">
        <v>1407</v>
      </c>
    </row>
    <row r="12" spans="1:34" ht="16.5" customHeight="1" thickBot="1">
      <c r="A12" s="102" t="s">
        <v>650</v>
      </c>
      <c r="B12" s="104"/>
      <c r="C12" s="104"/>
      <c r="D12" s="105" t="s">
        <v>831</v>
      </c>
      <c r="E12" s="374"/>
      <c r="F12" s="222" t="s">
        <v>181</v>
      </c>
      <c r="G12" s="223" t="s">
        <v>1437</v>
      </c>
      <c r="H12" s="224" t="str">
        <f t="shared" si="0"/>
        <v>ACN</v>
      </c>
      <c r="I12" s="225" t="str">
        <f t="shared" si="1"/>
        <v>XLK</v>
      </c>
      <c r="J12" s="226" t="str">
        <f t="shared" si="2"/>
        <v>信息技術處</v>
      </c>
      <c r="K12" s="227" t="str">
        <f t="shared" si="3"/>
        <v>.SPX</v>
      </c>
      <c r="L12" s="228">
        <v>0.156</v>
      </c>
      <c r="M12" s="229">
        <v>319.64</v>
      </c>
      <c r="N12" s="228">
        <v>0.34710000000000002</v>
      </c>
      <c r="O12" s="228">
        <v>9.4299999999999995E-2</v>
      </c>
      <c r="P12" s="228">
        <v>0.38909999999999995</v>
      </c>
      <c r="Q12" s="230">
        <v>0.1409</v>
      </c>
      <c r="R12" s="231">
        <v>44391</v>
      </c>
      <c r="S12" s="232">
        <v>314.39001464843699</v>
      </c>
      <c r="T12" s="233">
        <v>0.88</v>
      </c>
      <c r="U12" s="234">
        <v>42662</v>
      </c>
      <c r="V12" s="232">
        <v>108.311195373535</v>
      </c>
      <c r="W12" s="235">
        <v>1.21</v>
      </c>
      <c r="X12" s="117" t="s">
        <v>943</v>
      </c>
      <c r="Y12" s="118" t="s">
        <v>1001</v>
      </c>
      <c r="Z12" s="118" t="s">
        <v>1074</v>
      </c>
      <c r="AA12" s="118" t="s">
        <v>1144</v>
      </c>
      <c r="AB12" s="118" t="s">
        <v>1170</v>
      </c>
      <c r="AC12" s="118" t="s">
        <v>1192</v>
      </c>
      <c r="AD12" s="118" t="s">
        <v>1256</v>
      </c>
      <c r="AE12" s="118" t="s">
        <v>1285</v>
      </c>
      <c r="AF12" s="118" t="s">
        <v>1348</v>
      </c>
      <c r="AG12" s="118" t="s">
        <v>1376</v>
      </c>
      <c r="AH12" s="119" t="s">
        <v>1408</v>
      </c>
    </row>
    <row r="13" spans="1:34" ht="16.5" customHeight="1" thickBot="1">
      <c r="A13" s="102" t="s">
        <v>655</v>
      </c>
      <c r="B13" s="104"/>
      <c r="C13" s="104"/>
      <c r="D13" s="105" t="s">
        <v>831</v>
      </c>
      <c r="E13" s="374"/>
      <c r="F13" s="222" t="s">
        <v>24</v>
      </c>
      <c r="G13" s="223" t="s">
        <v>1438</v>
      </c>
      <c r="H13" s="224" t="str">
        <f t="shared" si="0"/>
        <v>ADBE</v>
      </c>
      <c r="I13" s="225" t="str">
        <f t="shared" si="1"/>
        <v>XLK</v>
      </c>
      <c r="J13" s="226" t="str">
        <f t="shared" si="2"/>
        <v>軟件基礎設施</v>
      </c>
      <c r="K13" s="227" t="str">
        <f t="shared" si="3"/>
        <v>.SPX</v>
      </c>
      <c r="L13" s="228">
        <v>0.2112</v>
      </c>
      <c r="M13" s="229">
        <v>632.08000000000004</v>
      </c>
      <c r="N13" s="228">
        <v>0.50139999999999996</v>
      </c>
      <c r="O13" s="228">
        <v>0.11600000000000001</v>
      </c>
      <c r="P13" s="228">
        <v>0.64439999999999997</v>
      </c>
      <c r="Q13" s="230">
        <v>0.2072</v>
      </c>
      <c r="R13" s="231">
        <v>0</v>
      </c>
      <c r="S13" s="232">
        <v>0</v>
      </c>
      <c r="T13" s="233">
        <v>0</v>
      </c>
      <c r="U13" s="234">
        <v>0</v>
      </c>
      <c r="V13" s="232">
        <v>0</v>
      </c>
      <c r="W13" s="235">
        <v>0</v>
      </c>
      <c r="X13" s="117" t="s">
        <v>944</v>
      </c>
      <c r="Y13" s="118" t="s">
        <v>1002</v>
      </c>
      <c r="Z13" s="118" t="s">
        <v>1075</v>
      </c>
      <c r="AA13" s="118" t="s">
        <v>1145</v>
      </c>
      <c r="AB13" s="118" t="s">
        <v>1171</v>
      </c>
      <c r="AC13" s="118" t="s">
        <v>1193</v>
      </c>
      <c r="AD13" s="118" t="s">
        <v>1257</v>
      </c>
      <c r="AE13" s="118" t="s">
        <v>1286</v>
      </c>
      <c r="AF13" s="118" t="s">
        <v>1349</v>
      </c>
      <c r="AG13" s="118" t="s">
        <v>1377</v>
      </c>
      <c r="AH13" s="119" t="s">
        <v>1409</v>
      </c>
    </row>
    <row r="14" spans="1:34" ht="16.5" customHeight="1" thickBot="1">
      <c r="A14" s="102" t="s">
        <v>646</v>
      </c>
      <c r="B14" s="104"/>
      <c r="C14" s="104"/>
      <c r="D14" s="105" t="s">
        <v>831</v>
      </c>
      <c r="E14" s="374"/>
      <c r="F14" s="222" t="s">
        <v>207</v>
      </c>
      <c r="G14" s="223" t="s">
        <v>1439</v>
      </c>
      <c r="H14" s="224" t="str">
        <f t="shared" si="0"/>
        <v>ADI</v>
      </c>
      <c r="I14" s="225" t="str">
        <f t="shared" si="1"/>
        <v>XLK</v>
      </c>
      <c r="J14" s="226" t="str">
        <f t="shared" si="2"/>
        <v>半導體</v>
      </c>
      <c r="K14" s="227" t="str">
        <f t="shared" si="3"/>
        <v>.SPX</v>
      </c>
      <c r="L14" s="228">
        <v>0.33389999999999997</v>
      </c>
      <c r="M14" s="229">
        <v>169.93</v>
      </c>
      <c r="N14" s="228">
        <v>0.41520000000000001</v>
      </c>
      <c r="O14" s="228">
        <v>0.17030000000000001</v>
      </c>
      <c r="P14" s="228">
        <v>0.42100000000000004</v>
      </c>
      <c r="Q14" s="230">
        <v>0.21640000000000001</v>
      </c>
      <c r="R14" s="231">
        <v>44343</v>
      </c>
      <c r="S14" s="232">
        <v>163.21000671386699</v>
      </c>
      <c r="T14" s="233">
        <v>0.69</v>
      </c>
      <c r="U14" s="234">
        <v>42606</v>
      </c>
      <c r="V14" s="232">
        <v>56.913772583007798</v>
      </c>
      <c r="W14" s="235">
        <v>0.42</v>
      </c>
      <c r="X14" s="117" t="s">
        <v>945</v>
      </c>
      <c r="Y14" s="118" t="s">
        <v>1003</v>
      </c>
      <c r="Z14" s="118" t="s">
        <v>1076</v>
      </c>
      <c r="AA14" s="118" t="s">
        <v>1146</v>
      </c>
      <c r="AB14" s="118" t="s">
        <v>1172</v>
      </c>
      <c r="AC14" s="118" t="s">
        <v>1194</v>
      </c>
      <c r="AD14" s="118" t="s">
        <v>1258</v>
      </c>
      <c r="AE14" s="118" t="s">
        <v>1287</v>
      </c>
      <c r="AF14" s="118" t="s">
        <v>1350</v>
      </c>
      <c r="AG14" s="118" t="s">
        <v>1378</v>
      </c>
      <c r="AH14" s="119" t="s">
        <v>1410</v>
      </c>
    </row>
    <row r="15" spans="1:34" ht="16.5" customHeight="1" thickBot="1">
      <c r="A15" s="102" t="s">
        <v>647</v>
      </c>
      <c r="B15" s="104"/>
      <c r="C15" s="104"/>
      <c r="D15" s="105" t="s">
        <v>831</v>
      </c>
      <c r="E15" s="374"/>
      <c r="F15" s="222" t="s">
        <v>437</v>
      </c>
      <c r="G15" s="223" t="s">
        <v>1440</v>
      </c>
      <c r="H15" s="224" t="str">
        <f t="shared" si="0"/>
        <v>ADM</v>
      </c>
      <c r="I15" s="225" t="str">
        <f t="shared" si="1"/>
        <v>XLP</v>
      </c>
      <c r="J15" s="226" t="str">
        <f t="shared" si="2"/>
        <v>農產品</v>
      </c>
      <c r="K15" s="227" t="str">
        <f t="shared" si="3"/>
        <v>.SPX</v>
      </c>
      <c r="L15" s="228">
        <v>0.21560000000000001</v>
      </c>
      <c r="M15" s="229">
        <v>59.4</v>
      </c>
      <c r="N15" s="228">
        <v>0.36020000000000002</v>
      </c>
      <c r="O15" s="228">
        <v>0.121</v>
      </c>
      <c r="P15" s="228">
        <v>0.36</v>
      </c>
      <c r="Q15" s="230">
        <v>0.18510000000000001</v>
      </c>
      <c r="R15" s="231">
        <v>44334</v>
      </c>
      <c r="S15" s="232">
        <v>67.029998779296804</v>
      </c>
      <c r="T15" s="233">
        <v>0.37</v>
      </c>
      <c r="U15" s="234">
        <v>42597</v>
      </c>
      <c r="V15" s="232">
        <v>37.768150329589801</v>
      </c>
      <c r="W15" s="235">
        <v>0.3</v>
      </c>
      <c r="X15" s="117" t="s">
        <v>946</v>
      </c>
      <c r="Y15" s="118" t="s">
        <v>756</v>
      </c>
      <c r="Z15" s="118" t="s">
        <v>1077</v>
      </c>
      <c r="AA15" s="118" t="s">
        <v>1147</v>
      </c>
      <c r="AB15" s="118" t="s">
        <v>1173</v>
      </c>
      <c r="AC15" s="118" t="s">
        <v>1195</v>
      </c>
      <c r="AD15" s="118" t="s">
        <v>1259</v>
      </c>
      <c r="AE15" s="118" t="s">
        <v>732</v>
      </c>
      <c r="AF15" s="118" t="s">
        <v>1351</v>
      </c>
      <c r="AG15" s="118" t="s">
        <v>1379</v>
      </c>
      <c r="AH15" s="119" t="s">
        <v>1411</v>
      </c>
    </row>
    <row r="16" spans="1:34" ht="16.5" customHeight="1" thickBot="1">
      <c r="A16" s="102" t="s">
        <v>651</v>
      </c>
      <c r="B16" s="104"/>
      <c r="C16" s="104"/>
      <c r="D16" s="105" t="s">
        <v>831</v>
      </c>
      <c r="E16" s="374"/>
      <c r="F16" s="222" t="s">
        <v>102</v>
      </c>
      <c r="G16" s="223" t="s">
        <v>1441</v>
      </c>
      <c r="H16" s="224" t="str">
        <f t="shared" si="0"/>
        <v>ADP</v>
      </c>
      <c r="I16" s="225" t="str">
        <f t="shared" si="1"/>
        <v>XLK</v>
      </c>
      <c r="J16" s="226" t="str">
        <f>IF(G16="","",G16)</f>
        <v>人員配置和就業服務</v>
      </c>
      <c r="K16" s="227" t="str">
        <f t="shared" si="3"/>
        <v>.SPX</v>
      </c>
      <c r="L16" s="228">
        <v>0.17019999999999999</v>
      </c>
      <c r="M16" s="229">
        <v>213.29</v>
      </c>
      <c r="N16" s="228">
        <v>0.30599999999999999</v>
      </c>
      <c r="O16" s="228">
        <v>0.1234</v>
      </c>
      <c r="P16" s="228">
        <v>0.36469999999999997</v>
      </c>
      <c r="Q16" s="230">
        <v>0.16589999999999999</v>
      </c>
      <c r="R16" s="231">
        <v>44357</v>
      </c>
      <c r="S16" s="232">
        <v>200.05999755859301</v>
      </c>
      <c r="T16" s="233">
        <v>0.93</v>
      </c>
      <c r="U16" s="234">
        <v>42620</v>
      </c>
      <c r="V16" s="232">
        <v>81.156822204589801</v>
      </c>
      <c r="W16" s="235">
        <v>0.53</v>
      </c>
      <c r="X16" s="117" t="s">
        <v>947</v>
      </c>
      <c r="Y16" s="118" t="s">
        <v>1004</v>
      </c>
      <c r="Z16" s="118" t="s">
        <v>1078</v>
      </c>
      <c r="AA16" s="118" t="s">
        <v>1148</v>
      </c>
      <c r="AB16" s="118" t="s">
        <v>1174</v>
      </c>
      <c r="AC16" s="118" t="s">
        <v>1196</v>
      </c>
      <c r="AD16" s="118" t="s">
        <v>1260</v>
      </c>
      <c r="AE16" s="118" t="s">
        <v>1288</v>
      </c>
      <c r="AF16" s="118" t="s">
        <v>1352</v>
      </c>
      <c r="AG16" s="118" t="s">
        <v>1380</v>
      </c>
      <c r="AH16" s="119" t="s">
        <v>1412</v>
      </c>
    </row>
    <row r="17" spans="1:34" ht="16.5" customHeight="1" thickBot="1">
      <c r="A17" s="102" t="s">
        <v>645</v>
      </c>
      <c r="B17" s="104"/>
      <c r="C17" s="104"/>
      <c r="D17" s="105" t="s">
        <v>831</v>
      </c>
      <c r="E17" s="374"/>
      <c r="F17" s="222" t="s">
        <v>185</v>
      </c>
      <c r="G17" s="223" t="s">
        <v>1442</v>
      </c>
      <c r="H17" s="224" t="str">
        <f t="shared" si="0"/>
        <v>ADSK</v>
      </c>
      <c r="I17" s="225" t="str">
        <f t="shared" si="1"/>
        <v>XLK</v>
      </c>
      <c r="J17" s="226" t="str">
        <f t="shared" si="2"/>
        <v>軟件-應用</v>
      </c>
      <c r="K17" s="227" t="str">
        <f t="shared" si="3"/>
        <v>.SPX</v>
      </c>
      <c r="L17" s="228">
        <v>0.34970000000000001</v>
      </c>
      <c r="M17" s="229">
        <v>328.82</v>
      </c>
      <c r="N17" s="228">
        <v>0.44690000000000002</v>
      </c>
      <c r="O17" s="228">
        <v>0.18479999999999999</v>
      </c>
      <c r="P17" s="228">
        <v>0.53380000000000005</v>
      </c>
      <c r="Q17" s="230">
        <v>0.2349</v>
      </c>
      <c r="R17" s="231">
        <v>0</v>
      </c>
      <c r="S17" s="232">
        <v>0</v>
      </c>
      <c r="T17" s="233">
        <v>0</v>
      </c>
      <c r="U17" s="234">
        <v>0</v>
      </c>
      <c r="V17" s="232">
        <v>0</v>
      </c>
      <c r="W17" s="235">
        <v>0</v>
      </c>
      <c r="X17" s="117" t="s">
        <v>948</v>
      </c>
      <c r="Y17" s="118" t="s">
        <v>1005</v>
      </c>
      <c r="Z17" s="118" t="s">
        <v>1079</v>
      </c>
      <c r="AA17" s="118" t="s">
        <v>1149</v>
      </c>
      <c r="AB17" s="118" t="s">
        <v>1175</v>
      </c>
      <c r="AC17" s="118" t="s">
        <v>1197</v>
      </c>
      <c r="AD17" s="118" t="s">
        <v>1261</v>
      </c>
      <c r="AE17" s="118" t="s">
        <v>1289</v>
      </c>
      <c r="AF17" s="118" t="s">
        <v>1353</v>
      </c>
      <c r="AG17" s="118" t="s">
        <v>1381</v>
      </c>
      <c r="AH17" s="119" t="s">
        <v>1413</v>
      </c>
    </row>
    <row r="18" spans="1:34" ht="16.5" customHeight="1" thickBot="1">
      <c r="A18" s="102" t="s">
        <v>656</v>
      </c>
      <c r="B18" s="104"/>
      <c r="C18" s="104"/>
      <c r="D18" s="105" t="s">
        <v>831</v>
      </c>
      <c r="E18" s="374"/>
      <c r="F18" s="222" t="s">
        <v>210</v>
      </c>
      <c r="G18" s="223" t="s">
        <v>1443</v>
      </c>
      <c r="H18" s="224" t="str">
        <f t="shared" si="0"/>
        <v>AEE</v>
      </c>
      <c r="I18" s="225" t="str">
        <f t="shared" si="1"/>
        <v>XLU</v>
      </c>
      <c r="J18" s="226" t="str">
        <f t="shared" si="2"/>
        <v>公用事業—受監督的電力</v>
      </c>
      <c r="K18" s="227" t="str">
        <f t="shared" si="3"/>
        <v>.SPX</v>
      </c>
      <c r="L18" s="228">
        <v>0.217</v>
      </c>
      <c r="M18" s="229">
        <v>86.18</v>
      </c>
      <c r="N18" s="228">
        <v>0.25659999999999999</v>
      </c>
      <c r="O18" s="228">
        <v>0.1384</v>
      </c>
      <c r="P18" s="228">
        <v>0.4335</v>
      </c>
      <c r="Q18" s="230">
        <v>0.13470000000000001</v>
      </c>
      <c r="R18" s="231">
        <v>44355</v>
      </c>
      <c r="S18" s="232">
        <v>84.75</v>
      </c>
      <c r="T18" s="233">
        <v>0.55000000000000004</v>
      </c>
      <c r="U18" s="234">
        <v>42619</v>
      </c>
      <c r="V18" s="232">
        <v>43.551914215087798</v>
      </c>
      <c r="W18" s="235">
        <v>0.42499999999999999</v>
      </c>
      <c r="X18" s="117" t="s">
        <v>949</v>
      </c>
      <c r="Y18" s="118" t="s">
        <v>1006</v>
      </c>
      <c r="Z18" s="118" t="s">
        <v>1080</v>
      </c>
      <c r="AA18" s="118" t="s">
        <v>1150</v>
      </c>
      <c r="AB18" s="118" t="s">
        <v>1176</v>
      </c>
      <c r="AC18" s="118" t="s">
        <v>1198</v>
      </c>
      <c r="AD18" s="118" t="s">
        <v>1262</v>
      </c>
      <c r="AE18" s="118" t="s">
        <v>1290</v>
      </c>
      <c r="AF18" s="118" t="s">
        <v>1354</v>
      </c>
      <c r="AG18" s="118" t="s">
        <v>1382</v>
      </c>
      <c r="AH18" s="119" t="s">
        <v>1414</v>
      </c>
    </row>
    <row r="19" spans="1:34" ht="16.5" customHeight="1" thickBot="1">
      <c r="A19" s="102" t="s">
        <v>654</v>
      </c>
      <c r="B19" s="104"/>
      <c r="C19" s="104"/>
      <c r="D19" s="105" t="s">
        <v>831</v>
      </c>
      <c r="E19" s="374"/>
      <c r="F19" s="222" t="s">
        <v>248</v>
      </c>
      <c r="G19" s="223" t="s">
        <v>1443</v>
      </c>
      <c r="H19" s="224" t="str">
        <f t="shared" si="0"/>
        <v>AEP</v>
      </c>
      <c r="I19" s="225" t="str">
        <f t="shared" si="1"/>
        <v>XLU</v>
      </c>
      <c r="J19" s="226" t="str">
        <f t="shared" si="2"/>
        <v>公用事業—受監督的電力</v>
      </c>
      <c r="K19" s="227" t="str">
        <f t="shared" si="3"/>
        <v>.SPX</v>
      </c>
      <c r="L19" s="228">
        <v>0.1668</v>
      </c>
      <c r="M19" s="229">
        <v>89.48</v>
      </c>
      <c r="N19" s="228">
        <v>0.27339999999999998</v>
      </c>
      <c r="O19" s="228">
        <v>0.1245</v>
      </c>
      <c r="P19" s="228">
        <v>0.31390000000000001</v>
      </c>
      <c r="Q19" s="230">
        <v>0.14499999999999999</v>
      </c>
      <c r="R19" s="231">
        <v>44323</v>
      </c>
      <c r="S19" s="232">
        <v>87.190002441406193</v>
      </c>
      <c r="T19" s="233">
        <v>0.74</v>
      </c>
      <c r="U19" s="234">
        <v>42590</v>
      </c>
      <c r="V19" s="232">
        <v>57.107906341552699</v>
      </c>
      <c r="W19" s="235">
        <v>0.56000000000000005</v>
      </c>
      <c r="X19" s="117" t="s">
        <v>761</v>
      </c>
      <c r="Y19" s="118" t="s">
        <v>1007</v>
      </c>
      <c r="Z19" s="118" t="s">
        <v>1081</v>
      </c>
      <c r="AA19" s="118" t="s">
        <v>1151</v>
      </c>
      <c r="AB19" s="118" t="s">
        <v>1177</v>
      </c>
      <c r="AC19" s="118" t="s">
        <v>1199</v>
      </c>
      <c r="AD19" s="118" t="s">
        <v>1263</v>
      </c>
      <c r="AE19" s="118" t="s">
        <v>1291</v>
      </c>
      <c r="AF19" s="118" t="s">
        <v>1355</v>
      </c>
      <c r="AG19" s="118" t="s">
        <v>1383</v>
      </c>
      <c r="AH19" s="119" t="s">
        <v>1415</v>
      </c>
    </row>
    <row r="20" spans="1:34" ht="16.5" customHeight="1" thickBot="1">
      <c r="A20" s="102" t="s">
        <v>652</v>
      </c>
      <c r="B20" s="104"/>
      <c r="C20" s="104"/>
      <c r="D20" s="105" t="s">
        <v>831</v>
      </c>
      <c r="E20" s="374"/>
      <c r="F20" s="222" t="s">
        <v>187</v>
      </c>
      <c r="G20" s="223" t="s">
        <v>1444</v>
      </c>
      <c r="H20" s="224" t="str">
        <f t="shared" si="0"/>
        <v>AES</v>
      </c>
      <c r="I20" s="225" t="str">
        <f t="shared" si="1"/>
        <v>XLU</v>
      </c>
      <c r="J20" s="226" t="str">
        <f t="shared" si="2"/>
        <v>公用事業-多樣化</v>
      </c>
      <c r="K20" s="227" t="str">
        <f t="shared" si="3"/>
        <v>.SPX</v>
      </c>
      <c r="L20" s="228">
        <v>0.27260000000000001</v>
      </c>
      <c r="M20" s="229">
        <v>24.85</v>
      </c>
      <c r="N20" s="228">
        <v>0.51080000000000003</v>
      </c>
      <c r="O20" s="228">
        <v>0.19489999999999999</v>
      </c>
      <c r="P20" s="228">
        <v>0.54149999999999998</v>
      </c>
      <c r="Q20" s="230">
        <v>0.2286</v>
      </c>
      <c r="R20" s="231">
        <v>44407</v>
      </c>
      <c r="S20" s="232">
        <v>23.7000007629394</v>
      </c>
      <c r="T20" s="233">
        <v>0.151</v>
      </c>
      <c r="U20" s="234">
        <v>42671</v>
      </c>
      <c r="V20" s="232">
        <v>9.8483171463012695</v>
      </c>
      <c r="W20" s="235">
        <v>0.11</v>
      </c>
      <c r="X20" s="117" t="s">
        <v>950</v>
      </c>
      <c r="Y20" s="118" t="s">
        <v>1008</v>
      </c>
      <c r="Z20" s="118" t="s">
        <v>1082</v>
      </c>
      <c r="AA20" s="118" t="s">
        <v>1152</v>
      </c>
      <c r="AB20" s="118" t="s">
        <v>1178</v>
      </c>
      <c r="AC20" s="118" t="s">
        <v>1200</v>
      </c>
      <c r="AD20" s="118" t="s">
        <v>1264</v>
      </c>
      <c r="AE20" s="118" t="s">
        <v>1292</v>
      </c>
      <c r="AF20" s="118" t="s">
        <v>1356</v>
      </c>
      <c r="AG20" s="118" t="s">
        <v>1384</v>
      </c>
      <c r="AH20" s="119" t="s">
        <v>1416</v>
      </c>
    </row>
    <row r="21" spans="1:34" ht="16.5" customHeight="1" thickBot="1">
      <c r="A21" s="102" t="s">
        <v>657</v>
      </c>
      <c r="B21" s="104"/>
      <c r="C21" s="104"/>
      <c r="D21" s="105" t="s">
        <v>831</v>
      </c>
      <c r="E21" s="374"/>
      <c r="F21" s="222" t="s">
        <v>377</v>
      </c>
      <c r="G21" s="223" t="s">
        <v>1445</v>
      </c>
      <c r="H21" s="224" t="str">
        <f t="shared" si="0"/>
        <v>AFL</v>
      </c>
      <c r="I21" s="225" t="str">
        <f t="shared" si="1"/>
        <v>XLF</v>
      </c>
      <c r="J21" s="226" t="str">
        <f t="shared" si="2"/>
        <v>保險-人壽保險</v>
      </c>
      <c r="K21" s="227" t="str">
        <f t="shared" si="3"/>
        <v>.SPX</v>
      </c>
      <c r="L21" s="228">
        <v>0.1981</v>
      </c>
      <c r="M21" s="229">
        <v>55.97</v>
      </c>
      <c r="N21" s="228">
        <v>0.4844</v>
      </c>
      <c r="O21" s="228">
        <v>0.13900000000000001</v>
      </c>
      <c r="P21" s="228">
        <v>0.4093</v>
      </c>
      <c r="Q21" s="230">
        <v>0.16699999999999998</v>
      </c>
      <c r="R21" s="231">
        <v>44334</v>
      </c>
      <c r="S21" s="232">
        <v>55.909999847412102</v>
      </c>
      <c r="T21" s="233">
        <v>0.33</v>
      </c>
      <c r="U21" s="234">
        <v>42604</v>
      </c>
      <c r="V21" s="232">
        <v>32.450428009033203</v>
      </c>
      <c r="W21" s="235">
        <v>0.20499999999999999</v>
      </c>
      <c r="X21" s="117" t="s">
        <v>951</v>
      </c>
      <c r="Y21" s="118" t="s">
        <v>1009</v>
      </c>
      <c r="Z21" s="118" t="s">
        <v>1083</v>
      </c>
      <c r="AA21" s="118" t="s">
        <v>1153</v>
      </c>
      <c r="AB21" s="118" t="s">
        <v>1179</v>
      </c>
      <c r="AC21" s="118" t="s">
        <v>749</v>
      </c>
      <c r="AD21" s="118" t="s">
        <v>1265</v>
      </c>
      <c r="AE21" s="118" t="s">
        <v>1293</v>
      </c>
      <c r="AF21" s="118" t="s">
        <v>1357</v>
      </c>
      <c r="AG21" s="118" t="s">
        <v>1385</v>
      </c>
      <c r="AH21" s="119" t="s">
        <v>1417</v>
      </c>
    </row>
    <row r="22" spans="1:34" ht="16.5" customHeight="1" thickBot="1">
      <c r="A22" s="102" t="s">
        <v>777</v>
      </c>
      <c r="B22" s="104"/>
      <c r="C22" s="104" t="s">
        <v>772</v>
      </c>
      <c r="D22" s="105" t="s">
        <v>659</v>
      </c>
      <c r="E22" s="374"/>
      <c r="F22" s="222" t="s">
        <v>419</v>
      </c>
      <c r="G22" s="223" t="s">
        <v>1446</v>
      </c>
      <c r="H22" s="224" t="str">
        <f t="shared" si="0"/>
        <v>AIG</v>
      </c>
      <c r="I22" s="225" t="str">
        <f t="shared" si="1"/>
        <v>XLF</v>
      </c>
      <c r="J22" s="226" t="str">
        <f t="shared" si="2"/>
        <v>保險-多樣化</v>
      </c>
      <c r="K22" s="227" t="str">
        <f t="shared" si="3"/>
        <v>.SPX</v>
      </c>
      <c r="L22" s="228">
        <v>0.33250000000000002</v>
      </c>
      <c r="M22" s="229">
        <v>50.92</v>
      </c>
      <c r="N22" s="228">
        <v>0.58199999999999996</v>
      </c>
      <c r="O22" s="228">
        <v>0.22459999999999999</v>
      </c>
      <c r="P22" s="228">
        <v>0.57030000000000003</v>
      </c>
      <c r="Q22" s="230">
        <v>0.22039999999999998</v>
      </c>
      <c r="R22" s="231">
        <v>44361</v>
      </c>
      <c r="S22" s="232">
        <v>51.099998474121001</v>
      </c>
      <c r="T22" s="233">
        <v>0.32</v>
      </c>
      <c r="U22" s="234">
        <v>42626</v>
      </c>
      <c r="V22" s="232">
        <v>51.029327392578097</v>
      </c>
      <c r="W22" s="235">
        <v>0.32</v>
      </c>
      <c r="X22" s="117" t="s">
        <v>952</v>
      </c>
      <c r="Y22" s="118" t="s">
        <v>1010</v>
      </c>
      <c r="Z22" s="118" t="s">
        <v>1084</v>
      </c>
      <c r="AA22" s="118" t="s">
        <v>1154</v>
      </c>
      <c r="AB22" s="118" t="s">
        <v>1180</v>
      </c>
      <c r="AC22" s="118" t="s">
        <v>1201</v>
      </c>
      <c r="AD22" s="118" t="s">
        <v>1266</v>
      </c>
      <c r="AE22" s="118" t="s">
        <v>1294</v>
      </c>
      <c r="AF22" s="118" t="s">
        <v>1358</v>
      </c>
      <c r="AG22" s="118" t="s">
        <v>1386</v>
      </c>
      <c r="AH22" s="119" t="s">
        <v>1418</v>
      </c>
    </row>
    <row r="23" spans="1:34" ht="16.5" customHeight="1" thickBot="1">
      <c r="A23" s="102" t="s">
        <v>786</v>
      </c>
      <c r="B23" s="104"/>
      <c r="C23" s="104" t="s">
        <v>892</v>
      </c>
      <c r="D23" s="105" t="s">
        <v>659</v>
      </c>
      <c r="E23" s="374"/>
      <c r="F23" s="222" t="s">
        <v>347</v>
      </c>
      <c r="G23" s="223" t="s">
        <v>1447</v>
      </c>
      <c r="H23" s="224" t="str">
        <f t="shared" si="0"/>
        <v>AIZ</v>
      </c>
      <c r="I23" s="225" t="str">
        <f t="shared" si="1"/>
        <v>XLF</v>
      </c>
      <c r="J23" s="226" t="str">
        <f t="shared" si="2"/>
        <v>保險-專業</v>
      </c>
      <c r="K23" s="227" t="str">
        <f t="shared" si="3"/>
        <v>.SPX</v>
      </c>
      <c r="L23" s="228">
        <v>0.216</v>
      </c>
      <c r="M23" s="229">
        <v>160.35</v>
      </c>
      <c r="N23" s="228">
        <v>0.47339999999999999</v>
      </c>
      <c r="O23" s="228">
        <v>0.13789999999999999</v>
      </c>
      <c r="P23" s="228">
        <v>0.57030000000000003</v>
      </c>
      <c r="Q23" s="230">
        <v>0.193</v>
      </c>
      <c r="R23" s="231">
        <v>44344</v>
      </c>
      <c r="S23" s="232">
        <v>161.14999389648401</v>
      </c>
      <c r="T23" s="233">
        <v>0.66</v>
      </c>
      <c r="U23" s="234">
        <v>42607</v>
      </c>
      <c r="V23" s="232">
        <v>79.0133056640625</v>
      </c>
      <c r="W23" s="235">
        <v>0.5</v>
      </c>
      <c r="X23" s="117" t="s">
        <v>953</v>
      </c>
      <c r="Y23" s="118" t="s">
        <v>1011</v>
      </c>
      <c r="Z23" s="118" t="s">
        <v>1085</v>
      </c>
      <c r="AA23" s="118" t="s">
        <v>1155</v>
      </c>
      <c r="AB23" s="118" t="s">
        <v>1181</v>
      </c>
      <c r="AC23" s="118" t="s">
        <v>1202</v>
      </c>
      <c r="AD23" s="118" t="s">
        <v>1267</v>
      </c>
      <c r="AE23" s="118" t="s">
        <v>1295</v>
      </c>
      <c r="AF23" s="118" t="s">
        <v>1359</v>
      </c>
      <c r="AG23" s="118" t="s">
        <v>1387</v>
      </c>
      <c r="AH23" s="119" t="s">
        <v>1419</v>
      </c>
    </row>
    <row r="24" spans="1:34" ht="16.5" customHeight="1" thickBot="1">
      <c r="A24" s="102" t="s">
        <v>807</v>
      </c>
      <c r="B24" s="104"/>
      <c r="C24" s="104" t="s">
        <v>893</v>
      </c>
      <c r="D24" s="105" t="s">
        <v>659</v>
      </c>
      <c r="E24" s="374"/>
      <c r="F24" s="222" t="s">
        <v>305</v>
      </c>
      <c r="G24" s="223" t="s">
        <v>1448</v>
      </c>
      <c r="H24" s="224" t="str">
        <f t="shared" si="0"/>
        <v>AJG</v>
      </c>
      <c r="I24" s="225" t="str">
        <f t="shared" si="1"/>
        <v>XLF</v>
      </c>
      <c r="J24" s="226" t="str">
        <f t="shared" si="2"/>
        <v>保險經紀</v>
      </c>
      <c r="K24" s="227" t="str">
        <f t="shared" si="3"/>
        <v>.SPX</v>
      </c>
      <c r="L24" s="228">
        <v>0.2054</v>
      </c>
      <c r="M24" s="229">
        <v>138.62</v>
      </c>
      <c r="N24" s="228">
        <v>0.24610000000000001</v>
      </c>
      <c r="O24" s="228">
        <v>0.1249</v>
      </c>
      <c r="P24" s="228">
        <v>0.3589</v>
      </c>
      <c r="Q24" s="230">
        <v>0.1646</v>
      </c>
      <c r="R24" s="231">
        <v>44350</v>
      </c>
      <c r="S24" s="232">
        <v>144.58000183105401</v>
      </c>
      <c r="T24" s="233">
        <v>0.48</v>
      </c>
      <c r="U24" s="234">
        <v>42613</v>
      </c>
      <c r="V24" s="232">
        <v>44.6743965148925</v>
      </c>
      <c r="W24" s="235">
        <v>0.38</v>
      </c>
      <c r="X24" s="117" t="s">
        <v>954</v>
      </c>
      <c r="Y24" s="118" t="s">
        <v>1012</v>
      </c>
      <c r="Z24" s="118" t="s">
        <v>1086</v>
      </c>
      <c r="AA24" s="118" t="s">
        <v>1156</v>
      </c>
      <c r="AB24" s="118" t="s">
        <v>1182</v>
      </c>
      <c r="AC24" s="118" t="s">
        <v>1203</v>
      </c>
      <c r="AD24" s="118" t="s">
        <v>1268</v>
      </c>
      <c r="AE24" s="118" t="s">
        <v>1296</v>
      </c>
      <c r="AF24" s="118" t="s">
        <v>1360</v>
      </c>
      <c r="AG24" s="118" t="s">
        <v>1388</v>
      </c>
      <c r="AH24" s="119" t="s">
        <v>1420</v>
      </c>
    </row>
    <row r="25" spans="1:34" ht="16.5" customHeight="1" thickBot="1">
      <c r="A25" s="102" t="s">
        <v>698</v>
      </c>
      <c r="B25" s="104"/>
      <c r="C25" s="104"/>
      <c r="D25" s="105" t="s">
        <v>659</v>
      </c>
      <c r="E25" s="374"/>
      <c r="F25" s="222" t="s">
        <v>130</v>
      </c>
      <c r="G25" s="223" t="s">
        <v>1438</v>
      </c>
      <c r="H25" s="224" t="str">
        <f t="shared" si="0"/>
        <v>AKAM</v>
      </c>
      <c r="I25" s="225" t="str">
        <f t="shared" si="1"/>
        <v>XLK</v>
      </c>
      <c r="J25" s="226" t="str">
        <f t="shared" si="2"/>
        <v>軟件基礎設施</v>
      </c>
      <c r="K25" s="227" t="str">
        <f t="shared" si="3"/>
        <v>.SPX</v>
      </c>
      <c r="L25" s="228">
        <v>0.2127</v>
      </c>
      <c r="M25" s="229">
        <v>113.38</v>
      </c>
      <c r="N25" s="228">
        <v>0.51390000000000002</v>
      </c>
      <c r="O25" s="228">
        <v>0.11260000000000001</v>
      </c>
      <c r="P25" s="228">
        <v>0.47450000000000003</v>
      </c>
      <c r="Q25" s="230">
        <v>0.18739999999999998</v>
      </c>
      <c r="R25" s="231">
        <v>0</v>
      </c>
      <c r="S25" s="232">
        <v>0</v>
      </c>
      <c r="T25" s="233">
        <v>0</v>
      </c>
      <c r="U25" s="234">
        <v>0</v>
      </c>
      <c r="V25" s="232">
        <v>0</v>
      </c>
      <c r="W25" s="235">
        <v>0</v>
      </c>
      <c r="X25" s="117" t="s">
        <v>955</v>
      </c>
      <c r="Y25" s="118" t="s">
        <v>1013</v>
      </c>
      <c r="Z25" s="118" t="s">
        <v>1087</v>
      </c>
      <c r="AA25" s="118" t="s">
        <v>1157</v>
      </c>
      <c r="AB25" s="118" t="s">
        <v>1183</v>
      </c>
      <c r="AC25" s="118" t="s">
        <v>1204</v>
      </c>
      <c r="AD25" s="118" t="s">
        <v>1269</v>
      </c>
      <c r="AE25" s="118" t="s">
        <v>1297</v>
      </c>
      <c r="AF25" s="118" t="s">
        <v>1361</v>
      </c>
      <c r="AG25" s="118" t="s">
        <v>1389</v>
      </c>
      <c r="AH25" s="119" t="s">
        <v>1421</v>
      </c>
    </row>
    <row r="26" spans="1:34" ht="16.5" customHeight="1" thickBot="1">
      <c r="A26" s="102" t="s">
        <v>696</v>
      </c>
      <c r="B26" s="104"/>
      <c r="C26" s="104"/>
      <c r="D26" s="105" t="s">
        <v>659</v>
      </c>
      <c r="E26" s="374"/>
      <c r="F26" s="222" t="s">
        <v>514</v>
      </c>
      <c r="G26" s="223" t="s">
        <v>1449</v>
      </c>
      <c r="H26" s="224" t="str">
        <f t="shared" si="0"/>
        <v>ALB</v>
      </c>
      <c r="I26" s="225" t="str">
        <f t="shared" si="1"/>
        <v>XLB</v>
      </c>
      <c r="J26" s="226" t="str">
        <f t="shared" si="2"/>
        <v>特種化學品</v>
      </c>
      <c r="K26" s="227" t="str">
        <f t="shared" si="3"/>
        <v>.SPX</v>
      </c>
      <c r="L26" s="228">
        <v>0.41199999999999998</v>
      </c>
      <c r="M26" s="229">
        <v>218.62</v>
      </c>
      <c r="N26" s="228">
        <v>0.67769999999999997</v>
      </c>
      <c r="O26" s="228">
        <v>0.29899999999999999</v>
      </c>
      <c r="P26" s="228">
        <v>0.66430000000000011</v>
      </c>
      <c r="Q26" s="230">
        <v>0.32969999999999999</v>
      </c>
      <c r="R26" s="231">
        <v>44357</v>
      </c>
      <c r="S26" s="232">
        <v>167.77999877929599</v>
      </c>
      <c r="T26" s="233">
        <v>0.39</v>
      </c>
      <c r="U26" s="234">
        <v>42626</v>
      </c>
      <c r="V26" s="232">
        <v>70.930023193359304</v>
      </c>
      <c r="W26" s="235">
        <v>0.30499999999999999</v>
      </c>
      <c r="X26" s="117" t="s">
        <v>956</v>
      </c>
      <c r="Y26" s="118" t="s">
        <v>1014</v>
      </c>
      <c r="Z26" s="118" t="s">
        <v>768</v>
      </c>
      <c r="AA26" s="118" t="s">
        <v>1158</v>
      </c>
      <c r="AB26" s="118"/>
      <c r="AC26" s="118" t="s">
        <v>1205</v>
      </c>
      <c r="AD26" s="118" t="s">
        <v>1270</v>
      </c>
      <c r="AE26" s="118" t="s">
        <v>1298</v>
      </c>
      <c r="AF26" s="118" t="s">
        <v>1362</v>
      </c>
      <c r="AG26" s="118" t="s">
        <v>1390</v>
      </c>
      <c r="AH26" s="119" t="s">
        <v>1422</v>
      </c>
    </row>
    <row r="27" spans="1:34" ht="16.5" customHeight="1" thickBot="1">
      <c r="A27" s="102" t="s">
        <v>678</v>
      </c>
      <c r="B27" s="104"/>
      <c r="C27" s="104"/>
      <c r="D27" s="105" t="s">
        <v>659</v>
      </c>
      <c r="E27" s="374"/>
      <c r="F27" s="222" t="s">
        <v>23</v>
      </c>
      <c r="G27" s="223" t="s">
        <v>1436</v>
      </c>
      <c r="H27" s="224" t="str">
        <f t="shared" si="0"/>
        <v>ALGN</v>
      </c>
      <c r="I27" s="225" t="str">
        <f t="shared" si="1"/>
        <v>XLV</v>
      </c>
      <c r="J27" s="226" t="str">
        <f t="shared" si="2"/>
        <v>醫療設備</v>
      </c>
      <c r="K27" s="227" t="str">
        <f t="shared" si="3"/>
        <v>.SPX</v>
      </c>
      <c r="L27" s="228">
        <v>0.3327</v>
      </c>
      <c r="M27" s="229">
        <v>699.22</v>
      </c>
      <c r="N27" s="228">
        <v>0.96009999999999995</v>
      </c>
      <c r="O27" s="228">
        <v>0.23430000000000001</v>
      </c>
      <c r="P27" s="228">
        <v>0.77800000000000002</v>
      </c>
      <c r="Q27" s="230">
        <v>0.30649999999999999</v>
      </c>
      <c r="R27" s="231">
        <v>0</v>
      </c>
      <c r="S27" s="232">
        <v>0</v>
      </c>
      <c r="T27" s="233">
        <v>0</v>
      </c>
      <c r="U27" s="234">
        <v>0</v>
      </c>
      <c r="V27" s="232">
        <v>0</v>
      </c>
      <c r="W27" s="235">
        <v>0</v>
      </c>
      <c r="X27" s="117" t="s">
        <v>957</v>
      </c>
      <c r="Y27" s="118" t="s">
        <v>1015</v>
      </c>
      <c r="Z27" s="118" t="s">
        <v>1088</v>
      </c>
      <c r="AA27" s="118" t="s">
        <v>1159</v>
      </c>
      <c r="AB27" s="118"/>
      <c r="AC27" s="118" t="s">
        <v>1206</v>
      </c>
      <c r="AD27" s="118" t="s">
        <v>1271</v>
      </c>
      <c r="AE27" s="118" t="s">
        <v>1299</v>
      </c>
      <c r="AF27" s="118" t="s">
        <v>1363</v>
      </c>
      <c r="AG27" s="118" t="s">
        <v>1391</v>
      </c>
      <c r="AH27" s="119" t="s">
        <v>1423</v>
      </c>
    </row>
    <row r="28" spans="1:34" ht="16.5" customHeight="1" thickBot="1">
      <c r="A28" s="102" t="s">
        <v>793</v>
      </c>
      <c r="B28" s="104"/>
      <c r="C28" s="104" t="s">
        <v>773</v>
      </c>
      <c r="D28" s="105" t="s">
        <v>659</v>
      </c>
      <c r="E28" s="374"/>
      <c r="F28" s="222" t="s">
        <v>415</v>
      </c>
      <c r="G28" s="223" t="s">
        <v>1431</v>
      </c>
      <c r="H28" s="224" t="str">
        <f t="shared" si="0"/>
        <v>ALK</v>
      </c>
      <c r="I28" s="225" t="str">
        <f t="shared" si="1"/>
        <v>XLI</v>
      </c>
      <c r="J28" s="226" t="str">
        <f t="shared" si="2"/>
        <v>航空公司</v>
      </c>
      <c r="K28" s="227" t="str">
        <f t="shared" si="3"/>
        <v>.SPX</v>
      </c>
      <c r="L28" s="228">
        <v>0.3967</v>
      </c>
      <c r="M28" s="229">
        <v>57.45</v>
      </c>
      <c r="N28" s="228">
        <v>0.72829999999999995</v>
      </c>
      <c r="O28" s="228">
        <v>0.2359</v>
      </c>
      <c r="P28" s="228">
        <v>0.67480000000000007</v>
      </c>
      <c r="Q28" s="230">
        <v>0.3322</v>
      </c>
      <c r="R28" s="231">
        <v>43875</v>
      </c>
      <c r="S28" s="232">
        <v>66.110000610351506</v>
      </c>
      <c r="T28" s="233">
        <v>0.375</v>
      </c>
      <c r="U28" s="234">
        <v>42598</v>
      </c>
      <c r="V28" s="232">
        <v>61.776374816894503</v>
      </c>
      <c r="W28" s="235">
        <v>0.27500000000000002</v>
      </c>
      <c r="X28" s="117" t="s">
        <v>958</v>
      </c>
      <c r="Y28" s="118" t="s">
        <v>1016</v>
      </c>
      <c r="Z28" s="118" t="s">
        <v>1089</v>
      </c>
      <c r="AA28" s="118" t="s">
        <v>1160</v>
      </c>
      <c r="AB28" s="118"/>
      <c r="AC28" s="118" t="s">
        <v>1207</v>
      </c>
      <c r="AD28" s="118" t="s">
        <v>1272</v>
      </c>
      <c r="AE28" s="118" t="s">
        <v>1300</v>
      </c>
      <c r="AF28" s="118" t="s">
        <v>1364</v>
      </c>
      <c r="AG28" s="118" t="s">
        <v>1392</v>
      </c>
      <c r="AH28" s="119" t="s">
        <v>1424</v>
      </c>
    </row>
    <row r="29" spans="1:34" ht="16.5" customHeight="1" thickBot="1">
      <c r="A29" s="102" t="s">
        <v>787</v>
      </c>
      <c r="B29" s="104"/>
      <c r="C29" s="104" t="s">
        <v>894</v>
      </c>
      <c r="D29" s="105" t="s">
        <v>659</v>
      </c>
      <c r="E29" s="374"/>
      <c r="F29" s="222" t="s">
        <v>429</v>
      </c>
      <c r="G29" s="223" t="s">
        <v>1450</v>
      </c>
      <c r="H29" s="224" t="str">
        <f t="shared" si="0"/>
        <v>ALL</v>
      </c>
      <c r="I29" s="225" t="str">
        <f t="shared" si="1"/>
        <v>XLF</v>
      </c>
      <c r="J29" s="226" t="str">
        <f t="shared" si="2"/>
        <v>保險-財產及意外事故</v>
      </c>
      <c r="K29" s="227" t="str">
        <f t="shared" si="3"/>
        <v>.SPX</v>
      </c>
      <c r="L29" s="228">
        <v>0.22220000000000001</v>
      </c>
      <c r="M29" s="229">
        <v>127.93</v>
      </c>
      <c r="N29" s="228">
        <v>0.32</v>
      </c>
      <c r="O29" s="228">
        <v>0.13869999999999999</v>
      </c>
      <c r="P29" s="228">
        <v>0.35389999999999999</v>
      </c>
      <c r="Q29" s="230">
        <v>0.18160000000000001</v>
      </c>
      <c r="R29" s="231">
        <v>44350</v>
      </c>
      <c r="S29" s="232">
        <v>136.259994506835</v>
      </c>
      <c r="T29" s="233">
        <v>0.81</v>
      </c>
      <c r="U29" s="234">
        <v>42611</v>
      </c>
      <c r="V29" s="232">
        <v>62.4785346984863</v>
      </c>
      <c r="W29" s="235">
        <v>0.33</v>
      </c>
      <c r="X29" s="117" t="s">
        <v>959</v>
      </c>
      <c r="Y29" s="118" t="s">
        <v>1017</v>
      </c>
      <c r="Z29" s="118" t="s">
        <v>1090</v>
      </c>
      <c r="AA29" s="118" t="s">
        <v>1161</v>
      </c>
      <c r="AB29" s="118"/>
      <c r="AC29" s="118" t="s">
        <v>1208</v>
      </c>
      <c r="AD29" s="118" t="s">
        <v>1273</v>
      </c>
      <c r="AE29" s="118" t="s">
        <v>1301</v>
      </c>
      <c r="AF29" s="118" t="s">
        <v>1365</v>
      </c>
      <c r="AG29" s="118" t="s">
        <v>1393</v>
      </c>
      <c r="AH29" s="119" t="s">
        <v>1425</v>
      </c>
    </row>
    <row r="30" spans="1:34" ht="16.5" customHeight="1" thickBot="1">
      <c r="A30" s="102" t="s">
        <v>669</v>
      </c>
      <c r="B30" s="104"/>
      <c r="C30" s="104"/>
      <c r="D30" s="105" t="s">
        <v>659</v>
      </c>
      <c r="E30" s="374"/>
      <c r="F30" s="222" t="s">
        <v>235</v>
      </c>
      <c r="G30" s="223" t="s">
        <v>1451</v>
      </c>
      <c r="H30" s="224" t="str">
        <f t="shared" si="0"/>
        <v>ALLE</v>
      </c>
      <c r="I30" s="225" t="str">
        <f t="shared" si="1"/>
        <v>XLI</v>
      </c>
      <c r="J30" s="226" t="str">
        <f t="shared" si="2"/>
        <v>保安及保護服務</v>
      </c>
      <c r="K30" s="227" t="str">
        <f t="shared" si="3"/>
        <v>.SPX</v>
      </c>
      <c r="L30" s="228">
        <v>0.2238</v>
      </c>
      <c r="M30" s="236">
        <v>137.30000000000001</v>
      </c>
      <c r="N30" s="228">
        <v>0.41360000000000002</v>
      </c>
      <c r="O30" s="228">
        <v>0.1206</v>
      </c>
      <c r="P30" s="228">
        <v>0.50039999999999996</v>
      </c>
      <c r="Q30" s="230">
        <v>0.1963</v>
      </c>
      <c r="R30" s="231">
        <v>44362</v>
      </c>
      <c r="S30" s="232">
        <v>138.5</v>
      </c>
      <c r="T30" s="233">
        <v>0.36</v>
      </c>
      <c r="U30" s="234">
        <v>42626</v>
      </c>
      <c r="V30" s="232">
        <v>63.457183837890597</v>
      </c>
      <c r="W30" s="235">
        <v>0.12</v>
      </c>
      <c r="X30" s="117" t="s">
        <v>960</v>
      </c>
      <c r="Y30" s="118" t="s">
        <v>1018</v>
      </c>
      <c r="Z30" s="118" t="s">
        <v>1091</v>
      </c>
      <c r="AA30" s="120"/>
      <c r="AB30" s="118"/>
      <c r="AC30" s="118" t="s">
        <v>1209</v>
      </c>
      <c r="AD30" s="118" t="s">
        <v>1274</v>
      </c>
      <c r="AE30" s="118" t="s">
        <v>1302</v>
      </c>
      <c r="AF30" s="118" t="s">
        <v>1366</v>
      </c>
      <c r="AG30" s="118" t="s">
        <v>1394</v>
      </c>
      <c r="AH30" s="119" t="s">
        <v>1426</v>
      </c>
    </row>
    <row r="31" spans="1:34" ht="16.5" customHeight="1" thickBot="1">
      <c r="A31" s="102" t="s">
        <v>801</v>
      </c>
      <c r="B31" s="104"/>
      <c r="C31" s="104" t="s">
        <v>895</v>
      </c>
      <c r="D31" s="105" t="s">
        <v>659</v>
      </c>
      <c r="E31" s="374"/>
      <c r="F31" s="222" t="s">
        <v>74</v>
      </c>
      <c r="G31" s="223" t="s">
        <v>1452</v>
      </c>
      <c r="H31" s="224" t="str">
        <f t="shared" si="0"/>
        <v>AMAT</v>
      </c>
      <c r="I31" s="225" t="str">
        <f t="shared" si="1"/>
        <v>XLK</v>
      </c>
      <c r="J31" s="226" t="str">
        <f t="shared" si="2"/>
        <v>半導體設備與材料</v>
      </c>
      <c r="K31" s="227" t="str">
        <f t="shared" si="3"/>
        <v>.SPX</v>
      </c>
      <c r="L31" s="228">
        <v>0.37169999999999997</v>
      </c>
      <c r="M31" s="229">
        <v>142.27000000000001</v>
      </c>
      <c r="N31" s="228">
        <v>0.70620000000000005</v>
      </c>
      <c r="O31" s="228">
        <v>0.24970000000000001</v>
      </c>
      <c r="P31" s="228">
        <v>0.55049999999999999</v>
      </c>
      <c r="Q31" s="230">
        <v>0.29199999999999998</v>
      </c>
      <c r="R31" s="231">
        <v>44342</v>
      </c>
      <c r="S31" s="232">
        <v>136.89999389648401</v>
      </c>
      <c r="T31" s="233">
        <v>0.24</v>
      </c>
      <c r="U31" s="234">
        <v>42605</v>
      </c>
      <c r="V31" s="232">
        <v>28.1075630187988</v>
      </c>
      <c r="W31" s="235">
        <v>0.1</v>
      </c>
      <c r="X31" s="117" t="s">
        <v>961</v>
      </c>
      <c r="Y31" s="118" t="s">
        <v>1019</v>
      </c>
      <c r="Z31" s="118" t="s">
        <v>1092</v>
      </c>
      <c r="AA31" s="121"/>
      <c r="AB31" s="118"/>
      <c r="AC31" s="118" t="s">
        <v>1210</v>
      </c>
      <c r="AD31" s="118" t="s">
        <v>1275</v>
      </c>
      <c r="AE31" s="118" t="s">
        <v>1303</v>
      </c>
      <c r="AF31" s="118" t="s">
        <v>1367</v>
      </c>
      <c r="AG31" s="118" t="s">
        <v>1395</v>
      </c>
      <c r="AH31" s="119" t="s">
        <v>1427</v>
      </c>
    </row>
    <row r="32" spans="1:34" ht="16.5" customHeight="1" thickBot="1">
      <c r="A32" s="102" t="s">
        <v>711</v>
      </c>
      <c r="B32" s="104"/>
      <c r="C32" s="104"/>
      <c r="D32" s="105" t="s">
        <v>659</v>
      </c>
      <c r="E32" s="374"/>
      <c r="F32" s="222" t="s">
        <v>300</v>
      </c>
      <c r="G32" s="223" t="s">
        <v>1453</v>
      </c>
      <c r="H32" s="224" t="str">
        <f t="shared" si="0"/>
        <v>AMCR</v>
      </c>
      <c r="I32" s="225" t="str">
        <f t="shared" si="1"/>
        <v>XLB</v>
      </c>
      <c r="J32" s="226" t="str">
        <f t="shared" si="2"/>
        <v>包裝和容器</v>
      </c>
      <c r="K32" s="227" t="str">
        <f t="shared" si="3"/>
        <v>.SPX</v>
      </c>
      <c r="L32" s="228">
        <v>0.24099999999999999</v>
      </c>
      <c r="M32" s="229">
        <v>11.81</v>
      </c>
      <c r="N32" s="228">
        <v>0.33850000000000002</v>
      </c>
      <c r="O32" s="228">
        <v>0.125</v>
      </c>
      <c r="P32" s="228">
        <v>0.46679999999999999</v>
      </c>
      <c r="Q32" s="230">
        <v>0.21170000000000003</v>
      </c>
      <c r="R32" s="231">
        <v>44341</v>
      </c>
      <c r="S32" s="232">
        <v>11.7200002670288</v>
      </c>
      <c r="T32" s="233">
        <v>0.11799999999999999</v>
      </c>
      <c r="U32" s="234">
        <v>42619</v>
      </c>
      <c r="V32" s="232">
        <v>9.6092338562011701</v>
      </c>
      <c r="W32" s="235">
        <v>0.22</v>
      </c>
      <c r="X32" s="117" t="s">
        <v>962</v>
      </c>
      <c r="Y32" s="118" t="s">
        <v>1020</v>
      </c>
      <c r="Z32" s="118" t="s">
        <v>1093</v>
      </c>
      <c r="AA32" s="118"/>
      <c r="AB32" s="118"/>
      <c r="AC32" s="118" t="s">
        <v>1211</v>
      </c>
      <c r="AD32" s="118" t="s">
        <v>1276</v>
      </c>
      <c r="AE32" s="118" t="s">
        <v>1304</v>
      </c>
      <c r="AF32" s="118"/>
      <c r="AG32" s="118" t="s">
        <v>1396</v>
      </c>
      <c r="AH32" s="122"/>
    </row>
    <row r="33" spans="1:34" ht="16.5" customHeight="1" thickBot="1">
      <c r="A33" s="102" t="s">
        <v>676</v>
      </c>
      <c r="B33" s="104"/>
      <c r="C33" s="104"/>
      <c r="D33" s="105" t="s">
        <v>659</v>
      </c>
      <c r="E33" s="374"/>
      <c r="F33" s="222" t="s">
        <v>18</v>
      </c>
      <c r="G33" s="223" t="s">
        <v>1439</v>
      </c>
      <c r="H33" s="224" t="str">
        <f t="shared" si="0"/>
        <v>AMD</v>
      </c>
      <c r="I33" s="225" t="str">
        <f t="shared" si="1"/>
        <v>XLK</v>
      </c>
      <c r="J33" s="226" t="str">
        <f t="shared" si="2"/>
        <v>半導體</v>
      </c>
      <c r="K33" s="227" t="str">
        <f t="shared" si="3"/>
        <v>.SPX</v>
      </c>
      <c r="L33" s="228">
        <v>0.36330000000000001</v>
      </c>
      <c r="M33" s="229">
        <v>106.22</v>
      </c>
      <c r="N33" s="228">
        <v>0.55640000000000001</v>
      </c>
      <c r="O33" s="228">
        <v>0.24460000000000001</v>
      </c>
      <c r="P33" s="228">
        <v>0.6976</v>
      </c>
      <c r="Q33" s="230">
        <v>0.28339999999999999</v>
      </c>
      <c r="R33" s="231">
        <v>0</v>
      </c>
      <c r="S33" s="232">
        <v>0</v>
      </c>
      <c r="T33" s="233">
        <v>0</v>
      </c>
      <c r="U33" s="234">
        <v>0</v>
      </c>
      <c r="V33" s="232">
        <v>0</v>
      </c>
      <c r="W33" s="235">
        <v>0</v>
      </c>
      <c r="X33" s="117" t="s">
        <v>963</v>
      </c>
      <c r="Y33" s="118" t="s">
        <v>1021</v>
      </c>
      <c r="Z33" s="118" t="s">
        <v>1094</v>
      </c>
      <c r="AA33" s="118"/>
      <c r="AB33" s="118"/>
      <c r="AC33" s="118" t="s">
        <v>1212</v>
      </c>
      <c r="AD33" s="118"/>
      <c r="AE33" s="118" t="s">
        <v>1305</v>
      </c>
      <c r="AF33" s="118"/>
      <c r="AG33" s="118" t="s">
        <v>1397</v>
      </c>
      <c r="AH33" s="122"/>
    </row>
    <row r="34" spans="1:34" ht="16.5" customHeight="1" thickBot="1">
      <c r="A34" s="102" t="s">
        <v>810</v>
      </c>
      <c r="B34" s="104"/>
      <c r="C34" s="104" t="s">
        <v>893</v>
      </c>
      <c r="D34" s="105" t="s">
        <v>659</v>
      </c>
      <c r="E34" s="374"/>
      <c r="F34" s="222" t="s">
        <v>225</v>
      </c>
      <c r="G34" s="223" t="s">
        <v>1454</v>
      </c>
      <c r="H34" s="224" t="str">
        <f t="shared" si="0"/>
        <v>AME</v>
      </c>
      <c r="I34" s="225" t="str">
        <f t="shared" si="1"/>
        <v>XLI</v>
      </c>
      <c r="J34" s="226" t="str">
        <f t="shared" si="2"/>
        <v>特種工業機械</v>
      </c>
      <c r="K34" s="227" t="str">
        <f t="shared" si="3"/>
        <v>.SPX</v>
      </c>
      <c r="L34" s="228">
        <v>0.2077</v>
      </c>
      <c r="M34" s="229">
        <v>136.9</v>
      </c>
      <c r="N34" s="228">
        <v>0.31759999999999999</v>
      </c>
      <c r="O34" s="228">
        <v>0.13200000000000001</v>
      </c>
      <c r="P34" s="228">
        <v>0.40049999999999997</v>
      </c>
      <c r="Q34" s="230">
        <v>0.18729999999999999</v>
      </c>
      <c r="R34" s="231">
        <v>44358</v>
      </c>
      <c r="S34" s="232">
        <v>135.86000061035099</v>
      </c>
      <c r="T34" s="233">
        <v>0.2</v>
      </c>
      <c r="U34" s="234">
        <v>42627</v>
      </c>
      <c r="V34" s="232">
        <v>46.006126403808501</v>
      </c>
      <c r="W34" s="235">
        <v>0.09</v>
      </c>
      <c r="X34" s="117" t="s">
        <v>964</v>
      </c>
      <c r="Y34" s="118" t="s">
        <v>1022</v>
      </c>
      <c r="Z34" s="118" t="s">
        <v>900</v>
      </c>
      <c r="AA34" s="118"/>
      <c r="AB34" s="118"/>
      <c r="AC34" s="118" t="s">
        <v>1213</v>
      </c>
      <c r="AD34" s="118"/>
      <c r="AE34" s="118" t="s">
        <v>1306</v>
      </c>
      <c r="AF34" s="118"/>
      <c r="AG34" s="118" t="s">
        <v>1398</v>
      </c>
      <c r="AH34" s="122"/>
    </row>
    <row r="35" spans="1:34" ht="16.5" customHeight="1" thickBot="1">
      <c r="A35" s="102" t="s">
        <v>709</v>
      </c>
      <c r="B35" s="104"/>
      <c r="C35" s="104"/>
      <c r="D35" s="105" t="s">
        <v>659</v>
      </c>
      <c r="E35" s="374"/>
      <c r="F35" s="222" t="s">
        <v>60</v>
      </c>
      <c r="G35" s="223" t="s">
        <v>1434</v>
      </c>
      <c r="H35" s="224" t="str">
        <f t="shared" si="0"/>
        <v>AMGN</v>
      </c>
      <c r="I35" s="225" t="str">
        <f t="shared" si="1"/>
        <v>XLV</v>
      </c>
      <c r="J35" s="226" t="str">
        <f t="shared" si="2"/>
        <v>藥品製造商— 常規</v>
      </c>
      <c r="K35" s="227" t="str">
        <f t="shared" si="3"/>
        <v>.SPX</v>
      </c>
      <c r="L35" s="228">
        <v>0.1966</v>
      </c>
      <c r="M35" s="229">
        <v>231.97</v>
      </c>
      <c r="N35" s="228">
        <v>0.3705</v>
      </c>
      <c r="O35" s="228">
        <v>0.113</v>
      </c>
      <c r="P35" s="228">
        <v>0.40600000000000003</v>
      </c>
      <c r="Q35" s="230">
        <v>0.17050000000000001</v>
      </c>
      <c r="R35" s="231">
        <v>44330</v>
      </c>
      <c r="S35" s="232">
        <v>251.38000488281199</v>
      </c>
      <c r="T35" s="233">
        <v>1.76</v>
      </c>
      <c r="U35" s="234">
        <v>42597</v>
      </c>
      <c r="V35" s="232">
        <v>152.542221069335</v>
      </c>
      <c r="W35" s="235">
        <v>1</v>
      </c>
      <c r="X35" s="117" t="s">
        <v>965</v>
      </c>
      <c r="Y35" s="118" t="s">
        <v>1023</v>
      </c>
      <c r="Z35" s="118" t="s">
        <v>1095</v>
      </c>
      <c r="AA35" s="118"/>
      <c r="AB35" s="118"/>
      <c r="AC35" s="118" t="s">
        <v>1214</v>
      </c>
      <c r="AD35" s="118"/>
      <c r="AE35" s="118" t="s">
        <v>1307</v>
      </c>
      <c r="AF35" s="118"/>
      <c r="AG35" s="118" t="s">
        <v>1399</v>
      </c>
      <c r="AH35" s="122"/>
    </row>
    <row r="36" spans="1:34" ht="16.5" customHeight="1" thickBot="1">
      <c r="A36" s="102" t="s">
        <v>675</v>
      </c>
      <c r="B36" s="104"/>
      <c r="C36" s="104"/>
      <c r="D36" s="105" t="s">
        <v>659</v>
      </c>
      <c r="E36" s="374"/>
      <c r="F36" s="222" t="s">
        <v>438</v>
      </c>
      <c r="G36" s="223" t="s">
        <v>1455</v>
      </c>
      <c r="H36" s="224" t="str">
        <f t="shared" si="0"/>
        <v>AMP</v>
      </c>
      <c r="I36" s="225" t="str">
        <f t="shared" si="1"/>
        <v>XLF</v>
      </c>
      <c r="J36" s="226" t="str">
        <f t="shared" si="2"/>
        <v>資產管理</v>
      </c>
      <c r="K36" s="227" t="str">
        <f t="shared" si="3"/>
        <v>.SPX</v>
      </c>
      <c r="L36" s="228">
        <v>0.23050000000000001</v>
      </c>
      <c r="M36" s="229">
        <v>261.69</v>
      </c>
      <c r="N36" s="228">
        <v>0.3851</v>
      </c>
      <c r="O36" s="228">
        <v>0.17560000000000001</v>
      </c>
      <c r="P36" s="228">
        <v>0.46929999999999999</v>
      </c>
      <c r="Q36" s="230">
        <v>0.2273</v>
      </c>
      <c r="R36" s="231">
        <v>44323</v>
      </c>
      <c r="S36" s="232">
        <v>265.64999389648398</v>
      </c>
      <c r="T36" s="233">
        <v>1.1299999999999999</v>
      </c>
      <c r="U36" s="234">
        <v>42677</v>
      </c>
      <c r="V36" s="232">
        <v>78.29150390625</v>
      </c>
      <c r="W36" s="235">
        <v>0.75</v>
      </c>
      <c r="X36" s="117" t="s">
        <v>966</v>
      </c>
      <c r="Y36" s="118" t="s">
        <v>1024</v>
      </c>
      <c r="Z36" s="118" t="s">
        <v>1096</v>
      </c>
      <c r="AA36" s="118"/>
      <c r="AB36" s="118"/>
      <c r="AC36" s="118" t="s">
        <v>1215</v>
      </c>
      <c r="AD36" s="118"/>
      <c r="AE36" s="118" t="s">
        <v>1308</v>
      </c>
      <c r="AF36" s="118"/>
      <c r="AG36" s="118"/>
      <c r="AH36" s="122"/>
    </row>
    <row r="37" spans="1:34" ht="16.5" customHeight="1" thickBot="1">
      <c r="A37" s="102" t="s">
        <v>803</v>
      </c>
      <c r="B37" s="104"/>
      <c r="C37" s="104" t="s">
        <v>895</v>
      </c>
      <c r="D37" s="105" t="s">
        <v>659</v>
      </c>
      <c r="E37" s="374"/>
      <c r="F37" s="222" t="s">
        <v>101</v>
      </c>
      <c r="G37" s="223" t="s">
        <v>1456</v>
      </c>
      <c r="H37" s="224" t="str">
        <f t="shared" si="0"/>
        <v>AMT</v>
      </c>
      <c r="I37" s="225" t="str">
        <f t="shared" si="1"/>
        <v>XLRE</v>
      </c>
      <c r="J37" s="226" t="str">
        <f t="shared" si="2"/>
        <v>REIT-專業</v>
      </c>
      <c r="K37" s="227" t="str">
        <f t="shared" si="3"/>
        <v>.SPX</v>
      </c>
      <c r="L37" s="228">
        <v>0.18179999999999999</v>
      </c>
      <c r="M37" s="229">
        <v>282.76</v>
      </c>
      <c r="N37" s="228">
        <v>0.30580000000000002</v>
      </c>
      <c r="O37" s="228">
        <v>0.1134</v>
      </c>
      <c r="P37" s="228">
        <v>0.36590000000000006</v>
      </c>
      <c r="Q37" s="230">
        <v>0.16800000000000001</v>
      </c>
      <c r="R37" s="231">
        <v>44364</v>
      </c>
      <c r="S37" s="232">
        <v>269.510009765625</v>
      </c>
      <c r="T37" s="233">
        <v>1.27</v>
      </c>
      <c r="U37" s="234">
        <v>42641</v>
      </c>
      <c r="V37" s="232">
        <v>102.574996948242</v>
      </c>
      <c r="W37" s="235">
        <v>0.55000000000000004</v>
      </c>
      <c r="X37" s="117" t="s">
        <v>967</v>
      </c>
      <c r="Y37" s="118" t="s">
        <v>1025</v>
      </c>
      <c r="Z37" s="118" t="s">
        <v>1097</v>
      </c>
      <c r="AA37" s="118"/>
      <c r="AB37" s="118"/>
      <c r="AC37" s="118" t="s">
        <v>1216</v>
      </c>
      <c r="AD37" s="118"/>
      <c r="AE37" s="118" t="s">
        <v>1309</v>
      </c>
      <c r="AF37" s="118"/>
      <c r="AG37" s="118"/>
      <c r="AH37" s="122"/>
    </row>
    <row r="38" spans="1:34" ht="16.5" customHeight="1" thickBot="1">
      <c r="A38" s="102" t="s">
        <v>779</v>
      </c>
      <c r="B38" s="104"/>
      <c r="C38" s="104" t="s">
        <v>772</v>
      </c>
      <c r="D38" s="105" t="s">
        <v>659</v>
      </c>
      <c r="E38" s="374"/>
      <c r="F38" s="222" t="s">
        <v>65</v>
      </c>
      <c r="G38" s="223" t="s">
        <v>1457</v>
      </c>
      <c r="H38" s="224" t="str">
        <f t="shared" si="0"/>
        <v>AMZN</v>
      </c>
      <c r="I38" s="225" t="str">
        <f t="shared" si="1"/>
        <v>XLY</v>
      </c>
      <c r="J38" s="226" t="str">
        <f t="shared" si="2"/>
        <v>互聯網零售</v>
      </c>
      <c r="K38" s="227" t="str">
        <f t="shared" si="3"/>
        <v>.SPX</v>
      </c>
      <c r="L38" s="228">
        <v>0.21099999999999999</v>
      </c>
      <c r="M38" s="236">
        <v>3375.99</v>
      </c>
      <c r="N38" s="228">
        <v>0.45400000000000001</v>
      </c>
      <c r="O38" s="228">
        <v>0.1537</v>
      </c>
      <c r="P38" s="228">
        <v>0.54020000000000001</v>
      </c>
      <c r="Q38" s="230">
        <v>0.20149999999999998</v>
      </c>
      <c r="R38" s="231">
        <v>0</v>
      </c>
      <c r="S38" s="232">
        <v>0</v>
      </c>
      <c r="T38" s="233">
        <v>0</v>
      </c>
      <c r="U38" s="234">
        <v>0</v>
      </c>
      <c r="V38" s="232">
        <v>0</v>
      </c>
      <c r="W38" s="235">
        <v>0</v>
      </c>
      <c r="X38" s="117" t="s">
        <v>968</v>
      </c>
      <c r="Y38" s="118" t="s">
        <v>1026</v>
      </c>
      <c r="Z38" s="118" t="s">
        <v>1098</v>
      </c>
      <c r="AA38" s="118"/>
      <c r="AB38" s="118"/>
      <c r="AC38" s="118" t="s">
        <v>1217</v>
      </c>
      <c r="AD38" s="118"/>
      <c r="AE38" s="118" t="s">
        <v>1310</v>
      </c>
      <c r="AF38" s="118"/>
      <c r="AG38" s="118"/>
      <c r="AH38" s="122"/>
    </row>
    <row r="39" spans="1:34" ht="16.5" customHeight="1" thickBot="1">
      <c r="A39" s="102" t="s">
        <v>707</v>
      </c>
      <c r="B39" s="104"/>
      <c r="C39" s="104" t="s">
        <v>894</v>
      </c>
      <c r="D39" s="105" t="s">
        <v>659</v>
      </c>
      <c r="E39" s="374"/>
      <c r="F39" s="222" t="s">
        <v>41</v>
      </c>
      <c r="G39" s="223" t="s">
        <v>1458</v>
      </c>
      <c r="H39" s="224" t="str">
        <f t="shared" si="0"/>
        <v>ANET</v>
      </c>
      <c r="I39" s="225" t="str">
        <f t="shared" si="1"/>
        <v>XLK</v>
      </c>
      <c r="J39" s="226" t="str">
        <f t="shared" si="2"/>
        <v>計算機硬件</v>
      </c>
      <c r="K39" s="227" t="str">
        <f t="shared" si="3"/>
        <v>.SPX</v>
      </c>
      <c r="L39" s="228">
        <v>0.2349</v>
      </c>
      <c r="M39" s="229">
        <v>380.6</v>
      </c>
      <c r="N39" s="228">
        <v>0.51349999999999996</v>
      </c>
      <c r="O39" s="228">
        <v>0.16270000000000001</v>
      </c>
      <c r="P39" s="228">
        <v>0.63340000000000007</v>
      </c>
      <c r="Q39" s="230">
        <v>0.2349</v>
      </c>
      <c r="R39" s="231">
        <v>0</v>
      </c>
      <c r="S39" s="232">
        <v>0</v>
      </c>
      <c r="T39" s="233">
        <v>0</v>
      </c>
      <c r="U39" s="234">
        <v>0</v>
      </c>
      <c r="V39" s="232">
        <v>0</v>
      </c>
      <c r="W39" s="235">
        <v>0</v>
      </c>
      <c r="X39" s="117" t="s">
        <v>969</v>
      </c>
      <c r="Y39" s="118" t="s">
        <v>1027</v>
      </c>
      <c r="Z39" s="118" t="s">
        <v>1099</v>
      </c>
      <c r="AA39" s="118"/>
      <c r="AB39" s="118"/>
      <c r="AC39" s="118" t="s">
        <v>1218</v>
      </c>
      <c r="AD39" s="118"/>
      <c r="AE39" s="118" t="s">
        <v>1311</v>
      </c>
      <c r="AF39" s="118"/>
      <c r="AG39" s="118"/>
      <c r="AH39" s="122"/>
    </row>
    <row r="40" spans="1:34" ht="16.5" customHeight="1" thickBot="1">
      <c r="A40" s="102" t="s">
        <v>668</v>
      </c>
      <c r="B40" s="104"/>
      <c r="C40" s="104"/>
      <c r="D40" s="105" t="s">
        <v>659</v>
      </c>
      <c r="E40" s="374"/>
      <c r="F40" s="222" t="s">
        <v>39</v>
      </c>
      <c r="G40" s="223" t="s">
        <v>1442</v>
      </c>
      <c r="H40" s="224" t="str">
        <f t="shared" si="0"/>
        <v>ANSS</v>
      </c>
      <c r="I40" s="225" t="str">
        <f t="shared" si="1"/>
        <v>XLK</v>
      </c>
      <c r="J40" s="226" t="str">
        <f t="shared" si="2"/>
        <v>軟件-應用</v>
      </c>
      <c r="K40" s="227" t="str">
        <f t="shared" si="3"/>
        <v>.SPX</v>
      </c>
      <c r="L40" s="228">
        <v>0.23730000000000001</v>
      </c>
      <c r="M40" s="229">
        <v>373.47</v>
      </c>
      <c r="N40" s="228">
        <v>0.58399999999999996</v>
      </c>
      <c r="O40" s="228">
        <v>0.1487</v>
      </c>
      <c r="P40" s="228">
        <v>0.50270000000000004</v>
      </c>
      <c r="Q40" s="230">
        <v>0.23730000000000001</v>
      </c>
      <c r="R40" s="231">
        <v>0</v>
      </c>
      <c r="S40" s="232">
        <v>0</v>
      </c>
      <c r="T40" s="233">
        <v>0</v>
      </c>
      <c r="U40" s="234">
        <v>0</v>
      </c>
      <c r="V40" s="232">
        <v>0</v>
      </c>
      <c r="W40" s="235">
        <v>0</v>
      </c>
      <c r="X40" s="117" t="s">
        <v>970</v>
      </c>
      <c r="Y40" s="118" t="s">
        <v>1028</v>
      </c>
      <c r="Z40" s="118" t="s">
        <v>1100</v>
      </c>
      <c r="AA40" s="118"/>
      <c r="AB40" s="118"/>
      <c r="AC40" s="118" t="s">
        <v>1219</v>
      </c>
      <c r="AD40" s="118"/>
      <c r="AE40" s="118" t="s">
        <v>1312</v>
      </c>
      <c r="AF40" s="118"/>
      <c r="AG40" s="118"/>
      <c r="AH40" s="122"/>
    </row>
    <row r="41" spans="1:34" ht="16.5" customHeight="1" thickBot="1">
      <c r="A41" s="102" t="s">
        <v>724</v>
      </c>
      <c r="B41" s="104"/>
      <c r="C41" s="104"/>
      <c r="D41" s="105" t="s">
        <v>659</v>
      </c>
      <c r="E41" s="374"/>
      <c r="F41" s="222" t="s">
        <v>343</v>
      </c>
      <c r="G41" s="223" t="s">
        <v>1459</v>
      </c>
      <c r="H41" s="224" t="str">
        <f t="shared" si="0"/>
        <v>ANTM</v>
      </c>
      <c r="I41" s="225" t="str">
        <f t="shared" si="1"/>
        <v>XLV</v>
      </c>
      <c r="J41" s="226" t="str">
        <f t="shared" si="2"/>
        <v>醫療保健計劃</v>
      </c>
      <c r="K41" s="227" t="str">
        <f t="shared" si="3"/>
        <v>.SPX</v>
      </c>
      <c r="L41" s="228">
        <v>0.2233</v>
      </c>
      <c r="M41" s="229">
        <v>376.68</v>
      </c>
      <c r="N41" s="228">
        <v>0.49690000000000001</v>
      </c>
      <c r="O41" s="228">
        <v>0.1346</v>
      </c>
      <c r="P41" s="228">
        <v>0.44439999999999996</v>
      </c>
      <c r="Q41" s="230">
        <v>0.1978</v>
      </c>
      <c r="R41" s="231">
        <v>44356</v>
      </c>
      <c r="S41" s="232">
        <v>385.95999145507801</v>
      </c>
      <c r="T41" s="233">
        <v>1.1299999999999999</v>
      </c>
      <c r="U41" s="234">
        <v>42620</v>
      </c>
      <c r="V41" s="232">
        <v>118.33437347412099</v>
      </c>
      <c r="W41" s="235">
        <v>0.65</v>
      </c>
      <c r="X41" s="117" t="s">
        <v>971</v>
      </c>
      <c r="Y41" s="118" t="s">
        <v>1029</v>
      </c>
      <c r="Z41" s="118" t="s">
        <v>1101</v>
      </c>
      <c r="AA41" s="118"/>
      <c r="AB41" s="118"/>
      <c r="AC41" s="118" t="s">
        <v>1220</v>
      </c>
      <c r="AD41" s="118"/>
      <c r="AE41" s="118" t="s">
        <v>1313</v>
      </c>
      <c r="AF41" s="118"/>
      <c r="AG41" s="118"/>
      <c r="AH41" s="122"/>
    </row>
    <row r="42" spans="1:34" ht="16.5" customHeight="1" thickBot="1">
      <c r="A42" s="102" t="s">
        <v>666</v>
      </c>
      <c r="B42" s="104"/>
      <c r="C42" s="104"/>
      <c r="D42" s="105" t="s">
        <v>659</v>
      </c>
      <c r="E42" s="374"/>
      <c r="F42" s="222" t="s">
        <v>93</v>
      </c>
      <c r="G42" s="223" t="s">
        <v>1448</v>
      </c>
      <c r="H42" s="224" t="str">
        <f t="shared" si="0"/>
        <v>AON</v>
      </c>
      <c r="I42" s="225" t="str">
        <f t="shared" si="1"/>
        <v>XLF</v>
      </c>
      <c r="J42" s="226" t="str">
        <f t="shared" si="2"/>
        <v>保險經紀</v>
      </c>
      <c r="K42" s="227" t="str">
        <f t="shared" si="3"/>
        <v>.SPX</v>
      </c>
      <c r="L42" s="228">
        <v>0.20910000000000001</v>
      </c>
      <c r="M42" s="229">
        <v>262.39999999999998</v>
      </c>
      <c r="N42" s="228">
        <v>0.34179999999999999</v>
      </c>
      <c r="O42" s="228">
        <v>0.12889999999999999</v>
      </c>
      <c r="P42" s="228">
        <v>0.3856</v>
      </c>
      <c r="Q42" s="230">
        <v>0.19339999999999999</v>
      </c>
      <c r="R42" s="231">
        <v>44407</v>
      </c>
      <c r="S42" s="232">
        <v>260.02999877929602</v>
      </c>
      <c r="T42" s="233">
        <v>0.51</v>
      </c>
      <c r="U42" s="234">
        <v>42671</v>
      </c>
      <c r="V42" s="232">
        <v>105.915084838867</v>
      </c>
      <c r="W42" s="235">
        <v>0.33</v>
      </c>
      <c r="X42" s="117" t="s">
        <v>972</v>
      </c>
      <c r="Y42" s="118" t="s">
        <v>1030</v>
      </c>
      <c r="Z42" s="118" t="s">
        <v>1102</v>
      </c>
      <c r="AA42" s="118"/>
      <c r="AB42" s="118"/>
      <c r="AC42" s="118" t="s">
        <v>1221</v>
      </c>
      <c r="AD42" s="118"/>
      <c r="AE42" s="118" t="s">
        <v>1314</v>
      </c>
      <c r="AF42" s="118"/>
      <c r="AG42" s="118"/>
      <c r="AH42" s="122"/>
    </row>
    <row r="43" spans="1:34" ht="16.5" customHeight="1" thickBot="1">
      <c r="A43" s="102" t="s">
        <v>722</v>
      </c>
      <c r="B43" s="104"/>
      <c r="C43" s="104"/>
      <c r="D43" s="105" t="s">
        <v>659</v>
      </c>
      <c r="E43" s="374"/>
      <c r="F43" s="222" t="s">
        <v>400</v>
      </c>
      <c r="G43" s="223" t="s">
        <v>1454</v>
      </c>
      <c r="H43" s="224" t="str">
        <f t="shared" si="0"/>
        <v>AOS</v>
      </c>
      <c r="I43" s="225" t="str">
        <f t="shared" si="1"/>
        <v>XLI</v>
      </c>
      <c r="J43" s="226" t="str">
        <f t="shared" si="2"/>
        <v>特種工業機械</v>
      </c>
      <c r="K43" s="227" t="str">
        <f t="shared" si="3"/>
        <v>.SPX</v>
      </c>
      <c r="L43" s="228">
        <v>0.2326</v>
      </c>
      <c r="M43" s="229">
        <v>71.34</v>
      </c>
      <c r="N43" s="228">
        <v>0.39529999999999998</v>
      </c>
      <c r="O43" s="228">
        <v>0.19159999999999999</v>
      </c>
      <c r="P43" s="228">
        <v>0.42090000000000005</v>
      </c>
      <c r="Q43" s="230">
        <v>0.21739999999999998</v>
      </c>
      <c r="R43" s="231">
        <v>44406</v>
      </c>
      <c r="S43" s="232">
        <v>70.430000305175696</v>
      </c>
      <c r="T43" s="233">
        <v>0.26</v>
      </c>
      <c r="U43" s="234">
        <v>42649</v>
      </c>
      <c r="V43" s="232">
        <v>47.5260620117187</v>
      </c>
      <c r="W43" s="235">
        <v>0</v>
      </c>
      <c r="X43" s="117" t="s">
        <v>973</v>
      </c>
      <c r="Y43" s="118" t="s">
        <v>1031</v>
      </c>
      <c r="Z43" s="118" t="s">
        <v>1103</v>
      </c>
      <c r="AA43" s="118"/>
      <c r="AB43" s="118"/>
      <c r="AC43" s="118" t="s">
        <v>1222</v>
      </c>
      <c r="AD43" s="118"/>
      <c r="AE43" s="118" t="s">
        <v>1315</v>
      </c>
      <c r="AF43" s="118"/>
      <c r="AG43" s="118"/>
      <c r="AH43" s="122"/>
    </row>
    <row r="44" spans="1:34" ht="16.5" customHeight="1" thickBot="1">
      <c r="A44" s="102" t="s">
        <v>730</v>
      </c>
      <c r="B44" s="104"/>
      <c r="C44" s="104"/>
      <c r="D44" s="105" t="s">
        <v>659</v>
      </c>
      <c r="E44" s="374"/>
      <c r="F44" s="222" t="s">
        <v>379</v>
      </c>
      <c r="G44" s="223" t="s">
        <v>1460</v>
      </c>
      <c r="H44" s="224" t="str">
        <f t="shared" si="0"/>
        <v>APA</v>
      </c>
      <c r="I44" s="225" t="str">
        <f t="shared" si="1"/>
        <v>XLE</v>
      </c>
      <c r="J44" s="226" t="str">
        <f t="shared" si="2"/>
        <v>油氣E&amp;P</v>
      </c>
      <c r="K44" s="227" t="str">
        <f t="shared" si="3"/>
        <v>.SPX</v>
      </c>
      <c r="L44" s="228">
        <v>0.5655</v>
      </c>
      <c r="M44" s="229">
        <v>18.43</v>
      </c>
      <c r="N44" s="228">
        <v>0.63029999999999997</v>
      </c>
      <c r="O44" s="228">
        <v>0.42330000000000001</v>
      </c>
      <c r="P44" s="228">
        <v>0.7923</v>
      </c>
      <c r="Q44" s="230">
        <v>0.53849999999999998</v>
      </c>
      <c r="R44" s="231">
        <v>44398</v>
      </c>
      <c r="S44" s="232">
        <v>18.420000076293899</v>
      </c>
      <c r="T44" s="233">
        <v>2.5000000000000001E-2</v>
      </c>
      <c r="U44" s="234">
        <v>42662</v>
      </c>
      <c r="V44" s="232">
        <v>58.255321502685497</v>
      </c>
      <c r="W44" s="235">
        <v>0.25</v>
      </c>
      <c r="X44" s="117" t="s">
        <v>974</v>
      </c>
      <c r="Y44" s="118" t="s">
        <v>1032</v>
      </c>
      <c r="Z44" s="118" t="s">
        <v>1104</v>
      </c>
      <c r="AA44" s="118"/>
      <c r="AB44" s="118"/>
      <c r="AC44" s="118" t="s">
        <v>1223</v>
      </c>
      <c r="AD44" s="118"/>
      <c r="AE44" s="118" t="s">
        <v>1316</v>
      </c>
      <c r="AF44" s="118"/>
      <c r="AG44" s="118"/>
      <c r="AH44" s="122"/>
    </row>
    <row r="45" spans="1:34" ht="16.5" customHeight="1" thickBot="1">
      <c r="A45" s="102" t="s">
        <v>799</v>
      </c>
      <c r="B45" s="104"/>
      <c r="C45" s="104" t="s">
        <v>895</v>
      </c>
      <c r="D45" s="105" t="s">
        <v>659</v>
      </c>
      <c r="E45" s="374"/>
      <c r="F45" s="222" t="s">
        <v>233</v>
      </c>
      <c r="G45" s="223" t="s">
        <v>1461</v>
      </c>
      <c r="H45" s="224" t="str">
        <f t="shared" si="0"/>
        <v>APD</v>
      </c>
      <c r="I45" s="225" t="str">
        <f t="shared" si="1"/>
        <v>XLB</v>
      </c>
      <c r="J45" s="226" t="str">
        <f t="shared" si="2"/>
        <v>化學品</v>
      </c>
      <c r="K45" s="227" t="str">
        <f t="shared" si="3"/>
        <v>.SPX</v>
      </c>
      <c r="L45" s="228">
        <v>0.23569999999999999</v>
      </c>
      <c r="M45" s="229">
        <v>289.25</v>
      </c>
      <c r="N45" s="228">
        <v>0.45800000000000002</v>
      </c>
      <c r="O45" s="228">
        <v>0.1232</v>
      </c>
      <c r="P45" s="228">
        <v>0.38840000000000002</v>
      </c>
      <c r="Q45" s="230">
        <v>0.1598</v>
      </c>
      <c r="R45" s="231">
        <v>44377</v>
      </c>
      <c r="S45" s="232">
        <v>287.67999267578102</v>
      </c>
      <c r="T45" s="233">
        <v>1.5</v>
      </c>
      <c r="U45" s="234">
        <v>42646</v>
      </c>
      <c r="V45" s="232">
        <v>124.799674987792</v>
      </c>
      <c r="W45" s="235">
        <v>0</v>
      </c>
      <c r="X45" s="117" t="s">
        <v>975</v>
      </c>
      <c r="Y45" s="118" t="s">
        <v>1033</v>
      </c>
      <c r="Z45" s="118" t="s">
        <v>1105</v>
      </c>
      <c r="AA45" s="118"/>
      <c r="AB45" s="118"/>
      <c r="AC45" s="118" t="s">
        <v>1224</v>
      </c>
      <c r="AD45" s="118"/>
      <c r="AE45" s="118" t="s">
        <v>1317</v>
      </c>
      <c r="AF45" s="118"/>
      <c r="AG45" s="118"/>
      <c r="AH45" s="122"/>
    </row>
    <row r="46" spans="1:34" ht="16.5" customHeight="1" thickBot="1">
      <c r="A46" s="102" t="s">
        <v>720</v>
      </c>
      <c r="B46" s="104"/>
      <c r="C46" s="104"/>
      <c r="D46" s="105" t="s">
        <v>659</v>
      </c>
      <c r="E46" s="374"/>
      <c r="F46" s="222" t="s">
        <v>273</v>
      </c>
      <c r="G46" s="223" t="s">
        <v>1462</v>
      </c>
      <c r="H46" s="224" t="str">
        <f t="shared" si="0"/>
        <v>APH</v>
      </c>
      <c r="I46" s="225" t="str">
        <f t="shared" si="1"/>
        <v>XLK</v>
      </c>
      <c r="J46" s="226" t="str">
        <f t="shared" si="2"/>
        <v>電子元件</v>
      </c>
      <c r="K46" s="227" t="str">
        <f t="shared" si="3"/>
        <v>.SPX</v>
      </c>
      <c r="L46" s="228">
        <v>0.2054</v>
      </c>
      <c r="M46" s="229">
        <v>73.680000000000007</v>
      </c>
      <c r="N46" s="228">
        <v>0.32790000000000002</v>
      </c>
      <c r="O46" s="228">
        <v>0.1134</v>
      </c>
      <c r="P46" s="228">
        <v>0.39319999999999999</v>
      </c>
      <c r="Q46" s="230">
        <v>0.19409999999999999</v>
      </c>
      <c r="R46" s="231">
        <v>44368</v>
      </c>
      <c r="S46" s="232">
        <v>67.029998779296804</v>
      </c>
      <c r="T46" s="233">
        <v>0.14499999999999999</v>
      </c>
      <c r="U46" s="234">
        <v>42622</v>
      </c>
      <c r="V46" s="232">
        <v>29.282045364379801</v>
      </c>
      <c r="W46" s="235">
        <v>7.0000000000000007E-2</v>
      </c>
      <c r="X46" s="117" t="s">
        <v>976</v>
      </c>
      <c r="Y46" s="118" t="s">
        <v>1034</v>
      </c>
      <c r="Z46" s="118" t="s">
        <v>1106</v>
      </c>
      <c r="AA46" s="118"/>
      <c r="AB46" s="118"/>
      <c r="AC46" s="118" t="s">
        <v>1225</v>
      </c>
      <c r="AD46" s="118"/>
      <c r="AE46" s="118" t="s">
        <v>1318</v>
      </c>
      <c r="AF46" s="118"/>
      <c r="AG46" s="118"/>
      <c r="AH46" s="122"/>
    </row>
    <row r="47" spans="1:34" ht="16.5" customHeight="1" thickBot="1">
      <c r="A47" s="102" t="s">
        <v>738</v>
      </c>
      <c r="B47" s="104"/>
      <c r="C47" s="104"/>
      <c r="D47" s="105" t="s">
        <v>659</v>
      </c>
      <c r="E47" s="374"/>
      <c r="F47" s="222" t="s">
        <v>473</v>
      </c>
      <c r="G47" s="223" t="s">
        <v>1463</v>
      </c>
      <c r="H47" s="224" t="str">
        <f t="shared" si="0"/>
        <v>APTV</v>
      </c>
      <c r="I47" s="225" t="str">
        <f t="shared" si="1"/>
        <v>XLY</v>
      </c>
      <c r="J47" s="226" t="str">
        <f t="shared" si="2"/>
        <v>汽車零件</v>
      </c>
      <c r="K47" s="227" t="str">
        <f t="shared" si="3"/>
        <v>.SPX</v>
      </c>
      <c r="L47" s="228">
        <v>0.3226</v>
      </c>
      <c r="M47" s="229">
        <v>161.02000000000001</v>
      </c>
      <c r="N47" s="228">
        <v>0.45929999999999999</v>
      </c>
      <c r="O47" s="228">
        <v>0.24329999999999999</v>
      </c>
      <c r="P47" s="228">
        <v>0.54259999999999997</v>
      </c>
      <c r="Q47" s="230">
        <v>0.28850000000000003</v>
      </c>
      <c r="R47" s="231">
        <v>43865</v>
      </c>
      <c r="S47" s="232">
        <v>90.510002136230398</v>
      </c>
      <c r="T47" s="233">
        <v>0.22</v>
      </c>
      <c r="U47" s="234">
        <v>42590</v>
      </c>
      <c r="V47" s="232">
        <v>53.126510620117102</v>
      </c>
      <c r="W47" s="235">
        <v>0.243085</v>
      </c>
      <c r="X47" s="117" t="s">
        <v>977</v>
      </c>
      <c r="Y47" s="118" t="s">
        <v>1035</v>
      </c>
      <c r="Z47" s="118" t="s">
        <v>1107</v>
      </c>
      <c r="AA47" s="118"/>
      <c r="AB47" s="118"/>
      <c r="AC47" s="118" t="s">
        <v>1226</v>
      </c>
      <c r="AD47" s="118"/>
      <c r="AE47" s="118" t="s">
        <v>1319</v>
      </c>
      <c r="AF47" s="118"/>
      <c r="AG47" s="118"/>
      <c r="AH47" s="122"/>
    </row>
    <row r="48" spans="1:34" ht="16.5" customHeight="1" thickBot="1">
      <c r="A48" s="102" t="s">
        <v>684</v>
      </c>
      <c r="B48" s="104"/>
      <c r="C48" s="104" t="s">
        <v>772</v>
      </c>
      <c r="D48" s="105" t="s">
        <v>659</v>
      </c>
      <c r="E48" s="374"/>
      <c r="F48" s="222" t="s">
        <v>80</v>
      </c>
      <c r="G48" s="223" t="s">
        <v>1464</v>
      </c>
      <c r="H48" s="224" t="str">
        <f t="shared" si="0"/>
        <v>ARE</v>
      </c>
      <c r="I48" s="225" t="str">
        <f t="shared" si="1"/>
        <v>XLRE</v>
      </c>
      <c r="J48" s="226" t="str">
        <f t="shared" si="2"/>
        <v>REIT-辦公室</v>
      </c>
      <c r="K48" s="227" t="str">
        <f t="shared" si="3"/>
        <v>.SPX</v>
      </c>
      <c r="L48" s="228">
        <v>0.18049999999999999</v>
      </c>
      <c r="M48" s="229">
        <v>207.58</v>
      </c>
      <c r="N48" s="228">
        <v>0.26250000000000001</v>
      </c>
      <c r="O48" s="228">
        <v>0.13320000000000001</v>
      </c>
      <c r="P48" s="228">
        <v>0.41289999999999999</v>
      </c>
      <c r="Q48" s="230">
        <v>0.15810000000000002</v>
      </c>
      <c r="R48" s="231">
        <v>44376</v>
      </c>
      <c r="S48" s="232">
        <v>183.02000427246</v>
      </c>
      <c r="T48" s="233">
        <v>1.1200000000000001</v>
      </c>
      <c r="U48" s="234">
        <v>42641</v>
      </c>
      <c r="V48" s="232">
        <v>98.695541381835895</v>
      </c>
      <c r="W48" s="235">
        <v>0.8</v>
      </c>
      <c r="X48" s="117" t="s">
        <v>978</v>
      </c>
      <c r="Y48" s="118" t="s">
        <v>1036</v>
      </c>
      <c r="Z48" s="118" t="s">
        <v>1108</v>
      </c>
      <c r="AA48" s="118"/>
      <c r="AB48" s="118"/>
      <c r="AC48" s="118" t="s">
        <v>1227</v>
      </c>
      <c r="AD48" s="118"/>
      <c r="AE48" s="118" t="s">
        <v>1320</v>
      </c>
      <c r="AF48" s="118"/>
      <c r="AG48" s="118"/>
      <c r="AH48" s="122"/>
    </row>
    <row r="49" spans="1:34" ht="16.5" customHeight="1" thickBot="1">
      <c r="A49" s="102" t="s">
        <v>694</v>
      </c>
      <c r="B49" s="104"/>
      <c r="C49" s="104"/>
      <c r="D49" s="105" t="s">
        <v>659</v>
      </c>
      <c r="E49" s="374"/>
      <c r="F49" s="222" t="s">
        <v>295</v>
      </c>
      <c r="G49" s="223" t="s">
        <v>1465</v>
      </c>
      <c r="H49" s="224" t="str">
        <f t="shared" si="0"/>
        <v>ATO</v>
      </c>
      <c r="I49" s="225" t="str">
        <f t="shared" si="1"/>
        <v>XLU</v>
      </c>
      <c r="J49" s="226" t="str">
        <f t="shared" si="2"/>
        <v>公用事業-管制氣體</v>
      </c>
      <c r="K49" s="227" t="str">
        <f t="shared" si="3"/>
        <v>.SPX</v>
      </c>
      <c r="L49" s="228">
        <v>0.224</v>
      </c>
      <c r="M49" s="229">
        <v>100.95</v>
      </c>
      <c r="N49" s="228">
        <v>0.36890000000000001</v>
      </c>
      <c r="O49" s="228">
        <v>0.1343</v>
      </c>
      <c r="P49" s="228">
        <v>0.3911</v>
      </c>
      <c r="Q49" s="230">
        <v>0.1532</v>
      </c>
      <c r="R49" s="231">
        <v>44337</v>
      </c>
      <c r="S49" s="232">
        <v>98.180000305175696</v>
      </c>
      <c r="T49" s="233">
        <v>0.625</v>
      </c>
      <c r="U49" s="234">
        <v>42600</v>
      </c>
      <c r="V49" s="232">
        <v>68.305747985839801</v>
      </c>
      <c r="W49" s="235">
        <v>0.42</v>
      </c>
      <c r="X49" s="117" t="s">
        <v>979</v>
      </c>
      <c r="Y49" s="118" t="s">
        <v>1037</v>
      </c>
      <c r="Z49" s="118" t="s">
        <v>1109</v>
      </c>
      <c r="AA49" s="118"/>
      <c r="AB49" s="118"/>
      <c r="AC49" s="118" t="s">
        <v>1228</v>
      </c>
      <c r="AD49" s="118"/>
      <c r="AE49" s="118" t="s">
        <v>1321</v>
      </c>
      <c r="AF49" s="118"/>
      <c r="AG49" s="118"/>
      <c r="AH49" s="122"/>
    </row>
    <row r="50" spans="1:34" ht="16.5" customHeight="1" thickBot="1">
      <c r="A50" s="102" t="s">
        <v>775</v>
      </c>
      <c r="B50" s="104"/>
      <c r="C50" s="104" t="s">
        <v>772</v>
      </c>
      <c r="D50" s="105" t="s">
        <v>659</v>
      </c>
      <c r="E50" s="374"/>
      <c r="F50" s="222" t="s">
        <v>121</v>
      </c>
      <c r="G50" s="223" t="s">
        <v>1466</v>
      </c>
      <c r="H50" s="224" t="str">
        <f t="shared" si="0"/>
        <v>ATVI</v>
      </c>
      <c r="I50" s="225" t="str">
        <f t="shared" si="1"/>
        <v>XLC</v>
      </c>
      <c r="J50" s="226" t="str">
        <f t="shared" si="2"/>
        <v>電子游戲與多媒體</v>
      </c>
      <c r="K50" s="227" t="str">
        <f t="shared" si="3"/>
        <v>.SPX</v>
      </c>
      <c r="L50" s="228">
        <v>0.27189999999999998</v>
      </c>
      <c r="M50" s="236">
        <v>80.319999999999993</v>
      </c>
      <c r="N50" s="228">
        <v>0.41710000000000003</v>
      </c>
      <c r="O50" s="228">
        <v>0.19950000000000001</v>
      </c>
      <c r="P50" s="228">
        <v>0.52710000000000001</v>
      </c>
      <c r="Q50" s="230">
        <v>0.21329999999999999</v>
      </c>
      <c r="R50" s="231">
        <v>44300</v>
      </c>
      <c r="S50" s="232">
        <v>96.690002441406193</v>
      </c>
      <c r="T50" s="233">
        <v>0.47</v>
      </c>
      <c r="U50" s="234">
        <v>42822</v>
      </c>
      <c r="V50" s="232">
        <v>48.554306030273402</v>
      </c>
      <c r="W50" s="235">
        <v>0.3</v>
      </c>
      <c r="X50" s="117" t="s">
        <v>980</v>
      </c>
      <c r="Y50" s="118" t="s">
        <v>1038</v>
      </c>
      <c r="Z50" s="118" t="s">
        <v>1110</v>
      </c>
      <c r="AA50" s="118"/>
      <c r="AB50" s="118"/>
      <c r="AC50" s="118" t="s">
        <v>1229</v>
      </c>
      <c r="AD50" s="118"/>
      <c r="AE50" s="118" t="s">
        <v>1322</v>
      </c>
      <c r="AF50" s="118"/>
      <c r="AG50" s="118"/>
      <c r="AH50" s="122"/>
    </row>
    <row r="51" spans="1:34" ht="16.5" customHeight="1" thickBot="1">
      <c r="A51" s="102" t="s">
        <v>664</v>
      </c>
      <c r="B51" s="104"/>
      <c r="C51" s="104"/>
      <c r="D51" s="105" t="s">
        <v>659</v>
      </c>
      <c r="E51" s="374"/>
      <c r="F51" s="222" t="s">
        <v>76</v>
      </c>
      <c r="G51" s="223" t="s">
        <v>521</v>
      </c>
      <c r="H51" s="224" t="str">
        <f t="shared" si="0"/>
        <v>AVB</v>
      </c>
      <c r="I51" s="225" t="str">
        <f t="shared" si="1"/>
        <v>XLRE</v>
      </c>
      <c r="J51" s="226" t="str">
        <f t="shared" si="2"/>
        <v>-</v>
      </c>
      <c r="K51" s="227" t="str">
        <f t="shared" si="3"/>
        <v>.SPX</v>
      </c>
      <c r="L51" s="228">
        <v>0.19650000000000001</v>
      </c>
      <c r="M51" s="229">
        <v>228.7</v>
      </c>
      <c r="N51" s="228">
        <v>0.48280000000000001</v>
      </c>
      <c r="O51" s="228">
        <v>0.1331</v>
      </c>
      <c r="P51" s="228">
        <v>0.41549999999999998</v>
      </c>
      <c r="Q51" s="230">
        <v>0.17749999999999999</v>
      </c>
      <c r="R51" s="231">
        <v>44376</v>
      </c>
      <c r="S51" s="232">
        <v>210.30999755859301</v>
      </c>
      <c r="T51" s="233">
        <v>1.59</v>
      </c>
      <c r="U51" s="234">
        <v>42641</v>
      </c>
      <c r="V51" s="232">
        <v>154.69026184082</v>
      </c>
      <c r="W51" s="235">
        <v>1.35</v>
      </c>
      <c r="X51" s="117" t="s">
        <v>981</v>
      </c>
      <c r="Y51" s="118" t="s">
        <v>1039</v>
      </c>
      <c r="Z51" s="118" t="s">
        <v>1111</v>
      </c>
      <c r="AA51" s="118"/>
      <c r="AB51" s="118"/>
      <c r="AC51" s="118" t="s">
        <v>1230</v>
      </c>
      <c r="AD51" s="118"/>
      <c r="AE51" s="118" t="s">
        <v>1323</v>
      </c>
      <c r="AF51" s="118"/>
      <c r="AG51" s="118"/>
      <c r="AH51" s="122"/>
    </row>
    <row r="52" spans="1:34" ht="16.5" customHeight="1" thickBot="1">
      <c r="A52" s="102" t="s">
        <v>785</v>
      </c>
      <c r="B52" s="104"/>
      <c r="C52" s="104" t="s">
        <v>892</v>
      </c>
      <c r="D52" s="105" t="s">
        <v>659</v>
      </c>
      <c r="E52" s="374"/>
      <c r="F52" s="222" t="s">
        <v>138</v>
      </c>
      <c r="G52" s="223" t="s">
        <v>1439</v>
      </c>
      <c r="H52" s="224" t="str">
        <f t="shared" si="0"/>
        <v>AVGO</v>
      </c>
      <c r="I52" s="225" t="str">
        <f t="shared" si="1"/>
        <v>XLK</v>
      </c>
      <c r="J52" s="226" t="str">
        <f t="shared" si="2"/>
        <v>半導體</v>
      </c>
      <c r="K52" s="227" t="str">
        <f t="shared" si="3"/>
        <v>.SPX</v>
      </c>
      <c r="L52" s="228">
        <v>0.2591</v>
      </c>
      <c r="M52" s="229">
        <v>487.67</v>
      </c>
      <c r="N52" s="228">
        <v>0.50170000000000003</v>
      </c>
      <c r="O52" s="228">
        <v>0.17119999999999999</v>
      </c>
      <c r="P52" s="228">
        <v>0.51849999999999996</v>
      </c>
      <c r="Q52" s="230">
        <v>0.20100000000000001</v>
      </c>
      <c r="R52" s="231">
        <v>44368</v>
      </c>
      <c r="S52" s="232">
        <v>464.60998535156199</v>
      </c>
      <c r="T52" s="233">
        <v>3.6</v>
      </c>
      <c r="U52" s="234">
        <v>42628</v>
      </c>
      <c r="V52" s="232">
        <v>145.876205444335</v>
      </c>
      <c r="W52" s="235">
        <v>0.51</v>
      </c>
      <c r="X52" s="117" t="s">
        <v>982</v>
      </c>
      <c r="Y52" s="118" t="s">
        <v>1040</v>
      </c>
      <c r="Z52" s="118" t="s">
        <v>1112</v>
      </c>
      <c r="AA52" s="118"/>
      <c r="AB52" s="118"/>
      <c r="AC52" s="118" t="s">
        <v>1231</v>
      </c>
      <c r="AD52" s="118"/>
      <c r="AE52" s="118" t="s">
        <v>1324</v>
      </c>
      <c r="AF52" s="118"/>
      <c r="AG52" s="118"/>
      <c r="AH52" s="122"/>
    </row>
    <row r="53" spans="1:34" ht="16.5" customHeight="1" thickBot="1">
      <c r="A53" s="102" t="s">
        <v>790</v>
      </c>
      <c r="B53" s="104"/>
      <c r="C53" s="104" t="s">
        <v>894</v>
      </c>
      <c r="D53" s="105" t="s">
        <v>659</v>
      </c>
      <c r="E53" s="374"/>
      <c r="F53" s="222" t="s">
        <v>354</v>
      </c>
      <c r="G53" s="223" t="s">
        <v>1467</v>
      </c>
      <c r="H53" s="224" t="str">
        <f t="shared" si="0"/>
        <v>AVY</v>
      </c>
      <c r="I53" s="225" t="str">
        <f t="shared" si="1"/>
        <v>XLB</v>
      </c>
      <c r="J53" s="226" t="str">
        <f t="shared" si="2"/>
        <v>商業設備和用品</v>
      </c>
      <c r="K53" s="227" t="str">
        <f t="shared" si="3"/>
        <v>.SPX</v>
      </c>
      <c r="L53" s="228">
        <v>0.2482</v>
      </c>
      <c r="M53" s="229">
        <v>211.9</v>
      </c>
      <c r="N53" s="228">
        <v>0.37719999999999998</v>
      </c>
      <c r="O53" s="228">
        <v>0.1633</v>
      </c>
      <c r="P53" s="228">
        <v>0.49490000000000001</v>
      </c>
      <c r="Q53" s="230">
        <v>0.20920000000000002</v>
      </c>
      <c r="R53" s="231">
        <v>44348</v>
      </c>
      <c r="S53" s="232">
        <v>222.55999755859301</v>
      </c>
      <c r="T53" s="233">
        <v>0.68</v>
      </c>
      <c r="U53" s="234">
        <v>42615</v>
      </c>
      <c r="V53" s="232">
        <v>71.431465148925696</v>
      </c>
      <c r="W53" s="235">
        <v>0.41</v>
      </c>
      <c r="X53" s="117" t="s">
        <v>983</v>
      </c>
      <c r="Y53" s="118" t="s">
        <v>1041</v>
      </c>
      <c r="Z53" s="118" t="s">
        <v>699</v>
      </c>
      <c r="AA53" s="118"/>
      <c r="AB53" s="118"/>
      <c r="AC53" s="118" t="s">
        <v>1232</v>
      </c>
      <c r="AD53" s="118"/>
      <c r="AE53" s="118" t="s">
        <v>1325</v>
      </c>
      <c r="AF53" s="118"/>
      <c r="AG53" s="118"/>
      <c r="AH53" s="122"/>
    </row>
    <row r="54" spans="1:34" ht="16.5" customHeight="1" thickBot="1">
      <c r="A54" s="102" t="s">
        <v>739</v>
      </c>
      <c r="B54" s="104"/>
      <c r="C54" s="104"/>
      <c r="D54" s="105" t="s">
        <v>659</v>
      </c>
      <c r="E54" s="374"/>
      <c r="F54" s="222" t="s">
        <v>106</v>
      </c>
      <c r="G54" s="223" t="s">
        <v>1468</v>
      </c>
      <c r="H54" s="224" t="str">
        <f t="shared" si="0"/>
        <v>AWK</v>
      </c>
      <c r="I54" s="225" t="str">
        <f t="shared" si="1"/>
        <v>XLU</v>
      </c>
      <c r="J54" s="226" t="str">
        <f t="shared" si="2"/>
        <v>公用事業-受管制的水</v>
      </c>
      <c r="K54" s="227" t="str">
        <f t="shared" si="3"/>
        <v>.SPX</v>
      </c>
      <c r="L54" s="228">
        <v>0.1943</v>
      </c>
      <c r="M54" s="229">
        <v>179.67</v>
      </c>
      <c r="N54" s="228">
        <v>0.31090000000000001</v>
      </c>
      <c r="O54" s="228">
        <v>0.1497</v>
      </c>
      <c r="P54" s="228">
        <v>0.33450000000000002</v>
      </c>
      <c r="Q54" s="230">
        <v>0.1661</v>
      </c>
      <c r="R54" s="231">
        <v>44326</v>
      </c>
      <c r="S54" s="232">
        <v>156</v>
      </c>
      <c r="T54" s="233">
        <v>0.60299999999999998</v>
      </c>
      <c r="U54" s="234">
        <v>42681</v>
      </c>
      <c r="V54" s="232">
        <v>65.739006042480398</v>
      </c>
      <c r="W54" s="235">
        <v>0.375</v>
      </c>
      <c r="X54" s="117" t="s">
        <v>712</v>
      </c>
      <c r="Y54" s="118" t="s">
        <v>1042</v>
      </c>
      <c r="Z54" s="118" t="s">
        <v>1113</v>
      </c>
      <c r="AA54" s="118"/>
      <c r="AB54" s="118"/>
      <c r="AC54" s="118" t="s">
        <v>1233</v>
      </c>
      <c r="AD54" s="118"/>
      <c r="AE54" s="118" t="s">
        <v>1326</v>
      </c>
      <c r="AF54" s="118"/>
      <c r="AG54" s="118"/>
      <c r="AH54" s="122"/>
    </row>
    <row r="55" spans="1:34" ht="16.5" customHeight="1" thickBot="1">
      <c r="A55" s="102" t="s">
        <v>814</v>
      </c>
      <c r="B55" s="104"/>
      <c r="C55" s="104" t="s">
        <v>896</v>
      </c>
      <c r="D55" s="105" t="s">
        <v>659</v>
      </c>
      <c r="E55" s="374"/>
      <c r="F55" s="222" t="s">
        <v>420</v>
      </c>
      <c r="G55" s="223" t="s">
        <v>1469</v>
      </c>
      <c r="H55" s="224" t="str">
        <f t="shared" si="0"/>
        <v>AXP</v>
      </c>
      <c r="I55" s="225" t="str">
        <f t="shared" si="1"/>
        <v>XLF</v>
      </c>
      <c r="J55" s="226" t="str">
        <f t="shared" si="2"/>
        <v>信貸服務</v>
      </c>
      <c r="K55" s="227" t="str">
        <f t="shared" si="3"/>
        <v>.SPX</v>
      </c>
      <c r="L55" s="228">
        <v>0.2462</v>
      </c>
      <c r="M55" s="229">
        <v>169.63</v>
      </c>
      <c r="N55" s="228">
        <v>0.68130000000000002</v>
      </c>
      <c r="O55" s="228">
        <v>0.16200000000000001</v>
      </c>
      <c r="P55" s="228">
        <v>0.41450000000000004</v>
      </c>
      <c r="Q55" s="230">
        <v>0.21100000000000002</v>
      </c>
      <c r="R55" s="231">
        <v>44378</v>
      </c>
      <c r="S55" s="232">
        <v>166.94000244140599</v>
      </c>
      <c r="T55" s="233">
        <v>0.43</v>
      </c>
      <c r="U55" s="234">
        <v>42648</v>
      </c>
      <c r="V55" s="232">
        <v>59.901596069335902</v>
      </c>
      <c r="W55" s="235">
        <v>0.32</v>
      </c>
      <c r="X55" s="117" t="s">
        <v>984</v>
      </c>
      <c r="Y55" s="118" t="s">
        <v>1043</v>
      </c>
      <c r="Z55" s="118" t="s">
        <v>1114</v>
      </c>
      <c r="AA55" s="118"/>
      <c r="AB55" s="118"/>
      <c r="AC55" s="118" t="s">
        <v>1234</v>
      </c>
      <c r="AD55" s="118"/>
      <c r="AE55" s="118" t="s">
        <v>1327</v>
      </c>
      <c r="AF55" s="118"/>
      <c r="AG55" s="118"/>
      <c r="AH55" s="122"/>
    </row>
    <row r="56" spans="1:34" ht="16.5" customHeight="1" thickBot="1">
      <c r="A56" s="102" t="s">
        <v>663</v>
      </c>
      <c r="B56" s="104"/>
      <c r="C56" s="104"/>
      <c r="D56" s="105" t="s">
        <v>659</v>
      </c>
      <c r="E56" s="374"/>
      <c r="F56" s="222" t="s">
        <v>395</v>
      </c>
      <c r="G56" s="223" t="s">
        <v>1432</v>
      </c>
      <c r="H56" s="224" t="str">
        <f t="shared" si="0"/>
        <v>AZO</v>
      </c>
      <c r="I56" s="225" t="str">
        <f t="shared" si="1"/>
        <v>XLY</v>
      </c>
      <c r="J56" s="226" t="str">
        <f t="shared" si="2"/>
        <v>專業零售</v>
      </c>
      <c r="K56" s="227" t="str">
        <f t="shared" si="3"/>
        <v>.SPX</v>
      </c>
      <c r="L56" s="228">
        <v>0.2235</v>
      </c>
      <c r="M56" s="236">
        <v>1639.61</v>
      </c>
      <c r="N56" s="228">
        <v>0.3463</v>
      </c>
      <c r="O56" s="228">
        <v>0.1222</v>
      </c>
      <c r="P56" s="228">
        <v>0.4012</v>
      </c>
      <c r="Q56" s="230">
        <v>0.19260000000000002</v>
      </c>
      <c r="R56" s="231">
        <v>0</v>
      </c>
      <c r="S56" s="232">
        <v>0</v>
      </c>
      <c r="T56" s="233">
        <v>0</v>
      </c>
      <c r="U56" s="234">
        <v>0</v>
      </c>
      <c r="V56" s="232">
        <v>0</v>
      </c>
      <c r="W56" s="235">
        <v>0</v>
      </c>
      <c r="X56" s="117" t="s">
        <v>985</v>
      </c>
      <c r="Y56" s="118" t="s">
        <v>1044</v>
      </c>
      <c r="Z56" s="118" t="s">
        <v>1115</v>
      </c>
      <c r="AA56" s="118"/>
      <c r="AB56" s="118"/>
      <c r="AC56" s="118" t="s">
        <v>1235</v>
      </c>
      <c r="AD56" s="118"/>
      <c r="AE56" s="118" t="s">
        <v>1328</v>
      </c>
      <c r="AF56" s="118"/>
      <c r="AG56" s="118"/>
      <c r="AH56" s="122"/>
    </row>
    <row r="57" spans="1:34" ht="16.5" customHeight="1" thickBot="1">
      <c r="A57" s="102" t="s">
        <v>728</v>
      </c>
      <c r="B57" s="104"/>
      <c r="C57" s="104"/>
      <c r="D57" s="105" t="s">
        <v>659</v>
      </c>
      <c r="E57" s="374"/>
      <c r="F57" s="222" t="s">
        <v>289</v>
      </c>
      <c r="G57" s="223" t="s">
        <v>1470</v>
      </c>
      <c r="H57" s="224" t="str">
        <f t="shared" si="0"/>
        <v>BA</v>
      </c>
      <c r="I57" s="225" t="str">
        <f t="shared" si="1"/>
        <v>XLI</v>
      </c>
      <c r="J57" s="226" t="str">
        <f t="shared" si="2"/>
        <v>航天軍工</v>
      </c>
      <c r="K57" s="227" t="str">
        <f t="shared" si="3"/>
        <v>.SPX</v>
      </c>
      <c r="L57" s="228">
        <v>0.3125</v>
      </c>
      <c r="M57" s="229">
        <v>229.94</v>
      </c>
      <c r="N57" s="228">
        <v>0.66859999999999997</v>
      </c>
      <c r="O57" s="228">
        <v>0.24429999999999999</v>
      </c>
      <c r="P57" s="228">
        <v>0.69389999999999996</v>
      </c>
      <c r="Q57" s="230">
        <v>0.2974</v>
      </c>
      <c r="R57" s="231">
        <v>43874</v>
      </c>
      <c r="S57" s="232">
        <v>342.82000732421801</v>
      </c>
      <c r="T57" s="233">
        <v>2.0550000000000002</v>
      </c>
      <c r="U57" s="234">
        <v>42592</v>
      </c>
      <c r="V57" s="232">
        <v>121.707878112792</v>
      </c>
      <c r="W57" s="235">
        <v>1.0900000000000001</v>
      </c>
      <c r="X57" s="117" t="s">
        <v>986</v>
      </c>
      <c r="Y57" s="118" t="s">
        <v>1045</v>
      </c>
      <c r="Z57" s="118" t="s">
        <v>1116</v>
      </c>
      <c r="AA57" s="118"/>
      <c r="AB57" s="118"/>
      <c r="AC57" s="118" t="s">
        <v>1236</v>
      </c>
      <c r="AD57" s="118"/>
      <c r="AE57" s="118" t="s">
        <v>1329</v>
      </c>
      <c r="AF57" s="118"/>
      <c r="AG57" s="118"/>
      <c r="AH57" s="122"/>
    </row>
    <row r="58" spans="1:34" ht="16.5" customHeight="1" thickBot="1">
      <c r="A58" s="102" t="s">
        <v>661</v>
      </c>
      <c r="B58" s="104"/>
      <c r="C58" s="104"/>
      <c r="D58" s="105" t="s">
        <v>659</v>
      </c>
      <c r="E58" s="374"/>
      <c r="F58" s="222" t="s">
        <v>456</v>
      </c>
      <c r="G58" s="223" t="s">
        <v>1471</v>
      </c>
      <c r="H58" s="224" t="str">
        <f t="shared" si="0"/>
        <v>BAC</v>
      </c>
      <c r="I58" s="225" t="str">
        <f t="shared" si="1"/>
        <v>XLF</v>
      </c>
      <c r="J58" s="226" t="str">
        <f t="shared" si="2"/>
        <v>銀行-多樣化</v>
      </c>
      <c r="K58" s="227" t="str">
        <f t="shared" si="3"/>
        <v>.SPX</v>
      </c>
      <c r="L58" s="228">
        <v>0.245</v>
      </c>
      <c r="M58" s="229">
        <v>39.020000000000003</v>
      </c>
      <c r="N58" s="228">
        <v>0.53810000000000002</v>
      </c>
      <c r="O58" s="228">
        <v>0.1517</v>
      </c>
      <c r="P58" s="228">
        <v>0.43469999999999998</v>
      </c>
      <c r="Q58" s="230">
        <v>0.2341</v>
      </c>
      <c r="R58" s="231">
        <v>44350</v>
      </c>
      <c r="S58" s="232">
        <v>43.25</v>
      </c>
      <c r="T58" s="233">
        <v>0.18</v>
      </c>
      <c r="U58" s="234">
        <v>42613</v>
      </c>
      <c r="V58" s="232">
        <v>14.666796684265099</v>
      </c>
      <c r="W58" s="235">
        <v>7.4999999999999997E-2</v>
      </c>
      <c r="X58" s="117" t="s">
        <v>987</v>
      </c>
      <c r="Y58" s="118" t="s">
        <v>1046</v>
      </c>
      <c r="Z58" s="118" t="s">
        <v>1117</v>
      </c>
      <c r="AA58" s="118"/>
      <c r="AB58" s="118"/>
      <c r="AC58" s="118" t="s">
        <v>1237</v>
      </c>
      <c r="AD58" s="118"/>
      <c r="AE58" s="118" t="s">
        <v>1330</v>
      </c>
      <c r="AF58" s="118"/>
      <c r="AG58" s="118"/>
      <c r="AH58" s="122"/>
    </row>
    <row r="59" spans="1:34" ht="16.5" customHeight="1" thickBot="1">
      <c r="A59" s="103" t="s">
        <v>549</v>
      </c>
      <c r="B59" s="104"/>
      <c r="C59" s="104" t="s">
        <v>554</v>
      </c>
      <c r="D59" s="105" t="s">
        <v>535</v>
      </c>
      <c r="E59" s="374"/>
      <c r="F59" s="222" t="s">
        <v>64</v>
      </c>
      <c r="G59" s="223" t="s">
        <v>1472</v>
      </c>
      <c r="H59" s="224" t="str">
        <f t="shared" si="0"/>
        <v>BAX</v>
      </c>
      <c r="I59" s="225" t="str">
        <f t="shared" si="1"/>
        <v>XLV</v>
      </c>
      <c r="J59" s="226" t="str">
        <f t="shared" si="2"/>
        <v>醫療器械及用品</v>
      </c>
      <c r="K59" s="227" t="str">
        <f t="shared" si="3"/>
        <v>.SPX</v>
      </c>
      <c r="L59" s="228">
        <v>0.20849999999999999</v>
      </c>
      <c r="M59" s="229">
        <v>74.459999999999994</v>
      </c>
      <c r="N59" s="228">
        <v>0.312</v>
      </c>
      <c r="O59" s="228">
        <v>0.1188</v>
      </c>
      <c r="P59" s="228">
        <v>0.4047</v>
      </c>
      <c r="Q59" s="230">
        <v>0.17499999999999999</v>
      </c>
      <c r="R59" s="231">
        <v>44350</v>
      </c>
      <c r="S59" s="232">
        <v>81.690002441406193</v>
      </c>
      <c r="T59" s="233">
        <v>0.28000000000000003</v>
      </c>
      <c r="U59" s="234">
        <v>42613</v>
      </c>
      <c r="V59" s="232">
        <v>44.358753204345703</v>
      </c>
      <c r="W59" s="235">
        <v>0.13</v>
      </c>
      <c r="X59" s="117" t="s">
        <v>988</v>
      </c>
      <c r="Y59" s="118" t="s">
        <v>1047</v>
      </c>
      <c r="Z59" s="118" t="s">
        <v>1118</v>
      </c>
      <c r="AA59" s="118"/>
      <c r="AB59" s="118"/>
      <c r="AC59" s="118" t="s">
        <v>1238</v>
      </c>
      <c r="AD59" s="118"/>
      <c r="AE59" s="118" t="s">
        <v>1331</v>
      </c>
      <c r="AF59" s="118"/>
      <c r="AG59" s="118"/>
      <c r="AH59" s="122"/>
    </row>
    <row r="60" spans="1:34" ht="16.5" customHeight="1" thickBot="1">
      <c r="A60" s="102" t="s">
        <v>692</v>
      </c>
      <c r="B60" s="104"/>
      <c r="C60" s="104"/>
      <c r="D60" s="105" t="s">
        <v>659</v>
      </c>
      <c r="E60" s="374"/>
      <c r="F60" s="222" t="s">
        <v>487</v>
      </c>
      <c r="G60" s="223" t="s">
        <v>1432</v>
      </c>
      <c r="H60" s="224" t="str">
        <f t="shared" si="0"/>
        <v>BBY</v>
      </c>
      <c r="I60" s="225" t="str">
        <f t="shared" si="1"/>
        <v>XLY</v>
      </c>
      <c r="J60" s="226" t="str">
        <f t="shared" si="2"/>
        <v>專業零售</v>
      </c>
      <c r="K60" s="227" t="str">
        <f t="shared" si="3"/>
        <v>.SPX</v>
      </c>
      <c r="L60" s="228">
        <v>0.35349999999999998</v>
      </c>
      <c r="M60" s="229">
        <v>115.37</v>
      </c>
      <c r="N60" s="228">
        <v>0.4652</v>
      </c>
      <c r="O60" s="228">
        <v>0.2215</v>
      </c>
      <c r="P60" s="228">
        <v>0.5091</v>
      </c>
      <c r="Q60" s="230">
        <v>0.23149999999999998</v>
      </c>
      <c r="R60" s="231">
        <v>44363</v>
      </c>
      <c r="S60" s="232">
        <v>109.900001525878</v>
      </c>
      <c r="T60" s="233">
        <v>0.7</v>
      </c>
      <c r="U60" s="234">
        <v>42622</v>
      </c>
      <c r="V60" s="232">
        <v>32.586631774902301</v>
      </c>
      <c r="W60" s="235">
        <v>0.28000000000000003</v>
      </c>
      <c r="X60" s="117" t="s">
        <v>989</v>
      </c>
      <c r="Y60" s="118" t="s">
        <v>1048</v>
      </c>
      <c r="Z60" s="118" t="s">
        <v>1119</v>
      </c>
      <c r="AA60" s="118"/>
      <c r="AB60" s="118"/>
      <c r="AC60" s="118" t="s">
        <v>1239</v>
      </c>
      <c r="AD60" s="118"/>
      <c r="AE60" s="118" t="s">
        <v>1332</v>
      </c>
      <c r="AF60" s="118"/>
      <c r="AG60" s="118"/>
      <c r="AH60" s="122"/>
    </row>
    <row r="61" spans="1:34" ht="16.5" customHeight="1" thickBot="1">
      <c r="A61" s="102" t="s">
        <v>781</v>
      </c>
      <c r="B61" s="104"/>
      <c r="C61" s="104" t="s">
        <v>892</v>
      </c>
      <c r="D61" s="105" t="s">
        <v>659</v>
      </c>
      <c r="E61" s="374"/>
      <c r="F61" s="222" t="s">
        <v>159</v>
      </c>
      <c r="G61" s="223" t="s">
        <v>1472</v>
      </c>
      <c r="H61" s="224" t="str">
        <f t="shared" si="0"/>
        <v>BDX</v>
      </c>
      <c r="I61" s="225" t="str">
        <f t="shared" si="1"/>
        <v>XLV</v>
      </c>
      <c r="J61" s="226" t="str">
        <f t="shared" si="2"/>
        <v>醫療器械及用品</v>
      </c>
      <c r="K61" s="227" t="str">
        <f t="shared" si="3"/>
        <v>.SPX</v>
      </c>
      <c r="L61" s="228">
        <v>0.1946</v>
      </c>
      <c r="M61" s="229">
        <v>241.06</v>
      </c>
      <c r="N61" s="228">
        <v>0.34389999999999998</v>
      </c>
      <c r="O61" s="228">
        <v>9.9199999999999997E-2</v>
      </c>
      <c r="P61" s="228">
        <v>0.40610000000000002</v>
      </c>
      <c r="Q61" s="230">
        <v>0.16969999999999999</v>
      </c>
      <c r="R61" s="231">
        <v>44355</v>
      </c>
      <c r="S61" s="232">
        <v>239.25</v>
      </c>
      <c r="T61" s="233">
        <v>0.83</v>
      </c>
      <c r="U61" s="234">
        <v>42620</v>
      </c>
      <c r="V61" s="232">
        <v>166.618240356445</v>
      </c>
      <c r="W61" s="235">
        <v>0.66</v>
      </c>
      <c r="X61" s="117" t="s">
        <v>990</v>
      </c>
      <c r="Y61" s="118" t="s">
        <v>1049</v>
      </c>
      <c r="Z61" s="118" t="s">
        <v>1120</v>
      </c>
      <c r="AA61" s="118"/>
      <c r="AB61" s="118"/>
      <c r="AC61" s="118" t="s">
        <v>1240</v>
      </c>
      <c r="AD61" s="118"/>
      <c r="AE61" s="118" t="s">
        <v>1333</v>
      </c>
      <c r="AF61" s="118"/>
      <c r="AG61" s="118"/>
      <c r="AH61" s="122"/>
    </row>
    <row r="62" spans="1:34" ht="16.5" customHeight="1" thickBot="1">
      <c r="A62" s="102" t="s">
        <v>771</v>
      </c>
      <c r="B62" s="104"/>
      <c r="C62" s="104"/>
      <c r="D62" s="105" t="s">
        <v>659</v>
      </c>
      <c r="E62" s="374"/>
      <c r="F62" s="222" t="s">
        <v>405</v>
      </c>
      <c r="G62" s="223" t="s">
        <v>1455</v>
      </c>
      <c r="H62" s="224" t="str">
        <f t="shared" si="0"/>
        <v>BEN</v>
      </c>
      <c r="I62" s="225" t="str">
        <f t="shared" si="1"/>
        <v>XLF</v>
      </c>
      <c r="J62" s="226" t="str">
        <f t="shared" si="2"/>
        <v>資產管理</v>
      </c>
      <c r="K62" s="227" t="str">
        <f t="shared" si="3"/>
        <v>.SPX</v>
      </c>
      <c r="L62" s="228">
        <v>0.29920000000000002</v>
      </c>
      <c r="M62" s="229">
        <v>31.53</v>
      </c>
      <c r="N62" s="228">
        <v>0.62629999999999997</v>
      </c>
      <c r="O62" s="228">
        <v>0.25530000000000003</v>
      </c>
      <c r="P62" s="228">
        <v>0.45530000000000004</v>
      </c>
      <c r="Q62" s="230">
        <v>0.25790000000000002</v>
      </c>
      <c r="R62" s="231">
        <v>44376</v>
      </c>
      <c r="S62" s="232">
        <v>31.920000076293899</v>
      </c>
      <c r="T62" s="233">
        <v>0.28000000000000003</v>
      </c>
      <c r="U62" s="234">
        <v>42641</v>
      </c>
      <c r="V62" s="232">
        <v>27.384548187255799</v>
      </c>
      <c r="W62" s="235">
        <v>0.18</v>
      </c>
      <c r="X62" s="117" t="s">
        <v>991</v>
      </c>
      <c r="Y62" s="118" t="s">
        <v>1050</v>
      </c>
      <c r="Z62" s="118" t="s">
        <v>1121</v>
      </c>
      <c r="AA62" s="118"/>
      <c r="AB62" s="118"/>
      <c r="AC62" s="118" t="s">
        <v>1241</v>
      </c>
      <c r="AD62" s="118"/>
      <c r="AE62" s="118" t="s">
        <v>1334</v>
      </c>
      <c r="AF62" s="118"/>
      <c r="AG62" s="118"/>
      <c r="AH62" s="122"/>
    </row>
    <row r="63" spans="1:34" ht="16.5" customHeight="1" thickBot="1">
      <c r="A63" s="102" t="s">
        <v>822</v>
      </c>
      <c r="B63" s="104"/>
      <c r="C63" s="104" t="s">
        <v>897</v>
      </c>
      <c r="D63" s="105" t="s">
        <v>659</v>
      </c>
      <c r="E63" s="374"/>
      <c r="F63" s="222" t="s">
        <v>226</v>
      </c>
      <c r="G63" s="223" t="s">
        <v>1473</v>
      </c>
      <c r="H63" s="224" t="str">
        <f t="shared" si="0"/>
        <v>BF.B</v>
      </c>
      <c r="I63" s="225" t="str">
        <f t="shared" si="1"/>
        <v>XLP</v>
      </c>
      <c r="J63" s="226" t="str">
        <f t="shared" si="2"/>
        <v>飲料-酒廠和釀酒廠</v>
      </c>
      <c r="K63" s="227" t="str">
        <f t="shared" si="3"/>
        <v>.SPX</v>
      </c>
      <c r="L63" s="228">
        <v>0.2079</v>
      </c>
      <c r="M63" s="229">
        <v>84.82</v>
      </c>
      <c r="N63" s="228">
        <v>0.61460000000000004</v>
      </c>
      <c r="O63" s="228">
        <v>0.13719999999999999</v>
      </c>
      <c r="P63" s="228">
        <v>0.47369999999999995</v>
      </c>
      <c r="Q63" s="230">
        <v>0.1845</v>
      </c>
      <c r="R63" s="231">
        <v>44372</v>
      </c>
      <c r="S63" s="232">
        <v>78.569999694824205</v>
      </c>
      <c r="T63" s="233">
        <v>0.60299999999999998</v>
      </c>
      <c r="U63" s="234">
        <v>42635</v>
      </c>
      <c r="V63" s="232">
        <v>54.868453979492102</v>
      </c>
      <c r="W63" s="235">
        <v>3.504</v>
      </c>
      <c r="X63" s="117" t="s">
        <v>992</v>
      </c>
      <c r="Y63" s="118" t="s">
        <v>1051</v>
      </c>
      <c r="Z63" s="118" t="s">
        <v>765</v>
      </c>
      <c r="AA63" s="118"/>
      <c r="AB63" s="118"/>
      <c r="AC63" s="118" t="s">
        <v>1242</v>
      </c>
      <c r="AD63" s="118"/>
      <c r="AE63" s="118" t="s">
        <v>1335</v>
      </c>
      <c r="AF63" s="118"/>
      <c r="AG63" s="118"/>
      <c r="AH63" s="122"/>
    </row>
    <row r="64" spans="1:34" ht="16.5" customHeight="1" thickBot="1">
      <c r="A64" s="102" t="s">
        <v>705</v>
      </c>
      <c r="B64" s="104"/>
      <c r="C64" s="104" t="s">
        <v>895</v>
      </c>
      <c r="D64" s="105" t="s">
        <v>659</v>
      </c>
      <c r="E64" s="374"/>
      <c r="F64" s="222" t="s">
        <v>70</v>
      </c>
      <c r="G64" s="223" t="s">
        <v>1434</v>
      </c>
      <c r="H64" s="224" t="str">
        <f t="shared" si="0"/>
        <v>BIIB</v>
      </c>
      <c r="I64" s="225" t="str">
        <f t="shared" si="1"/>
        <v>XLV</v>
      </c>
      <c r="J64" s="226" t="str">
        <f t="shared" si="2"/>
        <v>藥品製造商— 常規</v>
      </c>
      <c r="K64" s="227" t="str">
        <f t="shared" si="3"/>
        <v>.SPX</v>
      </c>
      <c r="L64" s="228">
        <v>0.3659</v>
      </c>
      <c r="M64" s="229">
        <v>336.59</v>
      </c>
      <c r="N64" s="228">
        <v>1.3311999999999999</v>
      </c>
      <c r="O64" s="228">
        <v>0.1527</v>
      </c>
      <c r="P64" s="228">
        <v>1.2001999999999999</v>
      </c>
      <c r="Q64" s="230">
        <v>0.2898</v>
      </c>
      <c r="R64" s="231">
        <v>0</v>
      </c>
      <c r="S64" s="232">
        <v>0</v>
      </c>
      <c r="T64" s="233">
        <v>0</v>
      </c>
      <c r="U64" s="234">
        <v>0</v>
      </c>
      <c r="V64" s="232">
        <v>0</v>
      </c>
      <c r="W64" s="235">
        <v>0</v>
      </c>
      <c r="X64" s="117" t="s">
        <v>810</v>
      </c>
      <c r="Y64" s="118" t="s">
        <v>1052</v>
      </c>
      <c r="Z64" s="118" t="s">
        <v>1122</v>
      </c>
      <c r="AA64" s="118"/>
      <c r="AB64" s="118"/>
      <c r="AC64" s="118" t="s">
        <v>1243</v>
      </c>
      <c r="AD64" s="118"/>
      <c r="AE64" s="118" t="s">
        <v>1336</v>
      </c>
      <c r="AF64" s="118"/>
      <c r="AG64" s="118"/>
      <c r="AH64" s="122"/>
    </row>
    <row r="65" spans="1:34" ht="16.5" customHeight="1" thickBot="1">
      <c r="A65" s="102" t="s">
        <v>690</v>
      </c>
      <c r="B65" s="104"/>
      <c r="C65" s="104"/>
      <c r="D65" s="105" t="s">
        <v>659</v>
      </c>
      <c r="E65" s="374"/>
      <c r="F65" s="222" t="s">
        <v>28</v>
      </c>
      <c r="G65" s="223" t="s">
        <v>1436</v>
      </c>
      <c r="H65" s="224" t="str">
        <f t="shared" si="0"/>
        <v>BIO</v>
      </c>
      <c r="I65" s="225" t="str">
        <f t="shared" si="1"/>
        <v>XLV</v>
      </c>
      <c r="J65" s="226" t="str">
        <f t="shared" si="2"/>
        <v>醫療設備</v>
      </c>
      <c r="K65" s="227" t="str">
        <f t="shared" si="3"/>
        <v>.SPX</v>
      </c>
      <c r="L65" s="228">
        <v>0.24390000000000001</v>
      </c>
      <c r="M65" s="229">
        <v>763.66</v>
      </c>
      <c r="N65" s="228">
        <v>0.53139999999999998</v>
      </c>
      <c r="O65" s="228">
        <v>0.13089999999999999</v>
      </c>
      <c r="P65" s="228">
        <v>0.4879</v>
      </c>
      <c r="Q65" s="230">
        <v>0.21660000000000001</v>
      </c>
      <c r="R65" s="231">
        <v>0</v>
      </c>
      <c r="S65" s="232">
        <v>0</v>
      </c>
      <c r="T65" s="233">
        <v>0</v>
      </c>
      <c r="U65" s="234">
        <v>0</v>
      </c>
      <c r="V65" s="232">
        <v>0</v>
      </c>
      <c r="W65" s="235">
        <v>0</v>
      </c>
      <c r="X65" s="117" t="s">
        <v>993</v>
      </c>
      <c r="Y65" s="118" t="s">
        <v>1053</v>
      </c>
      <c r="Z65" s="118" t="s">
        <v>1123</v>
      </c>
      <c r="AA65" s="118"/>
      <c r="AB65" s="118"/>
      <c r="AC65" s="118" t="s">
        <v>1244</v>
      </c>
      <c r="AD65" s="118"/>
      <c r="AE65" s="118" t="s">
        <v>1337</v>
      </c>
      <c r="AF65" s="118"/>
      <c r="AG65" s="118"/>
      <c r="AH65" s="122"/>
    </row>
    <row r="66" spans="1:34" ht="16.5" customHeight="1" thickBot="1">
      <c r="A66" s="102" t="s">
        <v>798</v>
      </c>
      <c r="B66" s="104"/>
      <c r="C66" s="104" t="s">
        <v>895</v>
      </c>
      <c r="D66" s="105" t="s">
        <v>659</v>
      </c>
      <c r="E66" s="374"/>
      <c r="F66" s="222" t="s">
        <v>455</v>
      </c>
      <c r="G66" s="223" t="s">
        <v>1455</v>
      </c>
      <c r="H66" s="224" t="str">
        <f t="shared" si="0"/>
        <v>BK</v>
      </c>
      <c r="I66" s="225" t="str">
        <f t="shared" si="1"/>
        <v>XLF</v>
      </c>
      <c r="J66" s="226" t="str">
        <f t="shared" si="2"/>
        <v>資產管理</v>
      </c>
      <c r="K66" s="227" t="str">
        <f t="shared" si="3"/>
        <v>.SPX</v>
      </c>
      <c r="L66" s="228">
        <v>0.23250000000000001</v>
      </c>
      <c r="M66" s="229">
        <v>52.65</v>
      </c>
      <c r="N66" s="228">
        <v>0.4819</v>
      </c>
      <c r="O66" s="228">
        <v>0.16209999999999999</v>
      </c>
      <c r="P66" s="228">
        <v>0.41210000000000002</v>
      </c>
      <c r="Q66" s="230">
        <v>0.20469999999999999</v>
      </c>
      <c r="R66" s="231">
        <v>44403</v>
      </c>
      <c r="S66" s="232">
        <v>50.25</v>
      </c>
      <c r="T66" s="233">
        <v>0.34</v>
      </c>
      <c r="U66" s="234">
        <v>42671</v>
      </c>
      <c r="V66" s="232">
        <v>38.776798248291001</v>
      </c>
      <c r="W66" s="235">
        <v>0.19</v>
      </c>
      <c r="X66" s="117" t="s">
        <v>584</v>
      </c>
      <c r="Y66" s="118" t="s">
        <v>1054</v>
      </c>
      <c r="Z66" s="118" t="s">
        <v>1124</v>
      </c>
      <c r="AA66" s="118"/>
      <c r="AB66" s="118"/>
      <c r="AC66" s="118" t="s">
        <v>1245</v>
      </c>
      <c r="AD66" s="118"/>
      <c r="AE66" s="118" t="s">
        <v>1338</v>
      </c>
      <c r="AF66" s="118"/>
      <c r="AG66" s="118"/>
      <c r="AH66" s="122"/>
    </row>
    <row r="67" spans="1:34" ht="16.5" customHeight="1" thickBot="1">
      <c r="A67" s="102" t="s">
        <v>770</v>
      </c>
      <c r="B67" s="104"/>
      <c r="C67" s="104"/>
      <c r="D67" s="105" t="s">
        <v>659</v>
      </c>
      <c r="E67" s="374"/>
      <c r="F67" s="222" t="s">
        <v>230</v>
      </c>
      <c r="G67" s="223" t="s">
        <v>1474</v>
      </c>
      <c r="H67" s="224" t="str">
        <f t="shared" si="0"/>
        <v>BKNG</v>
      </c>
      <c r="I67" s="225" t="str">
        <f t="shared" si="1"/>
        <v>XLY</v>
      </c>
      <c r="J67" s="226" t="str">
        <f t="shared" si="2"/>
        <v>旅行服務</v>
      </c>
      <c r="K67" s="227" t="str">
        <f t="shared" si="3"/>
        <v>.SPX</v>
      </c>
      <c r="L67" s="228">
        <v>0.29430000000000001</v>
      </c>
      <c r="M67" s="236">
        <v>2207.71</v>
      </c>
      <c r="N67" s="228">
        <v>0.67269999999999996</v>
      </c>
      <c r="O67" s="228">
        <v>0.18190000000000001</v>
      </c>
      <c r="P67" s="228">
        <v>0.51749999999999996</v>
      </c>
      <c r="Q67" s="230">
        <v>0.23449999999999999</v>
      </c>
      <c r="R67" s="231">
        <v>0</v>
      </c>
      <c r="S67" s="232">
        <v>0</v>
      </c>
      <c r="T67" s="233">
        <v>0</v>
      </c>
      <c r="U67" s="234">
        <v>0</v>
      </c>
      <c r="V67" s="232">
        <v>0</v>
      </c>
      <c r="W67" s="235">
        <v>0</v>
      </c>
      <c r="X67" s="123"/>
      <c r="Y67" s="118" t="s">
        <v>1055</v>
      </c>
      <c r="Z67" s="118" t="s">
        <v>1125</v>
      </c>
      <c r="AA67" s="118"/>
      <c r="AB67" s="118"/>
      <c r="AC67" s="118" t="s">
        <v>1246</v>
      </c>
      <c r="AD67" s="118"/>
      <c r="AE67" s="118" t="s">
        <v>1339</v>
      </c>
      <c r="AF67" s="118"/>
      <c r="AG67" s="118"/>
      <c r="AH67" s="122"/>
    </row>
    <row r="68" spans="1:34" ht="16.5" customHeight="1" thickBot="1">
      <c r="A68" s="102" t="s">
        <v>703</v>
      </c>
      <c r="B68" s="104"/>
      <c r="C68" s="104"/>
      <c r="D68" s="105" t="s">
        <v>659</v>
      </c>
      <c r="E68" s="374"/>
      <c r="F68" s="222" t="s">
        <v>423</v>
      </c>
      <c r="G68" s="223" t="s">
        <v>1475</v>
      </c>
      <c r="H68" s="224" t="str">
        <f t="shared" ref="H68:H131" si="4">IF(F68="","",F68)</f>
        <v>BKR</v>
      </c>
      <c r="I68" s="225" t="str">
        <f t="shared" ref="I68:I131" si="5">IFERROR(INDEX($X$3:$AH$3,IF(IFERROR(MATCH(H68,X:X,0),0)&lt;&gt;0,1,IF(IFERROR(MATCH(H68,Y:Y,0),0)&lt;&gt;0,2,IF(IFERROR(MATCH(H68,Z:Z,0),0)&lt;&gt;0,3,IF(IFERROR(MATCH(H68,AA:AA,0),0)&lt;&gt;0,4,IF(IFERROR(MATCH(H68,AB:AB,0),0)&lt;&gt;0,5,IF(IFERROR(MATCH(H68,AC:AC,0),0)&lt;&gt;0,6,IF(IFERROR(MATCH(H68,AD:AD,0),0)&lt;&gt;0,7,IF(IFERROR(MATCH(H68,AE:AE,0),0)&lt;&gt;0,8,IF(IFERROR(MATCH(H68,AF:AF,0),0)&lt;&gt;0,9,IF(IFERROR(MATCH(H68,AG:AG,0),0)&lt;&gt;0,10,IF(IFERROR(MATCH(H68,AH:AH,0),0)&lt;&gt;0,11,"Z")))))))))))),"")</f>
        <v>XLE</v>
      </c>
      <c r="J68" s="226" t="str">
        <f t="shared" ref="J68:J131" si="6">IF(G68="","",G68)</f>
        <v>石油和天然氣設備和服務</v>
      </c>
      <c r="K68" s="227" t="str">
        <f t="shared" si="3"/>
        <v>.SPX</v>
      </c>
      <c r="L68" s="228">
        <v>0.40649999999999997</v>
      </c>
      <c r="M68" s="229">
        <v>21.19</v>
      </c>
      <c r="N68" s="228">
        <v>0.60740000000000005</v>
      </c>
      <c r="O68" s="228">
        <v>0.28260000000000002</v>
      </c>
      <c r="P68" s="228">
        <v>0.67890000000000006</v>
      </c>
      <c r="Q68" s="230">
        <v>0.34740000000000004</v>
      </c>
      <c r="R68" s="231">
        <v>44340</v>
      </c>
      <c r="S68" s="232">
        <v>25.149999618530199</v>
      </c>
      <c r="T68" s="233">
        <v>0.18</v>
      </c>
      <c r="U68" s="234">
        <v>42677</v>
      </c>
      <c r="V68" s="232">
        <v>33.816650390625</v>
      </c>
      <c r="W68" s="235">
        <v>0.17</v>
      </c>
      <c r="X68" s="123"/>
      <c r="Y68" s="118" t="s">
        <v>1056</v>
      </c>
      <c r="Z68" s="118" t="s">
        <v>1126</v>
      </c>
      <c r="AA68" s="118"/>
      <c r="AB68" s="118"/>
      <c r="AC68" s="118" t="s">
        <v>1247</v>
      </c>
      <c r="AD68" s="118"/>
      <c r="AE68" s="118"/>
      <c r="AF68" s="118"/>
      <c r="AG68" s="118"/>
      <c r="AH68" s="122"/>
    </row>
    <row r="69" spans="1:34" ht="16.5" customHeight="1" thickBot="1">
      <c r="A69" s="102" t="s">
        <v>768</v>
      </c>
      <c r="B69" s="104"/>
      <c r="C69" s="104"/>
      <c r="D69" s="105" t="s">
        <v>659</v>
      </c>
      <c r="E69" s="374"/>
      <c r="F69" s="222" t="s">
        <v>345</v>
      </c>
      <c r="G69" s="223" t="s">
        <v>1455</v>
      </c>
      <c r="H69" s="224" t="str">
        <f t="shared" si="4"/>
        <v>BLK</v>
      </c>
      <c r="I69" s="225" t="str">
        <f t="shared" si="5"/>
        <v>XLF</v>
      </c>
      <c r="J69" s="226" t="str">
        <f t="shared" si="6"/>
        <v>資產管理</v>
      </c>
      <c r="K69" s="227" t="str">
        <f t="shared" ref="K69:K132" si="7">IF(H69="","",".SPX")</f>
        <v>.SPX</v>
      </c>
      <c r="L69" s="228">
        <v>0.20619999999999999</v>
      </c>
      <c r="M69" s="229">
        <v>889.28</v>
      </c>
      <c r="N69" s="228">
        <v>0.31109999999999999</v>
      </c>
      <c r="O69" s="228">
        <v>0.1419</v>
      </c>
      <c r="P69" s="228">
        <v>0.38659999999999994</v>
      </c>
      <c r="Q69" s="230">
        <v>0.1787</v>
      </c>
      <c r="R69" s="231">
        <v>44350</v>
      </c>
      <c r="S69" s="232">
        <v>881.010009765625</v>
      </c>
      <c r="T69" s="233">
        <v>4.13</v>
      </c>
      <c r="U69" s="234">
        <v>42613</v>
      </c>
      <c r="V69" s="232">
        <v>330.56710815429602</v>
      </c>
      <c r="W69" s="235">
        <v>2.29</v>
      </c>
      <c r="X69" s="123"/>
      <c r="Y69" s="118" t="s">
        <v>1057</v>
      </c>
      <c r="Z69" s="118" t="s">
        <v>1127</v>
      </c>
      <c r="AA69" s="118"/>
      <c r="AB69" s="118"/>
      <c r="AC69" s="118"/>
      <c r="AD69" s="118"/>
      <c r="AE69" s="118"/>
      <c r="AF69" s="118"/>
      <c r="AG69" s="118"/>
      <c r="AH69" s="122"/>
    </row>
    <row r="70" spans="1:34" ht="16.5" customHeight="1" thickBot="1">
      <c r="A70" s="102" t="s">
        <v>767</v>
      </c>
      <c r="B70" s="104"/>
      <c r="C70" s="104"/>
      <c r="D70" s="105" t="s">
        <v>659</v>
      </c>
      <c r="E70" s="374"/>
      <c r="F70" s="222" t="s">
        <v>360</v>
      </c>
      <c r="G70" s="223" t="s">
        <v>1453</v>
      </c>
      <c r="H70" s="224" t="str">
        <f t="shared" si="4"/>
        <v>BLL</v>
      </c>
      <c r="I70" s="225" t="str">
        <f t="shared" si="5"/>
        <v>XLB</v>
      </c>
      <c r="J70" s="226" t="str">
        <f t="shared" si="6"/>
        <v>包裝和容器</v>
      </c>
      <c r="K70" s="227" t="str">
        <f t="shared" si="7"/>
        <v>.SPX</v>
      </c>
      <c r="L70" s="228">
        <v>0.2291</v>
      </c>
      <c r="M70" s="229">
        <v>80.78</v>
      </c>
      <c r="N70" s="228">
        <v>0.29709999999999998</v>
      </c>
      <c r="O70" s="228">
        <v>0.1333</v>
      </c>
      <c r="P70" s="228">
        <v>0.38420000000000004</v>
      </c>
      <c r="Q70" s="230">
        <v>0.19570000000000001</v>
      </c>
      <c r="R70" s="231">
        <v>44344</v>
      </c>
      <c r="S70" s="232">
        <v>82.160003662109304</v>
      </c>
      <c r="T70" s="233">
        <v>0.15</v>
      </c>
      <c r="U70" s="234">
        <v>42612</v>
      </c>
      <c r="V70" s="232">
        <v>37.920436859130803</v>
      </c>
      <c r="W70" s="235">
        <v>6.5000000000000002E-2</v>
      </c>
      <c r="X70" s="123"/>
      <c r="Y70" s="118" t="s">
        <v>1058</v>
      </c>
      <c r="Z70" s="118" t="s">
        <v>1128</v>
      </c>
      <c r="AA70" s="118"/>
      <c r="AB70" s="118"/>
      <c r="AC70" s="118"/>
      <c r="AD70" s="118"/>
      <c r="AE70" s="118"/>
      <c r="AF70" s="118"/>
      <c r="AG70" s="118"/>
      <c r="AH70" s="122"/>
    </row>
    <row r="71" spans="1:34" ht="16.5" customHeight="1" thickBot="1">
      <c r="A71" s="102" t="s">
        <v>765</v>
      </c>
      <c r="B71" s="104"/>
      <c r="C71" s="104"/>
      <c r="D71" s="105" t="s">
        <v>659</v>
      </c>
      <c r="E71" s="374"/>
      <c r="F71" s="222" t="s">
        <v>35</v>
      </c>
      <c r="G71" s="223" t="s">
        <v>1434</v>
      </c>
      <c r="H71" s="224" t="str">
        <f t="shared" si="4"/>
        <v>BMY</v>
      </c>
      <c r="I71" s="225" t="str">
        <f t="shared" si="5"/>
        <v>XLV</v>
      </c>
      <c r="J71" s="226" t="str">
        <f t="shared" si="6"/>
        <v>藥品製造商— 常規</v>
      </c>
      <c r="K71" s="227" t="str">
        <f t="shared" si="7"/>
        <v>.SPX</v>
      </c>
      <c r="L71" s="228">
        <v>0.1686</v>
      </c>
      <c r="M71" s="229">
        <v>67.92</v>
      </c>
      <c r="N71" s="228">
        <v>0.31759999999999999</v>
      </c>
      <c r="O71" s="228">
        <v>0.1153</v>
      </c>
      <c r="P71" s="228">
        <v>0.41979999999999995</v>
      </c>
      <c r="Q71" s="230">
        <v>0.16539999999999999</v>
      </c>
      <c r="R71" s="231">
        <v>44378</v>
      </c>
      <c r="S71" s="232">
        <v>66.559997558593693</v>
      </c>
      <c r="T71" s="233">
        <v>0.49</v>
      </c>
      <c r="U71" s="234">
        <v>42648</v>
      </c>
      <c r="V71" s="232">
        <v>47.603187561035099</v>
      </c>
      <c r="W71" s="235">
        <v>0.38</v>
      </c>
      <c r="X71" s="123"/>
      <c r="Y71" s="118" t="s">
        <v>1059</v>
      </c>
      <c r="Z71" s="118" t="s">
        <v>1129</v>
      </c>
      <c r="AA71" s="118"/>
      <c r="AB71" s="118"/>
      <c r="AC71" s="118"/>
      <c r="AD71" s="118"/>
      <c r="AE71" s="118"/>
      <c r="AF71" s="118"/>
      <c r="AG71" s="118"/>
      <c r="AH71" s="122"/>
    </row>
    <row r="72" spans="1:34" ht="16.5" customHeight="1" thickBot="1">
      <c r="A72" s="102" t="s">
        <v>805</v>
      </c>
      <c r="B72" s="104"/>
      <c r="C72" s="104" t="s">
        <v>893</v>
      </c>
      <c r="D72" s="105" t="s">
        <v>659</v>
      </c>
      <c r="E72" s="374"/>
      <c r="F72" s="222" t="s">
        <v>98</v>
      </c>
      <c r="G72" s="223" t="s">
        <v>1437</v>
      </c>
      <c r="H72" s="224" t="str">
        <f t="shared" si="4"/>
        <v>BR</v>
      </c>
      <c r="I72" s="225" t="str">
        <f t="shared" si="5"/>
        <v>XLK</v>
      </c>
      <c r="J72" s="226" t="str">
        <f t="shared" si="6"/>
        <v>信息技術處</v>
      </c>
      <c r="K72" s="227" t="str">
        <f t="shared" si="7"/>
        <v>.SPX</v>
      </c>
      <c r="L72" s="228">
        <v>0.24129999999999999</v>
      </c>
      <c r="M72" s="229">
        <v>173.93</v>
      </c>
      <c r="N72" s="228">
        <v>0.29599999999999999</v>
      </c>
      <c r="O72" s="228">
        <v>0.12239999999999999</v>
      </c>
      <c r="P72" s="228">
        <v>0.38789999999999997</v>
      </c>
      <c r="Q72" s="230">
        <v>0.17579999999999998</v>
      </c>
      <c r="R72" s="231">
        <v>44361</v>
      </c>
      <c r="S72" s="232">
        <v>160.96000671386699</v>
      </c>
      <c r="T72" s="233">
        <v>0.57499999999999996</v>
      </c>
      <c r="U72" s="234">
        <v>42626</v>
      </c>
      <c r="V72" s="232">
        <v>63.390529632568303</v>
      </c>
      <c r="W72" s="235">
        <v>0.33</v>
      </c>
      <c r="X72" s="123"/>
      <c r="Y72" s="118" t="s">
        <v>1060</v>
      </c>
      <c r="Z72" s="118" t="s">
        <v>1130</v>
      </c>
      <c r="AA72" s="118"/>
      <c r="AB72" s="118"/>
      <c r="AC72" s="118"/>
      <c r="AD72" s="118"/>
      <c r="AE72" s="118"/>
      <c r="AF72" s="118"/>
      <c r="AG72" s="118"/>
      <c r="AH72" s="122"/>
    </row>
    <row r="73" spans="1:34" ht="16.5" customHeight="1" thickBot="1">
      <c r="A73" s="102" t="s">
        <v>718</v>
      </c>
      <c r="B73" s="104"/>
      <c r="C73" s="104"/>
      <c r="D73" s="105" t="s">
        <v>659</v>
      </c>
      <c r="E73" s="374"/>
      <c r="F73" s="222" t="s">
        <v>1541</v>
      </c>
      <c r="G73" s="223" t="s">
        <v>1446</v>
      </c>
      <c r="H73" s="224" t="str">
        <f t="shared" si="4"/>
        <v>BRK.B</v>
      </c>
      <c r="I73" s="225" t="str">
        <f t="shared" si="5"/>
        <v>XLF</v>
      </c>
      <c r="J73" s="226" t="str">
        <f t="shared" si="6"/>
        <v>保險-多樣化</v>
      </c>
      <c r="K73" s="227" t="str">
        <f t="shared" si="7"/>
        <v>.SPX</v>
      </c>
      <c r="L73" s="228">
        <v>0.1925</v>
      </c>
      <c r="M73" s="229">
        <v>193.45</v>
      </c>
      <c r="N73" s="228">
        <v>0.36149999999999999</v>
      </c>
      <c r="O73" s="228">
        <v>0.15160000000000001</v>
      </c>
      <c r="P73" s="228">
        <v>0.33529999999999999</v>
      </c>
      <c r="Q73" s="230">
        <v>0.1804</v>
      </c>
      <c r="R73" s="231">
        <v>44358</v>
      </c>
      <c r="S73" s="232">
        <v>194.33999633789</v>
      </c>
      <c r="T73" s="233">
        <v>1.33</v>
      </c>
      <c r="U73" s="234">
        <v>42627</v>
      </c>
      <c r="V73" s="232">
        <v>77.177536010742102</v>
      </c>
      <c r="W73" s="235">
        <v>0.88500000000000001</v>
      </c>
      <c r="X73" s="123"/>
      <c r="Y73" s="118" t="s">
        <v>1061</v>
      </c>
      <c r="Z73" s="118" t="s">
        <v>1131</v>
      </c>
      <c r="AA73" s="118"/>
      <c r="AB73" s="118"/>
      <c r="AC73" s="118"/>
      <c r="AD73" s="118"/>
      <c r="AE73" s="118"/>
      <c r="AF73" s="118"/>
      <c r="AG73" s="118"/>
      <c r="AH73" s="122"/>
    </row>
    <row r="74" spans="1:34" ht="16.5" customHeight="1" thickBot="1">
      <c r="A74" s="102" t="s">
        <v>791</v>
      </c>
      <c r="B74" s="104"/>
      <c r="C74" s="104" t="s">
        <v>773</v>
      </c>
      <c r="D74" s="105" t="s">
        <v>659</v>
      </c>
      <c r="E74" s="374"/>
      <c r="F74" s="222" t="s">
        <v>120</v>
      </c>
      <c r="G74" s="223" t="s">
        <v>1436</v>
      </c>
      <c r="H74" s="224" t="str">
        <f t="shared" si="4"/>
        <v>BSX</v>
      </c>
      <c r="I74" s="225" t="str">
        <f t="shared" si="5"/>
        <v>XLV</v>
      </c>
      <c r="J74" s="226" t="str">
        <f t="shared" si="6"/>
        <v>醫療設備</v>
      </c>
      <c r="K74" s="227" t="str">
        <f t="shared" si="7"/>
        <v>.SPX</v>
      </c>
      <c r="L74" s="228">
        <v>0.23549999999999999</v>
      </c>
      <c r="M74" s="229">
        <v>44.65</v>
      </c>
      <c r="N74" s="228">
        <v>0.43959999999999999</v>
      </c>
      <c r="O74" s="228">
        <v>0.14879999999999999</v>
      </c>
      <c r="P74" s="228">
        <v>0.3987</v>
      </c>
      <c r="Q74" s="230">
        <v>0.20610000000000001</v>
      </c>
      <c r="R74" s="231">
        <v>0</v>
      </c>
      <c r="S74" s="232">
        <v>0</v>
      </c>
      <c r="T74" s="233">
        <v>0</v>
      </c>
      <c r="U74" s="234">
        <v>0</v>
      </c>
      <c r="V74" s="232">
        <v>0</v>
      </c>
      <c r="W74" s="235">
        <v>0</v>
      </c>
      <c r="X74" s="123"/>
      <c r="Y74" s="118" t="s">
        <v>1062</v>
      </c>
      <c r="Z74" s="118" t="s">
        <v>1132</v>
      </c>
      <c r="AA74" s="118"/>
      <c r="AB74" s="118"/>
      <c r="AC74" s="118"/>
      <c r="AD74" s="118"/>
      <c r="AE74" s="118"/>
      <c r="AF74" s="118"/>
      <c r="AG74" s="118"/>
      <c r="AH74" s="122"/>
    </row>
    <row r="75" spans="1:34" ht="16.5" customHeight="1" thickBot="1">
      <c r="A75" s="102" t="s">
        <v>794</v>
      </c>
      <c r="B75" s="104"/>
      <c r="C75" s="104" t="s">
        <v>773</v>
      </c>
      <c r="D75" s="105" t="s">
        <v>659</v>
      </c>
      <c r="E75" s="374"/>
      <c r="F75" s="222" t="s">
        <v>468</v>
      </c>
      <c r="G75" s="223" t="s">
        <v>1463</v>
      </c>
      <c r="H75" s="224" t="str">
        <f t="shared" si="4"/>
        <v>BWA</v>
      </c>
      <c r="I75" s="225" t="str">
        <f t="shared" si="5"/>
        <v>XLY</v>
      </c>
      <c r="J75" s="226" t="str">
        <f t="shared" si="6"/>
        <v>汽車零件</v>
      </c>
      <c r="K75" s="227" t="str">
        <f t="shared" si="7"/>
        <v>.SPX</v>
      </c>
      <c r="L75" s="228">
        <v>0.29370000000000002</v>
      </c>
      <c r="M75" s="229">
        <v>45.95</v>
      </c>
      <c r="N75" s="228">
        <v>0.45</v>
      </c>
      <c r="O75" s="228">
        <v>0.24990000000000001</v>
      </c>
      <c r="P75" s="228">
        <v>0.52239999999999998</v>
      </c>
      <c r="Q75" s="230">
        <v>0.27839999999999998</v>
      </c>
      <c r="R75" s="231">
        <v>44344</v>
      </c>
      <c r="S75" s="232">
        <v>51.290000915527301</v>
      </c>
      <c r="T75" s="233">
        <v>0.17</v>
      </c>
      <c r="U75" s="234">
        <v>42612</v>
      </c>
      <c r="V75" s="232">
        <v>31.805517196655199</v>
      </c>
      <c r="W75" s="235">
        <v>0.13</v>
      </c>
      <c r="X75" s="123"/>
      <c r="Y75" s="118" t="s">
        <v>1063</v>
      </c>
      <c r="Z75" s="118" t="s">
        <v>1133</v>
      </c>
      <c r="AA75" s="118"/>
      <c r="AB75" s="118"/>
      <c r="AC75" s="118"/>
      <c r="AD75" s="118"/>
      <c r="AE75" s="118"/>
      <c r="AF75" s="118"/>
      <c r="AG75" s="118"/>
      <c r="AH75" s="122"/>
    </row>
    <row r="76" spans="1:34" ht="16.5" customHeight="1" thickBot="1">
      <c r="A76" s="102" t="s">
        <v>727</v>
      </c>
      <c r="B76" s="104"/>
      <c r="C76" s="104"/>
      <c r="D76" s="105" t="s">
        <v>659</v>
      </c>
      <c r="E76" s="374"/>
      <c r="F76" s="222" t="s">
        <v>261</v>
      </c>
      <c r="G76" s="223" t="s">
        <v>1464</v>
      </c>
      <c r="H76" s="224" t="str">
        <f t="shared" si="4"/>
        <v>BXP</v>
      </c>
      <c r="I76" s="225" t="str">
        <f t="shared" si="5"/>
        <v>XLRE</v>
      </c>
      <c r="J76" s="226" t="str">
        <f t="shared" si="6"/>
        <v>REIT-辦公室</v>
      </c>
      <c r="K76" s="227" t="str">
        <f t="shared" si="7"/>
        <v>.SPX</v>
      </c>
      <c r="L76" s="228">
        <v>0.27179999999999999</v>
      </c>
      <c r="M76" s="229">
        <v>117.68</v>
      </c>
      <c r="N76" s="228">
        <v>0.70989999999999998</v>
      </c>
      <c r="O76" s="228">
        <v>0.16059999999999999</v>
      </c>
      <c r="P76" s="228">
        <v>0.4733</v>
      </c>
      <c r="Q76" s="230">
        <v>0.22399999999999998</v>
      </c>
      <c r="R76" s="231">
        <v>44376</v>
      </c>
      <c r="S76" s="232">
        <v>113.83000183105401</v>
      </c>
      <c r="T76" s="233">
        <v>0.98</v>
      </c>
      <c r="U76" s="234">
        <v>42641</v>
      </c>
      <c r="V76" s="232">
        <v>119.00404357910099</v>
      </c>
      <c r="W76" s="235">
        <v>0.65</v>
      </c>
      <c r="X76" s="123"/>
      <c r="Y76" s="118" t="s">
        <v>1064</v>
      </c>
      <c r="Z76" s="118" t="s">
        <v>1134</v>
      </c>
      <c r="AA76" s="118"/>
      <c r="AB76" s="118"/>
      <c r="AC76" s="118"/>
      <c r="AD76" s="118"/>
      <c r="AE76" s="118"/>
      <c r="AF76" s="118"/>
      <c r="AG76" s="118"/>
      <c r="AH76" s="122"/>
    </row>
    <row r="77" spans="1:34" ht="16.5" customHeight="1" thickBot="1">
      <c r="A77" s="102" t="s">
        <v>764</v>
      </c>
      <c r="B77" s="104"/>
      <c r="C77" s="104"/>
      <c r="D77" s="105" t="s">
        <v>659</v>
      </c>
      <c r="E77" s="374"/>
      <c r="F77" s="222" t="s">
        <v>463</v>
      </c>
      <c r="G77" s="223" t="s">
        <v>1471</v>
      </c>
      <c r="H77" s="224" t="str">
        <f t="shared" si="4"/>
        <v>C</v>
      </c>
      <c r="I77" s="225" t="str">
        <f t="shared" si="5"/>
        <v>XLF</v>
      </c>
      <c r="J77" s="226" t="str">
        <f t="shared" si="6"/>
        <v>銀行-多樣化</v>
      </c>
      <c r="K77" s="227" t="str">
        <f t="shared" si="7"/>
        <v>.SPX</v>
      </c>
      <c r="L77" s="228">
        <v>0.25580000000000003</v>
      </c>
      <c r="M77" s="229">
        <v>69.69</v>
      </c>
      <c r="N77" s="228">
        <v>0.47489999999999999</v>
      </c>
      <c r="O77" s="228">
        <v>0.1638</v>
      </c>
      <c r="P77" s="228">
        <v>0.4703</v>
      </c>
      <c r="Q77" s="230">
        <v>0.2407</v>
      </c>
      <c r="R77" s="231">
        <v>44407</v>
      </c>
      <c r="S77" s="232">
        <v>67.620002746582003</v>
      </c>
      <c r="T77" s="233">
        <v>0.51</v>
      </c>
      <c r="U77" s="234">
        <v>42677</v>
      </c>
      <c r="V77" s="232">
        <v>42.451045989990199</v>
      </c>
      <c r="W77" s="235">
        <v>0.16</v>
      </c>
      <c r="X77" s="123"/>
      <c r="Y77" s="118" t="s">
        <v>1065</v>
      </c>
      <c r="Z77" s="118" t="s">
        <v>1135</v>
      </c>
      <c r="AA77" s="118"/>
      <c r="AB77" s="118"/>
      <c r="AC77" s="118"/>
      <c r="AD77" s="118"/>
      <c r="AE77" s="118"/>
      <c r="AF77" s="118"/>
      <c r="AG77" s="118"/>
      <c r="AH77" s="122"/>
    </row>
    <row r="78" spans="1:34" ht="16.5" customHeight="1" thickBot="1">
      <c r="A78" s="103" t="s">
        <v>546</v>
      </c>
      <c r="B78" s="104"/>
      <c r="C78" s="104" t="s">
        <v>572</v>
      </c>
      <c r="D78" s="105" t="s">
        <v>535</v>
      </c>
      <c r="E78" s="374"/>
      <c r="F78" s="222" t="s">
        <v>341</v>
      </c>
      <c r="G78" s="223" t="s">
        <v>1476</v>
      </c>
      <c r="H78" s="224" t="str">
        <f t="shared" si="4"/>
        <v>CAG</v>
      </c>
      <c r="I78" s="225" t="str">
        <f t="shared" si="5"/>
        <v>XLP</v>
      </c>
      <c r="J78" s="226" t="str">
        <f t="shared" si="6"/>
        <v>包裝食品</v>
      </c>
      <c r="K78" s="227" t="str">
        <f t="shared" si="7"/>
        <v>.SPX</v>
      </c>
      <c r="L78" s="228">
        <v>0.20369999999999999</v>
      </c>
      <c r="M78" s="229">
        <v>32.86</v>
      </c>
      <c r="N78" s="228">
        <v>0.28360000000000002</v>
      </c>
      <c r="O78" s="228">
        <v>0.1205</v>
      </c>
      <c r="P78" s="228">
        <v>0.41090000000000004</v>
      </c>
      <c r="Q78" s="230">
        <v>0.17579999999999998</v>
      </c>
      <c r="R78" s="231">
        <v>44410</v>
      </c>
      <c r="S78" s="232">
        <v>33.380001068115199</v>
      </c>
      <c r="T78" s="233">
        <v>0.313</v>
      </c>
      <c r="U78" s="234">
        <v>42670</v>
      </c>
      <c r="V78" s="232">
        <v>32.482776641845703</v>
      </c>
      <c r="W78" s="235">
        <v>0.194553</v>
      </c>
      <c r="X78" s="123"/>
      <c r="Y78" s="121"/>
      <c r="Z78" s="121"/>
      <c r="AA78" s="121"/>
      <c r="AB78" s="121"/>
      <c r="AC78" s="121"/>
      <c r="AD78" s="121"/>
      <c r="AE78" s="121"/>
      <c r="AF78" s="121"/>
      <c r="AG78" s="121"/>
      <c r="AH78" s="122"/>
    </row>
    <row r="79" spans="1:34" ht="16.5" customHeight="1" thickBot="1">
      <c r="A79" s="102" t="s">
        <v>818</v>
      </c>
      <c r="B79" s="104"/>
      <c r="C79" s="104" t="s">
        <v>898</v>
      </c>
      <c r="D79" s="105" t="s">
        <v>659</v>
      </c>
      <c r="E79" s="374"/>
      <c r="F79" s="222" t="s">
        <v>45</v>
      </c>
      <c r="G79" s="223" t="s">
        <v>1435</v>
      </c>
      <c r="H79" s="224" t="str">
        <f t="shared" si="4"/>
        <v>CAH</v>
      </c>
      <c r="I79" s="225" t="str">
        <f t="shared" si="5"/>
        <v>XLV</v>
      </c>
      <c r="J79" s="226" t="str">
        <f t="shared" si="6"/>
        <v>醫療分銷</v>
      </c>
      <c r="K79" s="227" t="str">
        <f t="shared" si="7"/>
        <v>.SPX</v>
      </c>
      <c r="L79" s="228">
        <v>0.25430000000000003</v>
      </c>
      <c r="M79" s="229">
        <v>51.2</v>
      </c>
      <c r="N79" s="228">
        <v>0.47649999999999998</v>
      </c>
      <c r="O79" s="228">
        <v>0.153</v>
      </c>
      <c r="P79" s="228">
        <v>0.46850000000000003</v>
      </c>
      <c r="Q79" s="230">
        <v>0.2102</v>
      </c>
      <c r="R79" s="231">
        <v>44377</v>
      </c>
      <c r="S79" s="232">
        <v>57.090000152587798</v>
      </c>
      <c r="T79" s="233">
        <v>0.49099999999999999</v>
      </c>
      <c r="U79" s="234">
        <v>42642</v>
      </c>
      <c r="V79" s="232">
        <v>65.280632019042898</v>
      </c>
      <c r="W79" s="235">
        <v>0.44900000000000001</v>
      </c>
      <c r="X79" s="123"/>
      <c r="Y79" s="121"/>
      <c r="Z79" s="121"/>
      <c r="AA79" s="121"/>
      <c r="AB79" s="121"/>
      <c r="AC79" s="121"/>
      <c r="AD79" s="121"/>
      <c r="AE79" s="121"/>
      <c r="AF79" s="121"/>
      <c r="AG79" s="121"/>
      <c r="AH79" s="122"/>
    </row>
    <row r="80" spans="1:34" ht="16.5" customHeight="1" thickBot="1">
      <c r="A80" s="102" t="s">
        <v>763</v>
      </c>
      <c r="B80" s="104"/>
      <c r="C80" s="104" t="s">
        <v>896</v>
      </c>
      <c r="D80" s="105" t="s">
        <v>659</v>
      </c>
      <c r="E80" s="374"/>
      <c r="F80" s="222" t="s">
        <v>383</v>
      </c>
      <c r="G80" s="223" t="s">
        <v>1477</v>
      </c>
      <c r="H80" s="224" t="str">
        <f t="shared" si="4"/>
        <v>CARR</v>
      </c>
      <c r="I80" s="225" t="str">
        <f t="shared" si="5"/>
        <v>XLI</v>
      </c>
      <c r="J80" s="226" t="str">
        <f t="shared" si="6"/>
        <v>建築產品和設備</v>
      </c>
      <c r="K80" s="227" t="str">
        <f t="shared" si="7"/>
        <v>.SPX</v>
      </c>
      <c r="L80" s="228">
        <v>0.28320000000000001</v>
      </c>
      <c r="M80" s="229">
        <v>56.13</v>
      </c>
      <c r="N80" s="228">
        <v>0.38540000000000002</v>
      </c>
      <c r="O80" s="228">
        <v>0.18790000000000001</v>
      </c>
      <c r="P80" s="228">
        <v>0.4919</v>
      </c>
      <c r="Q80" s="230">
        <v>0.2266</v>
      </c>
      <c r="R80" s="231">
        <v>44370</v>
      </c>
      <c r="S80" s="232">
        <v>46.099998474121001</v>
      </c>
      <c r="T80" s="233">
        <v>0.12</v>
      </c>
      <c r="U80" s="234">
        <v>44007</v>
      </c>
      <c r="V80" s="232">
        <v>21.287706375121999</v>
      </c>
      <c r="W80" s="235">
        <v>0.08</v>
      </c>
      <c r="X80" s="123"/>
      <c r="Y80" s="121"/>
      <c r="Z80" s="121"/>
      <c r="AA80" s="121"/>
      <c r="AB80" s="121"/>
      <c r="AC80" s="121"/>
      <c r="AD80" s="121"/>
      <c r="AE80" s="121"/>
      <c r="AF80" s="121"/>
      <c r="AG80" s="121"/>
      <c r="AH80" s="122"/>
    </row>
    <row r="81" spans="1:34" ht="16.5" customHeight="1" thickBot="1">
      <c r="A81" s="102" t="s">
        <v>761</v>
      </c>
      <c r="B81" s="104"/>
      <c r="C81" s="104" t="s">
        <v>897</v>
      </c>
      <c r="D81" s="105" t="s">
        <v>659</v>
      </c>
      <c r="E81" s="374"/>
      <c r="F81" s="222" t="s">
        <v>517</v>
      </c>
      <c r="G81" s="223" t="s">
        <v>1478</v>
      </c>
      <c r="H81" s="224" t="str">
        <f t="shared" si="4"/>
        <v>CAT</v>
      </c>
      <c r="I81" s="225" t="str">
        <f t="shared" si="5"/>
        <v>XLI</v>
      </c>
      <c r="J81" s="226" t="str">
        <f t="shared" si="6"/>
        <v>農重工程機械</v>
      </c>
      <c r="K81" s="227" t="str">
        <f t="shared" si="7"/>
        <v>.SPX</v>
      </c>
      <c r="L81" s="228">
        <v>0.25540000000000002</v>
      </c>
      <c r="M81" s="229">
        <v>207.19</v>
      </c>
      <c r="N81" s="228">
        <v>0.44259999999999999</v>
      </c>
      <c r="O81" s="228">
        <v>0.17100000000000001</v>
      </c>
      <c r="P81" s="228">
        <v>0.4153</v>
      </c>
      <c r="Q81" s="230">
        <v>0.22640000000000002</v>
      </c>
      <c r="R81" s="231">
        <v>44396</v>
      </c>
      <c r="S81" s="232">
        <v>203.08000183105401</v>
      </c>
      <c r="T81" s="233">
        <v>1.1100000000000001</v>
      </c>
      <c r="U81" s="234">
        <v>42663</v>
      </c>
      <c r="V81" s="232">
        <v>76.481864929199205</v>
      </c>
      <c r="W81" s="235">
        <v>0.77</v>
      </c>
      <c r="X81" s="123"/>
      <c r="Y81" s="121"/>
      <c r="Z81" s="121"/>
      <c r="AA81" s="121"/>
      <c r="AB81" s="121"/>
      <c r="AC81" s="121"/>
      <c r="AD81" s="121"/>
      <c r="AE81" s="121"/>
      <c r="AF81" s="121"/>
      <c r="AG81" s="121"/>
      <c r="AH81" s="122"/>
    </row>
    <row r="82" spans="1:34" ht="16.5" customHeight="1" thickBot="1">
      <c r="A82" s="102" t="s">
        <v>688</v>
      </c>
      <c r="B82" s="104"/>
      <c r="C82" s="104"/>
      <c r="D82" s="105" t="s">
        <v>659</v>
      </c>
      <c r="E82" s="374"/>
      <c r="F82" s="222" t="s">
        <v>417</v>
      </c>
      <c r="G82" s="223" t="s">
        <v>1450</v>
      </c>
      <c r="H82" s="224" t="str">
        <f t="shared" si="4"/>
        <v>CB</v>
      </c>
      <c r="I82" s="225" t="str">
        <f t="shared" si="5"/>
        <v>XLF</v>
      </c>
      <c r="J82" s="226" t="str">
        <f t="shared" si="6"/>
        <v>保險-財產及意外事故</v>
      </c>
      <c r="K82" s="227" t="str">
        <f t="shared" si="7"/>
        <v>.SPX</v>
      </c>
      <c r="L82" s="228">
        <v>0.2165</v>
      </c>
      <c r="M82" s="229">
        <v>174.97</v>
      </c>
      <c r="N82" s="228">
        <v>0.42449999999999999</v>
      </c>
      <c r="O82" s="228">
        <v>0.18429999999999999</v>
      </c>
      <c r="P82" s="228">
        <v>0.41810000000000003</v>
      </c>
      <c r="Q82" s="230">
        <v>0.19969999999999999</v>
      </c>
      <c r="R82" s="231">
        <v>44364</v>
      </c>
      <c r="S82" s="232">
        <v>160.27000427246</v>
      </c>
      <c r="T82" s="233">
        <v>0.8</v>
      </c>
      <c r="U82" s="234">
        <v>42641</v>
      </c>
      <c r="V82" s="232">
        <v>113.538330078125</v>
      </c>
      <c r="W82" s="235">
        <v>0.69</v>
      </c>
      <c r="X82" s="123"/>
      <c r="Y82" s="121"/>
      <c r="Z82" s="121"/>
      <c r="AA82" s="121"/>
      <c r="AB82" s="121"/>
      <c r="AC82" s="121"/>
      <c r="AD82" s="121"/>
      <c r="AE82" s="121"/>
      <c r="AF82" s="121"/>
      <c r="AG82" s="121"/>
      <c r="AH82" s="122"/>
    </row>
    <row r="83" spans="1:34" ht="16.5" customHeight="1" thickBot="1">
      <c r="A83" s="102" t="s">
        <v>760</v>
      </c>
      <c r="B83" s="104"/>
      <c r="C83" s="104"/>
      <c r="D83" s="105" t="s">
        <v>659</v>
      </c>
      <c r="E83" s="374"/>
      <c r="F83" s="222" t="s">
        <v>367</v>
      </c>
      <c r="G83" s="223" t="s">
        <v>521</v>
      </c>
      <c r="H83" s="224" t="str">
        <f t="shared" si="4"/>
        <v>CBOE</v>
      </c>
      <c r="I83" s="225" t="str">
        <f t="shared" si="5"/>
        <v>XLF</v>
      </c>
      <c r="J83" s="226" t="str">
        <f t="shared" si="6"/>
        <v>-</v>
      </c>
      <c r="K83" s="227" t="str">
        <f t="shared" si="7"/>
        <v>.SPX</v>
      </c>
      <c r="L83" s="228">
        <v>0.27100000000000002</v>
      </c>
      <c r="M83" s="229">
        <v>121</v>
      </c>
      <c r="N83" s="228">
        <v>0.47739999999999999</v>
      </c>
      <c r="O83" s="228">
        <v>0.18479999999999999</v>
      </c>
      <c r="P83" s="228">
        <v>0.42969999999999997</v>
      </c>
      <c r="Q83" s="230">
        <v>0.22409999999999999</v>
      </c>
      <c r="R83" s="231">
        <v>43433</v>
      </c>
      <c r="S83" s="232">
        <v>106.83000183105401</v>
      </c>
      <c r="T83" s="233">
        <v>0.31</v>
      </c>
      <c r="U83" s="234">
        <v>42613</v>
      </c>
      <c r="V83" s="232">
        <v>66.939491271972599</v>
      </c>
      <c r="W83" s="235">
        <v>0.25</v>
      </c>
      <c r="X83" s="123"/>
      <c r="Y83" s="121"/>
      <c r="Z83" s="121"/>
      <c r="AA83" s="121"/>
      <c r="AB83" s="121"/>
      <c r="AC83" s="121"/>
      <c r="AD83" s="121"/>
      <c r="AE83" s="121"/>
      <c r="AF83" s="121"/>
      <c r="AG83" s="121"/>
      <c r="AH83" s="122"/>
    </row>
    <row r="84" spans="1:34" ht="16.5" customHeight="1" thickBot="1">
      <c r="A84" s="102" t="s">
        <v>788</v>
      </c>
      <c r="B84" s="104"/>
      <c r="C84" s="104" t="s">
        <v>894</v>
      </c>
      <c r="D84" s="105" t="s">
        <v>659</v>
      </c>
      <c r="E84" s="374"/>
      <c r="F84" s="222" t="s">
        <v>421</v>
      </c>
      <c r="G84" s="223" t="s">
        <v>1479</v>
      </c>
      <c r="H84" s="224" t="str">
        <f t="shared" si="4"/>
        <v>CBRE</v>
      </c>
      <c r="I84" s="225" t="str">
        <f t="shared" si="5"/>
        <v>XLRE</v>
      </c>
      <c r="J84" s="226" t="str">
        <f t="shared" si="6"/>
        <v>房地產服務</v>
      </c>
      <c r="K84" s="227" t="str">
        <f t="shared" si="7"/>
        <v>.SPX</v>
      </c>
      <c r="L84" s="228">
        <v>0.26900000000000002</v>
      </c>
      <c r="M84" s="229">
        <v>98.13</v>
      </c>
      <c r="N84" s="228">
        <v>0.64980000000000004</v>
      </c>
      <c r="O84" s="228">
        <v>0.19489999999999999</v>
      </c>
      <c r="P84" s="228">
        <v>0.46310000000000001</v>
      </c>
      <c r="Q84" s="230">
        <v>0.23559999999999998</v>
      </c>
      <c r="R84" s="231">
        <v>0</v>
      </c>
      <c r="S84" s="232">
        <v>0</v>
      </c>
      <c r="T84" s="233">
        <v>0</v>
      </c>
      <c r="U84" s="234">
        <v>0</v>
      </c>
      <c r="V84" s="232">
        <v>0</v>
      </c>
      <c r="W84" s="235">
        <v>0</v>
      </c>
      <c r="X84" s="123"/>
      <c r="Y84" s="121"/>
      <c r="Z84" s="121"/>
      <c r="AA84" s="121"/>
      <c r="AB84" s="121"/>
      <c r="AC84" s="121"/>
      <c r="AD84" s="121"/>
      <c r="AE84" s="121"/>
      <c r="AF84" s="121"/>
      <c r="AG84" s="121"/>
      <c r="AH84" s="122"/>
    </row>
    <row r="85" spans="1:34" ht="16.5" customHeight="1" thickBot="1">
      <c r="A85" s="102" t="s">
        <v>683</v>
      </c>
      <c r="B85" s="104"/>
      <c r="C85" s="104"/>
      <c r="D85" s="105" t="s">
        <v>659</v>
      </c>
      <c r="E85" s="374"/>
      <c r="F85" s="222" t="s">
        <v>87</v>
      </c>
      <c r="G85" s="223" t="s">
        <v>1456</v>
      </c>
      <c r="H85" s="224" t="str">
        <f t="shared" si="4"/>
        <v>CCI</v>
      </c>
      <c r="I85" s="225" t="str">
        <f t="shared" si="5"/>
        <v>XLRE</v>
      </c>
      <c r="J85" s="226" t="str">
        <f t="shared" si="6"/>
        <v>REIT-專業</v>
      </c>
      <c r="K85" s="227" t="str">
        <f t="shared" si="7"/>
        <v>.SPX</v>
      </c>
      <c r="L85" s="228">
        <v>0.19220000000000001</v>
      </c>
      <c r="M85" s="229">
        <v>194.46</v>
      </c>
      <c r="N85" s="228">
        <v>0.2631</v>
      </c>
      <c r="O85" s="228">
        <v>0.15160000000000001</v>
      </c>
      <c r="P85" s="228">
        <v>0.33529999999999999</v>
      </c>
      <c r="Q85" s="230">
        <v>0.1804</v>
      </c>
      <c r="R85" s="231">
        <v>44358</v>
      </c>
      <c r="S85" s="232">
        <v>194.33999633789</v>
      </c>
      <c r="T85" s="233">
        <v>1.33</v>
      </c>
      <c r="U85" s="234">
        <v>42627</v>
      </c>
      <c r="V85" s="232">
        <v>77.177536010742102</v>
      </c>
      <c r="W85" s="235">
        <v>0.88500000000000001</v>
      </c>
      <c r="X85" s="123"/>
      <c r="Y85" s="121"/>
      <c r="Z85" s="121"/>
      <c r="AA85" s="121"/>
      <c r="AB85" s="121"/>
      <c r="AC85" s="121"/>
      <c r="AD85" s="121"/>
      <c r="AE85" s="121"/>
      <c r="AF85" s="121"/>
      <c r="AG85" s="121"/>
      <c r="AH85" s="122"/>
    </row>
    <row r="86" spans="1:34" ht="16.5" customHeight="1" thickBot="1">
      <c r="A86" s="102" t="s">
        <v>796</v>
      </c>
      <c r="B86" s="104"/>
      <c r="C86" s="104" t="s">
        <v>773</v>
      </c>
      <c r="D86" s="105" t="s">
        <v>659</v>
      </c>
      <c r="E86" s="374"/>
      <c r="F86" s="222" t="s">
        <v>483</v>
      </c>
      <c r="G86" s="223" t="s">
        <v>1474</v>
      </c>
      <c r="H86" s="224" t="str">
        <f t="shared" si="4"/>
        <v>CCL</v>
      </c>
      <c r="I86" s="225" t="str">
        <f t="shared" si="5"/>
        <v>XLY</v>
      </c>
      <c r="J86" s="226" t="str">
        <f t="shared" si="6"/>
        <v>旅行服務</v>
      </c>
      <c r="K86" s="227" t="str">
        <f t="shared" si="7"/>
        <v>.SPX</v>
      </c>
      <c r="L86" s="228">
        <v>0.54759999999999998</v>
      </c>
      <c r="M86" s="229">
        <v>22.67</v>
      </c>
      <c r="N86" s="228">
        <v>1.3627</v>
      </c>
      <c r="O86" s="228">
        <v>0.36659999999999998</v>
      </c>
      <c r="P86" s="228">
        <v>1.101</v>
      </c>
      <c r="Q86" s="230">
        <v>0.4224</v>
      </c>
      <c r="R86" s="231">
        <v>43881</v>
      </c>
      <c r="S86" s="232">
        <v>42.5</v>
      </c>
      <c r="T86" s="233">
        <v>0.5</v>
      </c>
      <c r="U86" s="234">
        <v>42606</v>
      </c>
      <c r="V86" s="232">
        <v>42.147884368896399</v>
      </c>
      <c r="W86" s="235">
        <v>0.35</v>
      </c>
      <c r="X86" s="123"/>
      <c r="Y86" s="121"/>
      <c r="Z86" s="121"/>
      <c r="AA86" s="121"/>
      <c r="AB86" s="121"/>
      <c r="AC86" s="121"/>
      <c r="AD86" s="121"/>
      <c r="AE86" s="121"/>
      <c r="AF86" s="121"/>
      <c r="AG86" s="121"/>
      <c r="AH86" s="122"/>
    </row>
    <row r="87" spans="1:34" ht="16.5" customHeight="1" thickBot="1">
      <c r="A87" s="102" t="s">
        <v>816</v>
      </c>
      <c r="B87" s="104"/>
      <c r="C87" s="104" t="s">
        <v>896</v>
      </c>
      <c r="D87" s="105" t="s">
        <v>659</v>
      </c>
      <c r="E87" s="374"/>
      <c r="F87" s="222" t="s">
        <v>40</v>
      </c>
      <c r="G87" s="223" t="s">
        <v>1442</v>
      </c>
      <c r="H87" s="224" t="str">
        <f t="shared" si="4"/>
        <v>CDNS</v>
      </c>
      <c r="I87" s="225" t="str">
        <f t="shared" si="5"/>
        <v>XLK</v>
      </c>
      <c r="J87" s="226" t="str">
        <f t="shared" si="6"/>
        <v>軟件-應用</v>
      </c>
      <c r="K87" s="227" t="str">
        <f t="shared" si="7"/>
        <v>.SPX</v>
      </c>
      <c r="L87" s="228">
        <v>0.24160000000000001</v>
      </c>
      <c r="M87" s="229">
        <v>151.76</v>
      </c>
      <c r="N87" s="228">
        <v>0.53439999999999999</v>
      </c>
      <c r="O87" s="228">
        <v>0.14430000000000001</v>
      </c>
      <c r="P87" s="228">
        <v>0.43219999999999997</v>
      </c>
      <c r="Q87" s="230">
        <v>0.2271</v>
      </c>
      <c r="R87" s="231">
        <v>0</v>
      </c>
      <c r="S87" s="232">
        <v>0</v>
      </c>
      <c r="T87" s="233">
        <v>0</v>
      </c>
      <c r="U87" s="234">
        <v>0</v>
      </c>
      <c r="V87" s="232">
        <v>0</v>
      </c>
      <c r="W87" s="235">
        <v>0</v>
      </c>
      <c r="X87" s="123"/>
      <c r="Y87" s="121"/>
      <c r="Z87" s="121"/>
      <c r="AA87" s="121"/>
      <c r="AB87" s="121"/>
      <c r="AC87" s="121"/>
      <c r="AD87" s="121"/>
      <c r="AE87" s="121"/>
      <c r="AF87" s="121"/>
      <c r="AG87" s="121"/>
      <c r="AH87" s="122"/>
    </row>
    <row r="88" spans="1:34" ht="16.5" customHeight="1" thickBot="1">
      <c r="A88" s="102" t="s">
        <v>759</v>
      </c>
      <c r="B88" s="104"/>
      <c r="C88" s="104"/>
      <c r="D88" s="105" t="s">
        <v>659</v>
      </c>
      <c r="E88" s="374"/>
      <c r="F88" s="222" t="s">
        <v>145</v>
      </c>
      <c r="G88" s="223" t="s">
        <v>1437</v>
      </c>
      <c r="H88" s="224" t="str">
        <f t="shared" si="4"/>
        <v>CDW</v>
      </c>
      <c r="I88" s="225" t="str">
        <f t="shared" si="5"/>
        <v>XLK</v>
      </c>
      <c r="J88" s="226" t="str">
        <f t="shared" si="6"/>
        <v>信息技術處</v>
      </c>
      <c r="K88" s="227" t="str">
        <f t="shared" si="7"/>
        <v>.SPX</v>
      </c>
      <c r="L88" s="228">
        <v>0.2293</v>
      </c>
      <c r="M88" s="229">
        <v>190.62</v>
      </c>
      <c r="N88" s="228">
        <v>0.37819999999999998</v>
      </c>
      <c r="O88" s="228">
        <v>0.15140000000000001</v>
      </c>
      <c r="P88" s="228">
        <v>0.43770000000000003</v>
      </c>
      <c r="Q88" s="230">
        <v>0.21299999999999999</v>
      </c>
      <c r="R88" s="231">
        <v>44340</v>
      </c>
      <c r="S88" s="232">
        <v>168.55999755859301</v>
      </c>
      <c r="T88" s="233">
        <v>0.4</v>
      </c>
      <c r="U88" s="234">
        <v>42605</v>
      </c>
      <c r="V88" s="232">
        <v>42.556301116943303</v>
      </c>
      <c r="W88" s="235">
        <v>0.108</v>
      </c>
      <c r="X88" s="124"/>
      <c r="Y88" s="125"/>
      <c r="Z88" s="125"/>
      <c r="AA88" s="125"/>
      <c r="AB88" s="125"/>
      <c r="AC88" s="125"/>
      <c r="AD88" s="125"/>
      <c r="AE88" s="125"/>
      <c r="AF88" s="125"/>
      <c r="AG88" s="125"/>
      <c r="AH88" s="126"/>
    </row>
    <row r="89" spans="1:34" ht="16.5" customHeight="1" thickBot="1">
      <c r="A89" s="102" t="s">
        <v>686</v>
      </c>
      <c r="B89" s="104"/>
      <c r="C89" s="104"/>
      <c r="D89" s="105" t="s">
        <v>659</v>
      </c>
      <c r="E89" s="374"/>
      <c r="F89" s="222" t="s">
        <v>380</v>
      </c>
      <c r="G89" s="223" t="s">
        <v>1461</v>
      </c>
      <c r="H89" s="224" t="str">
        <f t="shared" si="4"/>
        <v>CE</v>
      </c>
      <c r="I89" s="225" t="str">
        <f t="shared" si="5"/>
        <v>XLB</v>
      </c>
      <c r="J89" s="226" t="str">
        <f t="shared" si="6"/>
        <v>化學品</v>
      </c>
      <c r="K89" s="227" t="str">
        <f t="shared" si="7"/>
        <v>.SPX</v>
      </c>
      <c r="L89" s="228">
        <v>0.26600000000000001</v>
      </c>
      <c r="M89" s="229">
        <v>153.05000000000001</v>
      </c>
      <c r="N89" s="228">
        <v>0.38129999999999997</v>
      </c>
      <c r="O89" s="228">
        <v>0.19259999999999999</v>
      </c>
      <c r="P89" s="228">
        <v>0.46149999999999997</v>
      </c>
      <c r="Q89" s="230">
        <v>0.22589999999999999</v>
      </c>
      <c r="R89" s="231">
        <v>44400</v>
      </c>
      <c r="S89" s="232">
        <v>152.80999755859301</v>
      </c>
      <c r="T89" s="233">
        <v>0.68</v>
      </c>
      <c r="U89" s="234">
        <v>42670</v>
      </c>
      <c r="V89" s="232">
        <v>64.9132080078125</v>
      </c>
      <c r="W89" s="235">
        <v>0.36</v>
      </c>
    </row>
    <row r="90" spans="1:34" ht="16.5" customHeight="1" thickBot="1">
      <c r="A90" s="102" t="s">
        <v>673</v>
      </c>
      <c r="B90" s="104"/>
      <c r="C90" s="104"/>
      <c r="D90" s="105" t="s">
        <v>659</v>
      </c>
      <c r="E90" s="374"/>
      <c r="F90" s="222" t="s">
        <v>111</v>
      </c>
      <c r="G90" s="223" t="s">
        <v>1480</v>
      </c>
      <c r="H90" s="224" t="str">
        <f t="shared" si="4"/>
        <v>CERN</v>
      </c>
      <c r="I90" s="225" t="str">
        <f t="shared" si="5"/>
        <v>XLV</v>
      </c>
      <c r="J90" s="226" t="str">
        <f t="shared" si="6"/>
        <v>衛生信息服務</v>
      </c>
      <c r="K90" s="227" t="str">
        <f t="shared" si="7"/>
        <v>.SPX</v>
      </c>
      <c r="L90" s="228">
        <v>0.2258</v>
      </c>
      <c r="M90" s="229">
        <v>79.900000000000006</v>
      </c>
      <c r="N90" s="228">
        <v>0.27879999999999999</v>
      </c>
      <c r="O90" s="228">
        <v>0.1069</v>
      </c>
      <c r="P90" s="228">
        <v>0.37219999999999998</v>
      </c>
      <c r="Q90" s="230">
        <v>0.21640000000000001</v>
      </c>
      <c r="R90" s="231">
        <v>44372</v>
      </c>
      <c r="S90" s="232">
        <v>78.449996948242102</v>
      </c>
      <c r="T90" s="233">
        <v>0.22</v>
      </c>
      <c r="U90" s="234">
        <v>43633</v>
      </c>
      <c r="V90" s="232">
        <v>69.935737609863196</v>
      </c>
      <c r="W90" s="235">
        <v>0.18</v>
      </c>
    </row>
    <row r="91" spans="1:34" ht="16.5" customHeight="1" thickBot="1">
      <c r="A91" s="102" t="s">
        <v>725</v>
      </c>
      <c r="B91" s="104"/>
      <c r="C91" s="104"/>
      <c r="D91" s="105" t="s">
        <v>659</v>
      </c>
      <c r="E91" s="374"/>
      <c r="F91" s="222" t="s">
        <v>512</v>
      </c>
      <c r="G91" s="223" t="s">
        <v>1481</v>
      </c>
      <c r="H91" s="224" t="str">
        <f t="shared" si="4"/>
        <v>CF</v>
      </c>
      <c r="I91" s="225" t="str">
        <f t="shared" si="5"/>
        <v>XLB</v>
      </c>
      <c r="J91" s="226" t="str">
        <f t="shared" si="6"/>
        <v>農業投入</v>
      </c>
      <c r="K91" s="227" t="str">
        <f t="shared" si="7"/>
        <v>.SPX</v>
      </c>
      <c r="L91" s="228">
        <v>0.40949999999999998</v>
      </c>
      <c r="M91" s="229">
        <v>45.7</v>
      </c>
      <c r="N91" s="228">
        <v>0.50770000000000004</v>
      </c>
      <c r="O91" s="228">
        <v>0.2326</v>
      </c>
      <c r="P91" s="228">
        <v>0.60809999999999997</v>
      </c>
      <c r="Q91" s="230">
        <v>0.30570000000000003</v>
      </c>
      <c r="R91" s="231">
        <v>44330</v>
      </c>
      <c r="S91" s="232">
        <v>54.340000152587798</v>
      </c>
      <c r="T91" s="233">
        <v>0.3</v>
      </c>
      <c r="U91" s="234">
        <v>42593</v>
      </c>
      <c r="V91" s="232">
        <v>19.088071823120099</v>
      </c>
      <c r="W91" s="235">
        <v>0.3</v>
      </c>
    </row>
    <row r="92" spans="1:34" ht="16.5" customHeight="1" thickBot="1">
      <c r="A92" s="102" t="s">
        <v>701</v>
      </c>
      <c r="B92" s="104"/>
      <c r="C92" s="104"/>
      <c r="D92" s="105" t="s">
        <v>659</v>
      </c>
      <c r="E92" s="374"/>
      <c r="F92" s="222" t="s">
        <v>498</v>
      </c>
      <c r="G92" s="223" t="s">
        <v>1482</v>
      </c>
      <c r="H92" s="224" t="str">
        <f t="shared" si="4"/>
        <v>CFG</v>
      </c>
      <c r="I92" s="225" t="str">
        <f t="shared" si="5"/>
        <v>XLF</v>
      </c>
      <c r="J92" s="226" t="str">
        <f t="shared" si="6"/>
        <v>銀行-區域</v>
      </c>
      <c r="K92" s="227" t="str">
        <f t="shared" si="7"/>
        <v>.SPX</v>
      </c>
      <c r="L92" s="228">
        <v>0.31940000000000002</v>
      </c>
      <c r="M92" s="229">
        <v>43.13</v>
      </c>
      <c r="N92" s="228">
        <v>0.73280000000000001</v>
      </c>
      <c r="O92" s="228">
        <v>0.22140000000000001</v>
      </c>
      <c r="P92" s="228">
        <v>0.53810000000000002</v>
      </c>
      <c r="Q92" s="230">
        <v>0.27310000000000001</v>
      </c>
      <c r="R92" s="231">
        <v>44406</v>
      </c>
      <c r="S92" s="232">
        <v>42.849998474121001</v>
      </c>
      <c r="T92" s="233">
        <v>0.39</v>
      </c>
      <c r="U92" s="234">
        <v>42674</v>
      </c>
      <c r="V92" s="232">
        <v>22.330684661865199</v>
      </c>
      <c r="W92" s="235">
        <v>0.12</v>
      </c>
    </row>
    <row r="93" spans="1:34" ht="16.5" customHeight="1" thickBot="1">
      <c r="A93" s="103" t="s">
        <v>548</v>
      </c>
      <c r="B93" s="104"/>
      <c r="C93" s="104" t="s">
        <v>554</v>
      </c>
      <c r="D93" s="105" t="s">
        <v>535</v>
      </c>
      <c r="E93" s="374"/>
      <c r="F93" s="222" t="s">
        <v>268</v>
      </c>
      <c r="G93" s="223" t="s">
        <v>1483</v>
      </c>
      <c r="H93" s="224" t="str">
        <f t="shared" si="4"/>
        <v>CHD</v>
      </c>
      <c r="I93" s="225" t="str">
        <f t="shared" si="5"/>
        <v>XLP</v>
      </c>
      <c r="J93" s="226" t="str">
        <f t="shared" si="6"/>
        <v>家庭及個人產品</v>
      </c>
      <c r="K93" s="227" t="str">
        <f t="shared" si="7"/>
        <v>.SPX</v>
      </c>
      <c r="L93" s="228">
        <v>0.20710000000000001</v>
      </c>
      <c r="M93" s="229">
        <v>83.72</v>
      </c>
      <c r="N93" s="228">
        <v>0.31630000000000003</v>
      </c>
      <c r="O93" s="228">
        <v>0.1178</v>
      </c>
      <c r="P93" s="228">
        <v>0.35729999999999995</v>
      </c>
      <c r="Q93" s="230">
        <v>0.18870000000000001</v>
      </c>
      <c r="R93" s="231">
        <v>44329</v>
      </c>
      <c r="S93" s="232">
        <v>88.639999389648395</v>
      </c>
      <c r="T93" s="233">
        <v>0.253</v>
      </c>
      <c r="U93" s="234">
        <v>42593</v>
      </c>
      <c r="V93" s="232">
        <v>46.925697326660099</v>
      </c>
      <c r="W93" s="235">
        <v>0.17749999999999999</v>
      </c>
    </row>
    <row r="94" spans="1:34" ht="16.5" customHeight="1" thickBot="1">
      <c r="A94" s="102" t="s">
        <v>809</v>
      </c>
      <c r="B94" s="104"/>
      <c r="C94" s="104" t="s">
        <v>893</v>
      </c>
      <c r="D94" s="105" t="s">
        <v>659</v>
      </c>
      <c r="E94" s="374"/>
      <c r="F94" s="222" t="s">
        <v>276</v>
      </c>
      <c r="G94" s="223" t="s">
        <v>1484</v>
      </c>
      <c r="H94" s="224" t="str">
        <f t="shared" si="4"/>
        <v>CHRW</v>
      </c>
      <c r="I94" s="225" t="str">
        <f t="shared" si="5"/>
        <v>XLI</v>
      </c>
      <c r="J94" s="226" t="str">
        <f t="shared" si="6"/>
        <v>綜合貨運物流</v>
      </c>
      <c r="K94" s="227" t="str">
        <f t="shared" si="7"/>
        <v>.SPX</v>
      </c>
      <c r="L94" s="228">
        <v>0.21640000000000001</v>
      </c>
      <c r="M94" s="229">
        <v>90.87</v>
      </c>
      <c r="N94" s="228">
        <v>0.44819999999999999</v>
      </c>
      <c r="O94" s="228">
        <v>0.17050000000000001</v>
      </c>
      <c r="P94" s="228">
        <v>0.38600000000000001</v>
      </c>
      <c r="Q94" s="230">
        <v>0.19670000000000001</v>
      </c>
      <c r="R94" s="231">
        <v>44350</v>
      </c>
      <c r="S94" s="232">
        <v>96.160003662109304</v>
      </c>
      <c r="T94" s="233">
        <v>0.51</v>
      </c>
      <c r="U94" s="234">
        <v>42613</v>
      </c>
      <c r="V94" s="232">
        <v>62.195327758788999</v>
      </c>
      <c r="W94" s="235">
        <v>0.43</v>
      </c>
    </row>
    <row r="95" spans="1:34" ht="16.5" customHeight="1" thickBot="1">
      <c r="A95" s="102" t="s">
        <v>812</v>
      </c>
      <c r="B95" s="104"/>
      <c r="C95" s="104" t="s">
        <v>896</v>
      </c>
      <c r="D95" s="105" t="s">
        <v>659</v>
      </c>
      <c r="E95" s="374"/>
      <c r="F95" s="222" t="s">
        <v>147</v>
      </c>
      <c r="G95" s="223" t="s">
        <v>1485</v>
      </c>
      <c r="H95" s="224" t="str">
        <f t="shared" si="4"/>
        <v>CHTR</v>
      </c>
      <c r="I95" s="225" t="str">
        <f t="shared" si="5"/>
        <v>XLC</v>
      </c>
      <c r="J95" s="226" t="str">
        <f t="shared" si="6"/>
        <v>娛樂</v>
      </c>
      <c r="K95" s="227" t="str">
        <f t="shared" si="7"/>
        <v>.SPX</v>
      </c>
      <c r="L95" s="228">
        <v>0.21379999999999999</v>
      </c>
      <c r="M95" s="229">
        <v>769.91</v>
      </c>
      <c r="N95" s="228">
        <v>0.39800000000000002</v>
      </c>
      <c r="O95" s="228">
        <v>0.14050000000000001</v>
      </c>
      <c r="P95" s="228">
        <v>0.39130000000000004</v>
      </c>
      <c r="Q95" s="230">
        <v>0.20350000000000001</v>
      </c>
      <c r="R95" s="231">
        <v>0</v>
      </c>
      <c r="S95" s="232">
        <v>0</v>
      </c>
      <c r="T95" s="233">
        <v>0</v>
      </c>
      <c r="U95" s="234">
        <v>0</v>
      </c>
      <c r="V95" s="232">
        <v>0</v>
      </c>
      <c r="W95" s="235">
        <v>0</v>
      </c>
    </row>
    <row r="96" spans="1:34" ht="16.5" customHeight="1" thickBot="1">
      <c r="A96" s="102" t="s">
        <v>757</v>
      </c>
      <c r="B96" s="104"/>
      <c r="C96" s="104"/>
      <c r="D96" s="105" t="s">
        <v>659</v>
      </c>
      <c r="E96" s="374"/>
      <c r="F96" s="222" t="s">
        <v>403</v>
      </c>
      <c r="G96" s="223" t="s">
        <v>1459</v>
      </c>
      <c r="H96" s="224" t="str">
        <f t="shared" si="4"/>
        <v>CI</v>
      </c>
      <c r="I96" s="225" t="str">
        <f t="shared" si="5"/>
        <v>XLV</v>
      </c>
      <c r="J96" s="226" t="str">
        <f t="shared" si="6"/>
        <v>醫療保健計劃</v>
      </c>
      <c r="K96" s="227" t="str">
        <f t="shared" si="7"/>
        <v>.SPX</v>
      </c>
      <c r="L96" s="228">
        <v>0.28739999999999999</v>
      </c>
      <c r="M96" s="229">
        <v>206.21</v>
      </c>
      <c r="N96" s="228">
        <v>0.60199999999999998</v>
      </c>
      <c r="O96" s="228">
        <v>0.14560000000000001</v>
      </c>
      <c r="P96" s="228">
        <v>0.50529999999999997</v>
      </c>
      <c r="Q96" s="230">
        <v>0.20170000000000002</v>
      </c>
      <c r="R96" s="231">
        <v>44354</v>
      </c>
      <c r="S96" s="232">
        <v>247.600006103515</v>
      </c>
      <c r="T96" s="233">
        <v>1</v>
      </c>
      <c r="U96" s="234">
        <v>42802</v>
      </c>
      <c r="V96" s="232">
        <v>150.89236450195301</v>
      </c>
      <c r="W96" s="235">
        <v>0.04</v>
      </c>
    </row>
    <row r="97" spans="1:23" ht="16.5" customHeight="1" thickBot="1">
      <c r="A97" s="102" t="s">
        <v>756</v>
      </c>
      <c r="B97" s="104"/>
      <c r="C97" s="104"/>
      <c r="D97" s="105" t="s">
        <v>659</v>
      </c>
      <c r="E97" s="374"/>
      <c r="F97" s="222" t="s">
        <v>247</v>
      </c>
      <c r="G97" s="223" t="s">
        <v>1450</v>
      </c>
      <c r="H97" s="224" t="str">
        <f t="shared" si="4"/>
        <v>CINF</v>
      </c>
      <c r="I97" s="225" t="str">
        <f t="shared" si="5"/>
        <v>XLF</v>
      </c>
      <c r="J97" s="226" t="str">
        <f t="shared" si="6"/>
        <v>保險-財產及意外事故</v>
      </c>
      <c r="K97" s="227" t="str">
        <f t="shared" si="7"/>
        <v>.SPX</v>
      </c>
      <c r="L97" s="228">
        <v>0.2641</v>
      </c>
      <c r="M97" s="229">
        <v>118.06</v>
      </c>
      <c r="N97" s="228">
        <v>0.64229999999999998</v>
      </c>
      <c r="O97" s="228">
        <v>0.1701</v>
      </c>
      <c r="P97" s="228">
        <v>0.51280000000000003</v>
      </c>
      <c r="Q97" s="230">
        <v>0.20379999999999998</v>
      </c>
      <c r="R97" s="231">
        <v>44363</v>
      </c>
      <c r="S97" s="232">
        <v>120.27999877929599</v>
      </c>
      <c r="T97" s="233">
        <v>0.63</v>
      </c>
      <c r="U97" s="234">
        <v>42632</v>
      </c>
      <c r="V97" s="232">
        <v>65.364425659179602</v>
      </c>
      <c r="W97" s="235">
        <v>0.48</v>
      </c>
    </row>
    <row r="98" spans="1:23" ht="16.5" customHeight="1" thickBot="1">
      <c r="A98" s="102" t="s">
        <v>660</v>
      </c>
      <c r="B98" s="104"/>
      <c r="C98" s="104"/>
      <c r="D98" s="105" t="s">
        <v>659</v>
      </c>
      <c r="E98" s="374"/>
      <c r="F98" s="222" t="s">
        <v>115</v>
      </c>
      <c r="G98" s="223" t="s">
        <v>1483</v>
      </c>
      <c r="H98" s="224" t="str">
        <f t="shared" si="4"/>
        <v>CL</v>
      </c>
      <c r="I98" s="225" t="str">
        <f t="shared" si="5"/>
        <v>XLP</v>
      </c>
      <c r="J98" s="226" t="str">
        <f t="shared" si="6"/>
        <v>家庭及個人產品</v>
      </c>
      <c r="K98" s="227" t="str">
        <f t="shared" si="7"/>
        <v>.SPX</v>
      </c>
      <c r="L98" s="228">
        <v>0.16250000000000001</v>
      </c>
      <c r="M98" s="229">
        <v>78.900000000000006</v>
      </c>
      <c r="N98" s="228">
        <v>0.21229999999999999</v>
      </c>
      <c r="O98" s="228">
        <v>9.0800000000000006E-2</v>
      </c>
      <c r="P98" s="228">
        <v>0.30790000000000001</v>
      </c>
      <c r="Q98" s="230">
        <v>0.13239999999999999</v>
      </c>
      <c r="R98" s="231">
        <v>44397</v>
      </c>
      <c r="S98" s="232">
        <v>82.690002441406193</v>
      </c>
      <c r="T98" s="233">
        <v>0.45</v>
      </c>
      <c r="U98" s="234">
        <v>42663</v>
      </c>
      <c r="V98" s="232">
        <v>63.444007873535099</v>
      </c>
      <c r="W98" s="235">
        <v>0.39</v>
      </c>
    </row>
    <row r="99" spans="1:23" ht="16.5" customHeight="1" thickBot="1">
      <c r="A99" s="102" t="s">
        <v>755</v>
      </c>
      <c r="B99" s="104"/>
      <c r="C99" s="104"/>
      <c r="D99" s="105" t="s">
        <v>659</v>
      </c>
      <c r="E99" s="374"/>
      <c r="F99" s="222" t="s">
        <v>245</v>
      </c>
      <c r="G99" s="223" t="s">
        <v>1483</v>
      </c>
      <c r="H99" s="224" t="str">
        <f t="shared" si="4"/>
        <v>CLX</v>
      </c>
      <c r="I99" s="225" t="str">
        <f t="shared" si="5"/>
        <v>XLP</v>
      </c>
      <c r="J99" s="226" t="str">
        <f t="shared" si="6"/>
        <v>家庭及個人產品</v>
      </c>
      <c r="K99" s="227" t="str">
        <f t="shared" si="7"/>
        <v>.SPX</v>
      </c>
      <c r="L99" s="228">
        <v>0.23089999999999999</v>
      </c>
      <c r="M99" s="229">
        <v>163.1</v>
      </c>
      <c r="N99" s="228">
        <v>0.40949999999999998</v>
      </c>
      <c r="O99" s="228">
        <v>9.8900000000000002E-2</v>
      </c>
      <c r="P99" s="228">
        <v>0.37549999999999994</v>
      </c>
      <c r="Q99" s="230">
        <v>0.18340000000000001</v>
      </c>
      <c r="R99" s="231">
        <v>44404</v>
      </c>
      <c r="S99" s="232">
        <v>182.83000183105401</v>
      </c>
      <c r="T99" s="233">
        <v>1.1599999999999999</v>
      </c>
      <c r="U99" s="234">
        <v>42667</v>
      </c>
      <c r="V99" s="232">
        <v>105.359985351562</v>
      </c>
      <c r="W99" s="235">
        <v>0.8</v>
      </c>
    </row>
    <row r="100" spans="1:23" ht="16.5" customHeight="1" thickBot="1">
      <c r="A100" s="102" t="s">
        <v>783</v>
      </c>
      <c r="B100" s="104"/>
      <c r="C100" s="104" t="s">
        <v>892</v>
      </c>
      <c r="D100" s="105" t="s">
        <v>659</v>
      </c>
      <c r="E100" s="374"/>
      <c r="F100" s="222" t="s">
        <v>509</v>
      </c>
      <c r="G100" s="223" t="s">
        <v>1482</v>
      </c>
      <c r="H100" s="224" t="str">
        <f t="shared" si="4"/>
        <v>CMA</v>
      </c>
      <c r="I100" s="225" t="str">
        <f t="shared" si="5"/>
        <v>XLF</v>
      </c>
      <c r="J100" s="226" t="str">
        <f t="shared" si="6"/>
        <v>銀行-區域</v>
      </c>
      <c r="K100" s="227" t="str">
        <f t="shared" si="7"/>
        <v>.SPX</v>
      </c>
      <c r="L100" s="228">
        <v>0.32040000000000002</v>
      </c>
      <c r="M100" s="229">
        <v>70.099999999999994</v>
      </c>
      <c r="N100" s="228">
        <v>0.84689999999999999</v>
      </c>
      <c r="O100" s="228">
        <v>0.2107</v>
      </c>
      <c r="P100" s="228">
        <v>0.56999999999999995</v>
      </c>
      <c r="Q100" s="230">
        <v>0.27149999999999996</v>
      </c>
      <c r="R100" s="231">
        <v>44361</v>
      </c>
      <c r="S100" s="232">
        <v>72.220001220703097</v>
      </c>
      <c r="T100" s="233">
        <v>0.68</v>
      </c>
      <c r="U100" s="234">
        <v>42626</v>
      </c>
      <c r="V100" s="232">
        <v>39.138069152832003</v>
      </c>
      <c r="W100" s="235">
        <v>0.23</v>
      </c>
    </row>
    <row r="101" spans="1:23" ht="16.5" customHeight="1" thickBot="1">
      <c r="A101" s="102" t="s">
        <v>746</v>
      </c>
      <c r="B101" s="104"/>
      <c r="C101" s="104"/>
      <c r="D101" s="105" t="s">
        <v>659</v>
      </c>
      <c r="E101" s="374"/>
      <c r="F101" s="222" t="s">
        <v>202</v>
      </c>
      <c r="G101" s="223" t="s">
        <v>1485</v>
      </c>
      <c r="H101" s="224" t="str">
        <f t="shared" si="4"/>
        <v>CMCSA</v>
      </c>
      <c r="I101" s="225" t="str">
        <f t="shared" si="5"/>
        <v>XLC</v>
      </c>
      <c r="J101" s="226" t="str">
        <f t="shared" si="6"/>
        <v>娛樂</v>
      </c>
      <c r="K101" s="227" t="str">
        <f t="shared" si="7"/>
        <v>.SPX</v>
      </c>
      <c r="L101" s="228">
        <v>0.21609999999999999</v>
      </c>
      <c r="M101" s="229">
        <v>58.34</v>
      </c>
      <c r="N101" s="228">
        <v>0.34660000000000002</v>
      </c>
      <c r="O101" s="228">
        <v>0.1288</v>
      </c>
      <c r="P101" s="228">
        <v>0.39450000000000002</v>
      </c>
      <c r="Q101" s="230">
        <v>0.18789999999999998</v>
      </c>
      <c r="R101" s="231">
        <v>44383</v>
      </c>
      <c r="S101" s="232">
        <v>57.659999847412102</v>
      </c>
      <c r="T101" s="233">
        <v>0.25</v>
      </c>
      <c r="U101" s="234">
        <v>42646</v>
      </c>
      <c r="V101" s="232">
        <v>30.151145935058501</v>
      </c>
      <c r="W101" s="235">
        <v>0.13750000000000001</v>
      </c>
    </row>
    <row r="102" spans="1:23" ht="16.5" customHeight="1" thickBot="1">
      <c r="A102" s="102" t="s">
        <v>671</v>
      </c>
      <c r="B102" s="104"/>
      <c r="C102" s="104"/>
      <c r="D102" s="105" t="s">
        <v>659</v>
      </c>
      <c r="E102" s="374"/>
      <c r="F102" s="222" t="s">
        <v>431</v>
      </c>
      <c r="G102" s="223" t="s">
        <v>1486</v>
      </c>
      <c r="H102" s="224" t="str">
        <f t="shared" si="4"/>
        <v>CME</v>
      </c>
      <c r="I102" s="225" t="str">
        <f t="shared" si="5"/>
        <v>XLF</v>
      </c>
      <c r="J102" s="226" t="str">
        <f t="shared" si="6"/>
        <v>金融數據與證券交易所</v>
      </c>
      <c r="K102" s="227" t="str">
        <f t="shared" si="7"/>
        <v>.SPX</v>
      </c>
      <c r="L102" s="228">
        <v>0.19520000000000001</v>
      </c>
      <c r="M102" s="229">
        <v>208.25</v>
      </c>
      <c r="N102" s="228">
        <v>0.38150000000000001</v>
      </c>
      <c r="O102" s="228">
        <v>0.15210000000000001</v>
      </c>
      <c r="P102" s="228">
        <v>0.38009999999999999</v>
      </c>
      <c r="Q102" s="230">
        <v>0.1784</v>
      </c>
      <c r="R102" s="231">
        <v>44356</v>
      </c>
      <c r="S102" s="232">
        <v>215.509994506835</v>
      </c>
      <c r="T102" s="233">
        <v>0.9</v>
      </c>
      <c r="U102" s="234">
        <v>42620</v>
      </c>
      <c r="V102" s="232">
        <v>90.102821350097599</v>
      </c>
      <c r="W102" s="235">
        <v>0.6</v>
      </c>
    </row>
    <row r="103" spans="1:23" ht="15.75" customHeight="1" thickBot="1">
      <c r="A103" s="102" t="s">
        <v>716</v>
      </c>
      <c r="B103" s="104"/>
      <c r="C103" s="104"/>
      <c r="D103" s="105" t="s">
        <v>659</v>
      </c>
      <c r="E103" s="374"/>
      <c r="F103" s="222" t="s">
        <v>117</v>
      </c>
      <c r="G103" s="223" t="s">
        <v>1487</v>
      </c>
      <c r="H103" s="224" t="str">
        <f t="shared" si="4"/>
        <v>CMG</v>
      </c>
      <c r="I103" s="225" t="str">
        <f t="shared" si="5"/>
        <v>XLY</v>
      </c>
      <c r="J103" s="226" t="str">
        <f t="shared" si="6"/>
        <v>飯館</v>
      </c>
      <c r="K103" s="227" t="str">
        <f t="shared" si="7"/>
        <v>.SPX</v>
      </c>
      <c r="L103" s="228">
        <v>0.23910000000000001</v>
      </c>
      <c r="M103" s="236">
        <v>1899.98</v>
      </c>
      <c r="N103" s="228">
        <v>0.41239999999999999</v>
      </c>
      <c r="O103" s="228">
        <v>0.17760000000000001</v>
      </c>
      <c r="P103" s="228">
        <v>0.49570000000000003</v>
      </c>
      <c r="Q103" s="230">
        <v>0.22210000000000002</v>
      </c>
      <c r="R103" s="231">
        <v>0</v>
      </c>
      <c r="S103" s="232">
        <v>0</v>
      </c>
      <c r="T103" s="233">
        <v>0</v>
      </c>
      <c r="U103" s="234">
        <v>0</v>
      </c>
      <c r="V103" s="232">
        <v>0</v>
      </c>
      <c r="W103" s="235">
        <v>0</v>
      </c>
    </row>
    <row r="104" spans="1:23" ht="15.75" customHeight="1" thickBot="1">
      <c r="A104" s="102" t="s">
        <v>754</v>
      </c>
      <c r="B104" s="104"/>
      <c r="C104" s="104"/>
      <c r="D104" s="105" t="s">
        <v>659</v>
      </c>
      <c r="E104" s="374"/>
      <c r="F104" s="222" t="s">
        <v>474</v>
      </c>
      <c r="G104" s="223" t="s">
        <v>1454</v>
      </c>
      <c r="H104" s="224" t="str">
        <f t="shared" si="4"/>
        <v>CMI</v>
      </c>
      <c r="I104" s="225" t="str">
        <f t="shared" si="5"/>
        <v>XLI</v>
      </c>
      <c r="J104" s="226" t="str">
        <f t="shared" si="6"/>
        <v>特種工業機械</v>
      </c>
      <c r="K104" s="227" t="str">
        <f t="shared" si="7"/>
        <v>.SPX</v>
      </c>
      <c r="L104" s="228">
        <v>0.2334</v>
      </c>
      <c r="M104" s="236">
        <v>228.27</v>
      </c>
      <c r="N104" s="228">
        <v>0.33179999999999998</v>
      </c>
      <c r="O104" s="228">
        <v>0.1575</v>
      </c>
      <c r="P104" s="228">
        <v>0.42299999999999999</v>
      </c>
      <c r="Q104" s="230">
        <v>0.20899999999999999</v>
      </c>
      <c r="R104" s="231">
        <v>44336</v>
      </c>
      <c r="S104" s="232">
        <v>255.169998168945</v>
      </c>
      <c r="T104" s="233">
        <v>1.35</v>
      </c>
      <c r="U104" s="234">
        <v>42600</v>
      </c>
      <c r="V104" s="232">
        <v>110.500831604003</v>
      </c>
      <c r="W104" s="235">
        <v>1.0249999999999999</v>
      </c>
    </row>
    <row r="105" spans="1:23" ht="15.75" customHeight="1" thickBot="1">
      <c r="A105" s="102" t="s">
        <v>753</v>
      </c>
      <c r="B105" s="104"/>
      <c r="C105" s="104"/>
      <c r="D105" s="105" t="s">
        <v>659</v>
      </c>
      <c r="E105" s="374"/>
      <c r="F105" s="222" t="s">
        <v>218</v>
      </c>
      <c r="G105" s="223" t="s">
        <v>1443</v>
      </c>
      <c r="H105" s="224" t="str">
        <f t="shared" si="4"/>
        <v>CMS</v>
      </c>
      <c r="I105" s="225" t="str">
        <f t="shared" si="5"/>
        <v>XLU</v>
      </c>
      <c r="J105" s="226" t="str">
        <f t="shared" si="6"/>
        <v>公用事業—受監督的電力</v>
      </c>
      <c r="K105" s="227" t="str">
        <f t="shared" si="7"/>
        <v>.SPX</v>
      </c>
      <c r="L105" s="228">
        <v>0.16800000000000001</v>
      </c>
      <c r="M105" s="236">
        <v>63.11</v>
      </c>
      <c r="N105" s="228">
        <v>0.26119999999999999</v>
      </c>
      <c r="O105" s="228">
        <v>0.1479</v>
      </c>
      <c r="P105" s="228">
        <v>0.34</v>
      </c>
      <c r="Q105" s="230">
        <v>0.15689999999999998</v>
      </c>
      <c r="R105" s="231">
        <v>44413</v>
      </c>
      <c r="S105" s="232">
        <v>63.209999084472599</v>
      </c>
      <c r="T105" s="233">
        <v>0.435</v>
      </c>
      <c r="U105" s="234">
        <v>42676</v>
      </c>
      <c r="V105" s="232">
        <v>35.709171295166001</v>
      </c>
      <c r="W105" s="235">
        <v>0.31</v>
      </c>
    </row>
    <row r="106" spans="1:23" ht="15.75" customHeight="1" thickBot="1">
      <c r="A106" s="102" t="s">
        <v>820</v>
      </c>
      <c r="B106" s="104"/>
      <c r="C106" s="104" t="s">
        <v>898</v>
      </c>
      <c r="D106" s="105" t="s">
        <v>659</v>
      </c>
      <c r="E106" s="374"/>
      <c r="F106" s="222" t="s">
        <v>396</v>
      </c>
      <c r="G106" s="223" t="s">
        <v>1459</v>
      </c>
      <c r="H106" s="224" t="str">
        <f t="shared" si="4"/>
        <v>CNC</v>
      </c>
      <c r="I106" s="225" t="str">
        <f t="shared" si="5"/>
        <v>XLV</v>
      </c>
      <c r="J106" s="226" t="str">
        <f t="shared" si="6"/>
        <v>醫療保健計劃</v>
      </c>
      <c r="K106" s="227" t="str">
        <f t="shared" si="7"/>
        <v>.SPX</v>
      </c>
      <c r="L106" s="228">
        <v>0.25119999999999998</v>
      </c>
      <c r="M106" s="229">
        <v>67.23</v>
      </c>
      <c r="N106" s="228">
        <v>0.43330000000000002</v>
      </c>
      <c r="O106" s="228">
        <v>0.16639999999999999</v>
      </c>
      <c r="P106" s="228">
        <v>0.55399999999999994</v>
      </c>
      <c r="Q106" s="230">
        <v>0.23699999999999999</v>
      </c>
      <c r="R106" s="231">
        <v>43503</v>
      </c>
      <c r="S106" s="232">
        <v>63.909999847412102</v>
      </c>
      <c r="T106" s="233">
        <v>0</v>
      </c>
      <c r="U106" s="234">
        <v>43503</v>
      </c>
      <c r="V106" s="232">
        <v>63.909999847412102</v>
      </c>
      <c r="W106" s="235">
        <v>0</v>
      </c>
    </row>
    <row r="107" spans="1:23" ht="15.75" customHeight="1" thickBot="1">
      <c r="A107" s="102" t="s">
        <v>751</v>
      </c>
      <c r="B107" s="104"/>
      <c r="C107" s="104"/>
      <c r="D107" s="105" t="s">
        <v>659</v>
      </c>
      <c r="E107" s="374"/>
      <c r="F107" s="222" t="s">
        <v>190</v>
      </c>
      <c r="G107" s="223" t="s">
        <v>1443</v>
      </c>
      <c r="H107" s="224" t="str">
        <f t="shared" si="4"/>
        <v>CNP</v>
      </c>
      <c r="I107" s="225" t="str">
        <f t="shared" si="5"/>
        <v>XLU</v>
      </c>
      <c r="J107" s="226" t="str">
        <f t="shared" si="6"/>
        <v>公用事業—受監督的電力</v>
      </c>
      <c r="K107" s="227" t="str">
        <f t="shared" si="7"/>
        <v>.SPX</v>
      </c>
      <c r="L107" s="228">
        <v>0.255</v>
      </c>
      <c r="M107" s="229">
        <v>26.7</v>
      </c>
      <c r="N107" s="228">
        <v>0.39450000000000002</v>
      </c>
      <c r="O107" s="228">
        <v>0.14599999999999999</v>
      </c>
      <c r="P107" s="228">
        <v>0.43369999999999997</v>
      </c>
      <c r="Q107" s="230">
        <v>0.1971</v>
      </c>
      <c r="R107" s="231">
        <v>44335</v>
      </c>
      <c r="S107" s="232">
        <v>24.4799995422363</v>
      </c>
      <c r="T107" s="233">
        <v>0.16</v>
      </c>
      <c r="U107" s="234">
        <v>42594</v>
      </c>
      <c r="V107" s="232">
        <v>18.884006500244102</v>
      </c>
      <c r="W107" s="235">
        <v>0.25800000000000001</v>
      </c>
    </row>
    <row r="108" spans="1:23" ht="15.75" customHeight="1" thickBot="1">
      <c r="A108" s="102" t="s">
        <v>714</v>
      </c>
      <c r="B108" s="104"/>
      <c r="C108" s="104"/>
      <c r="D108" s="105" t="s">
        <v>659</v>
      </c>
      <c r="E108" s="374"/>
      <c r="F108" s="222" t="s">
        <v>422</v>
      </c>
      <c r="G108" s="223" t="s">
        <v>1469</v>
      </c>
      <c r="H108" s="224" t="str">
        <f t="shared" si="4"/>
        <v>COF</v>
      </c>
      <c r="I108" s="225" t="str">
        <f t="shared" si="5"/>
        <v>XLF</v>
      </c>
      <c r="J108" s="226" t="str">
        <f t="shared" si="6"/>
        <v>信貸服務</v>
      </c>
      <c r="K108" s="227" t="str">
        <f t="shared" si="7"/>
        <v>.SPX</v>
      </c>
      <c r="L108" s="228">
        <v>0.30559999999999998</v>
      </c>
      <c r="M108" s="229">
        <v>164.66</v>
      </c>
      <c r="N108" s="228">
        <v>0.54430000000000001</v>
      </c>
      <c r="O108" s="228">
        <v>0.20130000000000001</v>
      </c>
      <c r="P108" s="228">
        <v>0.5655</v>
      </c>
      <c r="Q108" s="230">
        <v>0.26300000000000001</v>
      </c>
      <c r="R108" s="231">
        <v>44330</v>
      </c>
      <c r="S108" s="232">
        <v>158.11000061035099</v>
      </c>
      <c r="T108" s="233">
        <v>0.4</v>
      </c>
      <c r="U108" s="234">
        <v>42683</v>
      </c>
      <c r="V108" s="232">
        <v>70.906066894531193</v>
      </c>
      <c r="W108" s="235">
        <v>0.4</v>
      </c>
    </row>
    <row r="109" spans="1:23" ht="15.75" customHeight="1" thickBot="1">
      <c r="A109" s="102" t="s">
        <v>749</v>
      </c>
      <c r="B109" s="104"/>
      <c r="C109" s="104"/>
      <c r="D109" s="105" t="s">
        <v>659</v>
      </c>
      <c r="E109" s="374"/>
      <c r="F109" s="222" t="s">
        <v>227</v>
      </c>
      <c r="G109" s="223" t="s">
        <v>1460</v>
      </c>
      <c r="H109" s="224" t="str">
        <f t="shared" si="4"/>
        <v>COG</v>
      </c>
      <c r="I109" s="225" t="str">
        <f t="shared" si="5"/>
        <v>XLE</v>
      </c>
      <c r="J109" s="226" t="str">
        <f t="shared" si="6"/>
        <v>油氣E&amp;P</v>
      </c>
      <c r="K109" s="227" t="str">
        <f t="shared" si="7"/>
        <v>.SPX</v>
      </c>
      <c r="L109" s="228">
        <v>0.37669999999999998</v>
      </c>
      <c r="M109" s="229">
        <v>16.04</v>
      </c>
      <c r="N109" s="228">
        <v>0.4592</v>
      </c>
      <c r="O109" s="228">
        <v>0.2641</v>
      </c>
      <c r="P109" s="228">
        <v>0.58050000000000002</v>
      </c>
      <c r="Q109" s="230">
        <v>0.31209999999999999</v>
      </c>
      <c r="R109" s="231">
        <v>44328</v>
      </c>
      <c r="S109" s="232">
        <v>17.5</v>
      </c>
      <c r="T109" s="233">
        <v>0.11</v>
      </c>
      <c r="U109" s="234">
        <v>42590</v>
      </c>
      <c r="V109" s="232">
        <v>23.330543518066399</v>
      </c>
      <c r="W109" s="235">
        <v>0.02</v>
      </c>
    </row>
    <row r="110" spans="1:23" ht="15.75" customHeight="1" thickBot="1">
      <c r="A110" s="102" t="s">
        <v>681</v>
      </c>
      <c r="B110" s="104"/>
      <c r="C110" s="104"/>
      <c r="D110" s="105" t="s">
        <v>659</v>
      </c>
      <c r="E110" s="374"/>
      <c r="F110" s="222" t="s">
        <v>228</v>
      </c>
      <c r="G110" s="223" t="s">
        <v>1472</v>
      </c>
      <c r="H110" s="224" t="str">
        <f t="shared" si="4"/>
        <v>COO</v>
      </c>
      <c r="I110" s="225" t="str">
        <f t="shared" si="5"/>
        <v>XLV</v>
      </c>
      <c r="J110" s="226" t="str">
        <f t="shared" si="6"/>
        <v>醫療器械及用品</v>
      </c>
      <c r="K110" s="227" t="str">
        <f t="shared" si="7"/>
        <v>.SPX</v>
      </c>
      <c r="L110" s="228">
        <v>0.2495</v>
      </c>
      <c r="M110" s="229">
        <v>412.94</v>
      </c>
      <c r="N110" s="228">
        <v>0.34799999999999998</v>
      </c>
      <c r="O110" s="228">
        <v>0.1187</v>
      </c>
      <c r="P110" s="228">
        <v>0.43280000000000002</v>
      </c>
      <c r="Q110" s="230">
        <v>0.17149999999999999</v>
      </c>
      <c r="R110" s="231">
        <v>44403</v>
      </c>
      <c r="S110" s="232">
        <v>405.60998535156199</v>
      </c>
      <c r="T110" s="233">
        <v>0.03</v>
      </c>
      <c r="U110" s="234">
        <v>42754</v>
      </c>
      <c r="V110" s="232">
        <v>181.74554443359301</v>
      </c>
      <c r="W110" s="235">
        <v>0.03</v>
      </c>
    </row>
    <row r="111" spans="1:23" ht="15.75" customHeight="1" thickBot="1">
      <c r="A111" s="102" t="s">
        <v>680</v>
      </c>
      <c r="B111" s="104"/>
      <c r="C111" s="104"/>
      <c r="D111" s="105" t="s">
        <v>659</v>
      </c>
      <c r="E111" s="374"/>
      <c r="F111" s="222" t="s">
        <v>164</v>
      </c>
      <c r="G111" s="223" t="s">
        <v>1460</v>
      </c>
      <c r="H111" s="224" t="str">
        <f t="shared" si="4"/>
        <v>COP</v>
      </c>
      <c r="I111" s="225" t="str">
        <f t="shared" si="5"/>
        <v>XLE</v>
      </c>
      <c r="J111" s="226" t="str">
        <f t="shared" si="6"/>
        <v>油氣E&amp;P</v>
      </c>
      <c r="K111" s="227" t="str">
        <f t="shared" si="7"/>
        <v>.SPX</v>
      </c>
      <c r="L111" s="228">
        <v>0.35520000000000002</v>
      </c>
      <c r="M111" s="229">
        <v>56.98</v>
      </c>
      <c r="N111" s="228">
        <v>0.75160000000000005</v>
      </c>
      <c r="O111" s="228">
        <v>0.29659999999999997</v>
      </c>
      <c r="P111" s="228">
        <v>0.83750000000000002</v>
      </c>
      <c r="Q111" s="230">
        <v>0.31620000000000004</v>
      </c>
      <c r="R111" s="231">
        <v>44400</v>
      </c>
      <c r="S111" s="232">
        <v>55.340000152587798</v>
      </c>
      <c r="T111" s="233">
        <v>0.43</v>
      </c>
      <c r="U111" s="234">
        <v>42656</v>
      </c>
      <c r="V111" s="232">
        <v>37.1560249328613</v>
      </c>
      <c r="W111" s="235">
        <v>0.25</v>
      </c>
    </row>
    <row r="112" spans="1:23" ht="15.75" customHeight="1" thickBot="1">
      <c r="A112" s="102" t="s">
        <v>732</v>
      </c>
      <c r="B112" s="104"/>
      <c r="C112" s="104"/>
      <c r="D112" s="105" t="s">
        <v>659</v>
      </c>
      <c r="E112" s="374"/>
      <c r="F112" s="222" t="s">
        <v>168</v>
      </c>
      <c r="G112" s="223" t="s">
        <v>1488</v>
      </c>
      <c r="H112" s="224" t="str">
        <f t="shared" si="4"/>
        <v>COST</v>
      </c>
      <c r="I112" s="225" t="str">
        <f t="shared" si="5"/>
        <v>XLP</v>
      </c>
      <c r="J112" s="226" t="str">
        <f t="shared" si="6"/>
        <v>折扣店</v>
      </c>
      <c r="K112" s="227" t="str">
        <f t="shared" si="7"/>
        <v>.SPX</v>
      </c>
      <c r="L112" s="228">
        <v>0.16309999999999999</v>
      </c>
      <c r="M112" s="229">
        <v>443.19</v>
      </c>
      <c r="N112" s="228">
        <v>0.2535</v>
      </c>
      <c r="O112" s="228">
        <v>0.1062</v>
      </c>
      <c r="P112" s="228">
        <v>0.3871</v>
      </c>
      <c r="Q112" s="230">
        <v>0.1459</v>
      </c>
      <c r="R112" s="231">
        <v>44406</v>
      </c>
      <c r="S112" s="232">
        <v>425.27999877929602</v>
      </c>
      <c r="T112" s="233">
        <v>0.79</v>
      </c>
      <c r="U112" s="234">
        <v>42592</v>
      </c>
      <c r="V112" s="232">
        <v>150.01573181152301</v>
      </c>
      <c r="W112" s="235">
        <v>0.45</v>
      </c>
    </row>
    <row r="113" spans="1:23" ht="15.75" customHeight="1" thickBot="1">
      <c r="A113" s="102" t="s">
        <v>748</v>
      </c>
      <c r="B113" s="104"/>
      <c r="C113" s="104"/>
      <c r="D113" s="105" t="s">
        <v>659</v>
      </c>
      <c r="E113" s="374"/>
      <c r="F113" s="222" t="s">
        <v>349</v>
      </c>
      <c r="G113" s="223" t="s">
        <v>1476</v>
      </c>
      <c r="H113" s="224" t="str">
        <f t="shared" si="4"/>
        <v>CPB</v>
      </c>
      <c r="I113" s="225" t="str">
        <f t="shared" si="5"/>
        <v>XLP</v>
      </c>
      <c r="J113" s="226" t="str">
        <f t="shared" si="6"/>
        <v>包裝食品</v>
      </c>
      <c r="K113" s="227" t="str">
        <f t="shared" si="7"/>
        <v>.SPX</v>
      </c>
      <c r="L113" s="228">
        <v>0.24349999999999999</v>
      </c>
      <c r="M113" s="229">
        <v>42.33</v>
      </c>
      <c r="N113" s="228">
        <v>0.35499999999999998</v>
      </c>
      <c r="O113" s="228">
        <v>0.13320000000000001</v>
      </c>
      <c r="P113" s="228">
        <v>0.48680000000000001</v>
      </c>
      <c r="Q113" s="230">
        <v>0.1711</v>
      </c>
      <c r="R113" s="231">
        <v>44390</v>
      </c>
      <c r="S113" s="232">
        <v>44.709999084472599</v>
      </c>
      <c r="T113" s="233">
        <v>0.37</v>
      </c>
      <c r="U113" s="234">
        <v>42650</v>
      </c>
      <c r="V113" s="232">
        <v>46.4871826171875</v>
      </c>
      <c r="W113" s="235">
        <v>0.35</v>
      </c>
    </row>
    <row r="114" spans="1:23" ht="15.75" customHeight="1" thickBot="1">
      <c r="A114" s="102" t="s">
        <v>830</v>
      </c>
      <c r="B114" s="104"/>
      <c r="C114" s="104"/>
      <c r="D114" s="105" t="s">
        <v>659</v>
      </c>
      <c r="E114" s="374"/>
      <c r="F114" s="222" t="s">
        <v>125</v>
      </c>
      <c r="G114" s="223" t="s">
        <v>1489</v>
      </c>
      <c r="H114" s="224" t="str">
        <f t="shared" si="4"/>
        <v>CPRT</v>
      </c>
      <c r="I114" s="225" t="str">
        <f t="shared" si="5"/>
        <v>XLI</v>
      </c>
      <c r="J114" s="226" t="str">
        <f t="shared" si="6"/>
        <v>專業商業服務</v>
      </c>
      <c r="K114" s="227" t="str">
        <f t="shared" si="7"/>
        <v>.SPX</v>
      </c>
      <c r="L114" s="228">
        <v>0.26800000000000002</v>
      </c>
      <c r="M114" s="236">
        <v>148.21</v>
      </c>
      <c r="N114" s="228">
        <v>0.33479999999999999</v>
      </c>
      <c r="O114" s="228">
        <v>0.13869999999999999</v>
      </c>
      <c r="P114" s="228">
        <v>0.42100000000000004</v>
      </c>
      <c r="Q114" s="230">
        <v>0.20030000000000001</v>
      </c>
      <c r="R114" s="231">
        <v>42836</v>
      </c>
      <c r="S114" s="232">
        <v>30.120000839233398</v>
      </c>
      <c r="T114" s="233">
        <v>0</v>
      </c>
      <c r="U114" s="234">
        <v>42836</v>
      </c>
      <c r="V114" s="232">
        <v>30.120000839233398</v>
      </c>
      <c r="W114" s="235">
        <v>0</v>
      </c>
    </row>
    <row r="115" spans="1:23" ht="15.75" customHeight="1" thickBot="1">
      <c r="A115" s="102" t="s">
        <v>828</v>
      </c>
      <c r="B115" s="104"/>
      <c r="C115" s="104"/>
      <c r="D115" s="105" t="s">
        <v>659</v>
      </c>
      <c r="E115" s="374"/>
      <c r="F115" s="222" t="s">
        <v>43</v>
      </c>
      <c r="G115" s="223" t="s">
        <v>1430</v>
      </c>
      <c r="H115" s="224" t="str">
        <f t="shared" si="4"/>
        <v>CRL</v>
      </c>
      <c r="I115" s="225" t="str">
        <f t="shared" si="5"/>
        <v>XLV</v>
      </c>
      <c r="J115" s="226" t="str">
        <f t="shared" si="6"/>
        <v>診斷與研究</v>
      </c>
      <c r="K115" s="227" t="str">
        <f t="shared" si="7"/>
        <v>.SPX</v>
      </c>
      <c r="L115" s="228">
        <v>0.26679999999999998</v>
      </c>
      <c r="M115" s="229">
        <v>409.97</v>
      </c>
      <c r="N115" s="228">
        <v>0.39319999999999999</v>
      </c>
      <c r="O115" s="228">
        <v>0.14560000000000001</v>
      </c>
      <c r="P115" s="228">
        <v>0.47310000000000002</v>
      </c>
      <c r="Q115" s="230">
        <v>0.24670000000000003</v>
      </c>
      <c r="R115" s="231">
        <v>0</v>
      </c>
      <c r="S115" s="232">
        <v>0</v>
      </c>
      <c r="T115" s="233">
        <v>0</v>
      </c>
      <c r="U115" s="234">
        <v>0</v>
      </c>
      <c r="V115" s="232">
        <v>0</v>
      </c>
      <c r="W115" s="235">
        <v>0</v>
      </c>
    </row>
    <row r="116" spans="1:23" ht="15.75" customHeight="1" thickBot="1">
      <c r="A116" s="102" t="s">
        <v>826</v>
      </c>
      <c r="B116" s="104"/>
      <c r="C116" s="104"/>
      <c r="D116" s="105" t="s">
        <v>659</v>
      </c>
      <c r="E116" s="374"/>
      <c r="F116" s="222" t="s">
        <v>81</v>
      </c>
      <c r="G116" s="223" t="s">
        <v>1442</v>
      </c>
      <c r="H116" s="224" t="str">
        <f t="shared" si="4"/>
        <v>CRM</v>
      </c>
      <c r="I116" s="225" t="str">
        <f t="shared" si="5"/>
        <v>XLK</v>
      </c>
      <c r="J116" s="226" t="str">
        <f t="shared" si="6"/>
        <v>軟件-應用</v>
      </c>
      <c r="K116" s="227" t="str">
        <f t="shared" si="7"/>
        <v>.SPX</v>
      </c>
      <c r="L116" s="228">
        <v>0.32479999999999998</v>
      </c>
      <c r="M116" s="229">
        <v>250.56</v>
      </c>
      <c r="N116" s="228">
        <v>0.78239999999999998</v>
      </c>
      <c r="O116" s="228">
        <v>0.14929999999999999</v>
      </c>
      <c r="P116" s="228">
        <v>0.52590000000000003</v>
      </c>
      <c r="Q116" s="230">
        <v>0.21379999999999999</v>
      </c>
      <c r="R116" s="231">
        <v>0</v>
      </c>
      <c r="S116" s="232">
        <v>0</v>
      </c>
      <c r="T116" s="233">
        <v>0</v>
      </c>
      <c r="U116" s="234">
        <v>0</v>
      </c>
      <c r="V116" s="232">
        <v>0</v>
      </c>
      <c r="W116" s="235">
        <v>0</v>
      </c>
    </row>
    <row r="117" spans="1:23" ht="15.75" customHeight="1" thickBot="1">
      <c r="A117" s="102" t="s">
        <v>733</v>
      </c>
      <c r="B117" s="104"/>
      <c r="C117" s="104"/>
      <c r="D117" s="105" t="s">
        <v>659</v>
      </c>
      <c r="E117" s="374"/>
      <c r="F117" s="222" t="s">
        <v>73</v>
      </c>
      <c r="G117" s="223" t="s">
        <v>1490</v>
      </c>
      <c r="H117" s="224" t="str">
        <f t="shared" si="4"/>
        <v>CSCO</v>
      </c>
      <c r="I117" s="225" t="str">
        <f t="shared" si="5"/>
        <v>XLK</v>
      </c>
      <c r="J117" s="226" t="str">
        <f t="shared" si="6"/>
        <v>通信設備</v>
      </c>
      <c r="K117" s="227" t="str">
        <f t="shared" si="7"/>
        <v>.SPX</v>
      </c>
      <c r="L117" s="228">
        <v>0.24779999999999999</v>
      </c>
      <c r="M117" s="229">
        <v>55.57</v>
      </c>
      <c r="N117" s="228">
        <v>0.39879999999999999</v>
      </c>
      <c r="O117" s="228">
        <v>0.1193</v>
      </c>
      <c r="P117" s="228">
        <v>0.45810000000000001</v>
      </c>
      <c r="Q117" s="230">
        <v>0.1585</v>
      </c>
      <c r="R117" s="231">
        <v>44379</v>
      </c>
      <c r="S117" s="232">
        <v>53.540000915527301</v>
      </c>
      <c r="T117" s="233">
        <v>0.37</v>
      </c>
      <c r="U117" s="234">
        <v>42646</v>
      </c>
      <c r="V117" s="232">
        <v>27.142532348632798</v>
      </c>
      <c r="W117" s="235">
        <v>0.26</v>
      </c>
    </row>
    <row r="118" spans="1:23" ht="15.75" customHeight="1" thickBot="1">
      <c r="A118" s="102" t="s">
        <v>731</v>
      </c>
      <c r="B118" s="104"/>
      <c r="C118" s="104"/>
      <c r="D118" s="105" t="s">
        <v>659</v>
      </c>
      <c r="E118" s="374"/>
      <c r="F118" s="222" t="s">
        <v>424</v>
      </c>
      <c r="G118" s="223" t="s">
        <v>1491</v>
      </c>
      <c r="H118" s="224" t="str">
        <f t="shared" si="4"/>
        <v>CSX</v>
      </c>
      <c r="I118" s="225" t="str">
        <f t="shared" si="5"/>
        <v>XLI</v>
      </c>
      <c r="J118" s="226" t="str">
        <f t="shared" si="6"/>
        <v>鐵路</v>
      </c>
      <c r="K118" s="227" t="str">
        <f t="shared" si="7"/>
        <v>.SPX</v>
      </c>
      <c r="L118" s="228">
        <v>0.21129999999999999</v>
      </c>
      <c r="M118" s="229">
        <v>32.15</v>
      </c>
      <c r="N118" s="228">
        <v>0.31090000000000001</v>
      </c>
      <c r="O118" s="228">
        <v>0.13120000000000001</v>
      </c>
      <c r="P118" s="228">
        <v>0.37659999999999999</v>
      </c>
      <c r="Q118" s="230">
        <v>0.18739999999999998</v>
      </c>
      <c r="R118" s="231">
        <v>44376</v>
      </c>
      <c r="S118" s="232">
        <v>31.559999465942301</v>
      </c>
      <c r="T118" s="233">
        <v>0</v>
      </c>
      <c r="U118" s="234">
        <v>42611</v>
      </c>
      <c r="V118" s="232">
        <v>8.8511886596679599</v>
      </c>
      <c r="W118" s="235">
        <v>0.06</v>
      </c>
    </row>
    <row r="119" spans="1:23" ht="15.75" customHeight="1" thickBot="1">
      <c r="A119" s="102" t="s">
        <v>685</v>
      </c>
      <c r="B119" s="104"/>
      <c r="C119" s="104"/>
      <c r="D119" s="105" t="s">
        <v>659</v>
      </c>
      <c r="E119" s="374"/>
      <c r="F119" s="222" t="s">
        <v>150</v>
      </c>
      <c r="G119" s="223" t="s">
        <v>1489</v>
      </c>
      <c r="H119" s="224" t="str">
        <f t="shared" si="4"/>
        <v>CTAS</v>
      </c>
      <c r="I119" s="225" t="str">
        <f t="shared" si="5"/>
        <v>XLI</v>
      </c>
      <c r="J119" s="226" t="str">
        <f t="shared" si="6"/>
        <v>專業商業服務</v>
      </c>
      <c r="K119" s="227" t="str">
        <f t="shared" si="7"/>
        <v>.SPX</v>
      </c>
      <c r="L119" s="228">
        <v>0.20749999999999999</v>
      </c>
      <c r="M119" s="229">
        <v>391.65</v>
      </c>
      <c r="N119" s="228">
        <v>0.33860000000000001</v>
      </c>
      <c r="O119" s="228">
        <v>0.15620000000000001</v>
      </c>
      <c r="P119" s="228">
        <v>0.4143</v>
      </c>
      <c r="Q119" s="230">
        <v>0.19839999999999999</v>
      </c>
      <c r="R119" s="231">
        <v>44329</v>
      </c>
      <c r="S119" s="232">
        <v>353.20999145507801</v>
      </c>
      <c r="T119" s="233">
        <v>0.75</v>
      </c>
      <c r="U119" s="234">
        <v>42676</v>
      </c>
      <c r="V119" s="232">
        <v>97.888389587402301</v>
      </c>
      <c r="W119" s="235">
        <v>1.33</v>
      </c>
    </row>
    <row r="120" spans="1:23" ht="15.75" customHeight="1" thickBot="1">
      <c r="A120" s="102" t="s">
        <v>734</v>
      </c>
      <c r="B120" s="104"/>
      <c r="C120" s="104"/>
      <c r="D120" s="105" t="s">
        <v>659</v>
      </c>
      <c r="E120" s="374"/>
      <c r="F120" s="222" t="s">
        <v>96</v>
      </c>
      <c r="G120" s="223" t="s">
        <v>1492</v>
      </c>
      <c r="H120" s="224" t="str">
        <f t="shared" si="4"/>
        <v>CTLT</v>
      </c>
      <c r="I120" s="225" t="str">
        <f t="shared" si="5"/>
        <v>XLV</v>
      </c>
      <c r="J120" s="226" t="str">
        <f t="shared" si="6"/>
        <v>藥品製造商-專業和通用</v>
      </c>
      <c r="K120" s="227" t="str">
        <f t="shared" si="7"/>
        <v>.SPX</v>
      </c>
      <c r="L120" s="228">
        <v>0.36349999999999999</v>
      </c>
      <c r="M120" s="229">
        <v>122.12</v>
      </c>
      <c r="N120" s="228">
        <v>0.42930000000000001</v>
      </c>
      <c r="O120" s="228">
        <v>0.18840000000000001</v>
      </c>
      <c r="P120" s="228">
        <v>0.7419</v>
      </c>
      <c r="Q120" s="230">
        <v>0.24890000000000001</v>
      </c>
      <c r="R120" s="231">
        <v>0</v>
      </c>
      <c r="S120" s="232">
        <v>0</v>
      </c>
      <c r="T120" s="233">
        <v>0</v>
      </c>
      <c r="U120" s="234">
        <v>0</v>
      </c>
      <c r="V120" s="232">
        <v>0</v>
      </c>
      <c r="W120" s="235">
        <v>0</v>
      </c>
    </row>
    <row r="121" spans="1:23" ht="15.75" customHeight="1" thickBot="1">
      <c r="A121" s="102" t="s">
        <v>712</v>
      </c>
      <c r="B121" s="104"/>
      <c r="C121" s="104"/>
      <c r="D121" s="105" t="s">
        <v>659</v>
      </c>
      <c r="E121" s="374"/>
      <c r="F121" s="222" t="s">
        <v>317</v>
      </c>
      <c r="G121" s="223" t="s">
        <v>1437</v>
      </c>
      <c r="H121" s="224" t="str">
        <f t="shared" si="4"/>
        <v>CTSH</v>
      </c>
      <c r="I121" s="225" t="str">
        <f t="shared" si="5"/>
        <v>XLK</v>
      </c>
      <c r="J121" s="226" t="str">
        <f t="shared" si="6"/>
        <v>信息技術處</v>
      </c>
      <c r="K121" s="227" t="str">
        <f t="shared" si="7"/>
        <v>.SPX</v>
      </c>
      <c r="L121" s="228">
        <v>0.20250000000000001</v>
      </c>
      <c r="M121" s="229">
        <v>73.28</v>
      </c>
      <c r="N121" s="228">
        <v>0.32940000000000003</v>
      </c>
      <c r="O121" s="228">
        <v>0.10780000000000001</v>
      </c>
      <c r="P121" s="228">
        <v>0.43569999999999998</v>
      </c>
      <c r="Q121" s="230">
        <v>0.18859999999999999</v>
      </c>
      <c r="R121" s="231">
        <v>44335</v>
      </c>
      <c r="S121" s="232">
        <v>70.739997863769503</v>
      </c>
      <c r="T121" s="233">
        <v>0.24</v>
      </c>
      <c r="U121" s="234">
        <v>42873</v>
      </c>
      <c r="V121" s="232">
        <v>62.019805908203097</v>
      </c>
      <c r="W121" s="235">
        <v>0.15</v>
      </c>
    </row>
    <row r="122" spans="1:23" ht="15.75" customHeight="1" thickBot="1">
      <c r="A122" s="102" t="s">
        <v>825</v>
      </c>
      <c r="B122" s="104"/>
      <c r="C122" s="104"/>
      <c r="D122" s="105" t="s">
        <v>659</v>
      </c>
      <c r="E122" s="374"/>
      <c r="F122" s="222" t="s">
        <v>485</v>
      </c>
      <c r="G122" s="223" t="s">
        <v>1481</v>
      </c>
      <c r="H122" s="224" t="str">
        <f t="shared" si="4"/>
        <v>CTVA</v>
      </c>
      <c r="I122" s="225" t="str">
        <f t="shared" si="5"/>
        <v>XLB</v>
      </c>
      <c r="J122" s="226" t="str">
        <f t="shared" si="6"/>
        <v>農業投入</v>
      </c>
      <c r="K122" s="227" t="str">
        <f t="shared" si="7"/>
        <v>.SPX</v>
      </c>
      <c r="L122" s="228">
        <v>0.3231</v>
      </c>
      <c r="M122" s="229">
        <v>41.44</v>
      </c>
      <c r="N122" s="228">
        <v>0.47360000000000002</v>
      </c>
      <c r="O122" s="228">
        <v>0.15160000000000001</v>
      </c>
      <c r="P122" s="228">
        <v>0.49180000000000001</v>
      </c>
      <c r="Q122" s="230">
        <v>0.24739999999999998</v>
      </c>
      <c r="R122" s="231">
        <v>44329</v>
      </c>
      <c r="S122" s="232">
        <v>45.919998168945298</v>
      </c>
      <c r="T122" s="233">
        <v>0.13</v>
      </c>
      <c r="U122" s="234">
        <v>43676</v>
      </c>
      <c r="V122" s="232">
        <v>28.278133392333899</v>
      </c>
      <c r="W122" s="235">
        <v>0.13</v>
      </c>
    </row>
    <row r="123" spans="1:23" ht="15.75" customHeight="1" thickBot="1">
      <c r="A123" s="102" t="s">
        <v>699</v>
      </c>
      <c r="B123" s="104"/>
      <c r="C123" s="104"/>
      <c r="D123" s="105" t="s">
        <v>659</v>
      </c>
      <c r="E123" s="374"/>
      <c r="F123" s="222" t="s">
        <v>167</v>
      </c>
      <c r="G123" s="223" t="s">
        <v>1442</v>
      </c>
      <c r="H123" s="224" t="str">
        <f t="shared" si="4"/>
        <v>CTXS</v>
      </c>
      <c r="I123" s="225" t="str">
        <f t="shared" si="5"/>
        <v>XLK</v>
      </c>
      <c r="J123" s="226" t="str">
        <f t="shared" si="6"/>
        <v>軟件-應用</v>
      </c>
      <c r="K123" s="227" t="str">
        <f t="shared" si="7"/>
        <v>.SPX</v>
      </c>
      <c r="L123" s="228">
        <v>0.26440000000000002</v>
      </c>
      <c r="M123" s="229">
        <v>101.51</v>
      </c>
      <c r="N123" s="228">
        <v>0.52470000000000006</v>
      </c>
      <c r="O123" s="228">
        <v>0.16719999999999999</v>
      </c>
      <c r="P123" s="228">
        <v>0.43930000000000002</v>
      </c>
      <c r="Q123" s="230">
        <v>0.2238</v>
      </c>
      <c r="R123" s="231">
        <v>44357</v>
      </c>
      <c r="S123" s="232">
        <v>118.650001525878</v>
      </c>
      <c r="T123" s="233">
        <v>0.37</v>
      </c>
      <c r="U123" s="234">
        <v>42767</v>
      </c>
      <c r="V123" s="232">
        <v>68.856643676757798</v>
      </c>
      <c r="W123" s="235">
        <v>0</v>
      </c>
    </row>
    <row r="124" spans="1:23" ht="15.75" customHeight="1" thickBot="1">
      <c r="A124" s="102" t="s">
        <v>824</v>
      </c>
      <c r="B124" s="104"/>
      <c r="C124" s="104"/>
      <c r="D124" s="105" t="s">
        <v>659</v>
      </c>
      <c r="E124" s="374"/>
      <c r="F124" s="222" t="s">
        <v>199</v>
      </c>
      <c r="G124" s="223" t="s">
        <v>1459</v>
      </c>
      <c r="H124" s="224" t="str">
        <f t="shared" si="4"/>
        <v>CVS</v>
      </c>
      <c r="I124" s="225" t="str">
        <f t="shared" si="5"/>
        <v>XLV</v>
      </c>
      <c r="J124" s="226" t="str">
        <f t="shared" si="6"/>
        <v>醫療保健計劃</v>
      </c>
      <c r="K124" s="227" t="str">
        <f t="shared" si="7"/>
        <v>.SPX</v>
      </c>
      <c r="L124" s="228">
        <v>0.2215</v>
      </c>
      <c r="M124" s="229">
        <v>80.95</v>
      </c>
      <c r="N124" s="228">
        <v>0.44800000000000001</v>
      </c>
      <c r="O124" s="228">
        <v>0.13589999999999999</v>
      </c>
      <c r="P124" s="228">
        <v>0.40439999999999998</v>
      </c>
      <c r="Q124" s="230">
        <v>0.183</v>
      </c>
      <c r="R124" s="231">
        <v>44399</v>
      </c>
      <c r="S124" s="232">
        <v>82.629997253417898</v>
      </c>
      <c r="T124" s="233">
        <v>0.5</v>
      </c>
      <c r="U124" s="234">
        <v>42663</v>
      </c>
      <c r="V124" s="232">
        <v>76.055702209472599</v>
      </c>
      <c r="W124" s="235">
        <v>0.42499999999999999</v>
      </c>
    </row>
    <row r="125" spans="1:23" ht="15.75" customHeight="1" thickBot="1">
      <c r="A125" s="103" t="s">
        <v>547</v>
      </c>
      <c r="B125" s="104"/>
      <c r="C125" s="104" t="s">
        <v>573</v>
      </c>
      <c r="D125" s="105" t="s">
        <v>535</v>
      </c>
      <c r="E125" s="374"/>
      <c r="F125" s="222" t="s">
        <v>206</v>
      </c>
      <c r="G125" s="223" t="s">
        <v>1493</v>
      </c>
      <c r="H125" s="224" t="str">
        <f t="shared" si="4"/>
        <v>CVX</v>
      </c>
      <c r="I125" s="225" t="str">
        <f t="shared" si="5"/>
        <v>XLE</v>
      </c>
      <c r="J125" s="226" t="str">
        <f t="shared" si="6"/>
        <v>油氣一體化</v>
      </c>
      <c r="K125" s="227" t="str">
        <f t="shared" si="7"/>
        <v>.SPX</v>
      </c>
      <c r="L125" s="228">
        <v>0.2417</v>
      </c>
      <c r="M125" s="229">
        <v>101.92</v>
      </c>
      <c r="N125" s="228">
        <v>0.57310000000000005</v>
      </c>
      <c r="O125" s="228">
        <v>0.2092</v>
      </c>
      <c r="P125" s="228">
        <v>0.48460000000000003</v>
      </c>
      <c r="Q125" s="230">
        <v>0.2288</v>
      </c>
      <c r="R125" s="231">
        <v>44334</v>
      </c>
      <c r="S125" s="232">
        <v>106.180000305175</v>
      </c>
      <c r="T125" s="233">
        <v>1.34</v>
      </c>
      <c r="U125" s="234">
        <v>42599</v>
      </c>
      <c r="V125" s="232">
        <v>83.030258178710895</v>
      </c>
      <c r="W125" s="235">
        <v>1.07</v>
      </c>
    </row>
    <row r="126" spans="1:23" ht="15.75" customHeight="1" thickBot="1">
      <c r="A126" s="102" t="s">
        <v>823</v>
      </c>
      <c r="B126" s="104"/>
      <c r="C126" s="104"/>
      <c r="D126" s="105" t="s">
        <v>659</v>
      </c>
      <c r="E126" s="374"/>
      <c r="F126" s="222" t="s">
        <v>220</v>
      </c>
      <c r="G126" s="223" t="s">
        <v>1494</v>
      </c>
      <c r="H126" s="224" t="str">
        <f t="shared" si="4"/>
        <v>CZR</v>
      </c>
      <c r="I126" s="225" t="str">
        <f t="shared" si="5"/>
        <v>XLY</v>
      </c>
      <c r="J126" s="226" t="str">
        <f t="shared" si="6"/>
        <v>度假村和賭場</v>
      </c>
      <c r="K126" s="227" t="str">
        <f t="shared" si="7"/>
        <v>.SPX</v>
      </c>
      <c r="L126" s="228">
        <v>0.51419999999999999</v>
      </c>
      <c r="M126" s="229">
        <v>90.5</v>
      </c>
      <c r="N126" s="228">
        <v>0.85160000000000002</v>
      </c>
      <c r="O126" s="228">
        <v>0.29380000000000001</v>
      </c>
      <c r="P126" s="228">
        <v>0.92189999999999994</v>
      </c>
      <c r="Q126" s="230">
        <v>0.41259999999999997</v>
      </c>
      <c r="R126" s="231">
        <v>0</v>
      </c>
      <c r="S126" s="232">
        <v>0</v>
      </c>
      <c r="T126" s="233">
        <v>0</v>
      </c>
      <c r="U126" s="234">
        <v>0</v>
      </c>
      <c r="V126" s="232">
        <v>0</v>
      </c>
      <c r="W126" s="235">
        <v>0</v>
      </c>
    </row>
    <row r="127" spans="1:23" ht="15.75" customHeight="1" thickBot="1">
      <c r="A127" s="103" t="s">
        <v>545</v>
      </c>
      <c r="B127" s="104"/>
      <c r="C127" s="104" t="s">
        <v>571</v>
      </c>
      <c r="D127" s="105" t="s">
        <v>542</v>
      </c>
      <c r="E127" s="374"/>
      <c r="F127" s="222" t="s">
        <v>116</v>
      </c>
      <c r="G127" s="223" t="s">
        <v>1443</v>
      </c>
      <c r="H127" s="224" t="str">
        <f t="shared" si="4"/>
        <v>D</v>
      </c>
      <c r="I127" s="225" t="str">
        <f t="shared" si="5"/>
        <v>XLU</v>
      </c>
      <c r="J127" s="226" t="str">
        <f t="shared" si="6"/>
        <v>公用事業—受監督的電力</v>
      </c>
      <c r="K127" s="227" t="str">
        <f t="shared" si="7"/>
        <v>.SPX</v>
      </c>
      <c r="L127" s="228">
        <v>0.18029999999999999</v>
      </c>
      <c r="M127" s="229">
        <v>76.08</v>
      </c>
      <c r="N127" s="228">
        <v>0.39750000000000002</v>
      </c>
      <c r="O127" s="228">
        <v>0.13109999999999999</v>
      </c>
      <c r="P127" s="228">
        <v>0.29849999999999999</v>
      </c>
      <c r="Q127" s="230">
        <v>0.15460000000000002</v>
      </c>
      <c r="R127" s="231">
        <v>44350</v>
      </c>
      <c r="S127" s="232">
        <v>76.709999084472599</v>
      </c>
      <c r="T127" s="233">
        <v>0.63</v>
      </c>
      <c r="U127" s="234">
        <v>42613</v>
      </c>
      <c r="V127" s="232">
        <v>60.698127746582003</v>
      </c>
      <c r="W127" s="235">
        <v>0.7</v>
      </c>
    </row>
    <row r="128" spans="1:23" ht="15.75" customHeight="1" thickBot="1">
      <c r="A128" s="103" t="s">
        <v>553</v>
      </c>
      <c r="B128" s="104"/>
      <c r="C128" s="104" t="s">
        <v>574</v>
      </c>
      <c r="D128" s="105" t="s">
        <v>542</v>
      </c>
      <c r="E128" s="374"/>
      <c r="F128" s="222" t="s">
        <v>355</v>
      </c>
      <c r="G128" s="223" t="s">
        <v>1431</v>
      </c>
      <c r="H128" s="224" t="str">
        <f t="shared" si="4"/>
        <v>DAL</v>
      </c>
      <c r="I128" s="225" t="str">
        <f t="shared" si="5"/>
        <v>XLI</v>
      </c>
      <c r="J128" s="226" t="str">
        <f t="shared" si="6"/>
        <v>航空公司</v>
      </c>
      <c r="K128" s="227" t="str">
        <f t="shared" si="7"/>
        <v>.SPX</v>
      </c>
      <c r="L128" s="228">
        <v>0.39069999999999999</v>
      </c>
      <c r="M128" s="229">
        <v>39.99</v>
      </c>
      <c r="N128" s="228">
        <v>0.69920000000000004</v>
      </c>
      <c r="O128" s="228">
        <v>0.2155</v>
      </c>
      <c r="P128" s="228">
        <v>0.77810000000000001</v>
      </c>
      <c r="Q128" s="230">
        <v>0.30530000000000002</v>
      </c>
      <c r="R128" s="231">
        <v>43880</v>
      </c>
      <c r="S128" s="232">
        <v>58.509998321533203</v>
      </c>
      <c r="T128" s="233">
        <v>0.40300000000000002</v>
      </c>
      <c r="U128" s="234">
        <v>42592</v>
      </c>
      <c r="V128" s="232">
        <v>33.549381256103501</v>
      </c>
      <c r="W128" s="235">
        <v>0.20300000000000001</v>
      </c>
    </row>
    <row r="129" spans="1:23" ht="15.75" customHeight="1" thickBot="1">
      <c r="A129" s="102" t="s">
        <v>584</v>
      </c>
      <c r="B129" s="104"/>
      <c r="C129" s="104"/>
      <c r="D129" s="105" t="s">
        <v>542</v>
      </c>
      <c r="E129" s="374"/>
      <c r="F129" s="222" t="s">
        <v>465</v>
      </c>
      <c r="G129" s="223" t="s">
        <v>1449</v>
      </c>
      <c r="H129" s="224" t="str">
        <f t="shared" si="4"/>
        <v>DD</v>
      </c>
      <c r="I129" s="225" t="str">
        <f t="shared" si="5"/>
        <v>XLB</v>
      </c>
      <c r="J129" s="226" t="str">
        <f t="shared" si="6"/>
        <v>特種化學品</v>
      </c>
      <c r="K129" s="227" t="str">
        <f t="shared" si="7"/>
        <v>.SPX</v>
      </c>
      <c r="L129" s="228">
        <v>0.24610000000000001</v>
      </c>
      <c r="M129" s="229">
        <v>76.02</v>
      </c>
      <c r="N129" s="228">
        <v>0.49609999999999999</v>
      </c>
      <c r="O129" s="228">
        <v>0.1686</v>
      </c>
      <c r="P129" s="228">
        <v>0.53290000000000004</v>
      </c>
      <c r="Q129" s="230">
        <v>0.21640000000000001</v>
      </c>
      <c r="R129" s="231">
        <v>44406</v>
      </c>
      <c r="S129" s="232">
        <v>75.089996337890597</v>
      </c>
      <c r="T129" s="233">
        <v>0.3</v>
      </c>
      <c r="U129" s="234">
        <v>42641</v>
      </c>
      <c r="V129" s="232">
        <v>66.620346069335895</v>
      </c>
      <c r="W129" s="235">
        <v>0.65470399999999995</v>
      </c>
    </row>
    <row r="130" spans="1:23" ht="15.75" customHeight="1" thickBot="1">
      <c r="A130" s="103" t="s">
        <v>544</v>
      </c>
      <c r="B130" s="104"/>
      <c r="C130" s="104" t="s">
        <v>570</v>
      </c>
      <c r="D130" s="105" t="s">
        <v>542</v>
      </c>
      <c r="E130" s="374"/>
      <c r="F130" s="222" t="s">
        <v>493</v>
      </c>
      <c r="G130" s="223" t="s">
        <v>1478</v>
      </c>
      <c r="H130" s="224" t="str">
        <f t="shared" si="4"/>
        <v>DE</v>
      </c>
      <c r="I130" s="225" t="str">
        <f t="shared" si="5"/>
        <v>XLI</v>
      </c>
      <c r="J130" s="226" t="str">
        <f t="shared" si="6"/>
        <v>農重工程機械</v>
      </c>
      <c r="K130" s="227" t="str">
        <f t="shared" si="7"/>
        <v>.SPX</v>
      </c>
      <c r="L130" s="228">
        <v>0.29330000000000001</v>
      </c>
      <c r="M130" s="229">
        <v>364.32</v>
      </c>
      <c r="N130" s="228">
        <v>0.44669999999999999</v>
      </c>
      <c r="O130" s="228">
        <v>0.18</v>
      </c>
      <c r="P130" s="228">
        <v>0.43240000000000001</v>
      </c>
      <c r="Q130" s="230">
        <v>0.21609999999999999</v>
      </c>
      <c r="R130" s="231">
        <v>44376</v>
      </c>
      <c r="S130" s="232">
        <v>348.92999267578102</v>
      </c>
      <c r="T130" s="233">
        <v>0.9</v>
      </c>
      <c r="U130" s="234">
        <v>42641</v>
      </c>
      <c r="V130" s="232">
        <v>77.316764831542898</v>
      </c>
      <c r="W130" s="235">
        <v>0.6</v>
      </c>
    </row>
    <row r="131" spans="1:23" ht="15.75" customHeight="1" thickBot="1">
      <c r="A131" s="102" t="s">
        <v>641</v>
      </c>
      <c r="B131" s="104"/>
      <c r="C131" s="104"/>
      <c r="D131" s="105" t="s">
        <v>542</v>
      </c>
      <c r="E131" s="374"/>
      <c r="F131" s="222" t="s">
        <v>378</v>
      </c>
      <c r="G131" s="223" t="s">
        <v>1469</v>
      </c>
      <c r="H131" s="224" t="str">
        <f t="shared" si="4"/>
        <v>DFS</v>
      </c>
      <c r="I131" s="225" t="str">
        <f t="shared" si="5"/>
        <v>XLF</v>
      </c>
      <c r="J131" s="226" t="str">
        <f t="shared" si="6"/>
        <v>信貸服務</v>
      </c>
      <c r="K131" s="227" t="str">
        <f t="shared" si="7"/>
        <v>.SPX</v>
      </c>
      <c r="L131" s="228">
        <v>0.313</v>
      </c>
      <c r="M131" s="229">
        <v>127.1</v>
      </c>
      <c r="N131" s="228">
        <v>0.59209999999999996</v>
      </c>
      <c r="O131" s="228">
        <v>0.222</v>
      </c>
      <c r="P131" s="228">
        <v>0.58979999999999999</v>
      </c>
      <c r="Q131" s="230">
        <v>0.26910000000000001</v>
      </c>
      <c r="R131" s="231">
        <v>44335</v>
      </c>
      <c r="S131" s="232">
        <v>114.669998168945</v>
      </c>
      <c r="T131" s="233">
        <v>0.44</v>
      </c>
      <c r="U131" s="234">
        <v>42675</v>
      </c>
      <c r="V131" s="232">
        <v>50.645717620849602</v>
      </c>
      <c r="W131" s="235">
        <v>0.3</v>
      </c>
    </row>
    <row r="132" spans="1:23" ht="15.75" customHeight="1" thickBot="1">
      <c r="A132" s="102" t="s">
        <v>585</v>
      </c>
      <c r="B132" s="104"/>
      <c r="C132" s="104"/>
      <c r="D132" s="105" t="s">
        <v>542</v>
      </c>
      <c r="E132" s="374"/>
      <c r="F132" s="222" t="s">
        <v>183</v>
      </c>
      <c r="G132" s="223" t="s">
        <v>1488</v>
      </c>
      <c r="H132" s="224" t="str">
        <f t="shared" ref="H132:H195" si="8">IF(F132="","",F132)</f>
        <v>DG</v>
      </c>
      <c r="I132" s="225" t="str">
        <f t="shared" ref="I132:I195" si="9">IFERROR(INDEX($X$3:$AH$3,IF(IFERROR(MATCH(H132,X:X,0),0)&lt;&gt;0,1,IF(IFERROR(MATCH(H132,Y:Y,0),0)&lt;&gt;0,2,IF(IFERROR(MATCH(H132,Z:Z,0),0)&lt;&gt;0,3,IF(IFERROR(MATCH(H132,AA:AA,0),0)&lt;&gt;0,4,IF(IFERROR(MATCH(H132,AB:AB,0),0)&lt;&gt;0,5,IF(IFERROR(MATCH(H132,AC:AC,0),0)&lt;&gt;0,6,IF(IFERROR(MATCH(H132,AD:AD,0),0)&lt;&gt;0,7,IF(IFERROR(MATCH(H132,AE:AE,0),0)&lt;&gt;0,8,IF(IFERROR(MATCH(H132,AF:AF,0),0)&lt;&gt;0,9,IF(IFERROR(MATCH(H132,AG:AG,0),0)&lt;&gt;0,10,IF(IFERROR(MATCH(H132,AH:AH,0),0)&lt;&gt;0,11,"Z")))))))))))),"")</f>
        <v>XLY</v>
      </c>
      <c r="J132" s="226" t="str">
        <f t="shared" ref="J132:J195" si="10">IF(G132="","",G132)</f>
        <v>折扣店</v>
      </c>
      <c r="K132" s="227" t="str">
        <f t="shared" si="7"/>
        <v>.SPX</v>
      </c>
      <c r="L132" s="228">
        <v>0.24709999999999999</v>
      </c>
      <c r="M132" s="229">
        <v>235.81</v>
      </c>
      <c r="N132" s="228">
        <v>0.34320000000000001</v>
      </c>
      <c r="O132" s="228">
        <v>0.1047</v>
      </c>
      <c r="P132" s="228">
        <v>0.36329999999999996</v>
      </c>
      <c r="Q132" s="230">
        <v>0.15759999999999999</v>
      </c>
      <c r="R132" s="231">
        <v>44379</v>
      </c>
      <c r="S132" s="232">
        <v>218.52999877929599</v>
      </c>
      <c r="T132" s="233">
        <v>0.42</v>
      </c>
      <c r="U132" s="234">
        <v>42625</v>
      </c>
      <c r="V132" s="232">
        <v>68.366477966308594</v>
      </c>
      <c r="W132" s="235">
        <v>0.25</v>
      </c>
    </row>
    <row r="133" spans="1:23" ht="15.75" customHeight="1" thickBot="1">
      <c r="A133" s="102" t="s">
        <v>640</v>
      </c>
      <c r="B133" s="104"/>
      <c r="C133" s="104"/>
      <c r="D133" s="105" t="s">
        <v>542</v>
      </c>
      <c r="E133" s="374"/>
      <c r="F133" s="222" t="s">
        <v>215</v>
      </c>
      <c r="G133" s="223" t="s">
        <v>1430</v>
      </c>
      <c r="H133" s="224" t="str">
        <f t="shared" si="8"/>
        <v>DGX</v>
      </c>
      <c r="I133" s="225" t="str">
        <f t="shared" si="9"/>
        <v>XLV</v>
      </c>
      <c r="J133" s="226" t="str">
        <f t="shared" si="10"/>
        <v>診斷與研究</v>
      </c>
      <c r="K133" s="227" t="str">
        <f t="shared" ref="K133:K196" si="11">IF(H133="","",".SPX")</f>
        <v>.SPX</v>
      </c>
      <c r="L133" s="228">
        <v>0.20669999999999999</v>
      </c>
      <c r="M133" s="229">
        <v>147.38</v>
      </c>
      <c r="N133" s="228">
        <v>0.34079999999999999</v>
      </c>
      <c r="O133" s="228">
        <v>0.10639999999999999</v>
      </c>
      <c r="P133" s="228">
        <v>0.38689999999999997</v>
      </c>
      <c r="Q133" s="230">
        <v>0.18059999999999998</v>
      </c>
      <c r="R133" s="231">
        <v>44383</v>
      </c>
      <c r="S133" s="232">
        <v>133.46000671386699</v>
      </c>
      <c r="T133" s="233">
        <v>0.62</v>
      </c>
      <c r="U133" s="234">
        <v>42643</v>
      </c>
      <c r="V133" s="232">
        <v>76.903854370117102</v>
      </c>
      <c r="W133" s="235">
        <v>0.4</v>
      </c>
    </row>
    <row r="134" spans="1:23" ht="15.75" customHeight="1" thickBot="1">
      <c r="A134" s="102" t="s">
        <v>642</v>
      </c>
      <c r="B134" s="104"/>
      <c r="C134" s="104"/>
      <c r="D134" s="105" t="s">
        <v>542</v>
      </c>
      <c r="E134" s="374"/>
      <c r="F134" s="222" t="s">
        <v>510</v>
      </c>
      <c r="G134" s="223" t="s">
        <v>1495</v>
      </c>
      <c r="H134" s="224" t="str">
        <f t="shared" si="8"/>
        <v>DHI</v>
      </c>
      <c r="I134" s="225" t="str">
        <f t="shared" si="9"/>
        <v>XLY</v>
      </c>
      <c r="J134" s="226" t="str">
        <f t="shared" si="10"/>
        <v>住宅建設</v>
      </c>
      <c r="K134" s="227" t="str">
        <f t="shared" si="11"/>
        <v>.SPX</v>
      </c>
      <c r="L134" s="228">
        <v>0.30840000000000001</v>
      </c>
      <c r="M134" s="229">
        <v>96.34</v>
      </c>
      <c r="N134" s="228">
        <v>0.57150000000000001</v>
      </c>
      <c r="O134" s="228">
        <v>0.2114</v>
      </c>
      <c r="P134" s="228">
        <v>0.53210000000000002</v>
      </c>
      <c r="Q134" s="230">
        <v>0.2868</v>
      </c>
      <c r="R134" s="231">
        <v>44323</v>
      </c>
      <c r="S134" s="232">
        <v>103.870002746582</v>
      </c>
      <c r="T134" s="233">
        <v>0.2</v>
      </c>
      <c r="U134" s="234">
        <v>42697</v>
      </c>
      <c r="V134" s="232">
        <v>27.282365798950099</v>
      </c>
      <c r="W134" s="235">
        <v>0.1</v>
      </c>
    </row>
    <row r="135" spans="1:23" ht="15.75" customHeight="1" thickBot="1">
      <c r="A135" s="103" t="s">
        <v>552</v>
      </c>
      <c r="B135" s="104"/>
      <c r="C135" s="104" t="s">
        <v>569</v>
      </c>
      <c r="D135" s="105" t="s">
        <v>542</v>
      </c>
      <c r="E135" s="374"/>
      <c r="F135" s="222" t="s">
        <v>51</v>
      </c>
      <c r="G135" s="223" t="s">
        <v>1430</v>
      </c>
      <c r="H135" s="224" t="str">
        <f t="shared" si="8"/>
        <v>DHR</v>
      </c>
      <c r="I135" s="225" t="str">
        <f t="shared" si="9"/>
        <v>XLV</v>
      </c>
      <c r="J135" s="226" t="str">
        <f t="shared" si="10"/>
        <v>診斷與研究</v>
      </c>
      <c r="K135" s="227" t="str">
        <f t="shared" si="11"/>
        <v>.SPX</v>
      </c>
      <c r="L135" s="228">
        <v>0.215</v>
      </c>
      <c r="M135" s="229">
        <v>307.14</v>
      </c>
      <c r="N135" s="228">
        <v>0.3286</v>
      </c>
      <c r="O135" s="228">
        <v>0.1618</v>
      </c>
      <c r="P135" s="228">
        <v>0.37740000000000001</v>
      </c>
      <c r="Q135" s="230">
        <v>0.20620000000000002</v>
      </c>
      <c r="R135" s="231">
        <v>44371</v>
      </c>
      <c r="S135" s="232">
        <v>267.350006103515</v>
      </c>
      <c r="T135" s="233">
        <v>0.21</v>
      </c>
      <c r="U135" s="234">
        <v>42641</v>
      </c>
      <c r="V135" s="232">
        <v>75.699478149414006</v>
      </c>
      <c r="W135" s="235">
        <v>0.125</v>
      </c>
    </row>
    <row r="136" spans="1:23" ht="15.75" customHeight="1" thickBot="1">
      <c r="A136" s="102" t="s">
        <v>578</v>
      </c>
      <c r="B136" s="104"/>
      <c r="C136" s="104"/>
      <c r="D136" s="105" t="s">
        <v>576</v>
      </c>
      <c r="E136" s="374"/>
      <c r="F136" s="222" t="s">
        <v>254</v>
      </c>
      <c r="G136" s="223" t="s">
        <v>1485</v>
      </c>
      <c r="H136" s="224" t="str">
        <f t="shared" si="8"/>
        <v>DIS</v>
      </c>
      <c r="I136" s="225" t="str">
        <f t="shared" si="9"/>
        <v>XLC</v>
      </c>
      <c r="J136" s="226" t="str">
        <f t="shared" si="10"/>
        <v>娛樂</v>
      </c>
      <c r="K136" s="227" t="str">
        <f t="shared" si="11"/>
        <v>.SPX</v>
      </c>
      <c r="L136" s="228">
        <v>0.2132</v>
      </c>
      <c r="M136" s="229">
        <v>183.34</v>
      </c>
      <c r="N136" s="228">
        <v>0.56059999999999999</v>
      </c>
      <c r="O136" s="228">
        <v>0.13139999999999999</v>
      </c>
      <c r="P136" s="228">
        <v>0.46380000000000005</v>
      </c>
      <c r="Q136" s="230">
        <v>0.20230000000000001</v>
      </c>
      <c r="R136" s="231">
        <v>43812</v>
      </c>
      <c r="S136" s="232">
        <v>146.38000488281199</v>
      </c>
      <c r="T136" s="233">
        <v>0.88</v>
      </c>
      <c r="U136" s="234">
        <v>42712</v>
      </c>
      <c r="V136" s="232">
        <v>98.998779296875</v>
      </c>
      <c r="W136" s="235">
        <v>0.78</v>
      </c>
    </row>
    <row r="137" spans="1:23" ht="15.75" customHeight="1" thickBot="1">
      <c r="A137" s="102" t="s">
        <v>579</v>
      </c>
      <c r="B137" s="104"/>
      <c r="C137" s="104"/>
      <c r="D137" s="105" t="s">
        <v>576</v>
      </c>
      <c r="E137" s="374"/>
      <c r="F137" s="222" t="s">
        <v>443</v>
      </c>
      <c r="G137" s="223" t="s">
        <v>1485</v>
      </c>
      <c r="H137" s="224" t="str">
        <f t="shared" si="8"/>
        <v>DISCA</v>
      </c>
      <c r="I137" s="225" t="str">
        <f t="shared" si="9"/>
        <v>XLC</v>
      </c>
      <c r="J137" s="226" t="str">
        <f t="shared" si="10"/>
        <v>娛樂</v>
      </c>
      <c r="K137" s="227" t="str">
        <f t="shared" si="11"/>
        <v>.SPX</v>
      </c>
      <c r="L137" s="228">
        <v>0.47189999999999999</v>
      </c>
      <c r="M137" s="229">
        <v>29.2</v>
      </c>
      <c r="N137" s="228">
        <v>1.2318</v>
      </c>
      <c r="O137" s="228">
        <v>0.27550000000000002</v>
      </c>
      <c r="P137" s="228">
        <v>1.1264000000000001</v>
      </c>
      <c r="Q137" s="230">
        <v>0.38469999999999999</v>
      </c>
      <c r="R137" s="231">
        <v>0</v>
      </c>
      <c r="S137" s="232">
        <v>0</v>
      </c>
      <c r="T137" s="233">
        <v>0</v>
      </c>
      <c r="U137" s="234">
        <v>0</v>
      </c>
      <c r="V137" s="232">
        <v>0</v>
      </c>
      <c r="W137" s="235">
        <v>0</v>
      </c>
    </row>
    <row r="138" spans="1:23" ht="15.75" customHeight="1" thickBot="1">
      <c r="A138" s="102" t="s">
        <v>577</v>
      </c>
      <c r="B138" s="104"/>
      <c r="C138" s="104"/>
      <c r="D138" s="105" t="s">
        <v>576</v>
      </c>
      <c r="E138" s="374"/>
      <c r="F138" s="222" t="s">
        <v>414</v>
      </c>
      <c r="G138" s="223" t="s">
        <v>1485</v>
      </c>
      <c r="H138" s="224" t="str">
        <f t="shared" si="8"/>
        <v>DISCK</v>
      </c>
      <c r="I138" s="225" t="str">
        <f t="shared" si="9"/>
        <v>XLC</v>
      </c>
      <c r="J138" s="226" t="str">
        <f t="shared" si="10"/>
        <v>娛樂</v>
      </c>
      <c r="K138" s="227" t="str">
        <f t="shared" si="11"/>
        <v>.SPX</v>
      </c>
      <c r="L138" s="228">
        <v>0.4768</v>
      </c>
      <c r="M138" s="229">
        <v>27.49</v>
      </c>
      <c r="N138" s="228">
        <v>1.2491000000000001</v>
      </c>
      <c r="O138" s="228">
        <v>0.2792</v>
      </c>
      <c r="P138" s="228">
        <v>1.0965</v>
      </c>
      <c r="Q138" s="230">
        <v>0.36469999999999997</v>
      </c>
      <c r="R138" s="231">
        <v>0</v>
      </c>
      <c r="S138" s="232">
        <v>0</v>
      </c>
      <c r="T138" s="233">
        <v>0</v>
      </c>
      <c r="U138" s="234">
        <v>0</v>
      </c>
      <c r="V138" s="232">
        <v>0</v>
      </c>
      <c r="W138" s="235">
        <v>0</v>
      </c>
    </row>
    <row r="139" spans="1:23" ht="15.75" customHeight="1" thickBot="1">
      <c r="A139" s="102" t="s">
        <v>857</v>
      </c>
      <c r="B139" s="104"/>
      <c r="C139" s="104"/>
      <c r="D139" s="105" t="s">
        <v>859</v>
      </c>
      <c r="E139" s="374"/>
      <c r="F139" s="222" t="s">
        <v>399</v>
      </c>
      <c r="G139" s="223" t="s">
        <v>1485</v>
      </c>
      <c r="H139" s="224" t="str">
        <f t="shared" si="8"/>
        <v>DISH</v>
      </c>
      <c r="I139" s="225" t="str">
        <f t="shared" si="9"/>
        <v>XLC</v>
      </c>
      <c r="J139" s="226" t="str">
        <f t="shared" si="10"/>
        <v>娛樂</v>
      </c>
      <c r="K139" s="227" t="str">
        <f t="shared" si="11"/>
        <v>.SPX</v>
      </c>
      <c r="L139" s="228">
        <v>0.43</v>
      </c>
      <c r="M139" s="229">
        <v>41.84</v>
      </c>
      <c r="N139" s="228">
        <v>0.55489999999999995</v>
      </c>
      <c r="O139" s="228">
        <v>0.2631</v>
      </c>
      <c r="P139" s="228">
        <v>0.81400000000000006</v>
      </c>
      <c r="Q139" s="230">
        <v>0.35189999999999999</v>
      </c>
      <c r="R139" s="231">
        <v>0</v>
      </c>
      <c r="S139" s="232">
        <v>0</v>
      </c>
      <c r="T139" s="233">
        <v>0</v>
      </c>
      <c r="U139" s="234">
        <v>0</v>
      </c>
      <c r="V139" s="232">
        <v>0</v>
      </c>
      <c r="W139" s="235">
        <v>0</v>
      </c>
    </row>
    <row r="140" spans="1:23" ht="15.75" customHeight="1" thickBot="1">
      <c r="A140" s="102" t="s">
        <v>856</v>
      </c>
      <c r="B140" s="104"/>
      <c r="C140" s="104"/>
      <c r="D140" s="105" t="s">
        <v>859</v>
      </c>
      <c r="E140" s="374"/>
      <c r="F140" s="222" t="s">
        <v>71</v>
      </c>
      <c r="G140" s="223" t="s">
        <v>1464</v>
      </c>
      <c r="H140" s="224" t="str">
        <f t="shared" si="8"/>
        <v>DLR</v>
      </c>
      <c r="I140" s="225" t="str">
        <f t="shared" si="9"/>
        <v>XLRE</v>
      </c>
      <c r="J140" s="226" t="str">
        <f t="shared" si="10"/>
        <v>REIT-辦公室</v>
      </c>
      <c r="K140" s="227" t="str">
        <f t="shared" si="11"/>
        <v>.SPX</v>
      </c>
      <c r="L140" s="228">
        <v>0.20469999999999999</v>
      </c>
      <c r="M140" s="229">
        <v>156.35</v>
      </c>
      <c r="N140" s="228">
        <v>0.33929999999999999</v>
      </c>
      <c r="O140" s="228">
        <v>0.15740000000000001</v>
      </c>
      <c r="P140" s="228">
        <v>0.37209999999999999</v>
      </c>
      <c r="Q140" s="230">
        <v>0.18030000000000002</v>
      </c>
      <c r="R140" s="231">
        <v>44361</v>
      </c>
      <c r="S140" s="232">
        <v>162.33000183105401</v>
      </c>
      <c r="T140" s="233">
        <v>1.1599999999999999</v>
      </c>
      <c r="U140" s="234">
        <v>42626</v>
      </c>
      <c r="V140" s="232">
        <v>79.047782897949205</v>
      </c>
      <c r="W140" s="235">
        <v>0.88</v>
      </c>
    </row>
    <row r="141" spans="1:23" ht="15.75" customHeight="1" thickBot="1">
      <c r="A141" s="102" t="s">
        <v>858</v>
      </c>
      <c r="B141" s="104"/>
      <c r="C141" s="104"/>
      <c r="D141" s="105" t="s">
        <v>859</v>
      </c>
      <c r="E141" s="374"/>
      <c r="F141" s="222" t="s">
        <v>160</v>
      </c>
      <c r="G141" s="223" t="s">
        <v>1488</v>
      </c>
      <c r="H141" s="224" t="str">
        <f t="shared" si="8"/>
        <v>DLTR</v>
      </c>
      <c r="I141" s="225" t="str">
        <f t="shared" si="9"/>
        <v>XLY</v>
      </c>
      <c r="J141" s="226" t="str">
        <f t="shared" si="10"/>
        <v>折扣店</v>
      </c>
      <c r="K141" s="227" t="str">
        <f t="shared" si="11"/>
        <v>.SPX</v>
      </c>
      <c r="L141" s="228">
        <v>0.32869999999999999</v>
      </c>
      <c r="M141" s="229">
        <v>98.94</v>
      </c>
      <c r="N141" s="228">
        <v>0.46879999999999999</v>
      </c>
      <c r="O141" s="228">
        <v>0.12130000000000001</v>
      </c>
      <c r="P141" s="228">
        <v>0.45990000000000003</v>
      </c>
      <c r="Q141" s="230">
        <v>0.2014</v>
      </c>
      <c r="R141" s="231">
        <v>0</v>
      </c>
      <c r="S141" s="232">
        <v>0</v>
      </c>
      <c r="T141" s="233">
        <v>0</v>
      </c>
      <c r="U141" s="234">
        <v>0</v>
      </c>
      <c r="V141" s="232">
        <v>0</v>
      </c>
      <c r="W141" s="235">
        <v>0</v>
      </c>
    </row>
    <row r="142" spans="1:23" ht="15.75" customHeight="1" thickBot="1">
      <c r="A142" s="102" t="s">
        <v>855</v>
      </c>
      <c r="B142" s="104"/>
      <c r="C142" s="104"/>
      <c r="D142" s="105" t="s">
        <v>859</v>
      </c>
      <c r="E142" s="374"/>
      <c r="F142" s="222" t="s">
        <v>332</v>
      </c>
      <c r="G142" s="223" t="s">
        <v>1454</v>
      </c>
      <c r="H142" s="224" t="str">
        <f t="shared" si="8"/>
        <v>DOV</v>
      </c>
      <c r="I142" s="225" t="str">
        <f t="shared" si="9"/>
        <v>XLI</v>
      </c>
      <c r="J142" s="226" t="str">
        <f t="shared" si="10"/>
        <v>特種工業機械</v>
      </c>
      <c r="K142" s="227" t="str">
        <f t="shared" si="11"/>
        <v>.SPX</v>
      </c>
      <c r="L142" s="228">
        <v>0.18509999999999999</v>
      </c>
      <c r="M142" s="229">
        <v>169.19</v>
      </c>
      <c r="N142" s="228">
        <v>0.27310000000000001</v>
      </c>
      <c r="O142" s="228">
        <v>0.156</v>
      </c>
      <c r="P142" s="228">
        <v>0.44040000000000001</v>
      </c>
      <c r="Q142" s="230">
        <v>0.18510000000000001</v>
      </c>
      <c r="R142" s="231">
        <v>44343</v>
      </c>
      <c r="S142" s="232">
        <v>150.25</v>
      </c>
      <c r="T142" s="233">
        <v>0.495</v>
      </c>
      <c r="U142" s="234">
        <v>42611</v>
      </c>
      <c r="V142" s="232">
        <v>54.132671356201101</v>
      </c>
      <c r="W142" s="235">
        <v>0.35541200000000001</v>
      </c>
    </row>
    <row r="143" spans="1:23" ht="15.75" customHeight="1" thickBot="1">
      <c r="A143" s="102" t="s">
        <v>853</v>
      </c>
      <c r="B143" s="104"/>
      <c r="C143" s="104"/>
      <c r="D143" s="105" t="s">
        <v>859</v>
      </c>
      <c r="E143" s="374"/>
      <c r="F143" s="222" t="s">
        <v>432</v>
      </c>
      <c r="G143" s="223" t="s">
        <v>1461</v>
      </c>
      <c r="H143" s="224" t="str">
        <f t="shared" si="8"/>
        <v>DOW</v>
      </c>
      <c r="I143" s="225" t="str">
        <f t="shared" si="9"/>
        <v>XLB</v>
      </c>
      <c r="J143" s="226" t="str">
        <f t="shared" si="10"/>
        <v>化學品</v>
      </c>
      <c r="K143" s="227" t="str">
        <f t="shared" si="11"/>
        <v>.SPX</v>
      </c>
      <c r="L143" s="228">
        <v>0.27579999999999999</v>
      </c>
      <c r="M143" s="229">
        <v>61</v>
      </c>
      <c r="N143" s="228">
        <v>0.48280000000000001</v>
      </c>
      <c r="O143" s="228">
        <v>0.21379999999999999</v>
      </c>
      <c r="P143" s="228">
        <v>0.49130000000000001</v>
      </c>
      <c r="Q143" s="230">
        <v>0.25090000000000001</v>
      </c>
      <c r="R143" s="231">
        <v>44343</v>
      </c>
      <c r="S143" s="232">
        <v>68.660003662109304</v>
      </c>
      <c r="T143" s="233">
        <v>0.7</v>
      </c>
      <c r="U143" s="234">
        <v>43615</v>
      </c>
      <c r="V143" s="232">
        <v>43.3178901672363</v>
      </c>
      <c r="W143" s="235">
        <v>0.7</v>
      </c>
    </row>
    <row r="144" spans="1:23" ht="15.75" customHeight="1" thickBot="1">
      <c r="A144" s="102" t="s">
        <v>854</v>
      </c>
      <c r="B144" s="104"/>
      <c r="C144" s="104"/>
      <c r="D144" s="105" t="s">
        <v>859</v>
      </c>
      <c r="E144" s="374"/>
      <c r="F144" s="222" t="s">
        <v>112</v>
      </c>
      <c r="G144" s="223" t="s">
        <v>1487</v>
      </c>
      <c r="H144" s="224" t="str">
        <f t="shared" si="8"/>
        <v>DPZ</v>
      </c>
      <c r="I144" s="225" t="str">
        <f t="shared" si="9"/>
        <v>XLY</v>
      </c>
      <c r="J144" s="226" t="str">
        <f t="shared" si="10"/>
        <v>飯館</v>
      </c>
      <c r="K144" s="227" t="str">
        <f t="shared" si="11"/>
        <v>.SPX</v>
      </c>
      <c r="L144" s="228">
        <v>0.22020000000000001</v>
      </c>
      <c r="M144" s="229">
        <v>535.48</v>
      </c>
      <c r="N144" s="228">
        <v>0.42620000000000002</v>
      </c>
      <c r="O144" s="228">
        <v>0.12670000000000001</v>
      </c>
      <c r="P144" s="228">
        <v>0.48359999999999997</v>
      </c>
      <c r="Q144" s="230">
        <v>0.19539999999999999</v>
      </c>
      <c r="R144" s="231">
        <v>44361</v>
      </c>
      <c r="S144" s="232">
        <v>448.16000366210898</v>
      </c>
      <c r="T144" s="233">
        <v>0.94</v>
      </c>
      <c r="U144" s="234">
        <v>42626</v>
      </c>
      <c r="V144" s="232">
        <v>143.283203125</v>
      </c>
      <c r="W144" s="235">
        <v>0.38</v>
      </c>
    </row>
    <row r="145" spans="1:23" ht="15.75" customHeight="1" thickBot="1">
      <c r="A145" s="102" t="s">
        <v>852</v>
      </c>
      <c r="B145" s="104"/>
      <c r="C145" s="104"/>
      <c r="D145" s="105" t="s">
        <v>859</v>
      </c>
      <c r="E145" s="374"/>
      <c r="F145" s="222" t="s">
        <v>78</v>
      </c>
      <c r="G145" s="223" t="s">
        <v>1496</v>
      </c>
      <c r="H145" s="224" t="str">
        <f t="shared" si="8"/>
        <v>DRE</v>
      </c>
      <c r="I145" s="225" t="str">
        <f t="shared" si="9"/>
        <v>XLRE</v>
      </c>
      <c r="J145" s="226" t="str">
        <f t="shared" si="10"/>
        <v>REIT-工業</v>
      </c>
      <c r="K145" s="227" t="str">
        <f t="shared" si="11"/>
        <v>.SPX</v>
      </c>
      <c r="L145" s="228">
        <v>0.19819999999999999</v>
      </c>
      <c r="M145" s="229">
        <v>50.98</v>
      </c>
      <c r="N145" s="228">
        <v>0.29570000000000002</v>
      </c>
      <c r="O145" s="228">
        <v>0.13250000000000001</v>
      </c>
      <c r="P145" s="228">
        <v>0.59689999999999999</v>
      </c>
      <c r="Q145" s="230">
        <v>0.14660000000000001</v>
      </c>
      <c r="R145" s="231">
        <v>44329</v>
      </c>
      <c r="S145" s="232">
        <v>44.560001373291001</v>
      </c>
      <c r="T145" s="233">
        <v>0.255</v>
      </c>
      <c r="U145" s="234">
        <v>42594</v>
      </c>
      <c r="V145" s="232">
        <v>23.977800369262599</v>
      </c>
      <c r="W145" s="235">
        <v>0.18</v>
      </c>
    </row>
    <row r="146" spans="1:23" ht="15.75" customHeight="1" thickBot="1">
      <c r="A146" s="102" t="s">
        <v>851</v>
      </c>
      <c r="B146" s="104"/>
      <c r="C146" s="104"/>
      <c r="D146" s="105" t="s">
        <v>859</v>
      </c>
      <c r="E146" s="374"/>
      <c r="F146" s="222" t="s">
        <v>436</v>
      </c>
      <c r="G146" s="223" t="s">
        <v>1487</v>
      </c>
      <c r="H146" s="224" t="str">
        <f t="shared" si="8"/>
        <v>DRI</v>
      </c>
      <c r="I146" s="225" t="str">
        <f t="shared" si="9"/>
        <v>XLY</v>
      </c>
      <c r="J146" s="226" t="str">
        <f t="shared" si="10"/>
        <v>飯館</v>
      </c>
      <c r="K146" s="227" t="str">
        <f t="shared" si="11"/>
        <v>.SPX</v>
      </c>
      <c r="L146" s="228">
        <v>0.30299999999999999</v>
      </c>
      <c r="M146" s="229">
        <v>144.47</v>
      </c>
      <c r="N146" s="228">
        <v>0.66090000000000004</v>
      </c>
      <c r="O146" s="228">
        <v>0.18909999999999999</v>
      </c>
      <c r="P146" s="228">
        <v>0.61419999999999997</v>
      </c>
      <c r="Q146" s="230">
        <v>0.25440000000000002</v>
      </c>
      <c r="R146" s="231">
        <v>44385</v>
      </c>
      <c r="S146" s="232">
        <v>143.94999694824199</v>
      </c>
      <c r="T146" s="233">
        <v>1.1000000000000001</v>
      </c>
      <c r="U146" s="234">
        <v>42648</v>
      </c>
      <c r="V146" s="232">
        <v>55.014671325683501</v>
      </c>
      <c r="W146" s="235">
        <v>0.56000000000000005</v>
      </c>
    </row>
    <row r="147" spans="1:23" ht="15.75" customHeight="1" thickBot="1">
      <c r="A147" s="102" t="s">
        <v>850</v>
      </c>
      <c r="B147" s="104"/>
      <c r="C147" s="104"/>
      <c r="D147" s="105" t="s">
        <v>859</v>
      </c>
      <c r="E147" s="374"/>
      <c r="F147" s="222" t="s">
        <v>364</v>
      </c>
      <c r="G147" s="223" t="s">
        <v>1443</v>
      </c>
      <c r="H147" s="224" t="str">
        <f t="shared" si="8"/>
        <v>DTE</v>
      </c>
      <c r="I147" s="225" t="str">
        <f t="shared" si="9"/>
        <v>XLU</v>
      </c>
      <c r="J147" s="226" t="str">
        <f t="shared" si="10"/>
        <v>公用事業—受監督的電力</v>
      </c>
      <c r="K147" s="227" t="str">
        <f t="shared" si="11"/>
        <v>.SPX</v>
      </c>
      <c r="L147" s="228">
        <v>0.18479999999999999</v>
      </c>
      <c r="M147" s="229">
        <v>119.85</v>
      </c>
      <c r="N147" s="228">
        <v>0.33379999999999999</v>
      </c>
      <c r="O147" s="228">
        <v>0.1265</v>
      </c>
      <c r="P147" s="228">
        <v>0.3906</v>
      </c>
      <c r="Q147" s="230">
        <v>0.16170000000000001</v>
      </c>
      <c r="R147" s="231">
        <v>44378</v>
      </c>
      <c r="S147" s="232">
        <v>111.879997253417</v>
      </c>
      <c r="T147" s="233">
        <v>0</v>
      </c>
      <c r="U147" s="234">
        <v>42628</v>
      </c>
      <c r="V147" s="232">
        <v>67.051719665527301</v>
      </c>
      <c r="W147" s="235">
        <v>0.65531899999999998</v>
      </c>
    </row>
    <row r="148" spans="1:23" ht="15.75" customHeight="1" thickBot="1">
      <c r="A148" s="102" t="s">
        <v>849</v>
      </c>
      <c r="B148" s="104"/>
      <c r="C148" s="104"/>
      <c r="D148" s="105" t="s">
        <v>859</v>
      </c>
      <c r="E148" s="374"/>
      <c r="F148" s="222" t="s">
        <v>251</v>
      </c>
      <c r="G148" s="223" t="s">
        <v>1443</v>
      </c>
      <c r="H148" s="224" t="str">
        <f t="shared" si="8"/>
        <v>DUK</v>
      </c>
      <c r="I148" s="225" t="str">
        <f t="shared" si="9"/>
        <v>XLU</v>
      </c>
      <c r="J148" s="226" t="str">
        <f t="shared" si="10"/>
        <v>公用事業—受監督的電力</v>
      </c>
      <c r="K148" s="227" t="str">
        <f t="shared" si="11"/>
        <v>.SPX</v>
      </c>
      <c r="L148" s="228">
        <v>0.16619999999999999</v>
      </c>
      <c r="M148" s="229">
        <v>107.81</v>
      </c>
      <c r="N148" s="228">
        <v>0.27610000000000001</v>
      </c>
      <c r="O148" s="228">
        <v>0.1096</v>
      </c>
      <c r="P148" s="228">
        <v>0.30640000000000001</v>
      </c>
      <c r="Q148" s="230">
        <v>0.1527</v>
      </c>
      <c r="R148" s="231">
        <v>44329</v>
      </c>
      <c r="S148" s="232">
        <v>103</v>
      </c>
      <c r="T148" s="233">
        <v>0.96499999999999997</v>
      </c>
      <c r="U148" s="234">
        <v>42592</v>
      </c>
      <c r="V148" s="232">
        <v>68.328384399414006</v>
      </c>
      <c r="W148" s="235">
        <v>0.85499999999999998</v>
      </c>
    </row>
    <row r="149" spans="1:23" ht="15.75" customHeight="1" thickBot="1">
      <c r="A149" s="102" t="s">
        <v>848</v>
      </c>
      <c r="B149" s="104"/>
      <c r="C149" s="104"/>
      <c r="D149" s="105" t="s">
        <v>859</v>
      </c>
      <c r="E149" s="374"/>
      <c r="F149" s="222" t="s">
        <v>126</v>
      </c>
      <c r="G149" s="223" t="s">
        <v>1497</v>
      </c>
      <c r="H149" s="224" t="str">
        <f t="shared" si="8"/>
        <v>DVA</v>
      </c>
      <c r="I149" s="225" t="str">
        <f t="shared" si="9"/>
        <v>XLV</v>
      </c>
      <c r="J149" s="226" t="str">
        <f t="shared" si="10"/>
        <v>醫療設施</v>
      </c>
      <c r="K149" s="227" t="str">
        <f t="shared" si="11"/>
        <v>.SPX</v>
      </c>
      <c r="L149" s="228">
        <v>0.2515</v>
      </c>
      <c r="M149" s="229">
        <v>130.13</v>
      </c>
      <c r="N149" s="228">
        <v>0.35809999999999997</v>
      </c>
      <c r="O149" s="228">
        <v>0.156</v>
      </c>
      <c r="P149" s="228">
        <v>0.52890000000000004</v>
      </c>
      <c r="Q149" s="230">
        <v>0.222</v>
      </c>
      <c r="R149" s="231">
        <v>0</v>
      </c>
      <c r="S149" s="232">
        <v>0</v>
      </c>
      <c r="T149" s="233">
        <v>0</v>
      </c>
      <c r="U149" s="234">
        <v>0</v>
      </c>
      <c r="V149" s="232">
        <v>0</v>
      </c>
      <c r="W149" s="235">
        <v>0</v>
      </c>
    </row>
    <row r="150" spans="1:23" ht="15.75" customHeight="1" thickBot="1">
      <c r="A150" s="102" t="s">
        <v>821</v>
      </c>
      <c r="B150" s="104"/>
      <c r="C150" s="104" t="s">
        <v>898</v>
      </c>
      <c r="D150" s="105" t="s">
        <v>859</v>
      </c>
      <c r="E150" s="374"/>
      <c r="F150" s="222" t="s">
        <v>476</v>
      </c>
      <c r="G150" s="223" t="s">
        <v>1460</v>
      </c>
      <c r="H150" s="224" t="str">
        <f t="shared" si="8"/>
        <v>DVN</v>
      </c>
      <c r="I150" s="225" t="str">
        <f t="shared" si="9"/>
        <v>XLE</v>
      </c>
      <c r="J150" s="226" t="str">
        <f t="shared" si="10"/>
        <v>油氣E&amp;P</v>
      </c>
      <c r="K150" s="227" t="str">
        <f t="shared" si="11"/>
        <v>.SPX</v>
      </c>
      <c r="L150" s="228">
        <v>0.49890000000000001</v>
      </c>
      <c r="M150" s="229">
        <v>26.63</v>
      </c>
      <c r="N150" s="228">
        <v>0.82230000000000003</v>
      </c>
      <c r="O150" s="228">
        <v>0.43759999999999999</v>
      </c>
      <c r="P150" s="228">
        <v>1.0154000000000001</v>
      </c>
      <c r="Q150" s="230">
        <v>0.44290000000000002</v>
      </c>
      <c r="R150" s="231">
        <v>44358</v>
      </c>
      <c r="S150" s="232">
        <v>29.290000915527301</v>
      </c>
      <c r="T150" s="233">
        <v>0.34</v>
      </c>
      <c r="U150" s="234">
        <v>42626</v>
      </c>
      <c r="V150" s="232">
        <v>36.691333770751903</v>
      </c>
      <c r="W150" s="235">
        <v>0.06</v>
      </c>
    </row>
    <row r="151" spans="1:23" ht="15.75" customHeight="1" thickBot="1">
      <c r="A151" s="102" t="s">
        <v>847</v>
      </c>
      <c r="B151" s="104"/>
      <c r="C151" s="104"/>
      <c r="D151" s="105" t="s">
        <v>859</v>
      </c>
      <c r="E151" s="374"/>
      <c r="F151" s="222" t="s">
        <v>63</v>
      </c>
      <c r="G151" s="223" t="s">
        <v>1437</v>
      </c>
      <c r="H151" s="224" t="str">
        <f t="shared" si="8"/>
        <v>DXC</v>
      </c>
      <c r="I151" s="225" t="str">
        <f t="shared" si="9"/>
        <v>XLK</v>
      </c>
      <c r="J151" s="226" t="str">
        <f t="shared" si="10"/>
        <v>信息技術處</v>
      </c>
      <c r="K151" s="227" t="str">
        <f t="shared" si="11"/>
        <v>.SPX</v>
      </c>
      <c r="L151" s="228">
        <v>0.37269999999999998</v>
      </c>
      <c r="M151" s="229">
        <v>40.01</v>
      </c>
      <c r="N151" s="228">
        <v>0.64580000000000004</v>
      </c>
      <c r="O151" s="228">
        <v>0.27210000000000001</v>
      </c>
      <c r="P151" s="228">
        <v>0.9597</v>
      </c>
      <c r="Q151" s="230">
        <v>0.34200000000000003</v>
      </c>
      <c r="R151" s="231">
        <v>43914</v>
      </c>
      <c r="S151" s="232">
        <v>14.9899997711181</v>
      </c>
      <c r="T151" s="233">
        <v>0.21</v>
      </c>
      <c r="U151" s="234">
        <v>42611</v>
      </c>
      <c r="V151" s="232">
        <v>38.006816864013601</v>
      </c>
      <c r="W151" s="235">
        <v>0.12110700000000001</v>
      </c>
    </row>
    <row r="152" spans="1:23" ht="15.75" customHeight="1" thickBot="1">
      <c r="A152" s="102" t="s">
        <v>846</v>
      </c>
      <c r="B152" s="104"/>
      <c r="C152" s="104"/>
      <c r="D152" s="105" t="s">
        <v>859</v>
      </c>
      <c r="E152" s="374"/>
      <c r="F152" s="222" t="s">
        <v>52</v>
      </c>
      <c r="G152" s="223" t="s">
        <v>1430</v>
      </c>
      <c r="H152" s="224" t="str">
        <f t="shared" si="8"/>
        <v>DXCM</v>
      </c>
      <c r="I152" s="225" t="str">
        <f t="shared" si="9"/>
        <v>XLV</v>
      </c>
      <c r="J152" s="226" t="str">
        <f t="shared" si="10"/>
        <v>診斷與研究</v>
      </c>
      <c r="K152" s="227" t="str">
        <f t="shared" si="11"/>
        <v>.SPX</v>
      </c>
      <c r="L152" s="228">
        <v>0.30980000000000002</v>
      </c>
      <c r="M152" s="229">
        <v>523.92999999999995</v>
      </c>
      <c r="N152" s="228">
        <v>0.60960000000000003</v>
      </c>
      <c r="O152" s="228">
        <v>0.17019999999999999</v>
      </c>
      <c r="P152" s="228">
        <v>0.64529999999999998</v>
      </c>
      <c r="Q152" s="230">
        <v>0.30620000000000003</v>
      </c>
      <c r="R152" s="231">
        <v>0</v>
      </c>
      <c r="S152" s="232">
        <v>0</v>
      </c>
      <c r="T152" s="233">
        <v>0</v>
      </c>
      <c r="U152" s="234">
        <v>0</v>
      </c>
      <c r="V152" s="232">
        <v>0</v>
      </c>
      <c r="W152" s="235">
        <v>0</v>
      </c>
    </row>
    <row r="153" spans="1:23" ht="15.75" customHeight="1" thickBot="1">
      <c r="A153" s="102" t="s">
        <v>845</v>
      </c>
      <c r="B153" s="104"/>
      <c r="C153" s="104"/>
      <c r="D153" s="105" t="s">
        <v>859</v>
      </c>
      <c r="E153" s="374"/>
      <c r="F153" s="222" t="s">
        <v>315</v>
      </c>
      <c r="G153" s="223" t="s">
        <v>1466</v>
      </c>
      <c r="H153" s="224" t="str">
        <f t="shared" si="8"/>
        <v>EA</v>
      </c>
      <c r="I153" s="225" t="str">
        <f t="shared" si="9"/>
        <v>XLC</v>
      </c>
      <c r="J153" s="226" t="str">
        <f t="shared" si="10"/>
        <v>電子游戲與多媒體</v>
      </c>
      <c r="K153" s="227" t="str">
        <f t="shared" si="11"/>
        <v>.SPX</v>
      </c>
      <c r="L153" s="228">
        <v>0.24349999999999999</v>
      </c>
      <c r="M153" s="229">
        <v>135.9</v>
      </c>
      <c r="N153" s="228">
        <v>0.35649999999999998</v>
      </c>
      <c r="O153" s="228">
        <v>0.16689999999999999</v>
      </c>
      <c r="P153" s="228">
        <v>0.46579999999999999</v>
      </c>
      <c r="Q153" s="230">
        <v>0.2014</v>
      </c>
      <c r="R153" s="231">
        <v>44348</v>
      </c>
      <c r="S153" s="232">
        <v>143.61999511718699</v>
      </c>
      <c r="T153" s="233">
        <v>0.17</v>
      </c>
      <c r="U153" s="234">
        <v>44166</v>
      </c>
      <c r="V153" s="232">
        <v>126.931266784667</v>
      </c>
      <c r="W153" s="235">
        <v>0.17</v>
      </c>
    </row>
    <row r="154" spans="1:23" ht="15.75" customHeight="1" thickBot="1">
      <c r="A154" s="102" t="s">
        <v>844</v>
      </c>
      <c r="B154" s="104"/>
      <c r="C154" s="104"/>
      <c r="D154" s="105" t="s">
        <v>859</v>
      </c>
      <c r="E154" s="374"/>
      <c r="F154" s="222" t="s">
        <v>122</v>
      </c>
      <c r="G154" s="223" t="s">
        <v>1457</v>
      </c>
      <c r="H154" s="224" t="str">
        <f t="shared" si="8"/>
        <v>EBAY</v>
      </c>
      <c r="I154" s="225" t="str">
        <f t="shared" si="9"/>
        <v>XLY</v>
      </c>
      <c r="J154" s="226" t="str">
        <f t="shared" si="10"/>
        <v>互聯網零售</v>
      </c>
      <c r="K154" s="227" t="str">
        <f t="shared" si="11"/>
        <v>.SPX</v>
      </c>
      <c r="L154" s="228">
        <v>0.36199999999999999</v>
      </c>
      <c r="M154" s="229">
        <v>67.28</v>
      </c>
      <c r="N154" s="228">
        <v>0.49469999999999997</v>
      </c>
      <c r="O154" s="228">
        <v>0.2059</v>
      </c>
      <c r="P154" s="228">
        <v>0.51170000000000004</v>
      </c>
      <c r="Q154" s="230">
        <v>0.2382</v>
      </c>
      <c r="R154" s="231">
        <v>44344</v>
      </c>
      <c r="S154" s="232">
        <v>60.880001068115199</v>
      </c>
      <c r="T154" s="233">
        <v>0.18</v>
      </c>
      <c r="U154" s="234">
        <v>43524</v>
      </c>
      <c r="V154" s="232">
        <v>35.989860534667898</v>
      </c>
      <c r="W154" s="235">
        <v>0.14000000000000001</v>
      </c>
    </row>
    <row r="155" spans="1:23" ht="15.75" customHeight="1" thickBot="1">
      <c r="A155" s="102" t="s">
        <v>843</v>
      </c>
      <c r="B155" s="104"/>
      <c r="C155" s="104"/>
      <c r="D155" s="105" t="s">
        <v>859</v>
      </c>
      <c r="E155" s="374"/>
      <c r="F155" s="222" t="s">
        <v>242</v>
      </c>
      <c r="G155" s="223" t="s">
        <v>1449</v>
      </c>
      <c r="H155" s="224" t="str">
        <f t="shared" si="8"/>
        <v>ECL</v>
      </c>
      <c r="I155" s="225" t="str">
        <f t="shared" si="9"/>
        <v>XLB</v>
      </c>
      <c r="J155" s="226" t="str">
        <f t="shared" si="10"/>
        <v>特種化學品</v>
      </c>
      <c r="K155" s="227" t="str">
        <f t="shared" si="11"/>
        <v>.SPX</v>
      </c>
      <c r="L155" s="228">
        <v>0.2056</v>
      </c>
      <c r="M155" s="229">
        <v>218.15</v>
      </c>
      <c r="N155" s="228">
        <v>0.40720000000000001</v>
      </c>
      <c r="O155" s="228">
        <v>0.14019999999999999</v>
      </c>
      <c r="P155" s="228">
        <v>0.35560000000000003</v>
      </c>
      <c r="Q155" s="230">
        <v>0.1794</v>
      </c>
      <c r="R155" s="231">
        <v>44361</v>
      </c>
      <c r="S155" s="232">
        <v>213.24000549316401</v>
      </c>
      <c r="T155" s="233">
        <v>0.48</v>
      </c>
      <c r="U155" s="234">
        <v>42629</v>
      </c>
      <c r="V155" s="232">
        <v>111.642570495605</v>
      </c>
      <c r="W155" s="235">
        <v>0.35</v>
      </c>
    </row>
    <row r="156" spans="1:23" ht="15.75" customHeight="1" thickBot="1">
      <c r="A156" s="102" t="s">
        <v>842</v>
      </c>
      <c r="B156" s="104"/>
      <c r="C156" s="104"/>
      <c r="D156" s="105" t="s">
        <v>859</v>
      </c>
      <c r="E156" s="374"/>
      <c r="F156" s="222" t="s">
        <v>271</v>
      </c>
      <c r="G156" s="223" t="s">
        <v>1443</v>
      </c>
      <c r="H156" s="224" t="str">
        <f t="shared" si="8"/>
        <v>ED</v>
      </c>
      <c r="I156" s="225" t="str">
        <f t="shared" si="9"/>
        <v>XLU</v>
      </c>
      <c r="J156" s="226" t="str">
        <f t="shared" si="10"/>
        <v>公用事業—受監督的電力</v>
      </c>
      <c r="K156" s="227" t="str">
        <f t="shared" si="11"/>
        <v>.SPX</v>
      </c>
      <c r="L156" s="228">
        <v>0.1913</v>
      </c>
      <c r="M156" s="229">
        <v>76.09</v>
      </c>
      <c r="N156" s="228">
        <v>0.27879999999999999</v>
      </c>
      <c r="O156" s="228">
        <v>0.1237</v>
      </c>
      <c r="P156" s="228">
        <v>0.30730000000000002</v>
      </c>
      <c r="Q156" s="230">
        <v>0.15109999999999998</v>
      </c>
      <c r="R156" s="231">
        <v>44334</v>
      </c>
      <c r="S156" s="232">
        <v>77.739997863769503</v>
      </c>
      <c r="T156" s="233">
        <v>0.77500000000000002</v>
      </c>
      <c r="U156" s="234">
        <v>42597</v>
      </c>
      <c r="V156" s="232">
        <v>64.016006469726506</v>
      </c>
      <c r="W156" s="235">
        <v>0.67</v>
      </c>
    </row>
    <row r="157" spans="1:23" ht="15.75" customHeight="1" thickBot="1">
      <c r="A157" s="102" t="s">
        <v>841</v>
      </c>
      <c r="B157" s="104"/>
      <c r="C157" s="104"/>
      <c r="D157" s="105" t="s">
        <v>859</v>
      </c>
      <c r="E157" s="374"/>
      <c r="F157" s="222" t="s">
        <v>279</v>
      </c>
      <c r="G157" s="223" t="s">
        <v>1498</v>
      </c>
      <c r="H157" s="224" t="str">
        <f t="shared" si="8"/>
        <v>EFX</v>
      </c>
      <c r="I157" s="225" t="str">
        <f t="shared" si="9"/>
        <v>XLI</v>
      </c>
      <c r="J157" s="226" t="str">
        <f t="shared" si="10"/>
        <v>咨詢服務</v>
      </c>
      <c r="K157" s="227" t="str">
        <f t="shared" si="11"/>
        <v>.SPX</v>
      </c>
      <c r="L157" s="228">
        <v>0.2334</v>
      </c>
      <c r="M157" s="229">
        <v>254.19</v>
      </c>
      <c r="N157" s="228">
        <v>0.47060000000000002</v>
      </c>
      <c r="O157" s="228">
        <v>0.1719</v>
      </c>
      <c r="P157" s="228">
        <v>0.42399999999999999</v>
      </c>
      <c r="Q157" s="230">
        <v>0.2082</v>
      </c>
      <c r="R157" s="231">
        <v>44340</v>
      </c>
      <c r="S157" s="232">
        <v>237.5</v>
      </c>
      <c r="T157" s="233">
        <v>0.39</v>
      </c>
      <c r="U157" s="234">
        <v>42599</v>
      </c>
      <c r="V157" s="232">
        <v>124.06649017333901</v>
      </c>
      <c r="W157" s="235">
        <v>0.33</v>
      </c>
    </row>
    <row r="158" spans="1:23" ht="15.75" customHeight="1" thickBot="1">
      <c r="A158" s="102" t="s">
        <v>840</v>
      </c>
      <c r="B158" s="104"/>
      <c r="C158" s="104"/>
      <c r="D158" s="105" t="s">
        <v>859</v>
      </c>
      <c r="E158" s="374"/>
      <c r="F158" s="222" t="s">
        <v>133</v>
      </c>
      <c r="G158" s="223" t="s">
        <v>1443</v>
      </c>
      <c r="H158" s="224" t="str">
        <f t="shared" si="8"/>
        <v>EIX</v>
      </c>
      <c r="I158" s="225" t="str">
        <f t="shared" si="9"/>
        <v>XLU</v>
      </c>
      <c r="J158" s="226" t="str">
        <f t="shared" si="10"/>
        <v>公用事業—受監督的電力</v>
      </c>
      <c r="K158" s="227" t="str">
        <f t="shared" si="11"/>
        <v>.SPX</v>
      </c>
      <c r="L158" s="228">
        <v>0.21679999999999999</v>
      </c>
      <c r="M158" s="229">
        <v>55.2</v>
      </c>
      <c r="N158" s="228">
        <v>0.32979999999999998</v>
      </c>
      <c r="O158" s="228">
        <v>0.16339999999999999</v>
      </c>
      <c r="P158" s="228">
        <v>0.4375</v>
      </c>
      <c r="Q158" s="230">
        <v>0.1867</v>
      </c>
      <c r="R158" s="231">
        <v>44379</v>
      </c>
      <c r="S158" s="232">
        <v>57.049999237060497</v>
      </c>
      <c r="T158" s="233">
        <v>0.66300000000000003</v>
      </c>
      <c r="U158" s="234">
        <v>42641</v>
      </c>
      <c r="V158" s="232">
        <v>61.504604339599602</v>
      </c>
      <c r="W158" s="235">
        <v>0.48</v>
      </c>
    </row>
    <row r="159" spans="1:23" ht="15.75" customHeight="1" thickBot="1">
      <c r="A159" s="102" t="s">
        <v>839</v>
      </c>
      <c r="B159" s="104"/>
      <c r="C159" s="104"/>
      <c r="D159" s="105" t="s">
        <v>859</v>
      </c>
      <c r="E159" s="374"/>
      <c r="F159" s="222" t="s">
        <v>283</v>
      </c>
      <c r="G159" s="223" t="s">
        <v>1483</v>
      </c>
      <c r="H159" s="224" t="str">
        <f t="shared" si="8"/>
        <v>EL</v>
      </c>
      <c r="I159" s="225" t="str">
        <f t="shared" si="9"/>
        <v>XLP</v>
      </c>
      <c r="J159" s="226" t="str">
        <f t="shared" si="10"/>
        <v>家庭及個人產品</v>
      </c>
      <c r="K159" s="227" t="str">
        <f t="shared" si="11"/>
        <v>.SPX</v>
      </c>
      <c r="L159" s="228">
        <v>0.28710000000000002</v>
      </c>
      <c r="M159" s="229">
        <v>328.69</v>
      </c>
      <c r="N159" s="228">
        <v>0.4002</v>
      </c>
      <c r="O159" s="228">
        <v>0.14360000000000001</v>
      </c>
      <c r="P159" s="228">
        <v>0.43140000000000001</v>
      </c>
      <c r="Q159" s="230">
        <v>0.1744</v>
      </c>
      <c r="R159" s="231">
        <v>44343</v>
      </c>
      <c r="S159" s="232">
        <v>303.54998779296801</v>
      </c>
      <c r="T159" s="233">
        <v>0.53</v>
      </c>
      <c r="U159" s="234">
        <v>42611</v>
      </c>
      <c r="V159" s="232">
        <v>86.458335876464801</v>
      </c>
      <c r="W159" s="235">
        <v>0.3</v>
      </c>
    </row>
    <row r="160" spans="1:23" ht="15.75" customHeight="1" thickBot="1">
      <c r="A160" s="102" t="s">
        <v>837</v>
      </c>
      <c r="B160" s="104"/>
      <c r="C160" s="104"/>
      <c r="D160" s="105" t="s">
        <v>859</v>
      </c>
      <c r="E160" s="374"/>
      <c r="F160" s="222" t="s">
        <v>446</v>
      </c>
      <c r="G160" s="223" t="s">
        <v>1461</v>
      </c>
      <c r="H160" s="224" t="str">
        <f t="shared" si="8"/>
        <v>EMN</v>
      </c>
      <c r="I160" s="225" t="str">
        <f t="shared" si="9"/>
        <v>XLB</v>
      </c>
      <c r="J160" s="226" t="str">
        <f t="shared" si="10"/>
        <v>化學品</v>
      </c>
      <c r="K160" s="227" t="str">
        <f t="shared" si="11"/>
        <v>.SPX</v>
      </c>
      <c r="L160" s="228">
        <v>0.26</v>
      </c>
      <c r="M160" s="229">
        <v>110.59</v>
      </c>
      <c r="N160" s="228">
        <v>0.41770000000000002</v>
      </c>
      <c r="O160" s="228">
        <v>0.22889999999999999</v>
      </c>
      <c r="P160" s="228">
        <v>0.4325</v>
      </c>
      <c r="Q160" s="230">
        <v>0.2339</v>
      </c>
      <c r="R160" s="231">
        <v>44361</v>
      </c>
      <c r="S160" s="232">
        <v>122.09999847412099</v>
      </c>
      <c r="T160" s="233">
        <v>0.69</v>
      </c>
      <c r="U160" s="234">
        <v>42626</v>
      </c>
      <c r="V160" s="232">
        <v>55.779483795166001</v>
      </c>
      <c r="W160" s="235">
        <v>0.46</v>
      </c>
    </row>
    <row r="161" spans="1:23" ht="15.75" customHeight="1" thickBot="1">
      <c r="A161" s="102" t="s">
        <v>836</v>
      </c>
      <c r="B161" s="104"/>
      <c r="C161" s="104"/>
      <c r="D161" s="105" t="s">
        <v>859</v>
      </c>
      <c r="E161" s="374"/>
      <c r="F161" s="222" t="s">
        <v>339</v>
      </c>
      <c r="G161" s="223" t="s">
        <v>1454</v>
      </c>
      <c r="H161" s="224" t="str">
        <f t="shared" si="8"/>
        <v>EMR</v>
      </c>
      <c r="I161" s="225" t="str">
        <f t="shared" si="9"/>
        <v>XLI</v>
      </c>
      <c r="J161" s="226" t="str">
        <f t="shared" si="10"/>
        <v>特種工業機械</v>
      </c>
      <c r="K161" s="227" t="str">
        <f t="shared" si="11"/>
        <v>.SPX</v>
      </c>
      <c r="L161" s="228">
        <v>0.21640000000000001</v>
      </c>
      <c r="M161" s="229">
        <v>101.18</v>
      </c>
      <c r="N161" s="228">
        <v>0.45610000000000001</v>
      </c>
      <c r="O161" s="228">
        <v>0.158</v>
      </c>
      <c r="P161" s="228">
        <v>0.4032</v>
      </c>
      <c r="Q161" s="230">
        <v>0.18909999999999999</v>
      </c>
      <c r="R161" s="231">
        <v>44329</v>
      </c>
      <c r="S161" s="232">
        <v>94.709999084472599</v>
      </c>
      <c r="T161" s="233">
        <v>0.505</v>
      </c>
      <c r="U161" s="234">
        <v>42592</v>
      </c>
      <c r="V161" s="232">
        <v>46.434726715087798</v>
      </c>
      <c r="W161" s="235">
        <v>0.47499999999999998</v>
      </c>
    </row>
    <row r="162" spans="1:23" ht="15.75" customHeight="1" thickBot="1">
      <c r="A162" s="102" t="s">
        <v>835</v>
      </c>
      <c r="B162" s="104"/>
      <c r="C162" s="104"/>
      <c r="D162" s="105" t="s">
        <v>859</v>
      </c>
      <c r="E162" s="374"/>
      <c r="F162" s="222" t="s">
        <v>22</v>
      </c>
      <c r="G162" s="223" t="s">
        <v>1499</v>
      </c>
      <c r="H162" s="224" t="str">
        <f t="shared" si="8"/>
        <v>ENPH</v>
      </c>
      <c r="I162" s="225" t="str">
        <f t="shared" si="9"/>
        <v>XLK</v>
      </c>
      <c r="J162" s="226" t="str">
        <f t="shared" si="10"/>
        <v>太陽能</v>
      </c>
      <c r="K162" s="227" t="str">
        <f t="shared" si="11"/>
        <v>.SPX</v>
      </c>
      <c r="L162" s="228">
        <v>0.55049999999999999</v>
      </c>
      <c r="M162" s="229">
        <v>183.45</v>
      </c>
      <c r="N162" s="228">
        <v>1.0136000000000001</v>
      </c>
      <c r="O162" s="228">
        <v>0.4118</v>
      </c>
      <c r="P162" s="228">
        <v>1.0337000000000001</v>
      </c>
      <c r="Q162" s="230">
        <v>0.52229999999999999</v>
      </c>
      <c r="R162" s="231">
        <v>0</v>
      </c>
      <c r="S162" s="232">
        <v>0</v>
      </c>
      <c r="T162" s="233">
        <v>0</v>
      </c>
      <c r="U162" s="234">
        <v>0</v>
      </c>
      <c r="V162" s="232">
        <v>0</v>
      </c>
      <c r="W162" s="235">
        <v>0</v>
      </c>
    </row>
    <row r="163" spans="1:23" ht="15.75" customHeight="1" thickBot="1">
      <c r="A163" s="102" t="s">
        <v>838</v>
      </c>
      <c r="B163" s="104"/>
      <c r="C163" s="104"/>
      <c r="D163" s="105" t="s">
        <v>859</v>
      </c>
      <c r="E163" s="374"/>
      <c r="F163" s="222" t="s">
        <v>234</v>
      </c>
      <c r="G163" s="223" t="s">
        <v>1460</v>
      </c>
      <c r="H163" s="224" t="str">
        <f t="shared" si="8"/>
        <v>EOG</v>
      </c>
      <c r="I163" s="225" t="str">
        <f t="shared" si="9"/>
        <v>XLE</v>
      </c>
      <c r="J163" s="226" t="str">
        <f t="shared" si="10"/>
        <v>油氣E&amp;P</v>
      </c>
      <c r="K163" s="227" t="str">
        <f t="shared" si="11"/>
        <v>.SPX</v>
      </c>
      <c r="L163" s="228">
        <v>0.40939999999999999</v>
      </c>
      <c r="M163" s="229">
        <v>70.739999999999995</v>
      </c>
      <c r="N163" s="228">
        <v>0.84209999999999996</v>
      </c>
      <c r="O163" s="228">
        <v>0.36499999999999999</v>
      </c>
      <c r="P163" s="228">
        <v>0.78449999999999998</v>
      </c>
      <c r="Q163" s="230">
        <v>0.35830000000000001</v>
      </c>
      <c r="R163" s="231">
        <v>44392</v>
      </c>
      <c r="S163" s="232">
        <v>76.190002441406193</v>
      </c>
      <c r="T163" s="233">
        <v>1.413</v>
      </c>
      <c r="U163" s="234">
        <v>42656</v>
      </c>
      <c r="V163" s="232">
        <v>87.7220458984375</v>
      </c>
      <c r="W163" s="235">
        <v>0.16800000000000001</v>
      </c>
    </row>
    <row r="164" spans="1:23" ht="15.75" customHeight="1" thickBot="1">
      <c r="A164" s="102" t="s">
        <v>834</v>
      </c>
      <c r="B164" s="104"/>
      <c r="C164" s="104"/>
      <c r="D164" s="105" t="s">
        <v>859</v>
      </c>
      <c r="E164" s="374"/>
      <c r="F164" s="222" t="s">
        <v>86</v>
      </c>
      <c r="G164" s="223" t="s">
        <v>1456</v>
      </c>
      <c r="H164" s="224" t="str">
        <f t="shared" si="8"/>
        <v>EQIX</v>
      </c>
      <c r="I164" s="225" t="str">
        <f t="shared" si="9"/>
        <v>XLRE</v>
      </c>
      <c r="J164" s="226" t="str">
        <f t="shared" si="10"/>
        <v>REIT-專業</v>
      </c>
      <c r="K164" s="227" t="str">
        <f t="shared" si="11"/>
        <v>.SPX</v>
      </c>
      <c r="L164" s="228">
        <v>0.22090000000000001</v>
      </c>
      <c r="M164" s="229">
        <v>830.62</v>
      </c>
      <c r="N164" s="228">
        <v>0.35120000000000001</v>
      </c>
      <c r="O164" s="228">
        <v>0.1734</v>
      </c>
      <c r="P164" s="228">
        <v>0.36469999999999997</v>
      </c>
      <c r="Q164" s="230">
        <v>0.20929999999999999</v>
      </c>
      <c r="R164" s="231">
        <v>44334</v>
      </c>
      <c r="S164" s="232">
        <v>715.33001708984295</v>
      </c>
      <c r="T164" s="233">
        <v>2.87</v>
      </c>
      <c r="U164" s="234">
        <v>42604</v>
      </c>
      <c r="V164" s="232">
        <v>335.35247802734301</v>
      </c>
      <c r="W164" s="235">
        <v>1.75</v>
      </c>
    </row>
    <row r="165" spans="1:23" ht="15.75" customHeight="1" thickBot="1">
      <c r="A165" s="102" t="s">
        <v>833</v>
      </c>
      <c r="B165" s="104"/>
      <c r="C165" s="104"/>
      <c r="D165" s="105" t="s">
        <v>859</v>
      </c>
      <c r="E165" s="374"/>
      <c r="F165" s="222" t="s">
        <v>77</v>
      </c>
      <c r="G165" s="223" t="s">
        <v>521</v>
      </c>
      <c r="H165" s="224" t="str">
        <f t="shared" si="8"/>
        <v>EQR</v>
      </c>
      <c r="I165" s="225" t="str">
        <f t="shared" si="9"/>
        <v>XLRE</v>
      </c>
      <c r="J165" s="226" t="str">
        <f t="shared" si="10"/>
        <v>-</v>
      </c>
      <c r="K165" s="227" t="str">
        <f t="shared" si="11"/>
        <v>.SPX</v>
      </c>
      <c r="L165" s="228">
        <v>0.2097</v>
      </c>
      <c r="M165" s="229">
        <v>84.82</v>
      </c>
      <c r="N165" s="228">
        <v>0.61460000000000004</v>
      </c>
      <c r="O165" s="228">
        <v>0.13719999999999999</v>
      </c>
      <c r="P165" s="228">
        <v>0.47369999999999995</v>
      </c>
      <c r="Q165" s="230">
        <v>0.1845</v>
      </c>
      <c r="R165" s="231">
        <v>44372</v>
      </c>
      <c r="S165" s="232">
        <v>78.569999694824205</v>
      </c>
      <c r="T165" s="233">
        <v>0.60299999999999998</v>
      </c>
      <c r="U165" s="234">
        <v>42635</v>
      </c>
      <c r="V165" s="232">
        <v>54.868453979492102</v>
      </c>
      <c r="W165" s="235">
        <v>3.504</v>
      </c>
    </row>
    <row r="166" spans="1:23" ht="15.75" customHeight="1" thickBot="1">
      <c r="A166" s="103" t="s">
        <v>543</v>
      </c>
      <c r="B166" s="104"/>
      <c r="C166" s="104" t="s">
        <v>569</v>
      </c>
      <c r="D166" s="105" t="s">
        <v>541</v>
      </c>
      <c r="E166" s="374"/>
      <c r="F166" s="222" t="s">
        <v>192</v>
      </c>
      <c r="G166" s="223" t="s">
        <v>1443</v>
      </c>
      <c r="H166" s="224" t="str">
        <f t="shared" si="8"/>
        <v>ES</v>
      </c>
      <c r="I166" s="225" t="str">
        <f t="shared" si="9"/>
        <v>XLU</v>
      </c>
      <c r="J166" s="226" t="str">
        <f t="shared" si="10"/>
        <v>公用事業—受監督的電力</v>
      </c>
      <c r="K166" s="227" t="str">
        <f t="shared" si="11"/>
        <v>.SPX</v>
      </c>
      <c r="L166" s="228">
        <v>0.20760000000000001</v>
      </c>
      <c r="M166" s="229">
        <v>88.91</v>
      </c>
      <c r="N166" s="228">
        <v>0.27960000000000002</v>
      </c>
      <c r="O166" s="228">
        <v>0.1431</v>
      </c>
      <c r="P166" s="228">
        <v>0.34759999999999996</v>
      </c>
      <c r="Q166" s="230">
        <v>0.16449999999999998</v>
      </c>
      <c r="R166" s="231">
        <v>44335</v>
      </c>
      <c r="S166" s="232">
        <v>83.25</v>
      </c>
      <c r="T166" s="233">
        <v>0.60299999999999998</v>
      </c>
      <c r="U166" s="234">
        <v>42628</v>
      </c>
      <c r="V166" s="232">
        <v>46.683059692382798</v>
      </c>
      <c r="W166" s="235">
        <v>0.44500000000000001</v>
      </c>
    </row>
    <row r="167" spans="1:23" ht="15.75" customHeight="1" thickBot="1">
      <c r="A167" s="102" t="s">
        <v>885</v>
      </c>
      <c r="B167" s="104"/>
      <c r="C167" s="104"/>
      <c r="D167" s="105" t="s">
        <v>886</v>
      </c>
      <c r="E167" s="374"/>
      <c r="F167" s="222" t="s">
        <v>113</v>
      </c>
      <c r="G167" s="223" t="s">
        <v>521</v>
      </c>
      <c r="H167" s="224" t="str">
        <f t="shared" si="8"/>
        <v>ESS</v>
      </c>
      <c r="I167" s="225" t="str">
        <f t="shared" si="9"/>
        <v>XLRE</v>
      </c>
      <c r="J167" s="226" t="str">
        <f t="shared" si="10"/>
        <v>-</v>
      </c>
      <c r="K167" s="227" t="str">
        <f t="shared" si="11"/>
        <v>.SPX</v>
      </c>
      <c r="L167" s="228">
        <v>0.2051</v>
      </c>
      <c r="M167" s="229">
        <v>327.43</v>
      </c>
      <c r="N167" s="228">
        <v>0.52659999999999996</v>
      </c>
      <c r="O167" s="228">
        <v>0.15559999999999999</v>
      </c>
      <c r="P167" s="228">
        <v>0.40860000000000002</v>
      </c>
      <c r="Q167" s="230">
        <v>0.17</v>
      </c>
      <c r="R167" s="231">
        <v>44376</v>
      </c>
      <c r="S167" s="232">
        <v>302.13000488281199</v>
      </c>
      <c r="T167" s="233">
        <v>2.09</v>
      </c>
      <c r="U167" s="234">
        <v>42641</v>
      </c>
      <c r="V167" s="232">
        <v>196.81678771972599</v>
      </c>
      <c r="W167" s="235">
        <v>1.6</v>
      </c>
    </row>
    <row r="168" spans="1:23" ht="15.75" customHeight="1" thickBot="1">
      <c r="A168" s="102" t="s">
        <v>899</v>
      </c>
      <c r="B168" s="104"/>
      <c r="C168" s="104"/>
      <c r="D168" s="105" t="s">
        <v>659</v>
      </c>
      <c r="E168" s="374"/>
      <c r="F168" s="222" t="s">
        <v>257</v>
      </c>
      <c r="G168" s="223" t="s">
        <v>1454</v>
      </c>
      <c r="H168" s="224" t="str">
        <f t="shared" si="8"/>
        <v>ETN</v>
      </c>
      <c r="I168" s="225" t="str">
        <f t="shared" si="9"/>
        <v>XLI</v>
      </c>
      <c r="J168" s="226" t="str">
        <f t="shared" si="10"/>
        <v>特種工業機械</v>
      </c>
      <c r="K168" s="227" t="str">
        <f t="shared" si="11"/>
        <v>.SPX</v>
      </c>
      <c r="L168" s="228">
        <v>0.20519999999999999</v>
      </c>
      <c r="M168" s="229">
        <v>161.91999999999999</v>
      </c>
      <c r="N168" s="228">
        <v>0.33389999999999997</v>
      </c>
      <c r="O168" s="228">
        <v>0.14000000000000001</v>
      </c>
      <c r="P168" s="228">
        <v>0.43430000000000002</v>
      </c>
      <c r="Q168" s="230">
        <v>0.19030000000000002</v>
      </c>
      <c r="R168" s="231">
        <v>44329</v>
      </c>
      <c r="S168" s="232">
        <v>145.80000305175699</v>
      </c>
      <c r="T168" s="233">
        <v>0.76</v>
      </c>
      <c r="U168" s="234">
        <v>42677</v>
      </c>
      <c r="V168" s="232">
        <v>53.150074005126903</v>
      </c>
      <c r="W168" s="235">
        <v>0.56999999999999995</v>
      </c>
    </row>
    <row r="169" spans="1:23" ht="15.75" customHeight="1" thickBot="1">
      <c r="A169" s="102" t="s">
        <v>900</v>
      </c>
      <c r="B169" s="104"/>
      <c r="C169" s="104"/>
      <c r="D169" s="105" t="s">
        <v>659</v>
      </c>
      <c r="E169" s="374"/>
      <c r="F169" s="222" t="s">
        <v>144</v>
      </c>
      <c r="G169" s="223" t="s">
        <v>1443</v>
      </c>
      <c r="H169" s="224" t="str">
        <f t="shared" si="8"/>
        <v>ETR</v>
      </c>
      <c r="I169" s="225" t="str">
        <f t="shared" si="9"/>
        <v>XLU</v>
      </c>
      <c r="J169" s="226" t="str">
        <f t="shared" si="10"/>
        <v>公用事業—受監督的電力</v>
      </c>
      <c r="K169" s="227" t="str">
        <f t="shared" si="11"/>
        <v>.SPX</v>
      </c>
      <c r="L169" s="228">
        <v>0.21679999999999999</v>
      </c>
      <c r="M169" s="229">
        <v>106.6</v>
      </c>
      <c r="N169" s="228">
        <v>0.30570000000000003</v>
      </c>
      <c r="O169" s="228">
        <v>0.1128</v>
      </c>
      <c r="P169" s="228">
        <v>0.3619</v>
      </c>
      <c r="Q169" s="230">
        <v>0.17420000000000002</v>
      </c>
      <c r="R169" s="231">
        <v>44321</v>
      </c>
      <c r="S169" s="232">
        <v>106.94000244140599</v>
      </c>
      <c r="T169" s="233">
        <v>0.95</v>
      </c>
      <c r="U169" s="234">
        <v>42591</v>
      </c>
      <c r="V169" s="232">
        <v>65.098129272460895</v>
      </c>
      <c r="W169" s="235">
        <v>0.85</v>
      </c>
    </row>
    <row r="170" spans="1:23" ht="15.75" customHeight="1" thickBot="1">
      <c r="A170" s="102" t="s">
        <v>471</v>
      </c>
      <c r="B170" s="104"/>
      <c r="C170" s="104"/>
      <c r="D170" s="105" t="s">
        <v>659</v>
      </c>
      <c r="E170" s="374"/>
      <c r="F170" s="222" t="s">
        <v>313</v>
      </c>
      <c r="G170" s="223" t="s">
        <v>1457</v>
      </c>
      <c r="H170" s="224" t="str">
        <f t="shared" si="8"/>
        <v>ETSY</v>
      </c>
      <c r="I170" s="225" t="str">
        <f t="shared" si="9"/>
        <v>XLY</v>
      </c>
      <c r="J170" s="226" t="str">
        <f t="shared" si="10"/>
        <v>互聯網零售</v>
      </c>
      <c r="K170" s="227" t="str">
        <f t="shared" si="11"/>
        <v>.SPX</v>
      </c>
      <c r="L170" s="228">
        <v>0.46610000000000001</v>
      </c>
      <c r="M170" s="229">
        <v>182.41</v>
      </c>
      <c r="N170" s="228">
        <v>0.9093</v>
      </c>
      <c r="O170" s="228">
        <v>0.35349999999999998</v>
      </c>
      <c r="P170" s="228">
        <v>0.80590000000000006</v>
      </c>
      <c r="Q170" s="230">
        <v>0.3972</v>
      </c>
      <c r="R170" s="231">
        <v>0</v>
      </c>
      <c r="S170" s="232">
        <v>0</v>
      </c>
      <c r="T170" s="233">
        <v>0</v>
      </c>
      <c r="U170" s="234">
        <v>0</v>
      </c>
      <c r="V170" s="232">
        <v>0</v>
      </c>
      <c r="W170" s="235">
        <v>0</v>
      </c>
    </row>
    <row r="171" spans="1:23" ht="15.75" customHeight="1" thickBot="1">
      <c r="A171" s="102" t="s">
        <v>901</v>
      </c>
      <c r="B171" s="104"/>
      <c r="C171" s="104"/>
      <c r="D171" s="105" t="s">
        <v>659</v>
      </c>
      <c r="E171" s="374"/>
      <c r="F171" s="222" t="s">
        <v>137</v>
      </c>
      <c r="G171" s="223" t="s">
        <v>1443</v>
      </c>
      <c r="H171" s="224" t="str">
        <f t="shared" si="8"/>
        <v>EVRG</v>
      </c>
      <c r="I171" s="225" t="str">
        <f t="shared" si="9"/>
        <v>XLU</v>
      </c>
      <c r="J171" s="226" t="str">
        <f t="shared" si="10"/>
        <v>公用事業—受監督的電力</v>
      </c>
      <c r="K171" s="227" t="str">
        <f t="shared" si="11"/>
        <v>.SPX</v>
      </c>
      <c r="L171" s="228">
        <v>0.18720000000000001</v>
      </c>
      <c r="M171" s="229">
        <v>67.19</v>
      </c>
      <c r="N171" s="228">
        <v>0.44869999999999999</v>
      </c>
      <c r="O171" s="228">
        <v>0.14419999999999999</v>
      </c>
      <c r="P171" s="228">
        <v>0.4597</v>
      </c>
      <c r="Q171" s="230">
        <v>0.1663</v>
      </c>
      <c r="R171" s="231">
        <v>44336</v>
      </c>
      <c r="S171" s="232">
        <v>61.900001525878899</v>
      </c>
      <c r="T171" s="233">
        <v>0.53500000000000003</v>
      </c>
      <c r="U171" s="234">
        <v>42620</v>
      </c>
      <c r="V171" s="232">
        <v>47.194534301757798</v>
      </c>
      <c r="W171" s="235">
        <v>0.38</v>
      </c>
    </row>
    <row r="172" spans="1:23" ht="15.75" customHeight="1" thickBot="1">
      <c r="A172" s="102" t="s">
        <v>73</v>
      </c>
      <c r="B172" s="104"/>
      <c r="C172" s="104"/>
      <c r="D172" s="105" t="s">
        <v>659</v>
      </c>
      <c r="E172" s="374"/>
      <c r="F172" s="222" t="s">
        <v>37</v>
      </c>
      <c r="G172" s="223" t="s">
        <v>1436</v>
      </c>
      <c r="H172" s="224" t="str">
        <f t="shared" si="8"/>
        <v>EW</v>
      </c>
      <c r="I172" s="225" t="str">
        <f t="shared" si="9"/>
        <v>XLV</v>
      </c>
      <c r="J172" s="226" t="str">
        <f t="shared" si="10"/>
        <v>醫療設備</v>
      </c>
      <c r="K172" s="227" t="str">
        <f t="shared" si="11"/>
        <v>.SPX</v>
      </c>
      <c r="L172" s="228">
        <v>0.21779999999999999</v>
      </c>
      <c r="M172" s="229">
        <v>114.78</v>
      </c>
      <c r="N172" s="228">
        <v>0.4083</v>
      </c>
      <c r="O172" s="228">
        <v>0.15</v>
      </c>
      <c r="P172" s="228">
        <v>0.52090000000000003</v>
      </c>
      <c r="Q172" s="230">
        <v>0.19820000000000002</v>
      </c>
      <c r="R172" s="231">
        <v>43983</v>
      </c>
      <c r="S172" s="232">
        <v>74.269996643066406</v>
      </c>
      <c r="T172" s="233">
        <v>0</v>
      </c>
      <c r="U172" s="234">
        <v>43983</v>
      </c>
      <c r="V172" s="232">
        <v>74.269996643066406</v>
      </c>
      <c r="W172" s="235">
        <v>0</v>
      </c>
    </row>
    <row r="173" spans="1:23" ht="15.75" customHeight="1" thickBot="1">
      <c r="A173" s="102" t="s">
        <v>58</v>
      </c>
      <c r="B173" s="104"/>
      <c r="C173" s="104"/>
      <c r="D173" s="105" t="s">
        <v>659</v>
      </c>
      <c r="E173" s="374"/>
      <c r="F173" s="222" t="s">
        <v>178</v>
      </c>
      <c r="G173" s="223" t="s">
        <v>1444</v>
      </c>
      <c r="H173" s="224" t="str">
        <f t="shared" si="8"/>
        <v>EXC</v>
      </c>
      <c r="I173" s="225" t="str">
        <f t="shared" si="9"/>
        <v>XLU</v>
      </c>
      <c r="J173" s="226" t="str">
        <f t="shared" si="10"/>
        <v>公用事業-多樣化</v>
      </c>
      <c r="K173" s="227" t="str">
        <f t="shared" si="11"/>
        <v>.SPX</v>
      </c>
      <c r="L173" s="228">
        <v>0.184</v>
      </c>
      <c r="M173" s="229">
        <v>47.59</v>
      </c>
      <c r="N173" s="228">
        <v>0.28439999999999999</v>
      </c>
      <c r="O173" s="228">
        <v>0.1022</v>
      </c>
      <c r="P173" s="228">
        <v>0.38319999999999999</v>
      </c>
      <c r="Q173" s="230">
        <v>0.17170000000000002</v>
      </c>
      <c r="R173" s="231">
        <v>44329</v>
      </c>
      <c r="S173" s="232">
        <v>44.409999847412102</v>
      </c>
      <c r="T173" s="233">
        <v>0.38300000000000001</v>
      </c>
      <c r="U173" s="234">
        <v>42593</v>
      </c>
      <c r="V173" s="232">
        <v>29.480932235717699</v>
      </c>
      <c r="W173" s="235">
        <v>0.318</v>
      </c>
    </row>
    <row r="174" spans="1:23" ht="15.75" customHeight="1" thickBot="1">
      <c r="A174" s="102" t="s">
        <v>902</v>
      </c>
      <c r="B174" s="104"/>
      <c r="C174" s="104"/>
      <c r="D174" s="105" t="s">
        <v>659</v>
      </c>
      <c r="E174" s="374"/>
      <c r="F174" s="222" t="s">
        <v>105</v>
      </c>
      <c r="G174" s="223" t="s">
        <v>1484</v>
      </c>
      <c r="H174" s="224" t="str">
        <f t="shared" si="8"/>
        <v>EXPD</v>
      </c>
      <c r="I174" s="225" t="str">
        <f t="shared" si="9"/>
        <v>XLI</v>
      </c>
      <c r="J174" s="226" t="str">
        <f t="shared" si="10"/>
        <v>綜合貨運物流</v>
      </c>
      <c r="K174" s="227" t="str">
        <f t="shared" si="11"/>
        <v>.SPX</v>
      </c>
      <c r="L174" s="228">
        <v>0.21460000000000001</v>
      </c>
      <c r="M174" s="229">
        <v>124.16</v>
      </c>
      <c r="N174" s="228">
        <v>0.26050000000000001</v>
      </c>
      <c r="O174" s="228">
        <v>0.1462</v>
      </c>
      <c r="P174" s="228">
        <v>0.42859999999999998</v>
      </c>
      <c r="Q174" s="230">
        <v>0.18600000000000003</v>
      </c>
      <c r="R174" s="231">
        <v>44344</v>
      </c>
      <c r="S174" s="232">
        <v>125.69000244140599</v>
      </c>
      <c r="T174" s="233">
        <v>0.57999999999999996</v>
      </c>
      <c r="U174" s="234">
        <v>42703</v>
      </c>
      <c r="V174" s="232">
        <v>49.796939849853501</v>
      </c>
      <c r="W174" s="235">
        <v>0.4</v>
      </c>
    </row>
    <row r="175" spans="1:23" ht="15.75" customHeight="1" thickBot="1">
      <c r="A175" s="102" t="s">
        <v>194</v>
      </c>
      <c r="B175" s="104"/>
      <c r="C175" s="104"/>
      <c r="D175" s="105" t="s">
        <v>659</v>
      </c>
      <c r="E175" s="374"/>
      <c r="F175" s="222" t="s">
        <v>381</v>
      </c>
      <c r="G175" s="223" t="s">
        <v>1474</v>
      </c>
      <c r="H175" s="224" t="str">
        <f t="shared" si="8"/>
        <v>EXPE</v>
      </c>
      <c r="I175" s="225" t="str">
        <f t="shared" si="9"/>
        <v>XLY</v>
      </c>
      <c r="J175" s="226" t="str">
        <f t="shared" si="10"/>
        <v>旅行服務</v>
      </c>
      <c r="K175" s="227" t="str">
        <f t="shared" si="11"/>
        <v>.SPX</v>
      </c>
      <c r="L175" s="228">
        <v>0.39639999999999997</v>
      </c>
      <c r="M175" s="229">
        <v>148.12</v>
      </c>
      <c r="N175" s="228">
        <v>0.79930000000000001</v>
      </c>
      <c r="O175" s="228">
        <v>0.21540000000000001</v>
      </c>
      <c r="P175" s="228">
        <v>0.71829999999999994</v>
      </c>
      <c r="Q175" s="230">
        <v>0.30120000000000002</v>
      </c>
      <c r="R175" s="231">
        <v>43899</v>
      </c>
      <c r="S175" s="232">
        <v>86.300003051757798</v>
      </c>
      <c r="T175" s="233">
        <v>0.34</v>
      </c>
      <c r="U175" s="234">
        <v>42605</v>
      </c>
      <c r="V175" s="232">
        <v>109.52407073974599</v>
      </c>
      <c r="W175" s="235">
        <v>0.26</v>
      </c>
    </row>
    <row r="176" spans="1:23" ht="15.75" customHeight="1" thickBot="1">
      <c r="A176" s="102" t="s">
        <v>221</v>
      </c>
      <c r="B176" s="104"/>
      <c r="C176" s="104"/>
      <c r="D176" s="105" t="s">
        <v>659</v>
      </c>
      <c r="E176" s="374"/>
      <c r="F176" s="222" t="s">
        <v>243</v>
      </c>
      <c r="G176" s="223" t="s">
        <v>1496</v>
      </c>
      <c r="H176" s="224" t="str">
        <f t="shared" si="8"/>
        <v>EXR</v>
      </c>
      <c r="I176" s="225" t="str">
        <f t="shared" si="9"/>
        <v>XLRE</v>
      </c>
      <c r="J176" s="226" t="str">
        <f t="shared" si="10"/>
        <v>REIT-工業</v>
      </c>
      <c r="K176" s="227" t="str">
        <f t="shared" si="11"/>
        <v>.SPX</v>
      </c>
      <c r="L176" s="228">
        <v>0.20330000000000001</v>
      </c>
      <c r="M176" s="229">
        <v>175.85</v>
      </c>
      <c r="N176" s="228">
        <v>0.38369999999999999</v>
      </c>
      <c r="O176" s="228">
        <v>0.13539999999999999</v>
      </c>
      <c r="P176" s="228">
        <v>0.37680000000000002</v>
      </c>
      <c r="Q176" s="230">
        <v>0.1764</v>
      </c>
      <c r="R176" s="231">
        <v>44361</v>
      </c>
      <c r="S176" s="232">
        <v>159.94000244140599</v>
      </c>
      <c r="T176" s="233">
        <v>1</v>
      </c>
      <c r="U176" s="234">
        <v>42626</v>
      </c>
      <c r="V176" s="232">
        <v>64.280868530273395</v>
      </c>
      <c r="W176" s="235">
        <v>0.78</v>
      </c>
    </row>
    <row r="177" spans="1:23" ht="15.75" customHeight="1" thickBot="1">
      <c r="A177" s="102" t="s">
        <v>904</v>
      </c>
      <c r="B177" s="104"/>
      <c r="C177" s="104"/>
      <c r="D177" s="105" t="s">
        <v>659</v>
      </c>
      <c r="E177" s="374"/>
      <c r="F177" s="222" t="s">
        <v>495</v>
      </c>
      <c r="G177" s="223" t="s">
        <v>1500</v>
      </c>
      <c r="H177" s="224" t="str">
        <f t="shared" si="8"/>
        <v>F</v>
      </c>
      <c r="I177" s="225" t="str">
        <f t="shared" si="9"/>
        <v>XLY</v>
      </c>
      <c r="J177" s="226" t="str">
        <f t="shared" si="10"/>
        <v>汽車製造商</v>
      </c>
      <c r="K177" s="227" t="str">
        <f t="shared" si="11"/>
        <v>.SPX</v>
      </c>
      <c r="L177" s="228">
        <v>0.38640000000000002</v>
      </c>
      <c r="M177" s="229">
        <v>13.88</v>
      </c>
      <c r="N177" s="228">
        <v>0.56299999999999994</v>
      </c>
      <c r="O177" s="228">
        <v>0.25290000000000001</v>
      </c>
      <c r="P177" s="228">
        <v>0.74560000000000004</v>
      </c>
      <c r="Q177" s="230">
        <v>0.37070000000000003</v>
      </c>
      <c r="R177" s="231">
        <v>43859</v>
      </c>
      <c r="S177" s="232">
        <v>8.8599996566772408</v>
      </c>
      <c r="T177" s="233">
        <v>0.15</v>
      </c>
      <c r="U177" s="234">
        <v>42668</v>
      </c>
      <c r="V177" s="232">
        <v>9.6531791687011701</v>
      </c>
      <c r="W177" s="235">
        <v>0.15</v>
      </c>
    </row>
    <row r="178" spans="1:23" ht="15.75" customHeight="1" thickBot="1">
      <c r="A178" s="102" t="s">
        <v>1543</v>
      </c>
      <c r="B178" s="104"/>
      <c r="C178" s="104"/>
      <c r="D178" s="105" t="s">
        <v>1546</v>
      </c>
      <c r="E178" s="374"/>
      <c r="F178" s="222" t="s">
        <v>452</v>
      </c>
      <c r="G178" s="223" t="s">
        <v>1460</v>
      </c>
      <c r="H178" s="224" t="str">
        <f t="shared" si="8"/>
        <v>FANG</v>
      </c>
      <c r="I178" s="225" t="str">
        <f t="shared" si="9"/>
        <v>XLE</v>
      </c>
      <c r="J178" s="226" t="str">
        <f t="shared" si="10"/>
        <v>油氣E&amp;P</v>
      </c>
      <c r="K178" s="227" t="str">
        <f t="shared" si="11"/>
        <v>.SPX</v>
      </c>
      <c r="L178" s="228">
        <v>0.51419999999999999</v>
      </c>
      <c r="M178" s="229">
        <v>79.83</v>
      </c>
      <c r="N178" s="228">
        <v>1.1264000000000001</v>
      </c>
      <c r="O178" s="228">
        <v>0.41349999999999998</v>
      </c>
      <c r="P178" s="228">
        <v>0.90459999999999996</v>
      </c>
      <c r="Q178" s="230">
        <v>0.46619999999999995</v>
      </c>
      <c r="R178" s="231">
        <v>44328</v>
      </c>
      <c r="S178" s="232">
        <v>79.480003356933594</v>
      </c>
      <c r="T178" s="233">
        <v>0.4</v>
      </c>
      <c r="U178" s="234">
        <v>43238</v>
      </c>
      <c r="V178" s="232">
        <v>127.29832458496</v>
      </c>
      <c r="W178" s="235">
        <v>0.125</v>
      </c>
    </row>
    <row r="179" spans="1:23" ht="15.75" customHeight="1" thickBot="1">
      <c r="A179" s="102" t="s">
        <v>1093</v>
      </c>
      <c r="B179" s="104"/>
      <c r="C179" s="104"/>
      <c r="D179" s="105" t="s">
        <v>1546</v>
      </c>
      <c r="E179" s="374"/>
      <c r="F179" s="222" t="s">
        <v>286</v>
      </c>
      <c r="G179" s="223" t="s">
        <v>1501</v>
      </c>
      <c r="H179" s="224" t="str">
        <f t="shared" si="8"/>
        <v>FAST</v>
      </c>
      <c r="I179" s="225" t="str">
        <f t="shared" si="9"/>
        <v>XLI</v>
      </c>
      <c r="J179" s="226" t="str">
        <f t="shared" si="10"/>
        <v>產業佈局</v>
      </c>
      <c r="K179" s="227" t="str">
        <f t="shared" si="11"/>
        <v>.SPX</v>
      </c>
      <c r="L179" s="228">
        <v>0.20330000000000001</v>
      </c>
      <c r="M179" s="229">
        <v>55.45</v>
      </c>
      <c r="N179" s="228">
        <v>0.36099999999999999</v>
      </c>
      <c r="O179" s="228">
        <v>0.12089999999999999</v>
      </c>
      <c r="P179" s="228">
        <v>0.3931</v>
      </c>
      <c r="Q179" s="230">
        <v>0.19820000000000002</v>
      </c>
      <c r="R179" s="231">
        <v>44403</v>
      </c>
      <c r="S179" s="232">
        <v>54.349998474121001</v>
      </c>
      <c r="T179" s="233">
        <v>0.28000000000000003</v>
      </c>
      <c r="U179" s="234">
        <v>42664</v>
      </c>
      <c r="V179" s="232">
        <v>16.810276031494102</v>
      </c>
      <c r="W179" s="235">
        <v>0.15</v>
      </c>
    </row>
    <row r="180" spans="1:23" ht="15.75" customHeight="1" thickBot="1">
      <c r="A180" s="102" t="s">
        <v>1386</v>
      </c>
      <c r="B180" s="104"/>
      <c r="C180" s="104"/>
      <c r="D180" s="105" t="s">
        <v>1546</v>
      </c>
      <c r="E180" s="374"/>
      <c r="F180" s="222" t="s">
        <v>193</v>
      </c>
      <c r="G180" s="223" t="s">
        <v>1502</v>
      </c>
      <c r="H180" s="224" t="str">
        <f>IF(F180="","",F180)</f>
        <v>FB</v>
      </c>
      <c r="I180" s="225" t="str">
        <f t="shared" si="9"/>
        <v>XLC</v>
      </c>
      <c r="J180" s="226" t="str">
        <f t="shared" si="10"/>
        <v>互聯網內容與信息</v>
      </c>
      <c r="K180" s="227" t="str">
        <f t="shared" si="11"/>
        <v>.SPX</v>
      </c>
      <c r="L180" s="228">
        <v>0.23680000000000001</v>
      </c>
      <c r="M180" s="229">
        <v>362.97</v>
      </c>
      <c r="N180" s="228">
        <v>0.50470000000000004</v>
      </c>
      <c r="O180" s="228">
        <v>0.2099</v>
      </c>
      <c r="P180" s="228">
        <v>0.53810000000000002</v>
      </c>
      <c r="Q180" s="230">
        <v>0.21510000000000001</v>
      </c>
      <c r="R180" s="231">
        <v>0</v>
      </c>
      <c r="S180" s="232">
        <v>0</v>
      </c>
      <c r="T180" s="233">
        <v>0</v>
      </c>
      <c r="U180" s="234">
        <v>0</v>
      </c>
      <c r="V180" s="232">
        <v>0</v>
      </c>
      <c r="W180" s="235">
        <v>0</v>
      </c>
    </row>
    <row r="181" spans="1:23" ht="15.75" customHeight="1" thickBot="1">
      <c r="A181" s="102" t="s">
        <v>1544</v>
      </c>
      <c r="B181" s="104"/>
      <c r="C181" s="104"/>
      <c r="D181" s="105" t="s">
        <v>1546</v>
      </c>
      <c r="E181" s="374"/>
      <c r="F181" s="222" t="s">
        <v>457</v>
      </c>
      <c r="G181" s="223" t="s">
        <v>521</v>
      </c>
      <c r="H181" s="224" t="str">
        <f t="shared" si="8"/>
        <v>FBHS</v>
      </c>
      <c r="I181" s="225" t="str">
        <f t="shared" si="9"/>
        <v>XLI</v>
      </c>
      <c r="J181" s="226" t="str">
        <f t="shared" si="10"/>
        <v>-</v>
      </c>
      <c r="K181" s="227" t="str">
        <f t="shared" si="11"/>
        <v>.SPX</v>
      </c>
      <c r="L181" s="228">
        <v>0.24640000000000001</v>
      </c>
      <c r="M181" s="229">
        <v>100.36</v>
      </c>
      <c r="N181" s="228">
        <v>0.42449999999999999</v>
      </c>
      <c r="O181" s="228">
        <v>0.17119999999999999</v>
      </c>
      <c r="P181" s="228">
        <v>0.46619999999999995</v>
      </c>
      <c r="Q181" s="230">
        <v>0.2419</v>
      </c>
      <c r="R181" s="231">
        <v>44343</v>
      </c>
      <c r="S181" s="232">
        <v>104.970001220703</v>
      </c>
      <c r="T181" s="233">
        <v>0.26</v>
      </c>
      <c r="U181" s="234">
        <v>42606</v>
      </c>
      <c r="V181" s="232">
        <v>59.147994995117102</v>
      </c>
      <c r="W181" s="235">
        <v>0.16</v>
      </c>
    </row>
    <row r="182" spans="1:23" ht="15.75" customHeight="1" thickBot="1">
      <c r="A182" s="102" t="s">
        <v>1371</v>
      </c>
      <c r="B182" s="104"/>
      <c r="C182" s="104"/>
      <c r="D182" s="105" t="s">
        <v>1546</v>
      </c>
      <c r="E182" s="374"/>
      <c r="F182" s="222" t="s">
        <v>445</v>
      </c>
      <c r="G182" s="223" t="s">
        <v>1503</v>
      </c>
      <c r="H182" s="224" t="str">
        <f t="shared" si="8"/>
        <v>FCX</v>
      </c>
      <c r="I182" s="225" t="str">
        <f t="shared" si="9"/>
        <v>XLB</v>
      </c>
      <c r="J182" s="226" t="str">
        <f t="shared" si="10"/>
        <v>銅</v>
      </c>
      <c r="K182" s="227" t="str">
        <f t="shared" si="11"/>
        <v>.SPX</v>
      </c>
      <c r="L182" s="228">
        <v>0.432</v>
      </c>
      <c r="M182" s="229">
        <v>35.85</v>
      </c>
      <c r="N182" s="228">
        <v>0.68869999999999998</v>
      </c>
      <c r="O182" s="228">
        <v>0.30059999999999998</v>
      </c>
      <c r="P182" s="228">
        <v>0.63790000000000002</v>
      </c>
      <c r="Q182" s="230">
        <v>0.42450000000000004</v>
      </c>
      <c r="R182" s="231">
        <v>44391</v>
      </c>
      <c r="S182" s="232">
        <v>34.520000457763601</v>
      </c>
      <c r="T182" s="233">
        <v>7.4999999999999997E-2</v>
      </c>
      <c r="U182" s="234">
        <v>43202</v>
      </c>
      <c r="V182" s="232">
        <v>17.282691955566399</v>
      </c>
      <c r="W182" s="235">
        <v>0.05</v>
      </c>
    </row>
    <row r="183" spans="1:23" ht="15.75" customHeight="1" thickBot="1">
      <c r="A183" s="102" t="s">
        <v>1545</v>
      </c>
      <c r="B183" s="104"/>
      <c r="C183" s="104"/>
      <c r="D183" s="105" t="s">
        <v>1546</v>
      </c>
      <c r="E183" s="374"/>
      <c r="F183" s="222" t="s">
        <v>314</v>
      </c>
      <c r="G183" s="223" t="s">
        <v>1484</v>
      </c>
      <c r="H183" s="224" t="str">
        <f t="shared" si="8"/>
        <v>FDX</v>
      </c>
      <c r="I183" s="225" t="str">
        <f t="shared" si="9"/>
        <v>XLI</v>
      </c>
      <c r="J183" s="226" t="str">
        <f t="shared" si="10"/>
        <v>綜合貨運物流</v>
      </c>
      <c r="K183" s="227" t="str">
        <f t="shared" si="11"/>
        <v>.SPX</v>
      </c>
      <c r="L183" s="228">
        <v>0.2535</v>
      </c>
      <c r="M183" s="229">
        <v>275.8</v>
      </c>
      <c r="N183" s="228">
        <v>0.48170000000000002</v>
      </c>
      <c r="O183" s="228">
        <v>0.21820000000000001</v>
      </c>
      <c r="P183" s="228">
        <v>0.62080000000000002</v>
      </c>
      <c r="Q183" s="230">
        <v>0.22359999999999999</v>
      </c>
      <c r="R183" s="231">
        <v>44372</v>
      </c>
      <c r="S183" s="232">
        <v>291.95001220703102</v>
      </c>
      <c r="T183" s="233">
        <v>0.75</v>
      </c>
      <c r="U183" s="234">
        <v>42621</v>
      </c>
      <c r="V183" s="232">
        <v>156.21949768066401</v>
      </c>
      <c r="W183" s="235">
        <v>0.4</v>
      </c>
    </row>
    <row r="184" spans="1:23" ht="15.75" customHeight="1" thickBot="1">
      <c r="A184" s="102" t="s">
        <v>1156</v>
      </c>
      <c r="B184" s="104"/>
      <c r="C184" s="104"/>
      <c r="D184" s="105" t="s">
        <v>1546</v>
      </c>
      <c r="E184" s="374"/>
      <c r="F184" s="222" t="s">
        <v>244</v>
      </c>
      <c r="G184" s="223" t="s">
        <v>1443</v>
      </c>
      <c r="H184" s="224" t="str">
        <f t="shared" si="8"/>
        <v>FE</v>
      </c>
      <c r="I184" s="225" t="str">
        <f t="shared" si="9"/>
        <v>XLU</v>
      </c>
      <c r="J184" s="226" t="str">
        <f t="shared" si="10"/>
        <v>公用事業—受監督的電力</v>
      </c>
      <c r="K184" s="227" t="str">
        <f t="shared" si="11"/>
        <v>.SPX</v>
      </c>
      <c r="L184" s="228">
        <v>0.20549999999999999</v>
      </c>
      <c r="M184" s="229">
        <v>37.979999999999997</v>
      </c>
      <c r="N184" s="228">
        <v>0.93149999999999999</v>
      </c>
      <c r="O184" s="228">
        <v>0.13669999999999999</v>
      </c>
      <c r="P184" s="228">
        <v>0.46929999999999999</v>
      </c>
      <c r="Q184" s="230">
        <v>0.17030000000000001</v>
      </c>
      <c r="R184" s="231">
        <v>44413</v>
      </c>
      <c r="S184" s="232">
        <v>37.970001220703097</v>
      </c>
      <c r="T184" s="233">
        <v>0.39</v>
      </c>
      <c r="U184" s="234">
        <v>42677</v>
      </c>
      <c r="V184" s="232">
        <v>27.227190017700099</v>
      </c>
      <c r="W184" s="235">
        <v>0.36</v>
      </c>
    </row>
    <row r="185" spans="1:23" ht="15.75" customHeight="1" thickBot="1">
      <c r="A185" s="102" t="s">
        <v>967</v>
      </c>
      <c r="B185" s="104"/>
      <c r="C185" s="104"/>
      <c r="D185" s="105" t="s">
        <v>1546</v>
      </c>
      <c r="E185" s="374"/>
      <c r="F185" s="222" t="s">
        <v>31</v>
      </c>
      <c r="G185" s="223" t="s">
        <v>1438</v>
      </c>
      <c r="H185" s="224" t="str">
        <f t="shared" si="8"/>
        <v>FFIV</v>
      </c>
      <c r="I185" s="225" t="str">
        <f t="shared" si="9"/>
        <v>XLK</v>
      </c>
      <c r="J185" s="226" t="str">
        <f t="shared" si="10"/>
        <v>軟件基礎設施</v>
      </c>
      <c r="K185" s="227" t="str">
        <f t="shared" si="11"/>
        <v>.SPX</v>
      </c>
      <c r="L185" s="228">
        <v>0.23549999999999999</v>
      </c>
      <c r="M185" s="229">
        <v>211.38</v>
      </c>
      <c r="N185" s="228">
        <v>0.43840000000000001</v>
      </c>
      <c r="O185" s="228">
        <v>0.12820000000000001</v>
      </c>
      <c r="P185" s="228">
        <v>0.53469999999999995</v>
      </c>
      <c r="Q185" s="230">
        <v>0.22120000000000001</v>
      </c>
      <c r="R185" s="231">
        <v>0</v>
      </c>
      <c r="S185" s="232">
        <v>0</v>
      </c>
      <c r="T185" s="233">
        <v>0</v>
      </c>
      <c r="U185" s="234">
        <v>0</v>
      </c>
      <c r="V185" s="232">
        <v>0</v>
      </c>
      <c r="W185" s="235">
        <v>0</v>
      </c>
    </row>
    <row r="186" spans="1:23" ht="15.75" customHeight="1" thickBot="1">
      <c r="A186" s="102" t="s">
        <v>1095</v>
      </c>
      <c r="B186" s="104"/>
      <c r="C186" s="104"/>
      <c r="D186" s="105" t="s">
        <v>1546</v>
      </c>
      <c r="E186" s="374"/>
      <c r="F186" s="222" t="s">
        <v>231</v>
      </c>
      <c r="G186" s="223" t="s">
        <v>1437</v>
      </c>
      <c r="H186" s="224" t="str">
        <f t="shared" si="8"/>
        <v>FIS</v>
      </c>
      <c r="I186" s="225" t="str">
        <f t="shared" si="9"/>
        <v>XLK</v>
      </c>
      <c r="J186" s="226" t="str">
        <f t="shared" si="10"/>
        <v>信息技術處</v>
      </c>
      <c r="K186" s="227" t="str">
        <f t="shared" si="11"/>
        <v>.SPX</v>
      </c>
      <c r="L186" s="228">
        <v>0.25609999999999999</v>
      </c>
      <c r="M186" s="229">
        <v>129.74</v>
      </c>
      <c r="N186" s="228">
        <v>0.3841</v>
      </c>
      <c r="O186" s="228">
        <v>0.14299999999999999</v>
      </c>
      <c r="P186" s="228">
        <v>0.42469999999999997</v>
      </c>
      <c r="Q186" s="230">
        <v>0.18309999999999998</v>
      </c>
      <c r="R186" s="231">
        <v>44357</v>
      </c>
      <c r="S186" s="232">
        <v>145.38000488281199</v>
      </c>
      <c r="T186" s="233">
        <v>0.39</v>
      </c>
      <c r="U186" s="234">
        <v>42627</v>
      </c>
      <c r="V186" s="232">
        <v>71.964591979980398</v>
      </c>
      <c r="W186" s="235">
        <v>0.26</v>
      </c>
    </row>
    <row r="187" spans="1:23" ht="15.75" customHeight="1" thickBot="1">
      <c r="A187" s="102" t="s">
        <v>1412</v>
      </c>
      <c r="B187" s="104"/>
      <c r="C187" s="104"/>
      <c r="D187" s="105" t="s">
        <v>1546</v>
      </c>
      <c r="E187" s="374"/>
      <c r="F187" s="222" t="s">
        <v>450</v>
      </c>
      <c r="G187" s="223" t="s">
        <v>1437</v>
      </c>
      <c r="H187" s="224" t="str">
        <f t="shared" si="8"/>
        <v>FISV</v>
      </c>
      <c r="I187" s="225" t="str">
        <f t="shared" si="9"/>
        <v>XLK</v>
      </c>
      <c r="J187" s="226" t="str">
        <f t="shared" si="10"/>
        <v>信息技術處</v>
      </c>
      <c r="K187" s="227" t="str">
        <f t="shared" si="11"/>
        <v>.SPX</v>
      </c>
      <c r="L187" s="228">
        <v>0.23769999999999999</v>
      </c>
      <c r="M187" s="229">
        <v>109.64</v>
      </c>
      <c r="N187" s="228">
        <v>0.37559999999999999</v>
      </c>
      <c r="O187" s="228">
        <v>0.13439999999999999</v>
      </c>
      <c r="P187" s="228">
        <v>0.42219999999999996</v>
      </c>
      <c r="Q187" s="230">
        <v>0.20120000000000002</v>
      </c>
      <c r="R187" s="231">
        <v>43179</v>
      </c>
      <c r="S187" s="232">
        <v>73.459999084472599</v>
      </c>
      <c r="T187" s="233">
        <v>0</v>
      </c>
      <c r="U187" s="234">
        <v>43179</v>
      </c>
      <c r="V187" s="232">
        <v>73.459999084472599</v>
      </c>
      <c r="W187" s="235">
        <v>0</v>
      </c>
    </row>
    <row r="188" spans="1:23" ht="15.75" customHeight="1" thickBot="1">
      <c r="A188" s="102" t="s">
        <v>1351</v>
      </c>
      <c r="B188" s="104"/>
      <c r="C188" s="104"/>
      <c r="D188" s="105" t="s">
        <v>1546</v>
      </c>
      <c r="E188" s="374"/>
      <c r="F188" s="222" t="s">
        <v>478</v>
      </c>
      <c r="G188" s="223" t="s">
        <v>1482</v>
      </c>
      <c r="H188" s="224" t="str">
        <f t="shared" si="8"/>
        <v>FITB</v>
      </c>
      <c r="I188" s="225" t="str">
        <f t="shared" si="9"/>
        <v>XLF</v>
      </c>
      <c r="J188" s="226" t="str">
        <f t="shared" si="10"/>
        <v>銀行-區域</v>
      </c>
      <c r="K188" s="227" t="str">
        <f t="shared" si="11"/>
        <v>.SPX</v>
      </c>
      <c r="L188" s="228">
        <v>0.30080000000000001</v>
      </c>
      <c r="M188" s="229">
        <v>36.979999999999997</v>
      </c>
      <c r="N188" s="228">
        <v>0.59640000000000004</v>
      </c>
      <c r="O188" s="228">
        <v>0.18160000000000001</v>
      </c>
      <c r="P188" s="228">
        <v>0.55969999999999998</v>
      </c>
      <c r="Q188" s="230">
        <v>0.25280000000000002</v>
      </c>
      <c r="R188" s="231">
        <v>44376</v>
      </c>
      <c r="S188" s="232">
        <v>38.090000152587798</v>
      </c>
      <c r="T188" s="233">
        <v>0.27</v>
      </c>
      <c r="U188" s="234">
        <v>42641</v>
      </c>
      <c r="V188" s="232">
        <v>17.573398590087798</v>
      </c>
      <c r="W188" s="235">
        <v>0.13</v>
      </c>
    </row>
    <row r="189" spans="1:23" ht="15.75" customHeight="1" thickBot="1">
      <c r="A189" s="102" t="s">
        <v>141</v>
      </c>
      <c r="B189" s="104"/>
      <c r="C189" s="104"/>
      <c r="D189" s="105" t="s">
        <v>886</v>
      </c>
      <c r="E189" s="374"/>
      <c r="F189" s="222" t="s">
        <v>294</v>
      </c>
      <c r="G189" s="223" t="s">
        <v>1437</v>
      </c>
      <c r="H189" s="224" t="str">
        <f t="shared" si="8"/>
        <v>FLT</v>
      </c>
      <c r="I189" s="225" t="str">
        <f t="shared" si="9"/>
        <v>XLK</v>
      </c>
      <c r="J189" s="226" t="str">
        <f t="shared" si="10"/>
        <v>信息技術處</v>
      </c>
      <c r="K189" s="227" t="str">
        <f t="shared" si="11"/>
        <v>.SPX</v>
      </c>
      <c r="L189" s="228">
        <v>0.2334</v>
      </c>
      <c r="M189" s="229">
        <v>260.79000000000002</v>
      </c>
      <c r="N189" s="228">
        <v>0.62709999999999999</v>
      </c>
      <c r="O189" s="228">
        <v>0.16470000000000001</v>
      </c>
      <c r="P189" s="228">
        <v>0.50960000000000005</v>
      </c>
      <c r="Q189" s="230">
        <v>0.182</v>
      </c>
      <c r="R189" s="231">
        <v>0</v>
      </c>
      <c r="S189" s="232">
        <v>0</v>
      </c>
      <c r="T189" s="233">
        <v>0</v>
      </c>
      <c r="U189" s="234">
        <v>0</v>
      </c>
      <c r="V189" s="232">
        <v>0</v>
      </c>
      <c r="W189" s="235">
        <v>0</v>
      </c>
    </row>
    <row r="190" spans="1:23" ht="15.75" customHeight="1" thickBot="1">
      <c r="A190" s="102" t="s">
        <v>1548</v>
      </c>
      <c r="B190" s="104"/>
      <c r="C190" s="104"/>
      <c r="D190" s="299" t="s">
        <v>1560</v>
      </c>
      <c r="E190" s="374"/>
      <c r="F190" s="222" t="s">
        <v>262</v>
      </c>
      <c r="G190" s="223" t="s">
        <v>1481</v>
      </c>
      <c r="H190" s="224" t="str">
        <f t="shared" si="8"/>
        <v>FMC</v>
      </c>
      <c r="I190" s="225" t="str">
        <f t="shared" si="9"/>
        <v>XLB</v>
      </c>
      <c r="J190" s="226" t="str">
        <f t="shared" si="10"/>
        <v>農業投入</v>
      </c>
      <c r="K190" s="227" t="str">
        <f t="shared" si="11"/>
        <v>.SPX</v>
      </c>
      <c r="L190" s="228">
        <v>0.26440000000000002</v>
      </c>
      <c r="M190" s="229">
        <v>93.23</v>
      </c>
      <c r="N190" s="228">
        <v>0.37490000000000001</v>
      </c>
      <c r="O190" s="228">
        <v>0.15920000000000001</v>
      </c>
      <c r="P190" s="228">
        <v>0.42710000000000004</v>
      </c>
      <c r="Q190" s="230">
        <v>0.19399999999999998</v>
      </c>
      <c r="R190" s="231">
        <v>44376</v>
      </c>
      <c r="S190" s="232">
        <v>109.02999877929599</v>
      </c>
      <c r="T190" s="233">
        <v>0.48</v>
      </c>
      <c r="U190" s="234">
        <v>42641</v>
      </c>
      <c r="V190" s="232">
        <v>39.281768798828097</v>
      </c>
      <c r="W190" s="235">
        <v>0.14310500000000001</v>
      </c>
    </row>
    <row r="191" spans="1:23" ht="15.75" customHeight="1" thickBot="1">
      <c r="A191" s="102" t="s">
        <v>132</v>
      </c>
      <c r="B191" s="104"/>
      <c r="C191" s="104"/>
      <c r="D191" s="299" t="s">
        <v>1560</v>
      </c>
      <c r="E191" s="374"/>
      <c r="F191" s="222" t="s">
        <v>353</v>
      </c>
      <c r="G191" s="223" t="s">
        <v>1504</v>
      </c>
      <c r="H191" s="224" t="str">
        <f t="shared" si="8"/>
        <v>FOX</v>
      </c>
      <c r="I191" s="225" t="str">
        <f t="shared" si="9"/>
        <v>XLC</v>
      </c>
      <c r="J191" s="226" t="str">
        <f t="shared" si="10"/>
        <v>廣播</v>
      </c>
      <c r="K191" s="227" t="str">
        <f t="shared" si="11"/>
        <v>.SPX</v>
      </c>
      <c r="L191" s="228" t="s">
        <v>864</v>
      </c>
      <c r="M191" s="229">
        <v>33.81</v>
      </c>
      <c r="N191" s="228">
        <v>0.59179999999999999</v>
      </c>
      <c r="O191" s="228">
        <v>0.1648</v>
      </c>
      <c r="P191" s="228" t="s">
        <v>864</v>
      </c>
      <c r="Q191" s="230" t="s">
        <v>864</v>
      </c>
      <c r="R191" s="231">
        <v>44264</v>
      </c>
      <c r="S191" s="232">
        <v>38.240001678466797</v>
      </c>
      <c r="T191" s="233">
        <v>0.23</v>
      </c>
      <c r="U191" s="234">
        <v>43602</v>
      </c>
      <c r="V191" s="232">
        <v>35.799827575683501</v>
      </c>
      <c r="W191" s="235">
        <v>0.23</v>
      </c>
    </row>
    <row r="192" spans="1:23" ht="15.75" customHeight="1" thickBot="1">
      <c r="A192" s="102" t="s">
        <v>1550</v>
      </c>
      <c r="B192" s="104"/>
      <c r="C192" s="104"/>
      <c r="D192" s="299" t="s">
        <v>1558</v>
      </c>
      <c r="E192" s="374"/>
      <c r="F192" s="222" t="s">
        <v>350</v>
      </c>
      <c r="G192" s="223" t="s">
        <v>1504</v>
      </c>
      <c r="H192" s="224" t="str">
        <f t="shared" si="8"/>
        <v>FOXA</v>
      </c>
      <c r="I192" s="225" t="str">
        <f t="shared" si="9"/>
        <v>XLC</v>
      </c>
      <c r="J192" s="226" t="str">
        <f t="shared" si="10"/>
        <v>廣播</v>
      </c>
      <c r="K192" s="227" t="str">
        <f t="shared" si="11"/>
        <v>.SPX</v>
      </c>
      <c r="L192" s="228">
        <v>0.30470000000000003</v>
      </c>
      <c r="M192" s="229">
        <v>36.71</v>
      </c>
      <c r="N192" s="228">
        <v>0.62949999999999995</v>
      </c>
      <c r="O192" s="228">
        <v>0.17419999999999999</v>
      </c>
      <c r="P192" s="228">
        <v>0.75819999999999999</v>
      </c>
      <c r="Q192" s="230">
        <v>0.25359999999999999</v>
      </c>
      <c r="R192" s="231">
        <v>44264</v>
      </c>
      <c r="S192" s="232">
        <v>40.319999694824197</v>
      </c>
      <c r="T192" s="233">
        <v>0.23</v>
      </c>
      <c r="U192" s="234">
        <v>43602</v>
      </c>
      <c r="V192" s="232">
        <v>36.293708801269503</v>
      </c>
      <c r="W192" s="235">
        <v>0.23</v>
      </c>
    </row>
    <row r="193" spans="1:23" ht="15.75" customHeight="1" thickBot="1">
      <c r="A193" s="102" t="s">
        <v>1552</v>
      </c>
      <c r="B193" s="104"/>
      <c r="C193" s="104"/>
      <c r="D193" s="299" t="s">
        <v>1558</v>
      </c>
      <c r="E193" s="374"/>
      <c r="F193" s="222" t="s">
        <v>447</v>
      </c>
      <c r="G193" s="223" t="s">
        <v>1482</v>
      </c>
      <c r="H193" s="224" t="str">
        <f t="shared" si="8"/>
        <v>FRC</v>
      </c>
      <c r="I193" s="225" t="str">
        <f t="shared" si="9"/>
        <v>XLF</v>
      </c>
      <c r="J193" s="226" t="str">
        <f t="shared" si="10"/>
        <v>銀行-區域</v>
      </c>
      <c r="K193" s="227" t="str">
        <f t="shared" si="11"/>
        <v>.SPX</v>
      </c>
      <c r="L193" s="228">
        <v>0.23810000000000001</v>
      </c>
      <c r="M193" s="229">
        <v>199.16</v>
      </c>
      <c r="N193" s="228">
        <v>0.3952</v>
      </c>
      <c r="O193" s="228">
        <v>0.16889999999999999</v>
      </c>
      <c r="P193" s="228">
        <v>0.39829999999999999</v>
      </c>
      <c r="Q193" s="230">
        <v>0.2165</v>
      </c>
      <c r="R193" s="231">
        <v>44405</v>
      </c>
      <c r="S193" s="232">
        <v>197.61999511718699</v>
      </c>
      <c r="T193" s="233">
        <v>0.22</v>
      </c>
      <c r="U193" s="234">
        <v>42668</v>
      </c>
      <c r="V193" s="232">
        <v>73.058700561523395</v>
      </c>
      <c r="W193" s="235">
        <v>0.16</v>
      </c>
    </row>
    <row r="194" spans="1:23" ht="15.75" customHeight="1" thickBot="1">
      <c r="A194" s="102" t="s">
        <v>1553</v>
      </c>
      <c r="B194" s="104"/>
      <c r="C194" s="104"/>
      <c r="D194" s="299" t="s">
        <v>1558</v>
      </c>
      <c r="E194" s="374"/>
      <c r="F194" s="222" t="s">
        <v>340</v>
      </c>
      <c r="G194" s="223" t="s">
        <v>521</v>
      </c>
      <c r="H194" s="224" t="str">
        <f t="shared" si="8"/>
        <v>FRT</v>
      </c>
      <c r="I194" s="225" t="str">
        <f t="shared" si="9"/>
        <v>XLRE</v>
      </c>
      <c r="J194" s="226" t="str">
        <f t="shared" si="10"/>
        <v>-</v>
      </c>
      <c r="K194" s="227" t="str">
        <f t="shared" si="11"/>
        <v>.SPX</v>
      </c>
      <c r="L194" s="228">
        <v>0.25280000000000002</v>
      </c>
      <c r="M194" s="229">
        <v>122.97</v>
      </c>
      <c r="N194" s="228">
        <v>0.97570000000000001</v>
      </c>
      <c r="O194" s="228">
        <v>0.18110000000000001</v>
      </c>
      <c r="P194" s="228">
        <v>0.53569999999999995</v>
      </c>
      <c r="Q194" s="230">
        <v>0.21230000000000002</v>
      </c>
      <c r="R194" s="231">
        <v>44368</v>
      </c>
      <c r="S194" s="232">
        <v>119.730003356933</v>
      </c>
      <c r="T194" s="233">
        <v>1.06</v>
      </c>
      <c r="U194" s="234">
        <v>42633</v>
      </c>
      <c r="V194" s="232">
        <v>130.20402526855401</v>
      </c>
      <c r="W194" s="235">
        <v>0.98</v>
      </c>
    </row>
    <row r="195" spans="1:23" ht="15.75" customHeight="1" thickBot="1">
      <c r="A195" s="102" t="s">
        <v>1555</v>
      </c>
      <c r="B195" s="104"/>
      <c r="C195" s="104"/>
      <c r="D195" s="105" t="s">
        <v>1559</v>
      </c>
      <c r="E195" s="374"/>
      <c r="F195" s="222" t="s">
        <v>91</v>
      </c>
      <c r="G195" s="223" t="s">
        <v>1438</v>
      </c>
      <c r="H195" s="224" t="str">
        <f t="shared" si="8"/>
        <v>FTNT</v>
      </c>
      <c r="I195" s="225" t="str">
        <f t="shared" si="9"/>
        <v>XLK</v>
      </c>
      <c r="J195" s="226" t="str">
        <f t="shared" si="10"/>
        <v>軟件基礎設施</v>
      </c>
      <c r="K195" s="227" t="str">
        <f t="shared" si="11"/>
        <v>.SPX</v>
      </c>
      <c r="L195" s="228">
        <v>0.30819999999999997</v>
      </c>
      <c r="M195" s="229">
        <v>300.02</v>
      </c>
      <c r="N195" s="228">
        <v>0.50280000000000002</v>
      </c>
      <c r="O195" s="228">
        <v>0.19159999999999999</v>
      </c>
      <c r="P195" s="228">
        <v>0.57669999999999999</v>
      </c>
      <c r="Q195" s="230">
        <v>0.26850000000000002</v>
      </c>
      <c r="R195" s="231">
        <v>0</v>
      </c>
      <c r="S195" s="232">
        <v>0</v>
      </c>
      <c r="T195" s="233">
        <v>0</v>
      </c>
      <c r="U195" s="234">
        <v>0</v>
      </c>
      <c r="V195" s="232">
        <v>0</v>
      </c>
      <c r="W195" s="235">
        <v>0</v>
      </c>
    </row>
    <row r="196" spans="1:23" ht="15.75" customHeight="1" thickBot="1">
      <c r="A196" s="102" t="s">
        <v>138</v>
      </c>
      <c r="B196" s="104"/>
      <c r="C196" s="104"/>
      <c r="D196" s="299" t="s">
        <v>1560</v>
      </c>
      <c r="E196" s="374"/>
      <c r="F196" s="222" t="s">
        <v>392</v>
      </c>
      <c r="G196" s="223" t="s">
        <v>1505</v>
      </c>
      <c r="H196" s="224" t="str">
        <f t="shared" ref="H196:H259" si="12">IF(F196="","",F196)</f>
        <v>FTV</v>
      </c>
      <c r="I196" s="225" t="str">
        <f t="shared" ref="I196:I259" si="13">IFERROR(INDEX($X$3:$AH$3,IF(IFERROR(MATCH(H196,X:X,0),0)&lt;&gt;0,1,IF(IFERROR(MATCH(H196,Y:Y,0),0)&lt;&gt;0,2,IF(IFERROR(MATCH(H196,Z:Z,0),0)&lt;&gt;0,3,IF(IFERROR(MATCH(H196,AA:AA,0),0)&lt;&gt;0,4,IF(IFERROR(MATCH(H196,AB:AB,0),0)&lt;&gt;0,5,IF(IFERROR(MATCH(H196,AC:AC,0),0)&lt;&gt;0,6,IF(IFERROR(MATCH(H196,AD:AD,0),0)&lt;&gt;0,7,IF(IFERROR(MATCH(H196,AE:AE,0),0)&lt;&gt;0,8,IF(IFERROR(MATCH(H196,AF:AF,0),0)&lt;&gt;0,9,IF(IFERROR(MATCH(H196,AG:AG,0),0)&lt;&gt;0,10,IF(IFERROR(MATCH(H196,AH:AH,0),0)&lt;&gt;0,11,"Z")))))))))))),"")</f>
        <v>XLI</v>
      </c>
      <c r="J196" s="226" t="str">
        <f t="shared" ref="J196:J259" si="14">IF(G196="","",G196)</f>
        <v>科技儀器</v>
      </c>
      <c r="K196" s="227" t="str">
        <f t="shared" si="11"/>
        <v>.SPX</v>
      </c>
      <c r="L196" s="228">
        <v>0.21920000000000001</v>
      </c>
      <c r="M196" s="229">
        <v>73.52</v>
      </c>
      <c r="N196" s="228">
        <v>0.56059999999999999</v>
      </c>
      <c r="O196" s="228">
        <v>0.13830000000000001</v>
      </c>
      <c r="P196" s="228">
        <v>0.46939999999999998</v>
      </c>
      <c r="Q196" s="230">
        <v>0.21729999999999999</v>
      </c>
      <c r="R196" s="231">
        <v>44343</v>
      </c>
      <c r="S196" s="232">
        <v>72.269996643066406</v>
      </c>
      <c r="T196" s="233">
        <v>7.0000000000000007E-2</v>
      </c>
      <c r="U196" s="234">
        <v>42606</v>
      </c>
      <c r="V196" s="232">
        <v>42.17671585083</v>
      </c>
      <c r="W196" s="235">
        <v>5.8576999999999997E-2</v>
      </c>
    </row>
    <row r="197" spans="1:23" ht="15.75" customHeight="1" thickBot="1">
      <c r="A197" s="102" t="s">
        <v>1557</v>
      </c>
      <c r="B197" s="104"/>
      <c r="C197" s="104"/>
      <c r="D197" s="299" t="s">
        <v>1561</v>
      </c>
      <c r="E197" s="374"/>
      <c r="F197" s="222" t="s">
        <v>329</v>
      </c>
      <c r="G197" s="223" t="s">
        <v>1470</v>
      </c>
      <c r="H197" s="224" t="str">
        <f t="shared" si="12"/>
        <v>GD</v>
      </c>
      <c r="I197" s="225" t="str">
        <f t="shared" si="13"/>
        <v>XLI</v>
      </c>
      <c r="J197" s="226" t="str">
        <f t="shared" si="14"/>
        <v>航天軍工</v>
      </c>
      <c r="K197" s="227" t="str">
        <f t="shared" ref="K197:K260" si="15">IF(H197="","",".SPX")</f>
        <v>.SPX</v>
      </c>
      <c r="L197" s="228">
        <v>0.18840000000000001</v>
      </c>
      <c r="M197" s="229">
        <v>198.21</v>
      </c>
      <c r="N197" s="228">
        <v>0.31059999999999999</v>
      </c>
      <c r="O197" s="228">
        <v>0.14829999999999999</v>
      </c>
      <c r="P197" s="228">
        <v>0.42310000000000003</v>
      </c>
      <c r="Q197" s="230">
        <v>0.16750000000000001</v>
      </c>
      <c r="R197" s="231">
        <v>44378</v>
      </c>
      <c r="S197" s="232">
        <v>188.05000305175699</v>
      </c>
      <c r="T197" s="233">
        <v>1.19</v>
      </c>
      <c r="U197" s="234">
        <v>42648</v>
      </c>
      <c r="V197" s="232">
        <v>138.15060424804599</v>
      </c>
      <c r="W197" s="235">
        <v>0.76</v>
      </c>
    </row>
    <row r="198" spans="1:23" ht="15.75" customHeight="1" thickBot="1">
      <c r="A198" s="102" t="s">
        <v>1566</v>
      </c>
      <c r="B198" s="104"/>
      <c r="C198" s="104"/>
      <c r="D198" s="105" t="s">
        <v>1567</v>
      </c>
      <c r="E198" s="374"/>
      <c r="F198" s="222" t="s">
        <v>384</v>
      </c>
      <c r="G198" s="223" t="s">
        <v>1454</v>
      </c>
      <c r="H198" s="224" t="str">
        <f t="shared" si="12"/>
        <v>GE</v>
      </c>
      <c r="I198" s="225" t="str">
        <f t="shared" si="13"/>
        <v>XLI</v>
      </c>
      <c r="J198" s="226" t="str">
        <f t="shared" si="14"/>
        <v>特種工業機械</v>
      </c>
      <c r="K198" s="227" t="str">
        <f t="shared" si="15"/>
        <v>.SPX</v>
      </c>
      <c r="L198" s="228">
        <v>0.311</v>
      </c>
      <c r="M198" s="229">
        <v>104.29</v>
      </c>
      <c r="N198" s="228">
        <v>0.5575</v>
      </c>
      <c r="O198" s="228">
        <v>0.21759999999999999</v>
      </c>
      <c r="P198" s="228">
        <v>0.61899999999999999</v>
      </c>
      <c r="Q198" s="230">
        <v>0.2893</v>
      </c>
      <c r="R198" s="231">
        <v>44410</v>
      </c>
      <c r="S198" s="232">
        <v>100.59999847412099</v>
      </c>
      <c r="T198" s="233">
        <v>0</v>
      </c>
      <c r="U198" s="234">
        <v>42628</v>
      </c>
      <c r="V198" s="232">
        <v>211.426666259765</v>
      </c>
      <c r="W198" s="235">
        <v>1.769231</v>
      </c>
    </row>
    <row r="199" spans="1:23" ht="15.75" customHeight="1" thickBot="1">
      <c r="A199" s="102" t="s">
        <v>1602</v>
      </c>
      <c r="B199" s="104"/>
      <c r="C199" s="104"/>
      <c r="D199" s="105"/>
      <c r="E199" s="374"/>
      <c r="F199" s="222" t="s">
        <v>149</v>
      </c>
      <c r="G199" s="223" t="s">
        <v>1434</v>
      </c>
      <c r="H199" s="224" t="str">
        <f t="shared" si="12"/>
        <v>GILD</v>
      </c>
      <c r="I199" s="225" t="str">
        <f t="shared" si="13"/>
        <v>XLV</v>
      </c>
      <c r="J199" s="226" t="str">
        <f t="shared" si="14"/>
        <v>藥品製造商— 常規</v>
      </c>
      <c r="K199" s="227" t="str">
        <f t="shared" si="15"/>
        <v>.SPX</v>
      </c>
      <c r="L199" s="228">
        <v>0.17879999999999999</v>
      </c>
      <c r="M199" s="229">
        <v>68.88</v>
      </c>
      <c r="N199" s="228">
        <v>0.307</v>
      </c>
      <c r="O199" s="228">
        <v>0.1167</v>
      </c>
      <c r="P199" s="228">
        <v>0.39779999999999999</v>
      </c>
      <c r="Q199" s="230">
        <v>0.17879999999999999</v>
      </c>
      <c r="R199" s="231">
        <v>44361</v>
      </c>
      <c r="S199" s="232">
        <v>68.150001525878906</v>
      </c>
      <c r="T199" s="233">
        <v>0.71</v>
      </c>
      <c r="U199" s="234">
        <v>42627</v>
      </c>
      <c r="V199" s="232">
        <v>65.773574829101506</v>
      </c>
      <c r="W199" s="235">
        <v>0.47</v>
      </c>
    </row>
    <row r="200" spans="1:23" ht="15.75" customHeight="1" thickBot="1">
      <c r="A200" s="102"/>
      <c r="B200" s="104"/>
      <c r="C200" s="104"/>
      <c r="D200" s="105"/>
      <c r="E200" s="374"/>
      <c r="F200" s="222" t="s">
        <v>186</v>
      </c>
      <c r="G200" s="223" t="s">
        <v>1476</v>
      </c>
      <c r="H200" s="224" t="str">
        <f t="shared" si="12"/>
        <v>GIS</v>
      </c>
      <c r="I200" s="225" t="str">
        <f t="shared" si="13"/>
        <v>XLP</v>
      </c>
      <c r="J200" s="226" t="str">
        <f t="shared" si="14"/>
        <v>包裝食品</v>
      </c>
      <c r="K200" s="227" t="str">
        <f t="shared" si="15"/>
        <v>.SPX</v>
      </c>
      <c r="L200" s="228">
        <v>0.17799999999999999</v>
      </c>
      <c r="M200" s="229">
        <v>58.3</v>
      </c>
      <c r="N200" s="228">
        <v>0.2767</v>
      </c>
      <c r="O200" s="228">
        <v>0.12809999999999999</v>
      </c>
      <c r="P200" s="228">
        <v>0.32479999999999998</v>
      </c>
      <c r="Q200" s="230">
        <v>0.161</v>
      </c>
      <c r="R200" s="231">
        <v>44385</v>
      </c>
      <c r="S200" s="232">
        <v>59.659999847412102</v>
      </c>
      <c r="T200" s="233">
        <v>0.51</v>
      </c>
      <c r="U200" s="234">
        <v>42648</v>
      </c>
      <c r="V200" s="232">
        <v>52.351200103759702</v>
      </c>
      <c r="W200" s="235">
        <v>0.48</v>
      </c>
    </row>
    <row r="201" spans="1:23" ht="15.75" customHeight="1" thickBot="1">
      <c r="A201" s="102"/>
      <c r="B201" s="104"/>
      <c r="C201" s="104"/>
      <c r="D201" s="105"/>
      <c r="E201" s="374"/>
      <c r="F201" s="222" t="s">
        <v>427</v>
      </c>
      <c r="G201" s="223" t="s">
        <v>1445</v>
      </c>
      <c r="H201" s="224" t="str">
        <f t="shared" si="12"/>
        <v>GL</v>
      </c>
      <c r="I201" s="225" t="str">
        <f t="shared" si="13"/>
        <v>XLF</v>
      </c>
      <c r="J201" s="226" t="str">
        <f t="shared" si="14"/>
        <v>保險-人壽保險</v>
      </c>
      <c r="K201" s="227" t="str">
        <f t="shared" si="15"/>
        <v>.SPX</v>
      </c>
      <c r="L201" s="228">
        <v>0.249</v>
      </c>
      <c r="M201" s="229">
        <v>93.6</v>
      </c>
      <c r="N201" s="228">
        <v>0.38829999999999998</v>
      </c>
      <c r="O201" s="228">
        <v>0.1542</v>
      </c>
      <c r="P201" s="228">
        <v>0.46479999999999999</v>
      </c>
      <c r="Q201" s="230">
        <v>0.1709</v>
      </c>
      <c r="R201" s="231">
        <v>44378</v>
      </c>
      <c r="S201" s="232">
        <v>96.660003662109304</v>
      </c>
      <c r="T201" s="233">
        <v>0.19800000000000001</v>
      </c>
      <c r="U201" s="234">
        <v>42648</v>
      </c>
      <c r="V201" s="232">
        <v>62.277778625488203</v>
      </c>
      <c r="W201" s="235">
        <v>0.14000000000000001</v>
      </c>
    </row>
    <row r="202" spans="1:23" ht="15.75" customHeight="1" thickBot="1">
      <c r="A202" s="102"/>
      <c r="B202" s="104"/>
      <c r="C202" s="104"/>
      <c r="D202" s="105"/>
      <c r="E202" s="374"/>
      <c r="F202" s="222" t="s">
        <v>197</v>
      </c>
      <c r="G202" s="223" t="s">
        <v>1462</v>
      </c>
      <c r="H202" s="224" t="str">
        <f t="shared" si="12"/>
        <v>GLW</v>
      </c>
      <c r="I202" s="225" t="str">
        <f t="shared" si="13"/>
        <v>XLK</v>
      </c>
      <c r="J202" s="226" t="str">
        <f t="shared" si="14"/>
        <v>電子元件</v>
      </c>
      <c r="K202" s="227" t="str">
        <f t="shared" si="15"/>
        <v>.SPX</v>
      </c>
      <c r="L202" s="228">
        <v>0.23880000000000001</v>
      </c>
      <c r="M202" s="229">
        <v>40.89</v>
      </c>
      <c r="N202" s="228">
        <v>0.3745</v>
      </c>
      <c r="O202" s="228">
        <v>0.20100000000000001</v>
      </c>
      <c r="P202" s="228">
        <v>0.44</v>
      </c>
      <c r="Q202" s="230">
        <v>0.21390000000000001</v>
      </c>
      <c r="R202" s="231">
        <v>44343</v>
      </c>
      <c r="S202" s="232">
        <v>43.319999694824197</v>
      </c>
      <c r="T202" s="233">
        <v>0.24</v>
      </c>
      <c r="U202" s="234">
        <v>42611</v>
      </c>
      <c r="V202" s="232">
        <v>20.115287780761701</v>
      </c>
      <c r="W202" s="235">
        <v>0.13500000000000001</v>
      </c>
    </row>
    <row r="203" spans="1:23" ht="15.75" customHeight="1" thickBot="1">
      <c r="A203" s="102"/>
      <c r="B203" s="104"/>
      <c r="C203" s="104"/>
      <c r="D203" s="105"/>
      <c r="E203" s="374"/>
      <c r="F203" s="222" t="s">
        <v>490</v>
      </c>
      <c r="G203" s="223" t="s">
        <v>1500</v>
      </c>
      <c r="H203" s="224" t="str">
        <f t="shared" si="12"/>
        <v>GM</v>
      </c>
      <c r="I203" s="225" t="str">
        <f t="shared" si="13"/>
        <v>XLY</v>
      </c>
      <c r="J203" s="226" t="str">
        <f t="shared" si="14"/>
        <v>汽車製造商</v>
      </c>
      <c r="K203" s="227" t="str">
        <f t="shared" si="15"/>
        <v>.SPX</v>
      </c>
      <c r="L203" s="228">
        <v>0.32129999999999997</v>
      </c>
      <c r="M203" s="229">
        <v>55.29</v>
      </c>
      <c r="N203" s="228">
        <v>0.51780000000000004</v>
      </c>
      <c r="O203" s="228">
        <v>0.25669999999999998</v>
      </c>
      <c r="P203" s="228">
        <v>0.65879999999999994</v>
      </c>
      <c r="Q203" s="230">
        <v>0.28510000000000002</v>
      </c>
      <c r="R203" s="231">
        <v>43895</v>
      </c>
      <c r="S203" s="232">
        <v>30.100000381469702</v>
      </c>
      <c r="T203" s="233">
        <v>0.38</v>
      </c>
      <c r="U203" s="234">
        <v>42620</v>
      </c>
      <c r="V203" s="232">
        <v>27.5945510864257</v>
      </c>
      <c r="W203" s="235">
        <v>0.38</v>
      </c>
    </row>
    <row r="204" spans="1:23" ht="15.75" customHeight="1" thickBot="1">
      <c r="A204" s="102"/>
      <c r="B204" s="104"/>
      <c r="C204" s="104"/>
      <c r="D204" s="105"/>
      <c r="E204" s="374"/>
      <c r="F204" s="222" t="s">
        <v>260</v>
      </c>
      <c r="G204" s="223" t="s">
        <v>1454</v>
      </c>
      <c r="H204" s="224" t="str">
        <f t="shared" si="12"/>
        <v>GNRC</v>
      </c>
      <c r="I204" s="225" t="str">
        <f t="shared" si="13"/>
        <v>XLI</v>
      </c>
      <c r="J204" s="226" t="str">
        <f t="shared" si="14"/>
        <v>特種工業機械</v>
      </c>
      <c r="K204" s="227" t="str">
        <f t="shared" si="15"/>
        <v>.SPX</v>
      </c>
      <c r="L204" s="228">
        <v>0.35360000000000003</v>
      </c>
      <c r="M204" s="229">
        <v>403.72</v>
      </c>
      <c r="N204" s="228">
        <v>0.69830000000000003</v>
      </c>
      <c r="O204" s="228">
        <v>0.25269999999999998</v>
      </c>
      <c r="P204" s="228">
        <v>0.58389999999999997</v>
      </c>
      <c r="Q204" s="230">
        <v>0.32919999999999999</v>
      </c>
      <c r="R204" s="231">
        <v>0</v>
      </c>
      <c r="S204" s="232">
        <v>0</v>
      </c>
      <c r="T204" s="233">
        <v>0</v>
      </c>
      <c r="U204" s="234">
        <v>0</v>
      </c>
      <c r="V204" s="232">
        <v>0</v>
      </c>
      <c r="W204" s="235">
        <v>0</v>
      </c>
    </row>
    <row r="205" spans="1:23" ht="15.75" customHeight="1" thickBot="1">
      <c r="A205" s="102"/>
      <c r="B205" s="104"/>
      <c r="C205" s="104"/>
      <c r="D205" s="105"/>
      <c r="E205" s="374"/>
      <c r="F205" s="222" t="s">
        <v>118</v>
      </c>
      <c r="G205" s="223" t="s">
        <v>1502</v>
      </c>
      <c r="H205" s="224" t="str">
        <f t="shared" si="12"/>
        <v>GOOG</v>
      </c>
      <c r="I205" s="225" t="str">
        <f t="shared" si="13"/>
        <v>XLC</v>
      </c>
      <c r="J205" s="226" t="str">
        <f t="shared" si="14"/>
        <v>互聯網內容與信息</v>
      </c>
      <c r="K205" s="227" t="str">
        <f t="shared" si="15"/>
        <v>.SPX</v>
      </c>
      <c r="L205" s="228">
        <v>0.1903</v>
      </c>
      <c r="M205" s="236">
        <v>2738.8</v>
      </c>
      <c r="N205" s="228">
        <v>0.36</v>
      </c>
      <c r="O205" s="228">
        <v>0.1099</v>
      </c>
      <c r="P205" s="228">
        <v>0.48049999999999998</v>
      </c>
      <c r="Q205" s="230">
        <v>0.18109999999999998</v>
      </c>
      <c r="R205" s="231">
        <v>0</v>
      </c>
      <c r="S205" s="232">
        <v>0</v>
      </c>
      <c r="T205" s="233">
        <v>0</v>
      </c>
      <c r="U205" s="234">
        <v>0</v>
      </c>
      <c r="V205" s="232">
        <v>0</v>
      </c>
      <c r="W205" s="235">
        <v>0</v>
      </c>
    </row>
    <row r="206" spans="1:23" ht="15.75" customHeight="1" thickBot="1">
      <c r="A206" s="102"/>
      <c r="B206" s="104"/>
      <c r="C206" s="104"/>
      <c r="D206" s="105"/>
      <c r="E206" s="374"/>
      <c r="F206" s="222" t="s">
        <v>127</v>
      </c>
      <c r="G206" s="223" t="s">
        <v>1502</v>
      </c>
      <c r="H206" s="224" t="str">
        <f t="shared" si="12"/>
        <v>GOOGL</v>
      </c>
      <c r="I206" s="225" t="str">
        <f t="shared" si="13"/>
        <v>XLC</v>
      </c>
      <c r="J206" s="226" t="str">
        <f t="shared" si="14"/>
        <v>互聯網內容與信息</v>
      </c>
      <c r="K206" s="227" t="str">
        <f t="shared" si="15"/>
        <v>.SPX</v>
      </c>
      <c r="L206" s="228">
        <v>0.18429999999999999</v>
      </c>
      <c r="M206" s="236">
        <v>2725.03</v>
      </c>
      <c r="N206" s="228">
        <v>0.3679</v>
      </c>
      <c r="O206" s="228">
        <v>0.1298</v>
      </c>
      <c r="P206" s="228">
        <v>0.47909999999999997</v>
      </c>
      <c r="Q206" s="230">
        <v>0.18429999999999999</v>
      </c>
      <c r="R206" s="231">
        <v>0</v>
      </c>
      <c r="S206" s="232">
        <v>0</v>
      </c>
      <c r="T206" s="233">
        <v>0</v>
      </c>
      <c r="U206" s="234">
        <v>0</v>
      </c>
      <c r="V206" s="232">
        <v>0</v>
      </c>
      <c r="W206" s="235">
        <v>0</v>
      </c>
    </row>
    <row r="207" spans="1:23" ht="15.75" customHeight="1" thickBot="1">
      <c r="A207" s="102"/>
      <c r="B207" s="104"/>
      <c r="C207" s="104"/>
      <c r="D207" s="105"/>
      <c r="E207" s="374"/>
      <c r="F207" s="222" t="s">
        <v>359</v>
      </c>
      <c r="G207" s="223" t="s">
        <v>1432</v>
      </c>
      <c r="H207" s="224" t="str">
        <f t="shared" si="12"/>
        <v>GPC</v>
      </c>
      <c r="I207" s="225" t="str">
        <f t="shared" si="13"/>
        <v>XLY</v>
      </c>
      <c r="J207" s="226" t="str">
        <f t="shared" si="14"/>
        <v>專業零售</v>
      </c>
      <c r="K207" s="227" t="str">
        <f t="shared" si="15"/>
        <v>.SPX</v>
      </c>
      <c r="L207" s="228">
        <v>0.23050000000000001</v>
      </c>
      <c r="M207" s="229">
        <v>124.96</v>
      </c>
      <c r="N207" s="228">
        <v>0.42959999999999998</v>
      </c>
      <c r="O207" s="228">
        <v>0.1739</v>
      </c>
      <c r="P207" s="228">
        <v>0.45130000000000003</v>
      </c>
      <c r="Q207" s="230">
        <v>0.2036</v>
      </c>
      <c r="R207" s="231">
        <v>44350</v>
      </c>
      <c r="S207" s="232">
        <v>129.16000366210901</v>
      </c>
      <c r="T207" s="233">
        <v>0.81499999999999995</v>
      </c>
      <c r="U207" s="234">
        <v>42620</v>
      </c>
      <c r="V207" s="232">
        <v>86.822937011718693</v>
      </c>
      <c r="W207" s="235">
        <v>0.65800000000000003</v>
      </c>
    </row>
    <row r="208" spans="1:23" ht="15.75" customHeight="1" thickBot="1">
      <c r="A208" s="102"/>
      <c r="B208" s="104"/>
      <c r="C208" s="104"/>
      <c r="D208" s="105"/>
      <c r="E208" s="374"/>
      <c r="F208" s="222" t="s">
        <v>306</v>
      </c>
      <c r="G208" s="223" t="s">
        <v>1489</v>
      </c>
      <c r="H208" s="224" t="str">
        <f t="shared" si="12"/>
        <v>GPN</v>
      </c>
      <c r="I208" s="225" t="str">
        <f t="shared" si="13"/>
        <v>XLK</v>
      </c>
      <c r="J208" s="226" t="str">
        <f t="shared" si="14"/>
        <v>專業商業服務</v>
      </c>
      <c r="K208" s="227" t="str">
        <f t="shared" si="15"/>
        <v>.SPX</v>
      </c>
      <c r="L208" s="228">
        <v>0.28289999999999998</v>
      </c>
      <c r="M208" s="229">
        <v>170.3</v>
      </c>
      <c r="N208" s="228">
        <v>0.44990000000000002</v>
      </c>
      <c r="O208" s="228">
        <v>0.13619999999999999</v>
      </c>
      <c r="P208" s="228">
        <v>0.45380000000000004</v>
      </c>
      <c r="Q208" s="230">
        <v>0.193</v>
      </c>
      <c r="R208" s="231">
        <v>44357</v>
      </c>
      <c r="S208" s="232">
        <v>191.669998168945</v>
      </c>
      <c r="T208" s="233">
        <v>0.19500000000000001</v>
      </c>
      <c r="U208" s="234">
        <v>42592</v>
      </c>
      <c r="V208" s="232">
        <v>74.073501586914006</v>
      </c>
      <c r="W208" s="235">
        <v>0.01</v>
      </c>
    </row>
    <row r="209" spans="1:23" ht="15.75" customHeight="1" thickBot="1">
      <c r="A209" s="102"/>
      <c r="B209" s="104"/>
      <c r="C209" s="104"/>
      <c r="D209" s="105"/>
      <c r="E209" s="374"/>
      <c r="F209" s="222" t="s">
        <v>397</v>
      </c>
      <c r="G209" s="223" t="s">
        <v>1506</v>
      </c>
      <c r="H209" s="224" t="str">
        <f t="shared" si="12"/>
        <v>GPS</v>
      </c>
      <c r="I209" s="225" t="str">
        <f t="shared" si="13"/>
        <v>XLY</v>
      </c>
      <c r="J209" s="226" t="str">
        <f t="shared" si="14"/>
        <v>服裝零售</v>
      </c>
      <c r="K209" s="227" t="str">
        <f t="shared" si="15"/>
        <v>.SPX</v>
      </c>
      <c r="L209" s="228">
        <v>0.57640000000000002</v>
      </c>
      <c r="M209" s="229">
        <v>29.31</v>
      </c>
      <c r="N209" s="228">
        <v>0.94299999999999995</v>
      </c>
      <c r="O209" s="228">
        <v>0.34399999999999997</v>
      </c>
      <c r="P209" s="228">
        <v>0.84060000000000001</v>
      </c>
      <c r="Q209" s="230">
        <v>0.3871</v>
      </c>
      <c r="R209" s="231">
        <v>44383</v>
      </c>
      <c r="S209" s="232">
        <v>32.290000915527301</v>
      </c>
      <c r="T209" s="233">
        <v>0.12</v>
      </c>
      <c r="U209" s="234">
        <v>42646</v>
      </c>
      <c r="V209" s="232">
        <v>18.951673507690401</v>
      </c>
      <c r="W209" s="235">
        <v>0.23</v>
      </c>
    </row>
    <row r="210" spans="1:23" ht="15.75" customHeight="1" thickBot="1">
      <c r="A210" s="102"/>
      <c r="B210" s="104"/>
      <c r="C210" s="104"/>
      <c r="D210" s="105"/>
      <c r="E210" s="374"/>
      <c r="F210" s="222" t="s">
        <v>253</v>
      </c>
      <c r="G210" s="223" t="s">
        <v>1505</v>
      </c>
      <c r="H210" s="224" t="str">
        <f t="shared" si="12"/>
        <v>GRMN</v>
      </c>
      <c r="I210" s="225" t="str">
        <f t="shared" si="13"/>
        <v>XLY</v>
      </c>
      <c r="J210" s="226" t="str">
        <f t="shared" si="14"/>
        <v>科技儀器</v>
      </c>
      <c r="K210" s="227" t="str">
        <f t="shared" si="15"/>
        <v>.SPX</v>
      </c>
      <c r="L210" s="228">
        <v>0.1938</v>
      </c>
      <c r="M210" s="229">
        <v>163.89</v>
      </c>
      <c r="N210" s="228">
        <v>0.30559999999999998</v>
      </c>
      <c r="O210" s="228">
        <v>0.1205</v>
      </c>
      <c r="P210" s="228">
        <v>0.38090000000000002</v>
      </c>
      <c r="Q210" s="230">
        <v>0.18090000000000001</v>
      </c>
      <c r="R210" s="231">
        <v>44361</v>
      </c>
      <c r="S210" s="232">
        <v>142.67999267578099</v>
      </c>
      <c r="T210" s="233">
        <v>0.67</v>
      </c>
      <c r="U210" s="234">
        <v>42626</v>
      </c>
      <c r="V210" s="232">
        <v>40.727954864501903</v>
      </c>
      <c r="W210" s="235">
        <v>0.51</v>
      </c>
    </row>
    <row r="211" spans="1:23" ht="15.75" customHeight="1" thickBot="1">
      <c r="A211" s="102"/>
      <c r="B211" s="104"/>
      <c r="C211" s="104"/>
      <c r="D211" s="105"/>
      <c r="E211" s="374"/>
      <c r="F211" s="222" t="s">
        <v>492</v>
      </c>
      <c r="G211" s="223" t="s">
        <v>1507</v>
      </c>
      <c r="H211" s="224" t="str">
        <f t="shared" si="12"/>
        <v>GS</v>
      </c>
      <c r="I211" s="225" t="str">
        <f t="shared" si="13"/>
        <v>XLF</v>
      </c>
      <c r="J211" s="226" t="str">
        <f t="shared" si="14"/>
        <v>資本市場</v>
      </c>
      <c r="K211" s="227" t="str">
        <f t="shared" si="15"/>
        <v>.SPX</v>
      </c>
      <c r="L211" s="228">
        <v>0.24929999999999999</v>
      </c>
      <c r="M211" s="229">
        <v>384.3</v>
      </c>
      <c r="N211" s="228">
        <v>0.44059999999999999</v>
      </c>
      <c r="O211" s="228">
        <v>0.19170000000000001</v>
      </c>
      <c r="P211" s="228">
        <v>0.41460000000000002</v>
      </c>
      <c r="Q211" s="230">
        <v>0.2303</v>
      </c>
      <c r="R211" s="231">
        <v>44344</v>
      </c>
      <c r="S211" s="232">
        <v>372.01998901367102</v>
      </c>
      <c r="T211" s="233">
        <v>1.25</v>
      </c>
      <c r="U211" s="234">
        <v>42612</v>
      </c>
      <c r="V211" s="232">
        <v>156.22453308105401</v>
      </c>
      <c r="W211" s="235">
        <v>0.65</v>
      </c>
    </row>
    <row r="212" spans="1:23" ht="15.75" customHeight="1" thickBot="1">
      <c r="A212" s="102"/>
      <c r="B212" s="104"/>
      <c r="C212" s="104"/>
      <c r="D212" s="105"/>
      <c r="E212" s="374"/>
      <c r="F212" s="222" t="s">
        <v>269</v>
      </c>
      <c r="G212" s="223" t="s">
        <v>1501</v>
      </c>
      <c r="H212" s="224" t="str">
        <f t="shared" si="12"/>
        <v>GWW</v>
      </c>
      <c r="I212" s="225" t="str">
        <f t="shared" si="13"/>
        <v>XLI</v>
      </c>
      <c r="J212" s="226" t="str">
        <f t="shared" si="14"/>
        <v>產業佈局</v>
      </c>
      <c r="K212" s="227" t="str">
        <f t="shared" si="15"/>
        <v>.SPX</v>
      </c>
      <c r="L212" s="228">
        <v>0.22620000000000001</v>
      </c>
      <c r="M212" s="229">
        <v>439.26</v>
      </c>
      <c r="N212" s="228">
        <v>0.31230000000000002</v>
      </c>
      <c r="O212" s="228">
        <v>0.14580000000000001</v>
      </c>
      <c r="P212" s="228">
        <v>0.42499999999999999</v>
      </c>
      <c r="Q212" s="230">
        <v>0.20620000000000002</v>
      </c>
      <c r="R212" s="231">
        <v>44323</v>
      </c>
      <c r="S212" s="232">
        <v>465.64001464843699</v>
      </c>
      <c r="T212" s="233">
        <v>1.62</v>
      </c>
      <c r="U212" s="234">
        <v>42683</v>
      </c>
      <c r="V212" s="232">
        <v>201.53347778320301</v>
      </c>
      <c r="W212" s="235">
        <v>1.22</v>
      </c>
    </row>
    <row r="213" spans="1:23" ht="15.75" customHeight="1" thickBot="1">
      <c r="A213" s="102"/>
      <c r="B213" s="104"/>
      <c r="C213" s="104"/>
      <c r="D213" s="105"/>
      <c r="E213" s="374"/>
      <c r="F213" s="222" t="s">
        <v>449</v>
      </c>
      <c r="G213" s="223" t="s">
        <v>1475</v>
      </c>
      <c r="H213" s="224" t="str">
        <f t="shared" si="12"/>
        <v>HAL</v>
      </c>
      <c r="I213" s="225" t="str">
        <f t="shared" si="13"/>
        <v>XLE</v>
      </c>
      <c r="J213" s="226" t="str">
        <f t="shared" si="14"/>
        <v>石油和天然氣設備和服務</v>
      </c>
      <c r="K213" s="227" t="str">
        <f t="shared" si="15"/>
        <v>.SPX</v>
      </c>
      <c r="L213" s="228">
        <v>0.44080000000000003</v>
      </c>
      <c r="M213" s="229">
        <v>20.03</v>
      </c>
      <c r="N213" s="228">
        <v>0.76959999999999995</v>
      </c>
      <c r="O213" s="228">
        <v>0.33229999999999998</v>
      </c>
      <c r="P213" s="228">
        <v>0.74409999999999998</v>
      </c>
      <c r="Q213" s="230">
        <v>0.36729999999999996</v>
      </c>
      <c r="R213" s="231">
        <v>44348</v>
      </c>
      <c r="S213" s="232">
        <v>23.340000152587798</v>
      </c>
      <c r="T213" s="233">
        <v>4.4999999999999998E-2</v>
      </c>
      <c r="U213" s="234">
        <v>42615</v>
      </c>
      <c r="V213" s="232">
        <v>39.451641082763601</v>
      </c>
      <c r="W213" s="235">
        <v>0.18</v>
      </c>
    </row>
    <row r="214" spans="1:23" ht="15.75" customHeight="1" thickBot="1">
      <c r="A214" s="102"/>
      <c r="B214" s="104"/>
      <c r="C214" s="104"/>
      <c r="D214" s="105"/>
      <c r="E214" s="374"/>
      <c r="F214" s="222" t="s">
        <v>156</v>
      </c>
      <c r="G214" s="223" t="s">
        <v>1508</v>
      </c>
      <c r="H214" s="224" t="str">
        <f t="shared" si="12"/>
        <v>HAS</v>
      </c>
      <c r="I214" s="225" t="str">
        <f t="shared" si="13"/>
        <v>XLY</v>
      </c>
      <c r="J214" s="226" t="str">
        <f t="shared" si="14"/>
        <v>休閑</v>
      </c>
      <c r="K214" s="227" t="str">
        <f t="shared" si="15"/>
        <v>.SPX</v>
      </c>
      <c r="L214" s="228">
        <v>0.23300000000000001</v>
      </c>
      <c r="M214" s="229">
        <v>99.34</v>
      </c>
      <c r="N214" s="228">
        <v>0.4219</v>
      </c>
      <c r="O214" s="228">
        <v>0.1527</v>
      </c>
      <c r="P214" s="228">
        <v>0.56899999999999995</v>
      </c>
      <c r="Q214" s="230">
        <v>0.20219999999999999</v>
      </c>
      <c r="R214" s="231">
        <v>44407</v>
      </c>
      <c r="S214" s="232">
        <v>99.440002441406193</v>
      </c>
      <c r="T214" s="233">
        <v>0.68</v>
      </c>
      <c r="U214" s="234">
        <v>42671</v>
      </c>
      <c r="V214" s="232">
        <v>73.112800598144503</v>
      </c>
      <c r="W214" s="235">
        <v>0.51</v>
      </c>
    </row>
    <row r="215" spans="1:23" ht="15.75" customHeight="1" thickBot="1">
      <c r="A215" s="102"/>
      <c r="B215" s="104"/>
      <c r="C215" s="104"/>
      <c r="D215" s="105"/>
      <c r="E215" s="374"/>
      <c r="F215" s="222" t="s">
        <v>513</v>
      </c>
      <c r="G215" s="223" t="s">
        <v>1482</v>
      </c>
      <c r="H215" s="224" t="str">
        <f t="shared" si="12"/>
        <v>HBAN</v>
      </c>
      <c r="I215" s="225" t="str">
        <f t="shared" si="13"/>
        <v>XLF</v>
      </c>
      <c r="J215" s="226" t="str">
        <f t="shared" si="14"/>
        <v>銀行-區域</v>
      </c>
      <c r="K215" s="227" t="str">
        <f t="shared" si="15"/>
        <v>.SPX</v>
      </c>
      <c r="L215" s="228">
        <v>0.29199999999999998</v>
      </c>
      <c r="M215" s="229">
        <v>14.41</v>
      </c>
      <c r="N215" s="228">
        <v>0.73470000000000002</v>
      </c>
      <c r="O215" s="228">
        <v>0.19719999999999999</v>
      </c>
      <c r="P215" s="228">
        <v>0.50009999999999999</v>
      </c>
      <c r="Q215" s="230">
        <v>0.2404</v>
      </c>
      <c r="R215" s="231">
        <v>44363</v>
      </c>
      <c r="S215" s="232">
        <v>14.369999885559</v>
      </c>
      <c r="T215" s="233">
        <v>0.15</v>
      </c>
      <c r="U215" s="234">
        <v>42628</v>
      </c>
      <c r="V215" s="232">
        <v>8.1237287521362305</v>
      </c>
      <c r="W215" s="235">
        <v>7.0000000000000007E-2</v>
      </c>
    </row>
    <row r="216" spans="1:23" ht="15.75" customHeight="1" thickBot="1">
      <c r="A216" s="102"/>
      <c r="B216" s="104"/>
      <c r="C216" s="104"/>
      <c r="D216" s="105"/>
      <c r="E216" s="374"/>
      <c r="F216" s="222" t="s">
        <v>433</v>
      </c>
      <c r="G216" s="223" t="s">
        <v>1509</v>
      </c>
      <c r="H216" s="224" t="str">
        <f t="shared" si="12"/>
        <v>HBI</v>
      </c>
      <c r="I216" s="225" t="str">
        <f t="shared" si="13"/>
        <v>XLY</v>
      </c>
      <c r="J216" s="226" t="str">
        <f t="shared" si="14"/>
        <v>服裝製造</v>
      </c>
      <c r="K216" s="227" t="str">
        <f t="shared" si="15"/>
        <v>.SPX</v>
      </c>
      <c r="L216" s="228">
        <v>0.34489999999999998</v>
      </c>
      <c r="M216" s="229">
        <v>19.940000000000001</v>
      </c>
      <c r="N216" s="228">
        <v>0.79690000000000005</v>
      </c>
      <c r="O216" s="228">
        <v>0.22370000000000001</v>
      </c>
      <c r="P216" s="228">
        <v>0.62020000000000008</v>
      </c>
      <c r="Q216" s="230">
        <v>0.28399999999999997</v>
      </c>
      <c r="R216" s="231">
        <v>44336</v>
      </c>
      <c r="S216" s="232">
        <v>19.360000610351499</v>
      </c>
      <c r="T216" s="233">
        <v>0.15</v>
      </c>
      <c r="U216" s="234">
        <v>42594</v>
      </c>
      <c r="V216" s="232">
        <v>22.901054382324201</v>
      </c>
      <c r="W216" s="235">
        <v>0.11</v>
      </c>
    </row>
    <row r="217" spans="1:23" ht="15.75" customHeight="1" thickBot="1">
      <c r="A217" s="102"/>
      <c r="B217" s="104"/>
      <c r="C217" s="104"/>
      <c r="D217" s="105"/>
      <c r="E217" s="374"/>
      <c r="F217" s="222" t="s">
        <v>157</v>
      </c>
      <c r="G217" s="223" t="s">
        <v>1497</v>
      </c>
      <c r="H217" s="224" t="str">
        <f t="shared" si="12"/>
        <v>HCA</v>
      </c>
      <c r="I217" s="225" t="str">
        <f t="shared" si="13"/>
        <v>XLV</v>
      </c>
      <c r="J217" s="226" t="str">
        <f t="shared" si="14"/>
        <v>醫療設施</v>
      </c>
      <c r="K217" s="227" t="str">
        <f t="shared" si="15"/>
        <v>.SPX</v>
      </c>
      <c r="L217" s="228">
        <v>0.2404</v>
      </c>
      <c r="M217" s="236">
        <v>249.06</v>
      </c>
      <c r="N217" s="228">
        <v>0.49869999999999998</v>
      </c>
      <c r="O217" s="228">
        <v>0.1825</v>
      </c>
      <c r="P217" s="228">
        <v>0.49520000000000003</v>
      </c>
      <c r="Q217" s="230">
        <v>0.2273</v>
      </c>
      <c r="R217" s="231">
        <v>44362</v>
      </c>
      <c r="S217" s="232">
        <v>209.55999755859301</v>
      </c>
      <c r="T217" s="233">
        <v>0.48</v>
      </c>
      <c r="U217" s="234">
        <v>43159</v>
      </c>
      <c r="V217" s="232">
        <v>96.206268310546804</v>
      </c>
      <c r="W217" s="235">
        <v>0.35</v>
      </c>
    </row>
    <row r="218" spans="1:23" ht="15.75" customHeight="1" thickBot="1">
      <c r="A218" s="102"/>
      <c r="B218" s="104"/>
      <c r="C218" s="104"/>
      <c r="D218" s="105"/>
      <c r="E218" s="374"/>
      <c r="F218" s="222" t="s">
        <v>250</v>
      </c>
      <c r="G218" s="223" t="s">
        <v>1510</v>
      </c>
      <c r="H218" s="224" t="str">
        <f t="shared" si="12"/>
        <v>HD</v>
      </c>
      <c r="I218" s="225" t="str">
        <f t="shared" si="13"/>
        <v>XLY</v>
      </c>
      <c r="J218" s="226" t="str">
        <f t="shared" si="14"/>
        <v>家居裝修零售</v>
      </c>
      <c r="K218" s="227" t="str">
        <f t="shared" si="15"/>
        <v>.SPX</v>
      </c>
      <c r="L218" s="228">
        <v>0.23</v>
      </c>
      <c r="M218" s="229">
        <v>333.11</v>
      </c>
      <c r="N218" s="228">
        <v>0.26540000000000002</v>
      </c>
      <c r="O218" s="228">
        <v>0.1167</v>
      </c>
      <c r="P218" s="228">
        <v>0.3881</v>
      </c>
      <c r="Q218" s="230">
        <v>0.16889999999999999</v>
      </c>
      <c r="R218" s="231">
        <v>44349</v>
      </c>
      <c r="S218" s="232">
        <v>313.23001098632801</v>
      </c>
      <c r="T218" s="233">
        <v>1.65</v>
      </c>
      <c r="U218" s="234">
        <v>42612</v>
      </c>
      <c r="V218" s="232">
        <v>119.880638122558</v>
      </c>
      <c r="W218" s="235">
        <v>0.69</v>
      </c>
    </row>
    <row r="219" spans="1:23" ht="15.75" customHeight="1" thickBot="1">
      <c r="A219" s="102"/>
      <c r="B219" s="104"/>
      <c r="C219" s="104"/>
      <c r="D219" s="105"/>
      <c r="E219" s="374"/>
      <c r="F219" s="222" t="s">
        <v>278</v>
      </c>
      <c r="G219" s="223" t="s">
        <v>1460</v>
      </c>
      <c r="H219" s="224" t="str">
        <f t="shared" si="12"/>
        <v>HES</v>
      </c>
      <c r="I219" s="225" t="str">
        <f t="shared" si="13"/>
        <v>XLE</v>
      </c>
      <c r="J219" s="226" t="str">
        <f t="shared" si="14"/>
        <v>油氣E&amp;P</v>
      </c>
      <c r="K219" s="227" t="str">
        <f t="shared" si="15"/>
        <v>.SPX</v>
      </c>
      <c r="L219" s="228">
        <v>0.38150000000000001</v>
      </c>
      <c r="M219" s="229">
        <v>73.14</v>
      </c>
      <c r="N219" s="228">
        <v>0.79620000000000002</v>
      </c>
      <c r="O219" s="228">
        <v>0.3382</v>
      </c>
      <c r="P219" s="228">
        <v>0.69969999999999999</v>
      </c>
      <c r="Q219" s="230">
        <v>0.33640000000000003</v>
      </c>
      <c r="R219" s="231">
        <v>44361</v>
      </c>
      <c r="S219" s="232">
        <v>88.669998168945298</v>
      </c>
      <c r="T219" s="233">
        <v>0.25</v>
      </c>
      <c r="U219" s="234">
        <v>42628</v>
      </c>
      <c r="V219" s="232">
        <v>42.628097534179602</v>
      </c>
      <c r="W219" s="235">
        <v>0.25</v>
      </c>
    </row>
    <row r="220" spans="1:23" ht="15.75" customHeight="1" thickBot="1">
      <c r="A220" s="102"/>
      <c r="B220" s="104"/>
      <c r="C220" s="104"/>
      <c r="D220" s="105"/>
      <c r="E220" s="374"/>
      <c r="F220" s="222" t="s">
        <v>470</v>
      </c>
      <c r="G220" s="223" t="s">
        <v>1446</v>
      </c>
      <c r="H220" s="224" t="str">
        <f t="shared" si="12"/>
        <v>HIG</v>
      </c>
      <c r="I220" s="225" t="str">
        <f t="shared" si="13"/>
        <v>XLF</v>
      </c>
      <c r="J220" s="226" t="str">
        <f t="shared" si="14"/>
        <v>保險-多樣化</v>
      </c>
      <c r="K220" s="227" t="str">
        <f t="shared" si="15"/>
        <v>.SPX</v>
      </c>
      <c r="L220" s="228">
        <v>0.2535</v>
      </c>
      <c r="M220" s="229">
        <v>66.59</v>
      </c>
      <c r="N220" s="228">
        <v>0.57079999999999997</v>
      </c>
      <c r="O220" s="228">
        <v>0.16320000000000001</v>
      </c>
      <c r="P220" s="228">
        <v>0.70879999999999999</v>
      </c>
      <c r="Q220" s="230">
        <v>0.23569999999999999</v>
      </c>
      <c r="R220" s="231">
        <v>44344</v>
      </c>
      <c r="S220" s="232">
        <v>65.349998474121094</v>
      </c>
      <c r="T220" s="233">
        <v>0.35</v>
      </c>
      <c r="U220" s="234">
        <v>42612</v>
      </c>
      <c r="V220" s="232">
        <v>36.723556518554602</v>
      </c>
      <c r="W220" s="235">
        <v>0.21</v>
      </c>
    </row>
    <row r="221" spans="1:23" ht="15.75" customHeight="1" thickBot="1">
      <c r="A221" s="102"/>
      <c r="B221" s="104"/>
      <c r="C221" s="104"/>
      <c r="D221" s="105"/>
      <c r="E221" s="374"/>
      <c r="F221" s="222" t="s">
        <v>320</v>
      </c>
      <c r="G221" s="223" t="s">
        <v>1470</v>
      </c>
      <c r="H221" s="224" t="str">
        <f t="shared" si="12"/>
        <v>HII</v>
      </c>
      <c r="I221" s="225" t="str">
        <f t="shared" si="13"/>
        <v>XLI</v>
      </c>
      <c r="J221" s="226" t="str">
        <f t="shared" si="14"/>
        <v>航天軍工</v>
      </c>
      <c r="K221" s="227" t="str">
        <f t="shared" si="15"/>
        <v>.SPX</v>
      </c>
      <c r="L221" s="228">
        <v>0.23369999999999999</v>
      </c>
      <c r="M221" s="229">
        <v>203.2</v>
      </c>
      <c r="N221" s="228">
        <v>0.43059999999999998</v>
      </c>
      <c r="O221" s="228">
        <v>0.1618</v>
      </c>
      <c r="P221" s="228">
        <v>0.48330000000000001</v>
      </c>
      <c r="Q221" s="230">
        <v>0.21260000000000001</v>
      </c>
      <c r="R221" s="231">
        <v>44343</v>
      </c>
      <c r="S221" s="232">
        <v>215.61999511718699</v>
      </c>
      <c r="T221" s="233">
        <v>1.1399999999999999</v>
      </c>
      <c r="U221" s="234">
        <v>42606</v>
      </c>
      <c r="V221" s="232">
        <v>153.97845458984301</v>
      </c>
      <c r="W221" s="235">
        <v>0.5</v>
      </c>
    </row>
    <row r="222" spans="1:23" ht="15.75" customHeight="1" thickBot="1">
      <c r="A222" s="102"/>
      <c r="B222" s="104"/>
      <c r="C222" s="104"/>
      <c r="D222" s="105"/>
      <c r="E222" s="374"/>
      <c r="F222" s="222" t="s">
        <v>290</v>
      </c>
      <c r="G222" s="223" t="s">
        <v>1511</v>
      </c>
      <c r="H222" s="224" t="str">
        <f t="shared" si="12"/>
        <v>HLT</v>
      </c>
      <c r="I222" s="225" t="str">
        <f t="shared" si="13"/>
        <v>XLY</v>
      </c>
      <c r="J222" s="226" t="str">
        <f t="shared" si="14"/>
        <v>住宿</v>
      </c>
      <c r="K222" s="227" t="str">
        <f t="shared" si="15"/>
        <v>.SPX</v>
      </c>
      <c r="L222" s="228">
        <v>0.32140000000000002</v>
      </c>
      <c r="M222" s="229">
        <v>126.4</v>
      </c>
      <c r="N222" s="228">
        <v>0.51880000000000004</v>
      </c>
      <c r="O222" s="228">
        <v>0.2097</v>
      </c>
      <c r="P222" s="228">
        <v>0.54159999999999997</v>
      </c>
      <c r="Q222" s="230">
        <v>0.25750000000000001</v>
      </c>
      <c r="R222" s="231">
        <v>43888</v>
      </c>
      <c r="S222" s="232">
        <v>95.830001831054602</v>
      </c>
      <c r="T222" s="233">
        <v>0.15</v>
      </c>
      <c r="U222" s="234">
        <v>42599</v>
      </c>
      <c r="V222" s="232">
        <v>48.431747436523402</v>
      </c>
      <c r="W222" s="235">
        <v>0.14363999999999999</v>
      </c>
    </row>
    <row r="223" spans="1:23" ht="15.75" customHeight="1" thickBot="1">
      <c r="A223" s="102"/>
      <c r="B223" s="104"/>
      <c r="C223" s="104"/>
      <c r="D223" s="105"/>
      <c r="E223" s="374"/>
      <c r="F223" s="222" t="s">
        <v>62</v>
      </c>
      <c r="G223" s="223" t="s">
        <v>1472</v>
      </c>
      <c r="H223" s="224" t="str">
        <f t="shared" si="12"/>
        <v>HOLX</v>
      </c>
      <c r="I223" s="225" t="str">
        <f t="shared" si="13"/>
        <v>XLV</v>
      </c>
      <c r="J223" s="226" t="str">
        <f t="shared" si="14"/>
        <v>醫療器械及用品</v>
      </c>
      <c r="K223" s="227" t="str">
        <f t="shared" si="15"/>
        <v>.SPX</v>
      </c>
      <c r="L223" s="228">
        <v>0.2457</v>
      </c>
      <c r="M223" s="229">
        <v>76.349999999999994</v>
      </c>
      <c r="N223" s="228">
        <v>0.47099999999999997</v>
      </c>
      <c r="O223" s="228">
        <v>0.1696</v>
      </c>
      <c r="P223" s="228">
        <v>0.55430000000000001</v>
      </c>
      <c r="Q223" s="230">
        <v>0.24559999999999998</v>
      </c>
      <c r="R223" s="231">
        <v>0</v>
      </c>
      <c r="S223" s="232">
        <v>0</v>
      </c>
      <c r="T223" s="233">
        <v>0</v>
      </c>
      <c r="U223" s="234">
        <v>0</v>
      </c>
      <c r="V223" s="232">
        <v>0</v>
      </c>
      <c r="W223" s="235">
        <v>0</v>
      </c>
    </row>
    <row r="224" spans="1:23" ht="15.75" customHeight="1" thickBot="1">
      <c r="A224" s="102"/>
      <c r="B224" s="104"/>
      <c r="C224" s="104"/>
      <c r="D224" s="105"/>
      <c r="E224" s="374"/>
      <c r="F224" s="222" t="s">
        <v>375</v>
      </c>
      <c r="G224" s="223" t="s">
        <v>1454</v>
      </c>
      <c r="H224" s="224" t="str">
        <f t="shared" si="12"/>
        <v>HON</v>
      </c>
      <c r="I224" s="225" t="str">
        <f t="shared" si="13"/>
        <v>XLI</v>
      </c>
      <c r="J224" s="226" t="str">
        <f t="shared" si="14"/>
        <v>特種工業機械</v>
      </c>
      <c r="K224" s="227" t="str">
        <f t="shared" si="15"/>
        <v>.SPX</v>
      </c>
      <c r="L224" s="228">
        <v>0.19900000000000001</v>
      </c>
      <c r="M224" s="229">
        <v>229.88</v>
      </c>
      <c r="N224" s="228">
        <v>0.37790000000000001</v>
      </c>
      <c r="O224" s="228">
        <v>0.15590000000000001</v>
      </c>
      <c r="P224" s="228">
        <v>0.39829999999999999</v>
      </c>
      <c r="Q224" s="230">
        <v>0.1754</v>
      </c>
      <c r="R224" s="231">
        <v>44329</v>
      </c>
      <c r="S224" s="232">
        <v>223.67999267578099</v>
      </c>
      <c r="T224" s="233">
        <v>0.93</v>
      </c>
      <c r="U224" s="234">
        <v>42599</v>
      </c>
      <c r="V224" s="232">
        <v>100.03081512451099</v>
      </c>
      <c r="W224" s="235">
        <v>0.56725499999999995</v>
      </c>
    </row>
    <row r="225" spans="1:23" ht="15.75" customHeight="1" thickBot="1">
      <c r="A225" s="102"/>
      <c r="B225" s="104"/>
      <c r="C225" s="104"/>
      <c r="D225" s="105"/>
      <c r="E225" s="374"/>
      <c r="F225" s="222" t="s">
        <v>321</v>
      </c>
      <c r="G225" s="223" t="s">
        <v>1490</v>
      </c>
      <c r="H225" s="224" t="str">
        <f t="shared" si="12"/>
        <v>HPE</v>
      </c>
      <c r="I225" s="225" t="str">
        <f t="shared" si="13"/>
        <v>XLK</v>
      </c>
      <c r="J225" s="226" t="str">
        <f t="shared" si="14"/>
        <v>通信設備</v>
      </c>
      <c r="K225" s="227" t="str">
        <f t="shared" si="15"/>
        <v>.SPX</v>
      </c>
      <c r="L225" s="228">
        <v>0.31169999999999998</v>
      </c>
      <c r="M225" s="229">
        <v>14.69</v>
      </c>
      <c r="N225" s="228">
        <v>0.53300000000000003</v>
      </c>
      <c r="O225" s="228">
        <v>0.17319999999999999</v>
      </c>
      <c r="P225" s="228">
        <v>0.55249999999999999</v>
      </c>
      <c r="Q225" s="230">
        <v>0.2429</v>
      </c>
      <c r="R225" s="231">
        <v>44362</v>
      </c>
      <c r="S225" s="232">
        <v>15.6300001144409</v>
      </c>
      <c r="T225" s="233">
        <v>0.12</v>
      </c>
      <c r="U225" s="234">
        <v>42650</v>
      </c>
      <c r="V225" s="232">
        <v>11.344199180603001</v>
      </c>
      <c r="W225" s="235">
        <v>3.1966000000000001E-2</v>
      </c>
    </row>
    <row r="226" spans="1:23" ht="15.75" customHeight="1" thickBot="1">
      <c r="A226" s="102"/>
      <c r="B226" s="104"/>
      <c r="C226" s="104"/>
      <c r="D226" s="105"/>
      <c r="E226" s="374"/>
      <c r="F226" s="222" t="s">
        <v>335</v>
      </c>
      <c r="G226" s="223" t="s">
        <v>1458</v>
      </c>
      <c r="H226" s="224" t="str">
        <f t="shared" si="12"/>
        <v>HPQ</v>
      </c>
      <c r="I226" s="225" t="str">
        <f t="shared" si="13"/>
        <v>XLK</v>
      </c>
      <c r="J226" s="226" t="str">
        <f t="shared" si="14"/>
        <v>計算機硬件</v>
      </c>
      <c r="K226" s="227" t="str">
        <f t="shared" si="15"/>
        <v>.SPX</v>
      </c>
      <c r="L226" s="228">
        <v>0.35220000000000001</v>
      </c>
      <c r="M226" s="229">
        <v>29.23</v>
      </c>
      <c r="N226" s="228">
        <v>0.39960000000000001</v>
      </c>
      <c r="O226" s="228">
        <v>0.17899999999999999</v>
      </c>
      <c r="P226" s="228">
        <v>0.51829999999999998</v>
      </c>
      <c r="Q226" s="230">
        <v>0.22260000000000002</v>
      </c>
      <c r="R226" s="231">
        <v>44355</v>
      </c>
      <c r="S226" s="232">
        <v>30.420000076293899</v>
      </c>
      <c r="T226" s="233">
        <v>0.19400000000000001</v>
      </c>
      <c r="U226" s="234">
        <v>42625</v>
      </c>
      <c r="V226" s="232">
        <v>12.540976524353001</v>
      </c>
      <c r="W226" s="235">
        <v>0.124</v>
      </c>
    </row>
    <row r="227" spans="1:23" ht="15.75" customHeight="1" thickBot="1">
      <c r="A227" s="102"/>
      <c r="B227" s="104"/>
      <c r="C227" s="104"/>
      <c r="D227" s="105"/>
      <c r="E227" s="374"/>
      <c r="F227" s="222" t="s">
        <v>166</v>
      </c>
      <c r="G227" s="223" t="s">
        <v>1476</v>
      </c>
      <c r="H227" s="224" t="str">
        <f t="shared" si="12"/>
        <v>HRL</v>
      </c>
      <c r="I227" s="225" t="str">
        <f t="shared" si="13"/>
        <v>XLP</v>
      </c>
      <c r="J227" s="226" t="str">
        <f t="shared" si="14"/>
        <v>包裝食品</v>
      </c>
      <c r="K227" s="227" t="str">
        <f t="shared" si="15"/>
        <v>.SPX</v>
      </c>
      <c r="L227" s="228">
        <v>0.2006</v>
      </c>
      <c r="M227" s="229">
        <v>45.55</v>
      </c>
      <c r="N227" s="228">
        <v>0.33400000000000002</v>
      </c>
      <c r="O227" s="228">
        <v>0.1111</v>
      </c>
      <c r="P227" s="228">
        <v>0.34380000000000005</v>
      </c>
      <c r="Q227" s="230">
        <v>0.16289999999999999</v>
      </c>
      <c r="R227" s="231">
        <v>44386</v>
      </c>
      <c r="S227" s="232">
        <v>47.439998626708899</v>
      </c>
      <c r="T227" s="233">
        <v>0.245</v>
      </c>
      <c r="U227" s="234">
        <v>42663</v>
      </c>
      <c r="V227" s="232">
        <v>34.2733764648437</v>
      </c>
      <c r="W227" s="235">
        <v>0.14499999999999999</v>
      </c>
    </row>
    <row r="228" spans="1:23" ht="15.75" customHeight="1" thickBot="1">
      <c r="A228" s="102"/>
      <c r="B228" s="104"/>
      <c r="C228" s="104"/>
      <c r="D228" s="105"/>
      <c r="E228" s="374"/>
      <c r="F228" s="222" t="s">
        <v>114</v>
      </c>
      <c r="G228" s="223" t="s">
        <v>1435</v>
      </c>
      <c r="H228" s="224" t="str">
        <f t="shared" si="12"/>
        <v>HSIC</v>
      </c>
      <c r="I228" s="225" t="str">
        <f t="shared" si="13"/>
        <v>XLV</v>
      </c>
      <c r="J228" s="226" t="str">
        <f t="shared" si="14"/>
        <v>醫療分銷</v>
      </c>
      <c r="K228" s="227" t="str">
        <f t="shared" si="15"/>
        <v>.SPX</v>
      </c>
      <c r="L228" s="228">
        <v>0.3</v>
      </c>
      <c r="M228" s="229">
        <v>77.2</v>
      </c>
      <c r="N228" s="228">
        <v>0.49790000000000001</v>
      </c>
      <c r="O228" s="228">
        <v>0.1777</v>
      </c>
      <c r="P228" s="228">
        <v>0.46960000000000002</v>
      </c>
      <c r="Q228" s="230">
        <v>0.2384</v>
      </c>
      <c r="R228" s="231">
        <v>43504</v>
      </c>
      <c r="S228" s="232">
        <v>59.150001525878899</v>
      </c>
      <c r="T228" s="233">
        <v>0</v>
      </c>
      <c r="U228" s="234">
        <v>42993</v>
      </c>
      <c r="V228" s="232">
        <v>65.003921508789006</v>
      </c>
      <c r="W228" s="235">
        <v>0</v>
      </c>
    </row>
    <row r="229" spans="1:23" ht="15.75" customHeight="1" thickBot="1">
      <c r="A229" s="102"/>
      <c r="B229" s="104"/>
      <c r="C229" s="104"/>
      <c r="D229" s="105"/>
      <c r="E229" s="374"/>
      <c r="F229" s="222" t="s">
        <v>128</v>
      </c>
      <c r="G229" s="223" t="s">
        <v>1512</v>
      </c>
      <c r="H229" s="224" t="str">
        <f t="shared" si="12"/>
        <v>HST</v>
      </c>
      <c r="I229" s="225" t="str">
        <f t="shared" si="13"/>
        <v>XLRE</v>
      </c>
      <c r="J229" s="226" t="str">
        <f t="shared" si="14"/>
        <v>REIT-酒店及汽車旅館</v>
      </c>
      <c r="K229" s="227" t="str">
        <f t="shared" si="15"/>
        <v>.SPX</v>
      </c>
      <c r="L229" s="228">
        <v>0.31130000000000002</v>
      </c>
      <c r="M229" s="229">
        <v>16.010000000000002</v>
      </c>
      <c r="N229" s="228">
        <v>0.92789999999999995</v>
      </c>
      <c r="O229" s="228">
        <v>0.24049999999999999</v>
      </c>
      <c r="P229" s="228">
        <v>0.59030000000000005</v>
      </c>
      <c r="Q229" s="230">
        <v>0.2475</v>
      </c>
      <c r="R229" s="231">
        <v>43920</v>
      </c>
      <c r="S229" s="232">
        <v>11.420000076293899</v>
      </c>
      <c r="T229" s="233">
        <v>0.2</v>
      </c>
      <c r="U229" s="234">
        <v>42641</v>
      </c>
      <c r="V229" s="232">
        <v>13.182191848754799</v>
      </c>
      <c r="W229" s="235">
        <v>0.2</v>
      </c>
    </row>
    <row r="230" spans="1:23" ht="15.75" customHeight="1" thickBot="1">
      <c r="A230" s="102"/>
      <c r="B230" s="104"/>
      <c r="C230" s="104"/>
      <c r="D230" s="105"/>
      <c r="E230" s="374"/>
      <c r="F230" s="222" t="s">
        <v>155</v>
      </c>
      <c r="G230" s="223" t="s">
        <v>1513</v>
      </c>
      <c r="H230" s="224" t="str">
        <f t="shared" si="12"/>
        <v>HSY</v>
      </c>
      <c r="I230" s="225" t="str">
        <f t="shared" si="13"/>
        <v>XLP</v>
      </c>
      <c r="J230" s="226" t="str">
        <f t="shared" si="14"/>
        <v>糖果店</v>
      </c>
      <c r="K230" s="227" t="str">
        <f t="shared" si="15"/>
        <v>.SPX</v>
      </c>
      <c r="L230" s="228">
        <v>0.1467</v>
      </c>
      <c r="M230" s="229">
        <v>179.17</v>
      </c>
      <c r="N230" s="228">
        <v>0.23630000000000001</v>
      </c>
      <c r="O230" s="228">
        <v>0.1013</v>
      </c>
      <c r="P230" s="228">
        <v>0.35700000000000004</v>
      </c>
      <c r="Q230" s="230">
        <v>0.1391</v>
      </c>
      <c r="R230" s="231">
        <v>44336</v>
      </c>
      <c r="S230" s="232">
        <v>173.08999633789</v>
      </c>
      <c r="T230" s="233">
        <v>0.80400000000000005</v>
      </c>
      <c r="U230" s="234">
        <v>42605</v>
      </c>
      <c r="V230" s="232">
        <v>101.17652130126901</v>
      </c>
      <c r="W230" s="235">
        <v>0.61799999999999999</v>
      </c>
    </row>
    <row r="231" spans="1:23" ht="15.75" customHeight="1" thickBot="1">
      <c r="A231" s="102"/>
      <c r="B231" s="104"/>
      <c r="C231" s="104"/>
      <c r="D231" s="105"/>
      <c r="E231" s="374"/>
      <c r="F231" s="222" t="s">
        <v>348</v>
      </c>
      <c r="G231" s="223" t="s">
        <v>1459</v>
      </c>
      <c r="H231" s="224" t="str">
        <f t="shared" si="12"/>
        <v>HUM</v>
      </c>
      <c r="I231" s="225" t="str">
        <f t="shared" si="13"/>
        <v>XLV</v>
      </c>
      <c r="J231" s="226" t="str">
        <f t="shared" si="14"/>
        <v>醫療保健計劃</v>
      </c>
      <c r="K231" s="227" t="str">
        <f t="shared" si="15"/>
        <v>.SPX</v>
      </c>
      <c r="L231" s="228">
        <v>0.21190000000000001</v>
      </c>
      <c r="M231" s="229">
        <v>415.9</v>
      </c>
      <c r="N231" s="228">
        <v>0.38329999999999997</v>
      </c>
      <c r="O231" s="228">
        <v>0.1479</v>
      </c>
      <c r="P231" s="228">
        <v>0.41880000000000001</v>
      </c>
      <c r="Q231" s="230">
        <v>0.19510000000000002</v>
      </c>
      <c r="R231" s="231">
        <v>44376</v>
      </c>
      <c r="S231" s="232">
        <v>442.29000854492102</v>
      </c>
      <c r="T231" s="233">
        <v>0.7</v>
      </c>
      <c r="U231" s="234">
        <v>42654</v>
      </c>
      <c r="V231" s="232">
        <v>171.76492309570301</v>
      </c>
      <c r="W231" s="235">
        <v>0.28999999999999998</v>
      </c>
    </row>
    <row r="232" spans="1:23" ht="15.75" customHeight="1" thickBot="1">
      <c r="A232" s="102"/>
      <c r="B232" s="104"/>
      <c r="C232" s="104"/>
      <c r="D232" s="105"/>
      <c r="E232" s="374"/>
      <c r="F232" s="222" t="s">
        <v>309</v>
      </c>
      <c r="G232" s="223" t="s">
        <v>1454</v>
      </c>
      <c r="H232" s="224" t="str">
        <f t="shared" si="12"/>
        <v>HWM</v>
      </c>
      <c r="I232" s="225" t="str">
        <f t="shared" si="13"/>
        <v>XLI</v>
      </c>
      <c r="J232" s="226" t="str">
        <f t="shared" si="14"/>
        <v>特種工業機械</v>
      </c>
      <c r="K232" s="227" t="str">
        <f t="shared" si="15"/>
        <v>.SPX</v>
      </c>
      <c r="L232" s="228">
        <v>0.34089999999999998</v>
      </c>
      <c r="M232" s="229">
        <v>31.95</v>
      </c>
      <c r="N232" s="228">
        <v>0.68210000000000004</v>
      </c>
      <c r="O232" s="228">
        <v>0.2354</v>
      </c>
      <c r="P232" s="228">
        <v>0.64019999999999999</v>
      </c>
      <c r="Q232" s="230">
        <v>0.28320000000000001</v>
      </c>
      <c r="R232" s="231">
        <v>44413</v>
      </c>
      <c r="S232" s="232">
        <v>31.649999618530199</v>
      </c>
      <c r="T232" s="233">
        <v>0.02</v>
      </c>
      <c r="U232" s="234">
        <v>42682</v>
      </c>
      <c r="V232" s="232">
        <v>16.932048797607401</v>
      </c>
      <c r="W232" s="235">
        <v>0.09</v>
      </c>
    </row>
    <row r="233" spans="1:23" ht="15.75" customHeight="1" thickBot="1">
      <c r="A233" s="102"/>
      <c r="B233" s="104"/>
      <c r="C233" s="104"/>
      <c r="D233" s="105"/>
      <c r="E233" s="374"/>
      <c r="F233" s="222" t="s">
        <v>311</v>
      </c>
      <c r="G233" s="223" t="s">
        <v>1437</v>
      </c>
      <c r="H233" s="224" t="str">
        <f t="shared" si="12"/>
        <v>IBM</v>
      </c>
      <c r="I233" s="225" t="str">
        <f t="shared" si="13"/>
        <v>XLK</v>
      </c>
      <c r="J233" s="226" t="str">
        <f t="shared" si="14"/>
        <v>信息技術處</v>
      </c>
      <c r="K233" s="227" t="str">
        <f t="shared" si="15"/>
        <v>.SPX</v>
      </c>
      <c r="L233" s="228">
        <v>0.16900000000000001</v>
      </c>
      <c r="M233" s="229">
        <v>143.33000000000001</v>
      </c>
      <c r="N233" s="228">
        <v>0.38040000000000002</v>
      </c>
      <c r="O233" s="228">
        <v>0.1414</v>
      </c>
      <c r="P233" s="228">
        <v>0.35100000000000003</v>
      </c>
      <c r="Q233" s="230">
        <v>0.15560000000000002</v>
      </c>
      <c r="R233" s="231">
        <v>44323</v>
      </c>
      <c r="S233" s="232">
        <v>145.46000671386699</v>
      </c>
      <c r="T233" s="233">
        <v>1.64</v>
      </c>
      <c r="U233" s="234">
        <v>42590</v>
      </c>
      <c r="V233" s="232">
        <v>130.86569213867099</v>
      </c>
      <c r="W233" s="235">
        <v>1.4</v>
      </c>
    </row>
    <row r="234" spans="1:23" ht="15.75" customHeight="1" thickBot="1">
      <c r="A234" s="102"/>
      <c r="B234" s="104"/>
      <c r="C234" s="104"/>
      <c r="D234" s="105"/>
      <c r="E234" s="374"/>
      <c r="F234" s="222" t="s">
        <v>171</v>
      </c>
      <c r="G234" s="223" t="s">
        <v>1486</v>
      </c>
      <c r="H234" s="224" t="str">
        <f t="shared" si="12"/>
        <v>ICE</v>
      </c>
      <c r="I234" s="225" t="str">
        <f t="shared" si="13"/>
        <v>XLF</v>
      </c>
      <c r="J234" s="226" t="str">
        <f t="shared" si="14"/>
        <v>金融數據與證券交易所</v>
      </c>
      <c r="K234" s="227" t="str">
        <f t="shared" si="15"/>
        <v>.SPX</v>
      </c>
      <c r="L234" s="228">
        <v>0.17660000000000001</v>
      </c>
      <c r="M234" s="229">
        <v>119.42</v>
      </c>
      <c r="N234" s="228">
        <v>0.2576</v>
      </c>
      <c r="O234" s="228">
        <v>9.4399999999999998E-2</v>
      </c>
      <c r="P234" s="228">
        <v>0.33799999999999997</v>
      </c>
      <c r="Q234" s="230">
        <v>0.16070000000000001</v>
      </c>
      <c r="R234" s="231">
        <v>44362</v>
      </c>
      <c r="S234" s="232">
        <v>114.040000915527</v>
      </c>
      <c r="T234" s="233">
        <v>0.33</v>
      </c>
      <c r="U234" s="234">
        <v>42627</v>
      </c>
      <c r="V234" s="232">
        <v>52.749980926513601</v>
      </c>
      <c r="W234" s="235">
        <v>0.17</v>
      </c>
    </row>
    <row r="235" spans="1:23" ht="15.75" customHeight="1" thickBot="1">
      <c r="A235" s="102"/>
      <c r="B235" s="104"/>
      <c r="C235" s="104"/>
      <c r="D235" s="105"/>
      <c r="E235" s="374"/>
      <c r="F235" s="222" t="s">
        <v>47</v>
      </c>
      <c r="G235" s="223" t="s">
        <v>1430</v>
      </c>
      <c r="H235" s="224" t="str">
        <f t="shared" si="12"/>
        <v>IDXX</v>
      </c>
      <c r="I235" s="225" t="str">
        <f t="shared" si="13"/>
        <v>XLV</v>
      </c>
      <c r="J235" s="226" t="str">
        <f t="shared" si="14"/>
        <v>診斷與研究</v>
      </c>
      <c r="K235" s="227" t="str">
        <f t="shared" si="15"/>
        <v>.SPX</v>
      </c>
      <c r="L235" s="228">
        <v>0.26029999999999998</v>
      </c>
      <c r="M235" s="229">
        <v>705.76</v>
      </c>
      <c r="N235" s="228">
        <v>0.46870000000000001</v>
      </c>
      <c r="O235" s="228">
        <v>0.1368</v>
      </c>
      <c r="P235" s="228">
        <v>0.45219999999999999</v>
      </c>
      <c r="Q235" s="230">
        <v>0.2162</v>
      </c>
      <c r="R235" s="231">
        <v>0</v>
      </c>
      <c r="S235" s="232">
        <v>0</v>
      </c>
      <c r="T235" s="233">
        <v>0</v>
      </c>
      <c r="U235" s="234">
        <v>0</v>
      </c>
      <c r="V235" s="232">
        <v>0</v>
      </c>
      <c r="W235" s="235">
        <v>0</v>
      </c>
    </row>
    <row r="236" spans="1:23" ht="15.75" customHeight="1" thickBot="1">
      <c r="A236" s="102"/>
      <c r="B236" s="104"/>
      <c r="C236" s="104"/>
      <c r="D236" s="105"/>
      <c r="E236" s="374"/>
      <c r="F236" s="222" t="s">
        <v>351</v>
      </c>
      <c r="G236" s="223" t="s">
        <v>1454</v>
      </c>
      <c r="H236" s="224" t="str">
        <f t="shared" si="12"/>
        <v>IEX</v>
      </c>
      <c r="I236" s="225" t="str">
        <f t="shared" si="13"/>
        <v>XLI</v>
      </c>
      <c r="J236" s="226" t="str">
        <f t="shared" si="14"/>
        <v>特種工業機械</v>
      </c>
      <c r="K236" s="227" t="str">
        <f t="shared" si="15"/>
        <v>.SPX</v>
      </c>
      <c r="L236" s="228">
        <v>0.19769999999999999</v>
      </c>
      <c r="M236" s="229">
        <v>227.11</v>
      </c>
      <c r="N236" s="228">
        <v>0.37780000000000002</v>
      </c>
      <c r="O236" s="228">
        <v>0.12870000000000001</v>
      </c>
      <c r="P236" s="228">
        <v>0.41739999999999999</v>
      </c>
      <c r="Q236" s="230">
        <v>0.19600000000000001</v>
      </c>
      <c r="R236" s="231">
        <v>44391</v>
      </c>
      <c r="S236" s="232">
        <v>223.919998168945</v>
      </c>
      <c r="T236" s="233">
        <v>0.54</v>
      </c>
      <c r="U236" s="234">
        <v>42656</v>
      </c>
      <c r="V236" s="232">
        <v>81.617004394531193</v>
      </c>
      <c r="W236" s="235">
        <v>0.34</v>
      </c>
    </row>
    <row r="237" spans="1:23" ht="15.75" customHeight="1" thickBot="1">
      <c r="A237" s="102"/>
      <c r="B237" s="104"/>
      <c r="C237" s="104"/>
      <c r="D237" s="105"/>
      <c r="E237" s="374"/>
      <c r="F237" s="222" t="s">
        <v>229</v>
      </c>
      <c r="G237" s="223" t="s">
        <v>1449</v>
      </c>
      <c r="H237" s="224" t="str">
        <f t="shared" si="12"/>
        <v>IFF</v>
      </c>
      <c r="I237" s="225" t="str">
        <f t="shared" si="13"/>
        <v>XLB</v>
      </c>
      <c r="J237" s="226" t="str">
        <f t="shared" si="14"/>
        <v>特種化學品</v>
      </c>
      <c r="K237" s="227" t="str">
        <f t="shared" si="15"/>
        <v>.SPX</v>
      </c>
      <c r="L237" s="228">
        <v>0.28910000000000002</v>
      </c>
      <c r="M237" s="229">
        <v>148.88999999999999</v>
      </c>
      <c r="N237" s="228">
        <v>0.60840000000000005</v>
      </c>
      <c r="O237" s="228">
        <v>0.114</v>
      </c>
      <c r="P237" s="228">
        <v>0.50450000000000006</v>
      </c>
      <c r="Q237" s="230">
        <v>0.17629999999999998</v>
      </c>
      <c r="R237" s="231">
        <v>44371</v>
      </c>
      <c r="S237" s="232">
        <v>148.419998168945</v>
      </c>
      <c r="T237" s="233">
        <v>0.77</v>
      </c>
      <c r="U237" s="234">
        <v>42635</v>
      </c>
      <c r="V237" s="232">
        <v>127.581413269042</v>
      </c>
      <c r="W237" s="235">
        <v>0.64</v>
      </c>
    </row>
    <row r="238" spans="1:23" ht="15.75" customHeight="1" thickBot="1">
      <c r="A238" s="102"/>
      <c r="B238" s="104"/>
      <c r="C238" s="104"/>
      <c r="D238" s="105"/>
      <c r="E238" s="374"/>
      <c r="F238" s="222" t="s">
        <v>26</v>
      </c>
      <c r="G238" s="223" t="s">
        <v>1430</v>
      </c>
      <c r="H238" s="224" t="str">
        <f t="shared" si="12"/>
        <v>ILMN</v>
      </c>
      <c r="I238" s="225" t="str">
        <f t="shared" si="13"/>
        <v>XLV</v>
      </c>
      <c r="J238" s="226" t="str">
        <f t="shared" si="14"/>
        <v>診斷與研究</v>
      </c>
      <c r="K238" s="227" t="str">
        <f t="shared" si="15"/>
        <v>.SPX</v>
      </c>
      <c r="L238" s="228">
        <v>0.36599999999999999</v>
      </c>
      <c r="M238" s="229">
        <v>515.67999999999995</v>
      </c>
      <c r="N238" s="228">
        <v>0.5806</v>
      </c>
      <c r="O238" s="228">
        <v>0.20849999999999999</v>
      </c>
      <c r="P238" s="228">
        <v>0.60860000000000003</v>
      </c>
      <c r="Q238" s="230">
        <v>0.27289999999999998</v>
      </c>
      <c r="R238" s="231">
        <v>0</v>
      </c>
      <c r="S238" s="232">
        <v>0</v>
      </c>
      <c r="T238" s="233">
        <v>0</v>
      </c>
      <c r="U238" s="234">
        <v>0</v>
      </c>
      <c r="V238" s="232">
        <v>0</v>
      </c>
      <c r="W238" s="235">
        <v>0</v>
      </c>
    </row>
    <row r="239" spans="1:23" ht="15.75" customHeight="1" thickBot="1">
      <c r="A239" s="102"/>
      <c r="B239" s="104"/>
      <c r="C239" s="104"/>
      <c r="D239" s="105"/>
      <c r="E239" s="374"/>
      <c r="F239" s="222" t="s">
        <v>89</v>
      </c>
      <c r="G239" s="223" t="s">
        <v>1514</v>
      </c>
      <c r="H239" s="224" t="str">
        <f t="shared" si="12"/>
        <v>INCY</v>
      </c>
      <c r="I239" s="225" t="str">
        <f t="shared" si="13"/>
        <v>XLV</v>
      </c>
      <c r="J239" s="226" t="str">
        <f t="shared" si="14"/>
        <v>生物技術</v>
      </c>
      <c r="K239" s="227" t="str">
        <f t="shared" si="15"/>
        <v>.SPX</v>
      </c>
      <c r="L239" s="228">
        <v>0.32640000000000002</v>
      </c>
      <c r="M239" s="229">
        <v>76.92</v>
      </c>
      <c r="N239" s="228">
        <v>0.5</v>
      </c>
      <c r="O239" s="228">
        <v>0.16270000000000001</v>
      </c>
      <c r="P239" s="228">
        <v>0.57499999999999996</v>
      </c>
      <c r="Q239" s="230">
        <v>0.28999999999999998</v>
      </c>
      <c r="R239" s="231">
        <v>0</v>
      </c>
      <c r="S239" s="232">
        <v>0</v>
      </c>
      <c r="T239" s="233">
        <v>0</v>
      </c>
      <c r="U239" s="234">
        <v>0</v>
      </c>
      <c r="V239" s="232">
        <v>0</v>
      </c>
      <c r="W239" s="235">
        <v>0</v>
      </c>
    </row>
    <row r="240" spans="1:23" ht="15.75" customHeight="1" thickBot="1">
      <c r="A240" s="102"/>
      <c r="B240" s="104"/>
      <c r="C240" s="104"/>
      <c r="D240" s="105"/>
      <c r="E240" s="374"/>
      <c r="F240" s="222" t="s">
        <v>219</v>
      </c>
      <c r="G240" s="223" t="s">
        <v>1498</v>
      </c>
      <c r="H240" s="224" t="str">
        <f t="shared" si="12"/>
        <v>INFO</v>
      </c>
      <c r="I240" s="225" t="str">
        <f t="shared" si="13"/>
        <v>XLI</v>
      </c>
      <c r="J240" s="226" t="str">
        <f t="shared" si="14"/>
        <v>咨詢服務</v>
      </c>
      <c r="K240" s="227" t="str">
        <f t="shared" si="15"/>
        <v>.SPX</v>
      </c>
      <c r="L240" s="228">
        <v>0.313</v>
      </c>
      <c r="M240" s="229">
        <v>119.42</v>
      </c>
      <c r="N240" s="228">
        <v>0.36520000000000002</v>
      </c>
      <c r="O240" s="228">
        <v>0.1231</v>
      </c>
      <c r="P240" s="228">
        <v>0.38479999999999998</v>
      </c>
      <c r="Q240" s="230">
        <v>0.1681</v>
      </c>
      <c r="R240" s="231">
        <v>44406</v>
      </c>
      <c r="S240" s="232">
        <v>115.33000183105401</v>
      </c>
      <c r="T240" s="233">
        <v>0.2</v>
      </c>
      <c r="U240" s="234">
        <v>43866</v>
      </c>
      <c r="V240" s="232">
        <v>79.341606140136705</v>
      </c>
      <c r="W240" s="235">
        <v>0.17</v>
      </c>
    </row>
    <row r="241" spans="1:23" ht="15.75" customHeight="1" thickBot="1">
      <c r="A241" s="102"/>
      <c r="B241" s="104"/>
      <c r="C241" s="104"/>
      <c r="D241" s="105"/>
      <c r="E241" s="374"/>
      <c r="F241" s="222" t="s">
        <v>194</v>
      </c>
      <c r="G241" s="223" t="s">
        <v>1439</v>
      </c>
      <c r="H241" s="224" t="str">
        <f t="shared" si="12"/>
        <v>INTC</v>
      </c>
      <c r="I241" s="225" t="str">
        <f t="shared" si="13"/>
        <v>XLK</v>
      </c>
      <c r="J241" s="226" t="str">
        <f t="shared" si="14"/>
        <v>半導體</v>
      </c>
      <c r="K241" s="227" t="str">
        <f t="shared" si="15"/>
        <v>.SPX</v>
      </c>
      <c r="L241" s="228">
        <v>0.22839999999999999</v>
      </c>
      <c r="M241" s="229">
        <v>53.9</v>
      </c>
      <c r="N241" s="228">
        <v>0.56540000000000001</v>
      </c>
      <c r="O241" s="228">
        <v>0.1767</v>
      </c>
      <c r="P241" s="228">
        <v>0.44950000000000001</v>
      </c>
      <c r="Q241" s="230">
        <v>0.22469999999999998</v>
      </c>
      <c r="R241" s="231">
        <v>44413</v>
      </c>
      <c r="S241" s="232">
        <v>53.889999389648402</v>
      </c>
      <c r="T241" s="233">
        <v>0.34799999999999998</v>
      </c>
      <c r="U241" s="234">
        <v>42677</v>
      </c>
      <c r="V241" s="232">
        <v>30.0740242004394</v>
      </c>
      <c r="W241" s="235">
        <v>0.26</v>
      </c>
    </row>
    <row r="242" spans="1:23" ht="15.75" customHeight="1" thickBot="1">
      <c r="A242" s="102"/>
      <c r="B242" s="104"/>
      <c r="C242" s="104"/>
      <c r="D242" s="105"/>
      <c r="E242" s="374"/>
      <c r="F242" s="222" t="s">
        <v>200</v>
      </c>
      <c r="G242" s="223" t="s">
        <v>1442</v>
      </c>
      <c r="H242" s="224" t="str">
        <f t="shared" si="12"/>
        <v>INTU</v>
      </c>
      <c r="I242" s="225" t="str">
        <f t="shared" si="13"/>
        <v>XLK</v>
      </c>
      <c r="J242" s="226" t="str">
        <f t="shared" si="14"/>
        <v>軟件-應用</v>
      </c>
      <c r="K242" s="227" t="str">
        <f t="shared" si="15"/>
        <v>.SPX</v>
      </c>
      <c r="L242" s="228">
        <v>0.25580000000000003</v>
      </c>
      <c r="M242" s="229">
        <v>538.01</v>
      </c>
      <c r="N242" s="228">
        <v>0.4153</v>
      </c>
      <c r="O242" s="228">
        <v>0.11119999999999999</v>
      </c>
      <c r="P242" s="228">
        <v>0.45229999999999998</v>
      </c>
      <c r="Q242" s="230">
        <v>0.19359999999999999</v>
      </c>
      <c r="R242" s="231">
        <v>44386</v>
      </c>
      <c r="S242" s="232">
        <v>503.92999267578102</v>
      </c>
      <c r="T242" s="233">
        <v>0.59</v>
      </c>
      <c r="U242" s="234">
        <v>42648</v>
      </c>
      <c r="V242" s="232">
        <v>104.39483642578099</v>
      </c>
      <c r="W242" s="235">
        <v>0.34</v>
      </c>
    </row>
    <row r="243" spans="1:23" ht="15.75" customHeight="1" thickBot="1">
      <c r="A243" s="102"/>
      <c r="B243" s="104"/>
      <c r="C243" s="104"/>
      <c r="D243" s="105"/>
      <c r="E243" s="374"/>
      <c r="F243" s="222" t="s">
        <v>382</v>
      </c>
      <c r="G243" s="223" t="s">
        <v>1453</v>
      </c>
      <c r="H243" s="224" t="str">
        <f t="shared" si="12"/>
        <v>IP</v>
      </c>
      <c r="I243" s="225" t="str">
        <f t="shared" si="13"/>
        <v>XLB</v>
      </c>
      <c r="J243" s="226" t="str">
        <f t="shared" si="14"/>
        <v>包裝和容器</v>
      </c>
      <c r="K243" s="227" t="str">
        <f t="shared" si="15"/>
        <v>.SPX</v>
      </c>
      <c r="L243" s="228">
        <v>0.23569999999999999</v>
      </c>
      <c r="M243" s="229">
        <v>57.74</v>
      </c>
      <c r="N243" s="228">
        <v>0.4143</v>
      </c>
      <c r="O243" s="228">
        <v>0.16639999999999999</v>
      </c>
      <c r="P243" s="228">
        <v>0.4128</v>
      </c>
      <c r="Q243" s="230">
        <v>0.21809999999999999</v>
      </c>
      <c r="R243" s="231">
        <v>44342</v>
      </c>
      <c r="S243" s="232">
        <v>63.349998474121001</v>
      </c>
      <c r="T243" s="233">
        <v>0.51300000000000001</v>
      </c>
      <c r="U243" s="234">
        <v>42593</v>
      </c>
      <c r="V243" s="232">
        <v>38.419700622558501</v>
      </c>
      <c r="W243" s="235">
        <v>0.44</v>
      </c>
    </row>
    <row r="244" spans="1:23" ht="15.75" customHeight="1" thickBot="1">
      <c r="A244" s="102"/>
      <c r="B244" s="104"/>
      <c r="C244" s="104"/>
      <c r="D244" s="105"/>
      <c r="E244" s="374"/>
      <c r="F244" s="222" t="s">
        <v>287</v>
      </c>
      <c r="G244" s="223" t="s">
        <v>1515</v>
      </c>
      <c r="H244" s="224" t="str">
        <f t="shared" si="12"/>
        <v>IPG</v>
      </c>
      <c r="I244" s="225" t="str">
        <f t="shared" si="13"/>
        <v>XLC</v>
      </c>
      <c r="J244" s="226" t="str">
        <f t="shared" si="14"/>
        <v>廣告公司</v>
      </c>
      <c r="K244" s="227" t="str">
        <f t="shared" si="15"/>
        <v>.SPX</v>
      </c>
      <c r="L244" s="228">
        <v>0.25769999999999998</v>
      </c>
      <c r="M244" s="229">
        <v>36.479999999999997</v>
      </c>
      <c r="N244" s="228">
        <v>0.50629999999999997</v>
      </c>
      <c r="O244" s="228">
        <v>0.18559999999999999</v>
      </c>
      <c r="P244" s="228">
        <v>0.49070000000000003</v>
      </c>
      <c r="Q244" s="230">
        <v>0.23190000000000002</v>
      </c>
      <c r="R244" s="231">
        <v>44351</v>
      </c>
      <c r="S244" s="232">
        <v>33.740001678466797</v>
      </c>
      <c r="T244" s="233">
        <v>0.27</v>
      </c>
      <c r="U244" s="234">
        <v>42612</v>
      </c>
      <c r="V244" s="232">
        <v>19.203639984130799</v>
      </c>
      <c r="W244" s="235">
        <v>0.15</v>
      </c>
    </row>
    <row r="245" spans="1:23" ht="15.75" customHeight="1" thickBot="1">
      <c r="A245" s="102"/>
      <c r="B245" s="104"/>
      <c r="C245" s="104"/>
      <c r="D245" s="105"/>
      <c r="E245" s="374"/>
      <c r="F245" s="222" t="s">
        <v>142</v>
      </c>
      <c r="G245" s="223" t="s">
        <v>1452</v>
      </c>
      <c r="H245" s="224" t="str">
        <f t="shared" si="12"/>
        <v>IPGP</v>
      </c>
      <c r="I245" s="225" t="str">
        <f t="shared" si="13"/>
        <v>XLK</v>
      </c>
      <c r="J245" s="226" t="str">
        <f t="shared" si="14"/>
        <v>半導體設備與材料</v>
      </c>
      <c r="K245" s="227" t="str">
        <f t="shared" si="15"/>
        <v>.SPX</v>
      </c>
      <c r="L245" s="228">
        <v>0.35420000000000001</v>
      </c>
      <c r="M245" s="229">
        <v>183.62</v>
      </c>
      <c r="N245" s="228">
        <v>0.67500000000000004</v>
      </c>
      <c r="O245" s="228">
        <v>0.1933</v>
      </c>
      <c r="P245" s="228">
        <v>0.59789999999999999</v>
      </c>
      <c r="Q245" s="230">
        <v>0.31670000000000004</v>
      </c>
      <c r="R245" s="231">
        <v>0</v>
      </c>
      <c r="S245" s="232">
        <v>0</v>
      </c>
      <c r="T245" s="233">
        <v>0</v>
      </c>
      <c r="U245" s="234">
        <v>0</v>
      </c>
      <c r="V245" s="232">
        <v>0</v>
      </c>
      <c r="W245" s="235">
        <v>0</v>
      </c>
    </row>
    <row r="246" spans="1:23" ht="15.75" customHeight="1" thickBot="1">
      <c r="A246" s="102"/>
      <c r="B246" s="104"/>
      <c r="C246" s="104"/>
      <c r="D246" s="105"/>
      <c r="E246" s="374"/>
      <c r="F246" s="222" t="s">
        <v>100</v>
      </c>
      <c r="G246" s="223" t="s">
        <v>1430</v>
      </c>
      <c r="H246" s="224" t="str">
        <f t="shared" si="12"/>
        <v>IQV</v>
      </c>
      <c r="I246" s="225" t="str">
        <f t="shared" si="13"/>
        <v>XLV</v>
      </c>
      <c r="J246" s="226" t="str">
        <f t="shared" si="14"/>
        <v>診斷與研究</v>
      </c>
      <c r="K246" s="227" t="str">
        <f t="shared" si="15"/>
        <v>.SPX</v>
      </c>
      <c r="L246" s="228">
        <v>0.23730000000000001</v>
      </c>
      <c r="M246" s="229">
        <v>248.41</v>
      </c>
      <c r="N246" s="228">
        <v>0.3947</v>
      </c>
      <c r="O246" s="228">
        <v>0.15279999999999999</v>
      </c>
      <c r="P246" s="228">
        <v>0.40560000000000002</v>
      </c>
      <c r="Q246" s="230">
        <v>0.20920000000000002</v>
      </c>
      <c r="R246" s="231">
        <v>0</v>
      </c>
      <c r="S246" s="232">
        <v>0</v>
      </c>
      <c r="T246" s="233">
        <v>0</v>
      </c>
      <c r="U246" s="234">
        <v>0</v>
      </c>
      <c r="V246" s="232">
        <v>0</v>
      </c>
      <c r="W246" s="235">
        <v>0</v>
      </c>
    </row>
    <row r="247" spans="1:23" ht="15.75" customHeight="1" thickBot="1">
      <c r="A247" s="102"/>
      <c r="B247" s="104"/>
      <c r="C247" s="104"/>
      <c r="D247" s="105"/>
      <c r="E247" s="374"/>
      <c r="F247" s="222" t="s">
        <v>368</v>
      </c>
      <c r="G247" s="223" t="s">
        <v>1454</v>
      </c>
      <c r="H247" s="224" t="str">
        <f t="shared" si="12"/>
        <v>IR</v>
      </c>
      <c r="I247" s="225" t="str">
        <f t="shared" si="13"/>
        <v>XLI</v>
      </c>
      <c r="J247" s="226" t="str">
        <f t="shared" si="14"/>
        <v>特種工業機械</v>
      </c>
      <c r="K247" s="227" t="str">
        <f t="shared" si="15"/>
        <v>.SPX</v>
      </c>
      <c r="L247" s="228">
        <v>0.26390000000000002</v>
      </c>
      <c r="M247" s="229">
        <v>50.1</v>
      </c>
      <c r="N247" s="228">
        <v>0.43099999999999999</v>
      </c>
      <c r="O247" s="228">
        <v>0.20169999999999999</v>
      </c>
      <c r="P247" s="228">
        <v>0.56110000000000004</v>
      </c>
      <c r="Q247" s="230">
        <v>0.23199999999999998</v>
      </c>
      <c r="R247" s="231">
        <v>0</v>
      </c>
      <c r="S247" s="232">
        <v>0</v>
      </c>
      <c r="T247" s="233">
        <v>0</v>
      </c>
      <c r="U247" s="234">
        <v>0</v>
      </c>
      <c r="V247" s="232">
        <v>0</v>
      </c>
      <c r="W247" s="235">
        <v>0</v>
      </c>
    </row>
    <row r="248" spans="1:23" ht="15.75" customHeight="1" thickBot="1">
      <c r="A248" s="102"/>
      <c r="B248" s="104"/>
      <c r="C248" s="104"/>
      <c r="D248" s="105"/>
      <c r="E248" s="374"/>
      <c r="F248" s="222" t="s">
        <v>440</v>
      </c>
      <c r="G248" s="223" t="s">
        <v>1456</v>
      </c>
      <c r="H248" s="224" t="str">
        <f t="shared" si="12"/>
        <v>IRM</v>
      </c>
      <c r="I248" s="225" t="str">
        <f t="shared" si="13"/>
        <v>XLRE</v>
      </c>
      <c r="J248" s="226" t="str">
        <f t="shared" si="14"/>
        <v>REIT-專業</v>
      </c>
      <c r="K248" s="227" t="str">
        <f t="shared" si="15"/>
        <v>.SPX</v>
      </c>
      <c r="L248" s="228">
        <v>0.2346</v>
      </c>
      <c r="M248" s="229">
        <v>44.47</v>
      </c>
      <c r="N248" s="228">
        <v>0.59460000000000002</v>
      </c>
      <c r="O248" s="228">
        <v>0.15229999999999999</v>
      </c>
      <c r="P248" s="228">
        <v>0.5635</v>
      </c>
      <c r="Q248" s="230">
        <v>0.2034</v>
      </c>
      <c r="R248" s="231">
        <v>44361</v>
      </c>
      <c r="S248" s="232">
        <v>45.939998626708899</v>
      </c>
      <c r="T248" s="233">
        <v>0.61899999999999999</v>
      </c>
      <c r="U248" s="234">
        <v>42621</v>
      </c>
      <c r="V248" s="232">
        <v>27.2772197723388</v>
      </c>
      <c r="W248" s="235">
        <v>0.48499999999999999</v>
      </c>
    </row>
    <row r="249" spans="1:23" ht="15.75" customHeight="1" thickBot="1">
      <c r="A249" s="102"/>
      <c r="B249" s="104"/>
      <c r="C249" s="104"/>
      <c r="D249" s="105"/>
      <c r="E249" s="374"/>
      <c r="F249" s="222" t="s">
        <v>55</v>
      </c>
      <c r="G249" s="223" t="s">
        <v>1472</v>
      </c>
      <c r="H249" s="224" t="str">
        <f t="shared" si="12"/>
        <v>ISRG</v>
      </c>
      <c r="I249" s="225" t="str">
        <f t="shared" si="13"/>
        <v>XLV</v>
      </c>
      <c r="J249" s="226" t="str">
        <f t="shared" si="14"/>
        <v>醫療器械及用品</v>
      </c>
      <c r="K249" s="227" t="str">
        <f t="shared" si="15"/>
        <v>.SPX</v>
      </c>
      <c r="L249" s="228">
        <v>0.252</v>
      </c>
      <c r="M249" s="236">
        <v>1019.1</v>
      </c>
      <c r="N249" s="228">
        <v>0.38579999999999998</v>
      </c>
      <c r="O249" s="228">
        <v>0.11509999999999999</v>
      </c>
      <c r="P249" s="228">
        <v>0.46899999999999997</v>
      </c>
      <c r="Q249" s="230">
        <v>0.21179999999999999</v>
      </c>
      <c r="R249" s="231">
        <v>43014</v>
      </c>
      <c r="S249" s="232">
        <v>361.47000122070301</v>
      </c>
      <c r="T249" s="233">
        <v>0</v>
      </c>
      <c r="U249" s="234">
        <v>43014</v>
      </c>
      <c r="V249" s="232">
        <v>361.47000122070301</v>
      </c>
      <c r="W249" s="235">
        <v>0</v>
      </c>
    </row>
    <row r="250" spans="1:23" ht="15.75" customHeight="1" thickBot="1">
      <c r="A250" s="102"/>
      <c r="B250" s="104"/>
      <c r="C250" s="104"/>
      <c r="D250" s="105"/>
      <c r="E250" s="374"/>
      <c r="F250" s="222" t="s">
        <v>256</v>
      </c>
      <c r="G250" s="223" t="s">
        <v>1437</v>
      </c>
      <c r="H250" s="224" t="str">
        <f t="shared" si="12"/>
        <v>IT</v>
      </c>
      <c r="I250" s="225" t="str">
        <f t="shared" si="13"/>
        <v>XLK</v>
      </c>
      <c r="J250" s="226" t="str">
        <f t="shared" si="14"/>
        <v>信息技術處</v>
      </c>
      <c r="K250" s="227" t="str">
        <f t="shared" si="15"/>
        <v>.SPX</v>
      </c>
      <c r="L250" s="228">
        <v>0.24529999999999999</v>
      </c>
      <c r="M250" s="229">
        <v>295.23</v>
      </c>
      <c r="N250" s="228">
        <v>0.50119999999999998</v>
      </c>
      <c r="O250" s="228">
        <v>0.13639999999999999</v>
      </c>
      <c r="P250" s="228">
        <v>0.52070000000000005</v>
      </c>
      <c r="Q250" s="230">
        <v>0.21780000000000002</v>
      </c>
      <c r="R250" s="231">
        <v>0</v>
      </c>
      <c r="S250" s="232">
        <v>0</v>
      </c>
      <c r="T250" s="233">
        <v>0</v>
      </c>
      <c r="U250" s="234">
        <v>0</v>
      </c>
      <c r="V250" s="232">
        <v>0</v>
      </c>
      <c r="W250" s="235">
        <v>0</v>
      </c>
    </row>
    <row r="251" spans="1:23" ht="15.75" customHeight="1" thickBot="1">
      <c r="A251" s="102"/>
      <c r="B251" s="104"/>
      <c r="C251" s="104"/>
      <c r="D251" s="105"/>
      <c r="E251" s="374"/>
      <c r="F251" s="222" t="s">
        <v>282</v>
      </c>
      <c r="G251" s="223" t="s">
        <v>1454</v>
      </c>
      <c r="H251" s="224" t="str">
        <f t="shared" si="12"/>
        <v>ITW</v>
      </c>
      <c r="I251" s="225" t="str">
        <f t="shared" si="13"/>
        <v>XLI</v>
      </c>
      <c r="J251" s="226" t="str">
        <f t="shared" si="14"/>
        <v>特種工業機械</v>
      </c>
      <c r="K251" s="227" t="str">
        <f t="shared" si="15"/>
        <v>.SPX</v>
      </c>
      <c r="L251" s="228">
        <v>0.18099999999999999</v>
      </c>
      <c r="M251" s="229">
        <v>226.98</v>
      </c>
      <c r="N251" s="228">
        <v>0.30149999999999999</v>
      </c>
      <c r="O251" s="228">
        <v>0.1246</v>
      </c>
      <c r="P251" s="228">
        <v>0.3775</v>
      </c>
      <c r="Q251" s="230">
        <v>0.16600000000000001</v>
      </c>
      <c r="R251" s="231">
        <v>44376</v>
      </c>
      <c r="S251" s="232">
        <v>223</v>
      </c>
      <c r="T251" s="233">
        <v>1.1399999999999999</v>
      </c>
      <c r="U251" s="234">
        <v>42641</v>
      </c>
      <c r="V251" s="232">
        <v>107.25698852539</v>
      </c>
      <c r="W251" s="235">
        <v>0.65</v>
      </c>
    </row>
    <row r="252" spans="1:23" ht="15.75" customHeight="1" thickBot="1">
      <c r="A252" s="102"/>
      <c r="B252" s="104"/>
      <c r="C252" s="104"/>
      <c r="D252" s="105"/>
      <c r="E252" s="374"/>
      <c r="F252" s="222" t="s">
        <v>240</v>
      </c>
      <c r="G252" s="223" t="s">
        <v>1455</v>
      </c>
      <c r="H252" s="224" t="str">
        <f t="shared" si="12"/>
        <v>IVZ</v>
      </c>
      <c r="I252" s="225" t="str">
        <f t="shared" si="13"/>
        <v>XLF</v>
      </c>
      <c r="J252" s="226" t="str">
        <f t="shared" si="14"/>
        <v>資產管理</v>
      </c>
      <c r="K252" s="227" t="str">
        <f t="shared" si="15"/>
        <v>.SPX</v>
      </c>
      <c r="L252" s="228">
        <v>0.33450000000000002</v>
      </c>
      <c r="M252" s="229">
        <v>24.77</v>
      </c>
      <c r="N252" s="228">
        <v>0.55689999999999995</v>
      </c>
      <c r="O252" s="228">
        <v>0.26850000000000002</v>
      </c>
      <c r="P252" s="228">
        <v>0.6381</v>
      </c>
      <c r="Q252" s="230">
        <v>0.31489999999999996</v>
      </c>
      <c r="R252" s="231">
        <v>44326</v>
      </c>
      <c r="S252" s="232">
        <v>28.2199993133544</v>
      </c>
      <c r="T252" s="233">
        <v>0.17</v>
      </c>
      <c r="U252" s="234">
        <v>42598</v>
      </c>
      <c r="V252" s="232">
        <v>23.593152999877901</v>
      </c>
      <c r="W252" s="235">
        <v>0.28000000000000003</v>
      </c>
    </row>
    <row r="253" spans="1:23" ht="15.75" customHeight="1" thickBot="1">
      <c r="A253" s="102"/>
      <c r="B253" s="104"/>
      <c r="C253" s="104"/>
      <c r="D253" s="105"/>
      <c r="E253" s="374"/>
      <c r="F253" s="222" t="s">
        <v>325</v>
      </c>
      <c r="G253" s="223" t="s">
        <v>1516</v>
      </c>
      <c r="H253" s="224" t="str">
        <f t="shared" si="12"/>
        <v>J</v>
      </c>
      <c r="I253" s="225" t="str">
        <f t="shared" si="13"/>
        <v>XLI</v>
      </c>
      <c r="J253" s="226" t="str">
        <f t="shared" si="14"/>
        <v>工程建設</v>
      </c>
      <c r="K253" s="227" t="str">
        <f t="shared" si="15"/>
        <v>.SPX</v>
      </c>
      <c r="L253" s="228">
        <v>0.24690000000000001</v>
      </c>
      <c r="M253" s="229">
        <v>128.74</v>
      </c>
      <c r="N253" s="228">
        <v>0.36830000000000002</v>
      </c>
      <c r="O253" s="228">
        <v>0.17</v>
      </c>
      <c r="P253" s="228">
        <v>0.4632</v>
      </c>
      <c r="Q253" s="230">
        <v>0.2021</v>
      </c>
      <c r="R253" s="231">
        <v>44406</v>
      </c>
      <c r="S253" s="232">
        <v>136.52000427246</v>
      </c>
      <c r="T253" s="233">
        <v>0.21</v>
      </c>
      <c r="U253" s="234">
        <v>42781</v>
      </c>
      <c r="V253" s="232">
        <v>56.067836761474602</v>
      </c>
      <c r="W253" s="235">
        <v>0.15</v>
      </c>
    </row>
    <row r="254" spans="1:23" ht="15.75" customHeight="1" thickBot="1">
      <c r="A254" s="102"/>
      <c r="B254" s="104"/>
      <c r="C254" s="104"/>
      <c r="D254" s="105"/>
      <c r="E254" s="374"/>
      <c r="F254" s="222" t="s">
        <v>390</v>
      </c>
      <c r="G254" s="223" t="s">
        <v>1484</v>
      </c>
      <c r="H254" s="224" t="str">
        <f t="shared" si="12"/>
        <v>JBHT</v>
      </c>
      <c r="I254" s="225" t="str">
        <f t="shared" si="13"/>
        <v>XLI</v>
      </c>
      <c r="J254" s="226" t="str">
        <f t="shared" si="14"/>
        <v>綜合貨運物流</v>
      </c>
      <c r="K254" s="227" t="str">
        <f t="shared" si="15"/>
        <v>.SPX</v>
      </c>
      <c r="L254" s="228">
        <v>0.23860000000000001</v>
      </c>
      <c r="M254" s="229">
        <v>166.87</v>
      </c>
      <c r="N254" s="228">
        <v>0.41830000000000001</v>
      </c>
      <c r="O254" s="228">
        <v>0.14699999999999999</v>
      </c>
      <c r="P254" s="228">
        <v>0.37310000000000004</v>
      </c>
      <c r="Q254" s="230">
        <v>0.21729999999999999</v>
      </c>
      <c r="R254" s="231">
        <v>44413</v>
      </c>
      <c r="S254" s="232">
        <v>166.86999511718699</v>
      </c>
      <c r="T254" s="233">
        <v>0.3</v>
      </c>
      <c r="U254" s="234">
        <v>42676</v>
      </c>
      <c r="V254" s="232">
        <v>78.178115844726506</v>
      </c>
      <c r="W254" s="235">
        <v>0.22</v>
      </c>
    </row>
    <row r="255" spans="1:23" ht="15.75" customHeight="1" thickBot="1">
      <c r="A255" s="102"/>
      <c r="B255" s="104"/>
      <c r="C255" s="104"/>
      <c r="D255" s="105"/>
      <c r="E255" s="374"/>
      <c r="F255" s="222" t="s">
        <v>274</v>
      </c>
      <c r="G255" s="223" t="s">
        <v>1516</v>
      </c>
      <c r="H255" s="224" t="str">
        <f t="shared" si="12"/>
        <v>JCI</v>
      </c>
      <c r="I255" s="225" t="str">
        <f t="shared" si="13"/>
        <v>XLI</v>
      </c>
      <c r="J255" s="226" t="str">
        <f t="shared" si="14"/>
        <v>工程建設</v>
      </c>
      <c r="K255" s="227" t="str">
        <f t="shared" si="15"/>
        <v>.SPX</v>
      </c>
      <c r="L255" s="228">
        <v>0.2059</v>
      </c>
      <c r="M255" s="229">
        <v>72.42</v>
      </c>
      <c r="N255" s="228">
        <v>0.3347</v>
      </c>
      <c r="O255" s="228">
        <v>0.1449</v>
      </c>
      <c r="P255" s="228">
        <v>0.41460000000000002</v>
      </c>
      <c r="Q255" s="230">
        <v>0.2</v>
      </c>
      <c r="R255" s="231">
        <v>44365</v>
      </c>
      <c r="S255" s="232">
        <v>64.440002441406193</v>
      </c>
      <c r="T255" s="233">
        <v>0.27</v>
      </c>
      <c r="U255" s="234">
        <v>42619</v>
      </c>
      <c r="V255" s="232">
        <v>38.589595794677699</v>
      </c>
      <c r="W255" s="235">
        <v>0</v>
      </c>
    </row>
    <row r="256" spans="1:23" ht="15.75" customHeight="1" thickBot="1">
      <c r="A256" s="102"/>
      <c r="B256" s="104"/>
      <c r="C256" s="104"/>
      <c r="D256" s="105"/>
      <c r="E256" s="374"/>
      <c r="F256" s="222" t="s">
        <v>61</v>
      </c>
      <c r="G256" s="223" t="s">
        <v>1437</v>
      </c>
      <c r="H256" s="224" t="str">
        <f t="shared" si="12"/>
        <v>JKHY</v>
      </c>
      <c r="I256" s="225" t="str">
        <f t="shared" si="13"/>
        <v>XLK</v>
      </c>
      <c r="J256" s="226" t="str">
        <f t="shared" si="14"/>
        <v>信息技術處</v>
      </c>
      <c r="K256" s="227" t="str">
        <f t="shared" si="15"/>
        <v>.SPX</v>
      </c>
      <c r="L256" s="228">
        <v>0.27079999999999999</v>
      </c>
      <c r="M256" s="229">
        <v>173.52</v>
      </c>
      <c r="N256" s="228">
        <v>0.51339999999999997</v>
      </c>
      <c r="O256" s="228">
        <v>0.1298</v>
      </c>
      <c r="P256" s="228">
        <v>0.47960000000000003</v>
      </c>
      <c r="Q256" s="230">
        <v>0.1807</v>
      </c>
      <c r="R256" s="231">
        <v>44343</v>
      </c>
      <c r="S256" s="232">
        <v>155.57000732421801</v>
      </c>
      <c r="T256" s="233">
        <v>0.46</v>
      </c>
      <c r="U256" s="234">
        <v>42615</v>
      </c>
      <c r="V256" s="232">
        <v>84.248748779296804</v>
      </c>
      <c r="W256" s="235">
        <v>0.28000000000000003</v>
      </c>
    </row>
    <row r="257" spans="1:23" ht="15.75" customHeight="1" thickBot="1">
      <c r="A257" s="102"/>
      <c r="B257" s="104"/>
      <c r="C257" s="104"/>
      <c r="D257" s="105"/>
      <c r="E257" s="374"/>
      <c r="F257" s="222" t="s">
        <v>154</v>
      </c>
      <c r="G257" s="223" t="s">
        <v>1434</v>
      </c>
      <c r="H257" s="224" t="str">
        <f t="shared" si="12"/>
        <v>JNJ</v>
      </c>
      <c r="I257" s="225" t="str">
        <f t="shared" si="13"/>
        <v>XLV</v>
      </c>
      <c r="J257" s="226" t="str">
        <f t="shared" si="14"/>
        <v>藥品製造商— 常規</v>
      </c>
      <c r="K257" s="227" t="str">
        <f t="shared" si="15"/>
        <v>.SPX</v>
      </c>
      <c r="L257" s="228">
        <v>0.1452</v>
      </c>
      <c r="M257" s="229">
        <v>172.85</v>
      </c>
      <c r="N257" s="228">
        <v>0.2228</v>
      </c>
      <c r="O257" s="228">
        <v>9.9699999999999997E-2</v>
      </c>
      <c r="P257" s="228">
        <v>0.33729999999999999</v>
      </c>
      <c r="Q257" s="230">
        <v>0.1358</v>
      </c>
      <c r="R257" s="231">
        <v>44340</v>
      </c>
      <c r="S257" s="232">
        <v>170.55000305175699</v>
      </c>
      <c r="T257" s="233">
        <v>1.06</v>
      </c>
      <c r="U257" s="234">
        <v>42601</v>
      </c>
      <c r="V257" s="232">
        <v>105.68544006347599</v>
      </c>
      <c r="W257" s="235">
        <v>0.8</v>
      </c>
    </row>
    <row r="258" spans="1:23" ht="15.75" customHeight="1" thickBot="1">
      <c r="A258" s="102"/>
      <c r="B258" s="104"/>
      <c r="C258" s="104"/>
      <c r="D258" s="105"/>
      <c r="E258" s="374"/>
      <c r="F258" s="222" t="s">
        <v>88</v>
      </c>
      <c r="G258" s="223" t="s">
        <v>1490</v>
      </c>
      <c r="H258" s="224" t="str">
        <f t="shared" si="12"/>
        <v>JNPR</v>
      </c>
      <c r="I258" s="225" t="str">
        <f t="shared" si="13"/>
        <v>XLK</v>
      </c>
      <c r="J258" s="226" t="str">
        <f t="shared" si="14"/>
        <v>通信設備</v>
      </c>
      <c r="K258" s="227" t="str">
        <f t="shared" si="15"/>
        <v>.SPX</v>
      </c>
      <c r="L258" s="228">
        <v>0.2545</v>
      </c>
      <c r="M258" s="229">
        <v>28.49</v>
      </c>
      <c r="N258" s="228">
        <v>0.39460000000000001</v>
      </c>
      <c r="O258" s="228">
        <v>0.16839999999999999</v>
      </c>
      <c r="P258" s="228">
        <v>0.50690000000000002</v>
      </c>
      <c r="Q258" s="230">
        <v>0.2165</v>
      </c>
      <c r="R258" s="231">
        <v>44344</v>
      </c>
      <c r="S258" s="232">
        <v>26.329999923706001</v>
      </c>
      <c r="T258" s="233">
        <v>0.2</v>
      </c>
      <c r="U258" s="234">
        <v>42612</v>
      </c>
      <c r="V258" s="232">
        <v>20.4952087402343</v>
      </c>
      <c r="W258" s="235">
        <v>0.1</v>
      </c>
    </row>
    <row r="259" spans="1:23" ht="15.75" customHeight="1" thickBot="1">
      <c r="A259" s="102"/>
      <c r="B259" s="104"/>
      <c r="C259" s="104"/>
      <c r="D259" s="105"/>
      <c r="E259" s="374"/>
      <c r="F259" s="222" t="s">
        <v>459</v>
      </c>
      <c r="G259" s="223" t="s">
        <v>1471</v>
      </c>
      <c r="H259" s="224" t="str">
        <f t="shared" si="12"/>
        <v>JPM</v>
      </c>
      <c r="I259" s="225" t="str">
        <f t="shared" si="13"/>
        <v>XLF</v>
      </c>
      <c r="J259" s="226" t="str">
        <f t="shared" si="14"/>
        <v>銀行-多樣化</v>
      </c>
      <c r="K259" s="227" t="str">
        <f t="shared" si="15"/>
        <v>.SPX</v>
      </c>
      <c r="L259" s="228">
        <v>0.22850000000000001</v>
      </c>
      <c r="M259" s="229">
        <v>153.15</v>
      </c>
      <c r="N259" s="228">
        <v>0.49719999999999998</v>
      </c>
      <c r="O259" s="228">
        <v>0.16450000000000001</v>
      </c>
      <c r="P259" s="228">
        <v>0.41979999999999995</v>
      </c>
      <c r="Q259" s="230">
        <v>0.1991</v>
      </c>
      <c r="R259" s="231">
        <v>44379</v>
      </c>
      <c r="S259" s="232">
        <v>156.02999877929599</v>
      </c>
      <c r="T259" s="233">
        <v>0.9</v>
      </c>
      <c r="U259" s="234">
        <v>42647</v>
      </c>
      <c r="V259" s="232">
        <v>58.456432342529297</v>
      </c>
      <c r="W259" s="235">
        <v>0.48</v>
      </c>
    </row>
    <row r="260" spans="1:23" ht="15.75" customHeight="1" thickBot="1">
      <c r="A260" s="102"/>
      <c r="B260" s="104"/>
      <c r="C260" s="104"/>
      <c r="D260" s="105"/>
      <c r="E260" s="374"/>
      <c r="F260" s="222" t="s">
        <v>174</v>
      </c>
      <c r="G260" s="223" t="s">
        <v>1476</v>
      </c>
      <c r="H260" s="224" t="str">
        <f t="shared" ref="H260:H323" si="16">IF(F260="","",F260)</f>
        <v>K</v>
      </c>
      <c r="I260" s="225" t="str">
        <f t="shared" ref="I260:I323" si="17">IFERROR(INDEX($X$3:$AH$3,IF(IFERROR(MATCH(H260,X:X,0),0)&lt;&gt;0,1,IF(IFERROR(MATCH(H260,Y:Y,0),0)&lt;&gt;0,2,IF(IFERROR(MATCH(H260,Z:Z,0),0)&lt;&gt;0,3,IF(IFERROR(MATCH(H260,AA:AA,0),0)&lt;&gt;0,4,IF(IFERROR(MATCH(H260,AB:AB,0),0)&lt;&gt;0,5,IF(IFERROR(MATCH(H260,AC:AC,0),0)&lt;&gt;0,6,IF(IFERROR(MATCH(H260,AD:AD,0),0)&lt;&gt;0,7,IF(IFERROR(MATCH(H260,AE:AE,0),0)&lt;&gt;0,8,IF(IFERROR(MATCH(H260,AF:AF,0),0)&lt;&gt;0,9,IF(IFERROR(MATCH(H260,AG:AG,0),0)&lt;&gt;0,10,IF(IFERROR(MATCH(H260,AH:AH,0),0)&lt;&gt;0,11,"Z")))))))))))),"")</f>
        <v>XLP</v>
      </c>
      <c r="J260" s="226" t="str">
        <f t="shared" ref="J260:J323" si="18">IF(G260="","",G260)</f>
        <v>包裝食品</v>
      </c>
      <c r="K260" s="227" t="str">
        <f t="shared" si="15"/>
        <v>.SPX</v>
      </c>
      <c r="L260" s="228">
        <v>0.18440000000000001</v>
      </c>
      <c r="M260" s="229">
        <v>63.11</v>
      </c>
      <c r="N260" s="228">
        <v>0.25969999999999999</v>
      </c>
      <c r="O260" s="228">
        <v>0.1162</v>
      </c>
      <c r="P260" s="228">
        <v>0.33979999999999999</v>
      </c>
      <c r="Q260" s="230">
        <v>0.16260000000000002</v>
      </c>
      <c r="R260" s="231">
        <v>44344</v>
      </c>
      <c r="S260" s="232">
        <v>65.489997863769503</v>
      </c>
      <c r="T260" s="233">
        <v>0.57999999999999996</v>
      </c>
      <c r="U260" s="234">
        <v>42612</v>
      </c>
      <c r="V260" s="232">
        <v>69.463508605957003</v>
      </c>
      <c r="W260" s="235">
        <v>0.52</v>
      </c>
    </row>
    <row r="261" spans="1:23" ht="15.75" customHeight="1" thickBot="1">
      <c r="A261" s="102"/>
      <c r="B261" s="104"/>
      <c r="C261" s="104"/>
      <c r="D261" s="105"/>
      <c r="E261" s="374"/>
      <c r="F261" s="222" t="s">
        <v>489</v>
      </c>
      <c r="G261" s="223" t="s">
        <v>1482</v>
      </c>
      <c r="H261" s="224" t="str">
        <f t="shared" si="16"/>
        <v>KEY</v>
      </c>
      <c r="I261" s="225" t="str">
        <f t="shared" si="17"/>
        <v>XLF</v>
      </c>
      <c r="J261" s="226" t="str">
        <f t="shared" si="18"/>
        <v>銀行-區域</v>
      </c>
      <c r="K261" s="227" t="str">
        <f t="shared" ref="K261:K324" si="19">IF(H261="","",".SPX")</f>
        <v>.SPX</v>
      </c>
      <c r="L261" s="228">
        <v>0.30449999999999999</v>
      </c>
      <c r="M261" s="229">
        <v>19.899999999999999</v>
      </c>
      <c r="N261" s="228">
        <v>0.76900000000000002</v>
      </c>
      <c r="O261" s="228">
        <v>0.2054</v>
      </c>
      <c r="P261" s="228">
        <v>0.54249999999999998</v>
      </c>
      <c r="Q261" s="230">
        <v>0.26789999999999997</v>
      </c>
      <c r="R261" s="231">
        <v>44344</v>
      </c>
      <c r="S261" s="232">
        <v>23.040000915527301</v>
      </c>
      <c r="T261" s="233">
        <v>0.185</v>
      </c>
      <c r="U261" s="234">
        <v>42699</v>
      </c>
      <c r="V261" s="232">
        <v>14.752495765686</v>
      </c>
      <c r="W261" s="235">
        <v>8.5000000000000006E-2</v>
      </c>
    </row>
    <row r="262" spans="1:23" ht="15.75" customHeight="1" thickBot="1">
      <c r="A262" s="102"/>
      <c r="B262" s="104"/>
      <c r="C262" s="104"/>
      <c r="D262" s="105"/>
      <c r="E262" s="374"/>
      <c r="F262" s="222" t="s">
        <v>108</v>
      </c>
      <c r="G262" s="223" t="s">
        <v>1505</v>
      </c>
      <c r="H262" s="224" t="str">
        <f t="shared" si="16"/>
        <v>KEYS</v>
      </c>
      <c r="I262" s="225" t="str">
        <f t="shared" si="17"/>
        <v>XLK</v>
      </c>
      <c r="J262" s="226" t="str">
        <f t="shared" si="18"/>
        <v>科技儀器</v>
      </c>
      <c r="K262" s="227" t="str">
        <f t="shared" si="19"/>
        <v>.SPX</v>
      </c>
      <c r="L262" s="228">
        <v>0.26619999999999999</v>
      </c>
      <c r="M262" s="229">
        <v>166.4</v>
      </c>
      <c r="N262" s="228">
        <v>0.35830000000000001</v>
      </c>
      <c r="O262" s="228">
        <v>0.1173</v>
      </c>
      <c r="P262" s="228">
        <v>0.46009999999999995</v>
      </c>
      <c r="Q262" s="230">
        <v>0.20829999999999999</v>
      </c>
      <c r="R262" s="231">
        <v>0</v>
      </c>
      <c r="S262" s="232">
        <v>0</v>
      </c>
      <c r="T262" s="233">
        <v>0</v>
      </c>
      <c r="U262" s="234">
        <v>0</v>
      </c>
      <c r="V262" s="232">
        <v>0</v>
      </c>
      <c r="W262" s="235">
        <v>0</v>
      </c>
    </row>
    <row r="263" spans="1:23" ht="15.75" customHeight="1" thickBot="1">
      <c r="A263" s="102"/>
      <c r="B263" s="104"/>
      <c r="C263" s="104"/>
      <c r="D263" s="105"/>
      <c r="E263" s="374"/>
      <c r="F263" s="222" t="s">
        <v>330</v>
      </c>
      <c r="G263" s="223" t="s">
        <v>1476</v>
      </c>
      <c r="H263" s="224" t="str">
        <f t="shared" si="16"/>
        <v>KHC</v>
      </c>
      <c r="I263" s="225" t="str">
        <f t="shared" si="17"/>
        <v>XLP</v>
      </c>
      <c r="J263" s="226" t="str">
        <f t="shared" si="18"/>
        <v>包裝食品</v>
      </c>
      <c r="K263" s="227" t="str">
        <f t="shared" si="19"/>
        <v>.SPX</v>
      </c>
      <c r="L263" s="228">
        <v>0.2087</v>
      </c>
      <c r="M263" s="229">
        <v>37.14</v>
      </c>
      <c r="N263" s="228">
        <v>0.34150000000000003</v>
      </c>
      <c r="O263" s="228">
        <v>0.13139999999999999</v>
      </c>
      <c r="P263" s="228">
        <v>0.41450000000000004</v>
      </c>
      <c r="Q263" s="230">
        <v>0.1875</v>
      </c>
      <c r="R263" s="231">
        <v>44343</v>
      </c>
      <c r="S263" s="232">
        <v>43.430000305175703</v>
      </c>
      <c r="T263" s="233">
        <v>0.4</v>
      </c>
      <c r="U263" s="234">
        <v>42606</v>
      </c>
      <c r="V263" s="232">
        <v>72.475685119628906</v>
      </c>
      <c r="W263" s="235">
        <v>0.6</v>
      </c>
    </row>
    <row r="264" spans="1:23" ht="15.75" customHeight="1" thickBot="1">
      <c r="A264" s="102"/>
      <c r="B264" s="104"/>
      <c r="C264" s="104"/>
      <c r="D264" s="105"/>
      <c r="E264" s="374"/>
      <c r="F264" s="222" t="s">
        <v>389</v>
      </c>
      <c r="G264" s="223" t="s">
        <v>521</v>
      </c>
      <c r="H264" s="224" t="str">
        <f t="shared" si="16"/>
        <v>KIM</v>
      </c>
      <c r="I264" s="225" t="str">
        <f t="shared" si="17"/>
        <v>XLRE</v>
      </c>
      <c r="J264" s="226" t="str">
        <f t="shared" si="18"/>
        <v>-</v>
      </c>
      <c r="K264" s="227" t="str">
        <f t="shared" si="19"/>
        <v>.SPX</v>
      </c>
      <c r="L264" s="228">
        <v>0.30320000000000003</v>
      </c>
      <c r="M264" s="229">
        <v>21.89</v>
      </c>
      <c r="N264" s="228">
        <v>0.95899999999999996</v>
      </c>
      <c r="O264" s="228">
        <v>0.2177</v>
      </c>
      <c r="P264" s="228">
        <v>0.56140000000000001</v>
      </c>
      <c r="Q264" s="230">
        <v>0.25509999999999999</v>
      </c>
      <c r="R264" s="231">
        <v>44355</v>
      </c>
      <c r="S264" s="232">
        <v>22.159999847412099</v>
      </c>
      <c r="T264" s="233">
        <v>0.17</v>
      </c>
      <c r="U264" s="234">
        <v>42646</v>
      </c>
      <c r="V264" s="232">
        <v>21.629009246826101</v>
      </c>
      <c r="W264" s="235">
        <v>0.255</v>
      </c>
    </row>
    <row r="265" spans="1:23" ht="15.75" customHeight="1" thickBot="1">
      <c r="A265" s="102"/>
      <c r="B265" s="104"/>
      <c r="C265" s="104"/>
      <c r="D265" s="105"/>
      <c r="E265" s="374"/>
      <c r="F265" s="222" t="s">
        <v>85</v>
      </c>
      <c r="G265" s="223" t="s">
        <v>1452</v>
      </c>
      <c r="H265" s="224" t="str">
        <f t="shared" si="16"/>
        <v>KLAC</v>
      </c>
      <c r="I265" s="225" t="str">
        <f t="shared" si="17"/>
        <v>XLK</v>
      </c>
      <c r="J265" s="226" t="str">
        <f t="shared" si="18"/>
        <v>半導體設備與材料</v>
      </c>
      <c r="K265" s="227" t="str">
        <f t="shared" si="19"/>
        <v>.SPX</v>
      </c>
      <c r="L265" s="228">
        <v>0.312</v>
      </c>
      <c r="M265" s="229">
        <v>353.71</v>
      </c>
      <c r="N265" s="228">
        <v>0.68049999999999999</v>
      </c>
      <c r="O265" s="228">
        <v>0.23139999999999999</v>
      </c>
      <c r="P265" s="228">
        <v>0.53110000000000002</v>
      </c>
      <c r="Q265" s="230">
        <v>0.29680000000000001</v>
      </c>
      <c r="R265" s="231">
        <v>44330</v>
      </c>
      <c r="S265" s="232">
        <v>305.75</v>
      </c>
      <c r="T265" s="233">
        <v>0.9</v>
      </c>
      <c r="U265" s="234">
        <v>42593</v>
      </c>
      <c r="V265" s="232">
        <v>60.6978759765625</v>
      </c>
      <c r="W265" s="235">
        <v>0.52</v>
      </c>
    </row>
    <row r="266" spans="1:23" ht="15.75" customHeight="1" thickBot="1">
      <c r="A266" s="102"/>
      <c r="B266" s="104"/>
      <c r="C266" s="104"/>
      <c r="D266" s="105"/>
      <c r="E266" s="374"/>
      <c r="F266" s="222" t="s">
        <v>258</v>
      </c>
      <c r="G266" s="223" t="s">
        <v>1483</v>
      </c>
      <c r="H266" s="224" t="str">
        <f t="shared" si="16"/>
        <v>KMB</v>
      </c>
      <c r="I266" s="225" t="str">
        <f t="shared" si="17"/>
        <v>XLP</v>
      </c>
      <c r="J266" s="226" t="str">
        <f t="shared" si="18"/>
        <v>家庭及個人產品</v>
      </c>
      <c r="K266" s="227" t="str">
        <f t="shared" si="19"/>
        <v>.SPX</v>
      </c>
      <c r="L266" s="228">
        <v>0.16719999999999999</v>
      </c>
      <c r="M266" s="229">
        <v>133.25</v>
      </c>
      <c r="N266" s="228">
        <v>0.28889999999999999</v>
      </c>
      <c r="O266" s="228">
        <v>0.10009999999999999</v>
      </c>
      <c r="P266" s="228">
        <v>0.29270000000000002</v>
      </c>
      <c r="Q266" s="230">
        <v>0.14679999999999999</v>
      </c>
      <c r="R266" s="231">
        <v>44350</v>
      </c>
      <c r="S266" s="232">
        <v>129.600006103515</v>
      </c>
      <c r="T266" s="233">
        <v>1.1399999999999999</v>
      </c>
      <c r="U266" s="234">
        <v>42620</v>
      </c>
      <c r="V266" s="232">
        <v>108.966896057128</v>
      </c>
      <c r="W266" s="235">
        <v>0.92</v>
      </c>
    </row>
    <row r="267" spans="1:23" ht="15.75" customHeight="1" thickBot="1">
      <c r="A267" s="102"/>
      <c r="B267" s="104"/>
      <c r="C267" s="104"/>
      <c r="D267" s="105"/>
      <c r="E267" s="374"/>
      <c r="F267" s="222" t="s">
        <v>153</v>
      </c>
      <c r="G267" s="223" t="s">
        <v>1517</v>
      </c>
      <c r="H267" s="224" t="str">
        <f t="shared" si="16"/>
        <v>KMI</v>
      </c>
      <c r="I267" s="225" t="str">
        <f t="shared" si="17"/>
        <v>XLE</v>
      </c>
      <c r="J267" s="226" t="str">
        <f t="shared" si="18"/>
        <v>油氣中流</v>
      </c>
      <c r="K267" s="227" t="str">
        <f t="shared" si="19"/>
        <v>.SPX</v>
      </c>
      <c r="L267" s="228">
        <v>0.24759999999999999</v>
      </c>
      <c r="M267" s="229">
        <v>17.11</v>
      </c>
      <c r="N267" s="228">
        <v>0.43169999999999997</v>
      </c>
      <c r="O267" s="228">
        <v>0.17480000000000001</v>
      </c>
      <c r="P267" s="228">
        <v>0.45329999999999998</v>
      </c>
      <c r="Q267" s="230">
        <v>0.21789999999999998</v>
      </c>
      <c r="R267" s="231">
        <v>44407</v>
      </c>
      <c r="S267" s="232">
        <v>17.379999160766602</v>
      </c>
      <c r="T267" s="233">
        <v>0.27</v>
      </c>
      <c r="U267" s="234">
        <v>42671</v>
      </c>
      <c r="V267" s="232">
        <v>16.167718887329102</v>
      </c>
      <c r="W267" s="235">
        <v>0.125</v>
      </c>
    </row>
    <row r="268" spans="1:23" ht="15.75" customHeight="1" thickBot="1">
      <c r="A268" s="102"/>
      <c r="B268" s="104"/>
      <c r="C268" s="104"/>
      <c r="D268" s="105"/>
      <c r="E268" s="374"/>
      <c r="F268" s="222" t="s">
        <v>299</v>
      </c>
      <c r="G268" s="223" t="s">
        <v>1518</v>
      </c>
      <c r="H268" s="224" t="str">
        <f t="shared" si="16"/>
        <v>KMX</v>
      </c>
      <c r="I268" s="225" t="str">
        <f t="shared" si="17"/>
        <v>XLY</v>
      </c>
      <c r="J268" s="226" t="str">
        <f t="shared" si="18"/>
        <v>汽車和卡車經銷商</v>
      </c>
      <c r="K268" s="227" t="str">
        <f t="shared" si="19"/>
        <v>.SPX</v>
      </c>
      <c r="L268" s="228">
        <v>0.27860000000000001</v>
      </c>
      <c r="M268" s="229">
        <v>136</v>
      </c>
      <c r="N268" s="228">
        <v>0.53</v>
      </c>
      <c r="O268" s="228">
        <v>0.17069999999999999</v>
      </c>
      <c r="P268" s="228">
        <v>0.55679999999999996</v>
      </c>
      <c r="Q268" s="230">
        <v>0.24719999999999998</v>
      </c>
      <c r="R268" s="231">
        <v>0</v>
      </c>
      <c r="S268" s="232">
        <v>0</v>
      </c>
      <c r="T268" s="233">
        <v>0</v>
      </c>
      <c r="U268" s="234">
        <v>0</v>
      </c>
      <c r="V268" s="232">
        <v>0</v>
      </c>
      <c r="W268" s="235">
        <v>0</v>
      </c>
    </row>
    <row r="269" spans="1:23" ht="15.75" customHeight="1" thickBot="1">
      <c r="A269" s="102"/>
      <c r="B269" s="104"/>
      <c r="C269" s="104"/>
      <c r="D269" s="105"/>
      <c r="E269" s="374"/>
      <c r="F269" s="222" t="s">
        <v>173</v>
      </c>
      <c r="G269" s="223" t="s">
        <v>1519</v>
      </c>
      <c r="H269" s="224" t="str">
        <f t="shared" si="16"/>
        <v>KO</v>
      </c>
      <c r="I269" s="225" t="str">
        <f t="shared" si="17"/>
        <v>XLP</v>
      </c>
      <c r="J269" s="226" t="str">
        <f t="shared" si="18"/>
        <v>飲料-不含酒精</v>
      </c>
      <c r="K269" s="227" t="str">
        <f t="shared" si="19"/>
        <v>.SPX</v>
      </c>
      <c r="L269" s="228">
        <v>0.1318</v>
      </c>
      <c r="M269" s="229">
        <v>56.56</v>
      </c>
      <c r="N269" s="228">
        <v>0.27860000000000001</v>
      </c>
      <c r="O269" s="228">
        <v>9.4399999999999998E-2</v>
      </c>
      <c r="P269" s="228">
        <v>0.30170000000000002</v>
      </c>
      <c r="Q269" s="230">
        <v>0.12920000000000001</v>
      </c>
      <c r="R269" s="231">
        <v>44361</v>
      </c>
      <c r="S269" s="232">
        <v>55.549999237060497</v>
      </c>
      <c r="T269" s="233">
        <v>0.42</v>
      </c>
      <c r="U269" s="234">
        <v>42626</v>
      </c>
      <c r="V269" s="232">
        <v>36.168220520019503</v>
      </c>
      <c r="W269" s="235">
        <v>0.35</v>
      </c>
    </row>
    <row r="270" spans="1:23" ht="15.75" customHeight="1" thickBot="1">
      <c r="A270" s="102"/>
      <c r="B270" s="104"/>
      <c r="C270" s="104"/>
      <c r="D270" s="105"/>
      <c r="E270" s="374"/>
      <c r="F270" s="222" t="s">
        <v>109</v>
      </c>
      <c r="G270" s="223" t="s">
        <v>1520</v>
      </c>
      <c r="H270" s="224" t="str">
        <f t="shared" si="16"/>
        <v>KR</v>
      </c>
      <c r="I270" s="225" t="str">
        <f t="shared" si="17"/>
        <v>XLP</v>
      </c>
      <c r="J270" s="226" t="str">
        <f t="shared" si="18"/>
        <v>雜貨店</v>
      </c>
      <c r="K270" s="227" t="str">
        <f t="shared" si="19"/>
        <v>.SPX</v>
      </c>
      <c r="L270" s="228">
        <v>0.2492</v>
      </c>
      <c r="M270" s="229">
        <v>41.93</v>
      </c>
      <c r="N270" s="228">
        <v>0.44130000000000003</v>
      </c>
      <c r="O270" s="228">
        <v>0.1585</v>
      </c>
      <c r="P270" s="228">
        <v>0.47549999999999998</v>
      </c>
      <c r="Q270" s="230">
        <v>0.20809999999999998</v>
      </c>
      <c r="R270" s="231">
        <v>44329</v>
      </c>
      <c r="S270" s="232">
        <v>36.810001373291001</v>
      </c>
      <c r="T270" s="233">
        <v>0.18</v>
      </c>
      <c r="U270" s="234">
        <v>42593</v>
      </c>
      <c r="V270" s="232">
        <v>29.351604461669901</v>
      </c>
      <c r="W270" s="235">
        <v>0.12</v>
      </c>
    </row>
    <row r="271" spans="1:23" ht="15.75" customHeight="1" thickBot="1">
      <c r="A271" s="102"/>
      <c r="B271" s="104"/>
      <c r="C271" s="104"/>
      <c r="D271" s="105"/>
      <c r="E271" s="374"/>
      <c r="F271" s="222" t="s">
        <v>376</v>
      </c>
      <c r="G271" s="223" t="s">
        <v>1491</v>
      </c>
      <c r="H271" s="224" t="str">
        <f t="shared" si="16"/>
        <v>KSU</v>
      </c>
      <c r="I271" s="225" t="str">
        <f t="shared" si="17"/>
        <v>XLI</v>
      </c>
      <c r="J271" s="226" t="str">
        <f t="shared" si="18"/>
        <v>鐵路</v>
      </c>
      <c r="K271" s="227" t="str">
        <f t="shared" si="19"/>
        <v>.SPX</v>
      </c>
      <c r="L271" s="228">
        <v>0.52400000000000002</v>
      </c>
      <c r="M271" s="229">
        <v>271.72000000000003</v>
      </c>
      <c r="N271" s="228">
        <v>0.52639999999999998</v>
      </c>
      <c r="O271" s="228">
        <v>0.1014</v>
      </c>
      <c r="P271" s="228">
        <v>0.52400000000000002</v>
      </c>
      <c r="Q271" s="230">
        <v>0.18100000000000002</v>
      </c>
      <c r="R271" s="231">
        <v>44358</v>
      </c>
      <c r="S271" s="232">
        <v>294.29998779296801</v>
      </c>
      <c r="T271" s="233">
        <v>0.54</v>
      </c>
      <c r="U271" s="234">
        <v>42621</v>
      </c>
      <c r="V271" s="232">
        <v>91.691642761230398</v>
      </c>
      <c r="W271" s="235">
        <v>0.33</v>
      </c>
    </row>
    <row r="272" spans="1:23" ht="15.75" customHeight="1" thickBot="1">
      <c r="A272" s="102"/>
      <c r="B272" s="104"/>
      <c r="C272" s="104"/>
      <c r="D272" s="105"/>
      <c r="E272" s="374"/>
      <c r="F272" s="222" t="s">
        <v>398</v>
      </c>
      <c r="G272" s="223" t="s">
        <v>1450</v>
      </c>
      <c r="H272" s="224" t="str">
        <f t="shared" si="16"/>
        <v>L</v>
      </c>
      <c r="I272" s="225" t="str">
        <f t="shared" si="17"/>
        <v>XLF</v>
      </c>
      <c r="J272" s="226" t="str">
        <f t="shared" si="18"/>
        <v>保險-財產及意外事故</v>
      </c>
      <c r="K272" s="227" t="str">
        <f t="shared" si="19"/>
        <v>.SPX</v>
      </c>
      <c r="L272" s="228">
        <v>0.25019999999999998</v>
      </c>
      <c r="M272" s="229">
        <v>54.78</v>
      </c>
      <c r="N272" s="228">
        <v>0.53790000000000004</v>
      </c>
      <c r="O272" s="228">
        <v>0.17130000000000001</v>
      </c>
      <c r="P272" s="228">
        <v>0.46880000000000005</v>
      </c>
      <c r="Q272" s="230">
        <v>0.2122</v>
      </c>
      <c r="R272" s="231">
        <v>44341</v>
      </c>
      <c r="S272" s="232">
        <v>57.360000610351499</v>
      </c>
      <c r="T272" s="233">
        <v>6.3E-2</v>
      </c>
      <c r="U272" s="234">
        <v>42611</v>
      </c>
      <c r="V272" s="232">
        <v>40.716495513916001</v>
      </c>
      <c r="W272" s="235">
        <v>6.3E-2</v>
      </c>
    </row>
    <row r="273" spans="1:23" ht="15.75" customHeight="1" thickBot="1">
      <c r="A273" s="102"/>
      <c r="B273" s="104"/>
      <c r="C273" s="104"/>
      <c r="D273" s="105"/>
      <c r="E273" s="374"/>
      <c r="F273" s="222" t="s">
        <v>293</v>
      </c>
      <c r="G273" s="223" t="s">
        <v>1506</v>
      </c>
      <c r="H273" s="224" t="str">
        <f t="shared" si="16"/>
        <v>LB</v>
      </c>
      <c r="I273" s="225" t="str">
        <f t="shared" si="17"/>
        <v>XLY</v>
      </c>
      <c r="J273" s="226" t="str">
        <f t="shared" si="18"/>
        <v>服裝零售</v>
      </c>
      <c r="K273" s="227" t="str">
        <f t="shared" si="19"/>
        <v>.SPX</v>
      </c>
      <c r="L273" s="228">
        <v>0.19259999999999999</v>
      </c>
      <c r="M273" s="229">
        <v>79.92</v>
      </c>
      <c r="N273" s="228">
        <v>0.39929999999999999</v>
      </c>
      <c r="O273" s="228">
        <v>0.13200000000000001</v>
      </c>
      <c r="P273" s="228">
        <v>0.44979999999999998</v>
      </c>
      <c r="Q273" s="230">
        <v>0.15049999999999999</v>
      </c>
      <c r="R273" s="231">
        <v>44350</v>
      </c>
      <c r="S273" s="232">
        <v>66.069999694824205</v>
      </c>
      <c r="T273" s="233">
        <v>0.15</v>
      </c>
      <c r="U273" s="234">
        <v>42599</v>
      </c>
      <c r="V273" s="232">
        <v>60.612930297851499</v>
      </c>
      <c r="W273" s="235">
        <v>0.6</v>
      </c>
    </row>
    <row r="274" spans="1:23" ht="15.75" customHeight="1" thickBot="1">
      <c r="A274" s="102"/>
      <c r="B274" s="104"/>
      <c r="C274" s="104"/>
      <c r="D274" s="105"/>
      <c r="E274" s="374"/>
      <c r="F274" s="222" t="s">
        <v>83</v>
      </c>
      <c r="G274" s="223" t="s">
        <v>1437</v>
      </c>
      <c r="H274" s="224" t="str">
        <f t="shared" si="16"/>
        <v>LDOS</v>
      </c>
      <c r="I274" s="225" t="str">
        <f t="shared" si="17"/>
        <v>XLI</v>
      </c>
      <c r="J274" s="226" t="str">
        <f t="shared" si="18"/>
        <v>信息技術處</v>
      </c>
      <c r="K274" s="227" t="str">
        <f t="shared" si="19"/>
        <v>.SPX</v>
      </c>
      <c r="L274" s="228">
        <v>0.23830000000000001</v>
      </c>
      <c r="M274" s="229">
        <v>94.79</v>
      </c>
      <c r="N274" s="228">
        <v>0.41620000000000001</v>
      </c>
      <c r="O274" s="228">
        <v>0.13519999999999999</v>
      </c>
      <c r="P274" s="228">
        <v>0.43930000000000002</v>
      </c>
      <c r="Q274" s="230">
        <v>0.1837</v>
      </c>
      <c r="R274" s="231">
        <v>44361</v>
      </c>
      <c r="S274" s="232">
        <v>106.699996948242</v>
      </c>
      <c r="T274" s="233">
        <v>0.34</v>
      </c>
      <c r="U274" s="234">
        <v>42599</v>
      </c>
      <c r="V274" s="232">
        <v>35.028465270996001</v>
      </c>
      <c r="W274" s="235">
        <v>13.64</v>
      </c>
    </row>
    <row r="275" spans="1:23" ht="15.75" customHeight="1" thickBot="1">
      <c r="A275" s="102"/>
      <c r="B275" s="104"/>
      <c r="C275" s="104"/>
      <c r="D275" s="105"/>
      <c r="E275" s="374"/>
      <c r="F275" s="222" t="s">
        <v>406</v>
      </c>
      <c r="G275" s="223" t="s">
        <v>521</v>
      </c>
      <c r="H275" s="224" t="str">
        <f t="shared" si="16"/>
        <v>LEG</v>
      </c>
      <c r="I275" s="225" t="str">
        <f t="shared" si="17"/>
        <v>XLY</v>
      </c>
      <c r="J275" s="226" t="str">
        <f t="shared" si="18"/>
        <v>-</v>
      </c>
      <c r="K275" s="227" t="str">
        <f t="shared" si="19"/>
        <v>.SPX</v>
      </c>
      <c r="L275" s="228">
        <v>0.28249999999999997</v>
      </c>
      <c r="M275" s="229">
        <v>48.07</v>
      </c>
      <c r="N275" s="228">
        <v>0.50019999999999998</v>
      </c>
      <c r="O275" s="228">
        <v>0.2215</v>
      </c>
      <c r="P275" s="228">
        <v>0.58079999999999998</v>
      </c>
      <c r="Q275" s="230">
        <v>0.24660000000000001</v>
      </c>
      <c r="R275" s="231">
        <v>44361</v>
      </c>
      <c r="S275" s="232">
        <v>52.130001068115199</v>
      </c>
      <c r="T275" s="233">
        <v>0.42</v>
      </c>
      <c r="U275" s="234">
        <v>42626</v>
      </c>
      <c r="V275" s="232">
        <v>41.597293853759702</v>
      </c>
      <c r="W275" s="235">
        <v>0.34</v>
      </c>
    </row>
    <row r="276" spans="1:23" ht="15.75" customHeight="1" thickBot="1">
      <c r="A276" s="102"/>
      <c r="B276" s="104"/>
      <c r="C276" s="104"/>
      <c r="D276" s="105"/>
      <c r="E276" s="374"/>
      <c r="F276" s="222" t="s">
        <v>506</v>
      </c>
      <c r="G276" s="223" t="s">
        <v>1495</v>
      </c>
      <c r="H276" s="224" t="str">
        <f t="shared" si="16"/>
        <v>LEN</v>
      </c>
      <c r="I276" s="225" t="str">
        <f t="shared" si="17"/>
        <v>XLY</v>
      </c>
      <c r="J276" s="226" t="str">
        <f t="shared" si="18"/>
        <v>住宅建設</v>
      </c>
      <c r="K276" s="227" t="str">
        <f t="shared" si="19"/>
        <v>.SPX</v>
      </c>
      <c r="L276" s="228">
        <v>0.28510000000000002</v>
      </c>
      <c r="M276" s="229">
        <v>105.45</v>
      </c>
      <c r="N276" s="228">
        <v>0.63519999999999999</v>
      </c>
      <c r="O276" s="228">
        <v>0.24790000000000001</v>
      </c>
      <c r="P276" s="228">
        <v>0.60119999999999996</v>
      </c>
      <c r="Q276" s="230">
        <v>0.27089999999999997</v>
      </c>
      <c r="R276" s="231">
        <v>44378</v>
      </c>
      <c r="S276" s="232">
        <v>101.77999877929599</v>
      </c>
      <c r="T276" s="233">
        <v>0.25</v>
      </c>
      <c r="U276" s="234">
        <v>42646</v>
      </c>
      <c r="V276" s="232">
        <v>40.299785614013601</v>
      </c>
      <c r="W276" s="235">
        <v>3.9330999999999998E-2</v>
      </c>
    </row>
    <row r="277" spans="1:23" ht="15.75" customHeight="1" thickBot="1">
      <c r="A277" s="102"/>
      <c r="B277" s="104"/>
      <c r="C277" s="104"/>
      <c r="D277" s="105"/>
      <c r="E277" s="374"/>
      <c r="F277" s="222" t="s">
        <v>189</v>
      </c>
      <c r="G277" s="223" t="s">
        <v>1430</v>
      </c>
      <c r="H277" s="224" t="str">
        <f t="shared" si="16"/>
        <v>LH</v>
      </c>
      <c r="I277" s="225" t="str">
        <f t="shared" si="17"/>
        <v>XLV</v>
      </c>
      <c r="J277" s="226" t="str">
        <f t="shared" si="18"/>
        <v>診斷與研究</v>
      </c>
      <c r="K277" s="227" t="str">
        <f t="shared" si="19"/>
        <v>.SPX</v>
      </c>
      <c r="L277" s="228">
        <v>0.22320000000000001</v>
      </c>
      <c r="M277" s="229">
        <v>298.91000000000003</v>
      </c>
      <c r="N277" s="228">
        <v>0.35449999999999998</v>
      </c>
      <c r="O277" s="228">
        <v>0.13550000000000001</v>
      </c>
      <c r="P277" s="228">
        <v>0.39229999999999998</v>
      </c>
      <c r="Q277" s="230">
        <v>0.20879999999999999</v>
      </c>
      <c r="R277" s="231">
        <v>0</v>
      </c>
      <c r="S277" s="232">
        <v>0</v>
      </c>
      <c r="T277" s="233">
        <v>0</v>
      </c>
      <c r="U277" s="234">
        <v>0</v>
      </c>
      <c r="V277" s="232">
        <v>0</v>
      </c>
      <c r="W277" s="235">
        <v>0</v>
      </c>
    </row>
    <row r="278" spans="1:23" ht="15.75" customHeight="1" thickBot="1">
      <c r="A278" s="102"/>
      <c r="B278" s="104"/>
      <c r="C278" s="104"/>
      <c r="D278" s="105"/>
      <c r="E278" s="374"/>
      <c r="F278" s="222" t="s">
        <v>148</v>
      </c>
      <c r="G278" s="223" t="s">
        <v>1470</v>
      </c>
      <c r="H278" s="224" t="str">
        <f t="shared" si="16"/>
        <v>LHX</v>
      </c>
      <c r="I278" s="225" t="str">
        <f t="shared" si="17"/>
        <v>XLI</v>
      </c>
      <c r="J278" s="226" t="str">
        <f t="shared" si="18"/>
        <v>航天軍工</v>
      </c>
      <c r="K278" s="227" t="str">
        <f t="shared" si="19"/>
        <v>.SPX</v>
      </c>
      <c r="L278" s="228">
        <v>0.18909999999999999</v>
      </c>
      <c r="M278" s="229">
        <v>231.24</v>
      </c>
      <c r="N278" s="228">
        <v>0.3367</v>
      </c>
      <c r="O278" s="228">
        <v>0.1356</v>
      </c>
      <c r="P278" s="228">
        <v>0.38579999999999998</v>
      </c>
      <c r="Q278" s="230">
        <v>0.1789</v>
      </c>
      <c r="R278" s="231">
        <v>44344</v>
      </c>
      <c r="S278" s="232">
        <v>218.05999755859301</v>
      </c>
      <c r="T278" s="233">
        <v>1.02</v>
      </c>
      <c r="U278" s="234">
        <v>42620</v>
      </c>
      <c r="V278" s="232">
        <v>85.878387451171804</v>
      </c>
      <c r="W278" s="235">
        <v>0.53</v>
      </c>
    </row>
    <row r="279" spans="1:23" ht="15.75" customHeight="1" thickBot="1">
      <c r="A279" s="102"/>
      <c r="B279" s="104"/>
      <c r="C279" s="104"/>
      <c r="D279" s="105"/>
      <c r="E279" s="374"/>
      <c r="F279" s="222" t="s">
        <v>308</v>
      </c>
      <c r="G279" s="223" t="s">
        <v>1449</v>
      </c>
      <c r="H279" s="224" t="str">
        <f t="shared" si="16"/>
        <v>LIN</v>
      </c>
      <c r="I279" s="225" t="str">
        <f t="shared" si="17"/>
        <v>XLB</v>
      </c>
      <c r="J279" s="226" t="str">
        <f t="shared" si="18"/>
        <v>特種化學品</v>
      </c>
      <c r="K279" s="227" t="str">
        <f t="shared" si="19"/>
        <v>.SPX</v>
      </c>
      <c r="L279" s="228">
        <v>0.193</v>
      </c>
      <c r="M279" s="229">
        <v>304.83</v>
      </c>
      <c r="N279" s="228">
        <v>0.3301</v>
      </c>
      <c r="O279" s="228">
        <v>0.1434</v>
      </c>
      <c r="P279" s="228">
        <v>0.38030000000000003</v>
      </c>
      <c r="Q279" s="230">
        <v>0.18090000000000001</v>
      </c>
      <c r="R279" s="231">
        <v>44349</v>
      </c>
      <c r="S279" s="232">
        <v>299.88000488281199</v>
      </c>
      <c r="T279" s="233">
        <v>1.06</v>
      </c>
      <c r="U279" s="234">
        <v>42619</v>
      </c>
      <c r="V279" s="232">
        <v>111.15675354003901</v>
      </c>
      <c r="W279" s="235">
        <v>0.75</v>
      </c>
    </row>
    <row r="280" spans="1:23" ht="15.75" customHeight="1" thickBot="1">
      <c r="A280" s="102"/>
      <c r="B280" s="104"/>
      <c r="C280" s="104"/>
      <c r="D280" s="105"/>
      <c r="E280" s="374"/>
      <c r="F280" s="222" t="s">
        <v>404</v>
      </c>
      <c r="G280" s="223" t="s">
        <v>1463</v>
      </c>
      <c r="H280" s="224" t="str">
        <f t="shared" si="16"/>
        <v>LKQ</v>
      </c>
      <c r="I280" s="225" t="str">
        <f t="shared" si="17"/>
        <v>XLY</v>
      </c>
      <c r="J280" s="226" t="str">
        <f t="shared" si="18"/>
        <v>汽車零件</v>
      </c>
      <c r="K280" s="227" t="str">
        <f t="shared" si="19"/>
        <v>.SPX</v>
      </c>
      <c r="L280" s="228">
        <v>0.26939999999999997</v>
      </c>
      <c r="M280" s="229">
        <v>50.53</v>
      </c>
      <c r="N280" s="228">
        <v>0.46800000000000003</v>
      </c>
      <c r="O280" s="228">
        <v>0.20300000000000001</v>
      </c>
      <c r="P280" s="228">
        <v>0.51800000000000002</v>
      </c>
      <c r="Q280" s="230">
        <v>0.2465</v>
      </c>
      <c r="R280" s="231">
        <v>0</v>
      </c>
      <c r="S280" s="232">
        <v>0</v>
      </c>
      <c r="T280" s="233">
        <v>0</v>
      </c>
      <c r="U280" s="234">
        <v>0</v>
      </c>
      <c r="V280" s="232">
        <v>0</v>
      </c>
      <c r="W280" s="235">
        <v>0</v>
      </c>
    </row>
    <row r="281" spans="1:23" ht="15.75" customHeight="1" thickBot="1">
      <c r="A281" s="102"/>
      <c r="B281" s="104"/>
      <c r="C281" s="104"/>
      <c r="D281" s="105"/>
      <c r="E281" s="374"/>
      <c r="F281" s="222" t="s">
        <v>32</v>
      </c>
      <c r="G281" s="223" t="s">
        <v>1434</v>
      </c>
      <c r="H281" s="224" t="str">
        <f t="shared" si="16"/>
        <v>LLY</v>
      </c>
      <c r="I281" s="225" t="str">
        <f t="shared" si="17"/>
        <v>XLV</v>
      </c>
      <c r="J281" s="226" t="str">
        <f t="shared" si="18"/>
        <v>藥品製造商— 常規</v>
      </c>
      <c r="K281" s="227" t="str">
        <f t="shared" si="19"/>
        <v>.SPX</v>
      </c>
      <c r="L281" s="228">
        <v>0.26569999999999999</v>
      </c>
      <c r="M281" s="229">
        <v>264.19</v>
      </c>
      <c r="N281" s="228">
        <v>0.50360000000000005</v>
      </c>
      <c r="O281" s="228">
        <v>0.16669999999999999</v>
      </c>
      <c r="P281" s="228">
        <v>0.45159999999999995</v>
      </c>
      <c r="Q281" s="230">
        <v>0.20660000000000001</v>
      </c>
      <c r="R281" s="231">
        <v>44329</v>
      </c>
      <c r="S281" s="232">
        <v>194.94000244140599</v>
      </c>
      <c r="T281" s="233">
        <v>0.85</v>
      </c>
      <c r="U281" s="234">
        <v>42593</v>
      </c>
      <c r="V281" s="232">
        <v>72.320152282714801</v>
      </c>
      <c r="W281" s="235">
        <v>0.51</v>
      </c>
    </row>
    <row r="282" spans="1:23" ht="15.75" customHeight="1" thickBot="1">
      <c r="A282" s="102"/>
      <c r="B282" s="104"/>
      <c r="C282" s="104"/>
      <c r="D282" s="105"/>
      <c r="E282" s="374"/>
      <c r="F282" s="222" t="s">
        <v>266</v>
      </c>
      <c r="G282" s="223" t="s">
        <v>1470</v>
      </c>
      <c r="H282" s="224" t="str">
        <f t="shared" si="16"/>
        <v>LMT</v>
      </c>
      <c r="I282" s="225" t="str">
        <f t="shared" si="17"/>
        <v>XLI</v>
      </c>
      <c r="J282" s="226" t="str">
        <f t="shared" si="18"/>
        <v>航天軍工</v>
      </c>
      <c r="K282" s="227" t="str">
        <f t="shared" si="19"/>
        <v>.SPX</v>
      </c>
      <c r="L282" s="228">
        <v>0.1754</v>
      </c>
      <c r="M282" s="229">
        <v>363.16</v>
      </c>
      <c r="N282" s="228">
        <v>0.29339999999999999</v>
      </c>
      <c r="O282" s="228">
        <v>0.1239</v>
      </c>
      <c r="P282" s="228">
        <v>0.39169999999999999</v>
      </c>
      <c r="Q282" s="230">
        <v>0.15130000000000002</v>
      </c>
      <c r="R282" s="231">
        <v>44344</v>
      </c>
      <c r="S282" s="232">
        <v>382.20001220703102</v>
      </c>
      <c r="T282" s="233">
        <v>2.6</v>
      </c>
      <c r="U282" s="234">
        <v>42612</v>
      </c>
      <c r="V282" s="232">
        <v>211.749755859375</v>
      </c>
      <c r="W282" s="235">
        <v>1.65</v>
      </c>
    </row>
    <row r="283" spans="1:23" ht="15.75" customHeight="1" thickBot="1">
      <c r="A283" s="102"/>
      <c r="B283" s="104"/>
      <c r="C283" s="104"/>
      <c r="D283" s="105"/>
      <c r="E283" s="374"/>
      <c r="F283" s="222" t="s">
        <v>480</v>
      </c>
      <c r="G283" s="223" t="s">
        <v>1445</v>
      </c>
      <c r="H283" s="224" t="str">
        <f t="shared" si="16"/>
        <v>LNC</v>
      </c>
      <c r="I283" s="225" t="str">
        <f t="shared" si="17"/>
        <v>XLF</v>
      </c>
      <c r="J283" s="226" t="str">
        <f t="shared" si="18"/>
        <v>保險-人壽保險</v>
      </c>
      <c r="K283" s="227" t="str">
        <f t="shared" si="19"/>
        <v>.SPX</v>
      </c>
      <c r="L283" s="228">
        <v>0.37269999999999998</v>
      </c>
      <c r="M283" s="229">
        <v>66.989999999999995</v>
      </c>
      <c r="N283" s="228">
        <v>0.8931</v>
      </c>
      <c r="O283" s="228">
        <v>0.2472</v>
      </c>
      <c r="P283" s="228">
        <v>0.68559999999999999</v>
      </c>
      <c r="Q283" s="230">
        <v>0.29220000000000002</v>
      </c>
      <c r="R283" s="231">
        <v>44386</v>
      </c>
      <c r="S283" s="232">
        <v>62.009998321533203</v>
      </c>
      <c r="T283" s="233">
        <v>0.42</v>
      </c>
      <c r="U283" s="234">
        <v>42648</v>
      </c>
      <c r="V283" s="232">
        <v>43.314476013183501</v>
      </c>
      <c r="W283" s="235">
        <v>0.25</v>
      </c>
    </row>
    <row r="284" spans="1:23" ht="15.75" customHeight="1" thickBot="1">
      <c r="A284" s="102"/>
      <c r="B284" s="104"/>
      <c r="C284" s="104"/>
      <c r="D284" s="105"/>
      <c r="E284" s="374"/>
      <c r="F284" s="222" t="s">
        <v>236</v>
      </c>
      <c r="G284" s="223" t="s">
        <v>1443</v>
      </c>
      <c r="H284" s="224" t="str">
        <f t="shared" si="16"/>
        <v>LNT</v>
      </c>
      <c r="I284" s="225" t="str">
        <f t="shared" si="17"/>
        <v>XLU</v>
      </c>
      <c r="J284" s="226" t="str">
        <f t="shared" si="18"/>
        <v>公用事業—受監督的電力</v>
      </c>
      <c r="K284" s="227" t="str">
        <f t="shared" si="19"/>
        <v>.SPX</v>
      </c>
      <c r="L284" s="228">
        <v>0.27060000000000001</v>
      </c>
      <c r="M284" s="229">
        <v>60.53</v>
      </c>
      <c r="N284" s="228">
        <v>0.24809999999999999</v>
      </c>
      <c r="O284" s="228">
        <v>0.13500000000000001</v>
      </c>
      <c r="P284" s="228">
        <v>0.3921</v>
      </c>
      <c r="Q284" s="230">
        <v>0.15629999999999999</v>
      </c>
      <c r="R284" s="231">
        <v>44406</v>
      </c>
      <c r="S284" s="232">
        <v>58.900001525878899</v>
      </c>
      <c r="T284" s="233">
        <v>0.40300000000000002</v>
      </c>
      <c r="U284" s="234">
        <v>42670</v>
      </c>
      <c r="V284" s="232">
        <v>32.074802398681598</v>
      </c>
      <c r="W284" s="235">
        <v>0.29399999999999998</v>
      </c>
    </row>
    <row r="285" spans="1:23" ht="15.75" customHeight="1" thickBot="1">
      <c r="A285" s="102"/>
      <c r="B285" s="104"/>
      <c r="C285" s="104"/>
      <c r="D285" s="105"/>
      <c r="E285" s="374"/>
      <c r="F285" s="222" t="s">
        <v>402</v>
      </c>
      <c r="G285" s="223" t="s">
        <v>1510</v>
      </c>
      <c r="H285" s="224" t="str">
        <f t="shared" si="16"/>
        <v>LOW</v>
      </c>
      <c r="I285" s="225" t="str">
        <f t="shared" si="17"/>
        <v>XLY</v>
      </c>
      <c r="J285" s="226" t="str">
        <f t="shared" si="18"/>
        <v>家居裝修零售</v>
      </c>
      <c r="K285" s="227" t="str">
        <f t="shared" si="19"/>
        <v>.SPX</v>
      </c>
      <c r="L285" s="228">
        <v>0.27879999999999999</v>
      </c>
      <c r="M285" s="229">
        <v>190.68</v>
      </c>
      <c r="N285" s="228">
        <v>0.46</v>
      </c>
      <c r="O285" s="228">
        <v>0.1138</v>
      </c>
      <c r="P285" s="228">
        <v>0.46310000000000001</v>
      </c>
      <c r="Q285" s="230">
        <v>0.17829999999999999</v>
      </c>
      <c r="R285" s="231">
        <v>44397</v>
      </c>
      <c r="S285" s="232">
        <v>194.11000061035099</v>
      </c>
      <c r="T285" s="233">
        <v>0.8</v>
      </c>
      <c r="U285" s="234">
        <v>42660</v>
      </c>
      <c r="V285" s="232">
        <v>64.219406127929602</v>
      </c>
      <c r="W285" s="235">
        <v>0.35</v>
      </c>
    </row>
    <row r="286" spans="1:23" ht="15.75" customHeight="1" thickBot="1">
      <c r="A286" s="102"/>
      <c r="B286" s="104"/>
      <c r="C286" s="104"/>
      <c r="D286" s="105"/>
      <c r="E286" s="374"/>
      <c r="F286" s="222" t="s">
        <v>134</v>
      </c>
      <c r="G286" s="223" t="s">
        <v>1452</v>
      </c>
      <c r="H286" s="224" t="str">
        <f t="shared" si="16"/>
        <v>LRCX</v>
      </c>
      <c r="I286" s="225" t="str">
        <f t="shared" si="17"/>
        <v>XLK</v>
      </c>
      <c r="J286" s="226" t="str">
        <f t="shared" si="18"/>
        <v>半導體設備與材料</v>
      </c>
      <c r="K286" s="227" t="str">
        <f t="shared" si="19"/>
        <v>.SPX</v>
      </c>
      <c r="L286" s="228">
        <v>0.3306</v>
      </c>
      <c r="M286" s="229">
        <v>645.66</v>
      </c>
      <c r="N286" s="228">
        <v>0.7258</v>
      </c>
      <c r="O286" s="228">
        <v>0.2419</v>
      </c>
      <c r="P286" s="228">
        <v>0.57409999999999994</v>
      </c>
      <c r="Q286" s="230">
        <v>0.31670000000000004</v>
      </c>
      <c r="R286" s="231">
        <v>44362</v>
      </c>
      <c r="S286" s="232">
        <v>643.47998046875</v>
      </c>
      <c r="T286" s="233">
        <v>1.3</v>
      </c>
      <c r="U286" s="234">
        <v>42625</v>
      </c>
      <c r="V286" s="232">
        <v>86.092247009277301</v>
      </c>
      <c r="W286" s="235">
        <v>0.3</v>
      </c>
    </row>
    <row r="287" spans="1:23" ht="15.75" customHeight="1" thickBot="1">
      <c r="A287" s="102"/>
      <c r="B287" s="104"/>
      <c r="C287" s="104"/>
      <c r="D287" s="105"/>
      <c r="E287" s="374"/>
      <c r="F287" s="222" t="s">
        <v>444</v>
      </c>
      <c r="G287" s="223" t="s">
        <v>1521</v>
      </c>
      <c r="H287" s="224" t="str">
        <f t="shared" si="16"/>
        <v>LUMN</v>
      </c>
      <c r="I287" s="225" t="str">
        <f t="shared" si="17"/>
        <v>XLC</v>
      </c>
      <c r="J287" s="226" t="str">
        <f t="shared" si="18"/>
        <v>電信業務</v>
      </c>
      <c r="K287" s="227" t="str">
        <f t="shared" si="19"/>
        <v>.SPX</v>
      </c>
      <c r="L287" s="228">
        <v>0.33689999999999998</v>
      </c>
      <c r="M287" s="229">
        <v>11.78</v>
      </c>
      <c r="N287" s="228">
        <v>1.1615</v>
      </c>
      <c r="O287" s="228">
        <v>0.2167</v>
      </c>
      <c r="P287" s="228">
        <v>1.0223</v>
      </c>
      <c r="Q287" s="230">
        <v>0.26069999999999999</v>
      </c>
      <c r="R287" s="231">
        <v>44344</v>
      </c>
      <c r="S287" s="232">
        <v>13.8400001525878</v>
      </c>
      <c r="T287" s="233">
        <v>0.25</v>
      </c>
      <c r="U287" s="234">
        <v>42613</v>
      </c>
      <c r="V287" s="232">
        <v>17.586889266967699</v>
      </c>
      <c r="W287" s="235">
        <v>0.54</v>
      </c>
    </row>
    <row r="288" spans="1:23" ht="15.75" customHeight="1" thickBot="1">
      <c r="A288" s="102"/>
      <c r="B288" s="104"/>
      <c r="C288" s="104"/>
      <c r="D288" s="105"/>
      <c r="E288" s="374"/>
      <c r="F288" s="222" t="s">
        <v>461</v>
      </c>
      <c r="G288" s="223" t="s">
        <v>1431</v>
      </c>
      <c r="H288" s="224" t="str">
        <f t="shared" si="16"/>
        <v>LUV</v>
      </c>
      <c r="I288" s="225" t="str">
        <f t="shared" si="17"/>
        <v>XLI</v>
      </c>
      <c r="J288" s="226" t="str">
        <f t="shared" si="18"/>
        <v>航空公司</v>
      </c>
      <c r="K288" s="227" t="str">
        <f t="shared" si="19"/>
        <v>.SPX</v>
      </c>
      <c r="L288" s="228">
        <v>0.33589999999999998</v>
      </c>
      <c r="M288" s="229">
        <v>50.45</v>
      </c>
      <c r="N288" s="228">
        <v>0.56459999999999999</v>
      </c>
      <c r="O288" s="228">
        <v>0.1968</v>
      </c>
      <c r="P288" s="228">
        <v>0.67849999999999999</v>
      </c>
      <c r="Q288" s="230">
        <v>0.27089999999999997</v>
      </c>
      <c r="R288" s="231">
        <v>43893</v>
      </c>
      <c r="S288" s="232">
        <v>45.209999084472599</v>
      </c>
      <c r="T288" s="233">
        <v>0.18</v>
      </c>
      <c r="U288" s="234">
        <v>42598</v>
      </c>
      <c r="V288" s="232">
        <v>35.140750885009702</v>
      </c>
      <c r="W288" s="235">
        <v>0.1</v>
      </c>
    </row>
    <row r="289" spans="1:23" ht="15.75" customHeight="1" thickBot="1">
      <c r="A289" s="102"/>
      <c r="B289" s="104"/>
      <c r="C289" s="104"/>
      <c r="D289" s="105"/>
      <c r="E289" s="374"/>
      <c r="F289" s="222" t="s">
        <v>214</v>
      </c>
      <c r="G289" s="223" t="s">
        <v>1494</v>
      </c>
      <c r="H289" s="224" t="str">
        <f t="shared" si="16"/>
        <v>LVS</v>
      </c>
      <c r="I289" s="225" t="str">
        <f t="shared" si="17"/>
        <v>XLY</v>
      </c>
      <c r="J289" s="226" t="str">
        <f t="shared" si="18"/>
        <v>度假村和賭場</v>
      </c>
      <c r="K289" s="227" t="str">
        <f t="shared" si="19"/>
        <v>.SPX</v>
      </c>
      <c r="L289" s="228">
        <v>0.43109999999999998</v>
      </c>
      <c r="M289" s="229">
        <v>40.71</v>
      </c>
      <c r="N289" s="228">
        <v>0.53700000000000003</v>
      </c>
      <c r="O289" s="228">
        <v>0.25509999999999999</v>
      </c>
      <c r="P289" s="228">
        <v>0.63039999999999996</v>
      </c>
      <c r="Q289" s="230">
        <v>0.33539999999999998</v>
      </c>
      <c r="R289" s="231">
        <v>43907</v>
      </c>
      <c r="S289" s="232">
        <v>40.860000610351499</v>
      </c>
      <c r="T289" s="233">
        <v>0.79</v>
      </c>
      <c r="U289" s="234">
        <v>42633</v>
      </c>
      <c r="V289" s="232">
        <v>47.290134429931598</v>
      </c>
      <c r="W289" s="235">
        <v>0.72</v>
      </c>
    </row>
    <row r="290" spans="1:23" ht="15.75" customHeight="1" thickBot="1">
      <c r="A290" s="102"/>
      <c r="B290" s="104"/>
      <c r="C290" s="104"/>
      <c r="D290" s="105"/>
      <c r="E290" s="374"/>
      <c r="F290" s="222" t="s">
        <v>358</v>
      </c>
      <c r="G290" s="223" t="s">
        <v>1476</v>
      </c>
      <c r="H290" s="224" t="str">
        <f t="shared" si="16"/>
        <v>LW</v>
      </c>
      <c r="I290" s="225" t="str">
        <f t="shared" si="17"/>
        <v>XLP</v>
      </c>
      <c r="J290" s="226" t="str">
        <f t="shared" si="18"/>
        <v>包裝食品</v>
      </c>
      <c r="K290" s="227" t="str">
        <f t="shared" si="19"/>
        <v>.SPX</v>
      </c>
      <c r="L290" s="228">
        <v>0.29620000000000002</v>
      </c>
      <c r="M290" s="229">
        <v>64.180000000000007</v>
      </c>
      <c r="N290" s="228">
        <v>0.55210000000000004</v>
      </c>
      <c r="O290" s="228">
        <v>0.18809999999999999</v>
      </c>
      <c r="P290" s="228">
        <v>0.52359999999999995</v>
      </c>
      <c r="Q290" s="230">
        <v>0.23600000000000002</v>
      </c>
      <c r="R290" s="231">
        <v>44413</v>
      </c>
      <c r="S290" s="232">
        <v>64.180000305175696</v>
      </c>
      <c r="T290" s="233">
        <v>0.23499999999999999</v>
      </c>
      <c r="U290" s="234">
        <v>42761</v>
      </c>
      <c r="V290" s="232">
        <v>34.279647827148402</v>
      </c>
      <c r="W290" s="235">
        <v>0.188</v>
      </c>
    </row>
    <row r="291" spans="1:23" ht="15.75" customHeight="1" thickBot="1">
      <c r="A291" s="102"/>
      <c r="B291" s="104"/>
      <c r="C291" s="104"/>
      <c r="D291" s="105"/>
      <c r="E291" s="374"/>
      <c r="F291" s="222" t="s">
        <v>454</v>
      </c>
      <c r="G291" s="223" t="s">
        <v>1449</v>
      </c>
      <c r="H291" s="224" t="str">
        <f t="shared" si="16"/>
        <v>LYB</v>
      </c>
      <c r="I291" s="225" t="str">
        <f t="shared" si="17"/>
        <v>XLB</v>
      </c>
      <c r="J291" s="226" t="str">
        <f t="shared" si="18"/>
        <v>特種化學品</v>
      </c>
      <c r="K291" s="227" t="str">
        <f t="shared" si="19"/>
        <v>.SPX</v>
      </c>
      <c r="L291" s="228">
        <v>0.31259999999999999</v>
      </c>
      <c r="M291" s="229">
        <v>99.29</v>
      </c>
      <c r="N291" s="228">
        <v>0.61309999999999998</v>
      </c>
      <c r="O291" s="228">
        <v>0.26090000000000002</v>
      </c>
      <c r="P291" s="228">
        <v>0.56869999999999998</v>
      </c>
      <c r="Q291" s="230">
        <v>0.27539999999999998</v>
      </c>
      <c r="R291" s="231">
        <v>44351</v>
      </c>
      <c r="S291" s="232">
        <v>116.199996948242</v>
      </c>
      <c r="T291" s="233">
        <v>1.1299999999999999</v>
      </c>
      <c r="U291" s="234">
        <v>42594</v>
      </c>
      <c r="V291" s="232">
        <v>60.900115966796797</v>
      </c>
      <c r="W291" s="235">
        <v>0.85</v>
      </c>
    </row>
    <row r="292" spans="1:23" ht="15.75" customHeight="1" thickBot="1">
      <c r="A292" s="102"/>
      <c r="B292" s="104"/>
      <c r="C292" s="104"/>
      <c r="D292" s="105"/>
      <c r="E292" s="374"/>
      <c r="F292" s="222" t="s">
        <v>439</v>
      </c>
      <c r="G292" s="223" t="s">
        <v>1485</v>
      </c>
      <c r="H292" s="224" t="str">
        <f t="shared" si="16"/>
        <v>LYV</v>
      </c>
      <c r="I292" s="225" t="str">
        <f t="shared" si="17"/>
        <v>XLC</v>
      </c>
      <c r="J292" s="226" t="str">
        <f t="shared" si="18"/>
        <v>娛樂</v>
      </c>
      <c r="K292" s="227" t="str">
        <f t="shared" si="19"/>
        <v>.SPX</v>
      </c>
      <c r="L292" s="228">
        <v>0.40250000000000002</v>
      </c>
      <c r="M292" s="229">
        <v>84.76</v>
      </c>
      <c r="N292" s="228">
        <v>0.61040000000000005</v>
      </c>
      <c r="O292" s="228">
        <v>0.2626</v>
      </c>
      <c r="P292" s="228">
        <v>0.67469999999999997</v>
      </c>
      <c r="Q292" s="230">
        <v>0.33279999999999998</v>
      </c>
      <c r="R292" s="231">
        <v>0</v>
      </c>
      <c r="S292" s="232">
        <v>0</v>
      </c>
      <c r="T292" s="233">
        <v>0</v>
      </c>
      <c r="U292" s="234">
        <v>0</v>
      </c>
      <c r="V292" s="232">
        <v>0</v>
      </c>
      <c r="W292" s="235">
        <v>0</v>
      </c>
    </row>
    <row r="293" spans="1:23" ht="15.75" customHeight="1" thickBot="1">
      <c r="A293" s="102"/>
      <c r="B293" s="104"/>
      <c r="C293" s="104"/>
      <c r="D293" s="105"/>
      <c r="E293" s="374"/>
      <c r="F293" s="222" t="s">
        <v>259</v>
      </c>
      <c r="G293" s="223" t="s">
        <v>1469</v>
      </c>
      <c r="H293" s="224" t="str">
        <f t="shared" si="16"/>
        <v>MA</v>
      </c>
      <c r="I293" s="225" t="str">
        <f t="shared" si="17"/>
        <v>XLK</v>
      </c>
      <c r="J293" s="226" t="str">
        <f t="shared" si="18"/>
        <v>信貸服務</v>
      </c>
      <c r="K293" s="227" t="str">
        <f t="shared" si="19"/>
        <v>.SPX</v>
      </c>
      <c r="L293" s="228">
        <v>0.22850000000000001</v>
      </c>
      <c r="M293" s="229">
        <v>371.94</v>
      </c>
      <c r="N293" s="228">
        <v>0.4753</v>
      </c>
      <c r="O293" s="228">
        <v>0.1489</v>
      </c>
      <c r="P293" s="228">
        <v>0.42</v>
      </c>
      <c r="Q293" s="230">
        <v>0.19510000000000002</v>
      </c>
      <c r="R293" s="231">
        <v>44385</v>
      </c>
      <c r="S293" s="232">
        <v>370.19000244140602</v>
      </c>
      <c r="T293" s="233">
        <v>0.44</v>
      </c>
      <c r="U293" s="234">
        <v>42648</v>
      </c>
      <c r="V293" s="232">
        <v>99.634780883789006</v>
      </c>
      <c r="W293" s="235">
        <v>0.19</v>
      </c>
    </row>
    <row r="294" spans="1:23" ht="15.75" customHeight="1" thickBot="1">
      <c r="A294" s="102"/>
      <c r="B294" s="104"/>
      <c r="C294" s="104"/>
      <c r="D294" s="105"/>
      <c r="E294" s="374"/>
      <c r="F294" s="222" t="s">
        <v>82</v>
      </c>
      <c r="G294" s="223" t="s">
        <v>521</v>
      </c>
      <c r="H294" s="224" t="str">
        <f t="shared" si="16"/>
        <v>MAA</v>
      </c>
      <c r="I294" s="225" t="str">
        <f t="shared" si="17"/>
        <v>XLRE</v>
      </c>
      <c r="J294" s="226" t="str">
        <f t="shared" si="18"/>
        <v>-</v>
      </c>
      <c r="K294" s="227" t="str">
        <f t="shared" si="19"/>
        <v>.SPX</v>
      </c>
      <c r="L294" s="228">
        <v>0.17480000000000001</v>
      </c>
      <c r="M294" s="229">
        <v>191.48</v>
      </c>
      <c r="N294" s="228">
        <v>0.29339999999999999</v>
      </c>
      <c r="O294" s="228">
        <v>0.13370000000000001</v>
      </c>
      <c r="P294" s="228">
        <v>0.39399999999999996</v>
      </c>
      <c r="Q294" s="230">
        <v>0.13539999999999999</v>
      </c>
      <c r="R294" s="231">
        <v>44391</v>
      </c>
      <c r="S294" s="232">
        <v>182.41000366210901</v>
      </c>
      <c r="T294" s="233">
        <v>1.0249999999999999</v>
      </c>
      <c r="U294" s="234">
        <v>42655</v>
      </c>
      <c r="V294" s="232">
        <v>74.054916381835895</v>
      </c>
      <c r="W294" s="235">
        <v>0.82</v>
      </c>
    </row>
    <row r="295" spans="1:23" ht="15.75" customHeight="1" thickBot="1">
      <c r="A295" s="102"/>
      <c r="B295" s="104"/>
      <c r="C295" s="104"/>
      <c r="D295" s="105"/>
      <c r="E295" s="374"/>
      <c r="F295" s="222" t="s">
        <v>291</v>
      </c>
      <c r="G295" s="223" t="s">
        <v>1511</v>
      </c>
      <c r="H295" s="224" t="str">
        <f t="shared" si="16"/>
        <v>MAR</v>
      </c>
      <c r="I295" s="225" t="str">
        <f t="shared" si="17"/>
        <v>XLY</v>
      </c>
      <c r="J295" s="226" t="str">
        <f t="shared" si="18"/>
        <v>住宿</v>
      </c>
      <c r="K295" s="227" t="str">
        <f t="shared" si="19"/>
        <v>.SPX</v>
      </c>
      <c r="L295" s="228">
        <v>0.32840000000000003</v>
      </c>
      <c r="M295" s="229">
        <v>141.72</v>
      </c>
      <c r="N295" s="228">
        <v>0.58340000000000003</v>
      </c>
      <c r="O295" s="228">
        <v>0.2082</v>
      </c>
      <c r="P295" s="228">
        <v>0.58840000000000003</v>
      </c>
      <c r="Q295" s="230">
        <v>0.25090000000000001</v>
      </c>
      <c r="R295" s="231">
        <v>43888</v>
      </c>
      <c r="S295" s="232">
        <v>119.639999389648</v>
      </c>
      <c r="T295" s="233">
        <v>0.48</v>
      </c>
      <c r="U295" s="234">
        <v>42634</v>
      </c>
      <c r="V295" s="232">
        <v>66.937171936035099</v>
      </c>
      <c r="W295" s="235">
        <v>0.3</v>
      </c>
    </row>
    <row r="296" spans="1:23" ht="15.75" customHeight="1" thickBot="1">
      <c r="A296" s="102"/>
      <c r="B296" s="104"/>
      <c r="C296" s="104"/>
      <c r="D296" s="105"/>
      <c r="E296" s="374"/>
      <c r="F296" s="222" t="s">
        <v>296</v>
      </c>
      <c r="G296" s="223" t="s">
        <v>1477</v>
      </c>
      <c r="H296" s="224" t="str">
        <f t="shared" si="16"/>
        <v>MAS</v>
      </c>
      <c r="I296" s="225" t="str">
        <f t="shared" si="17"/>
        <v>XLI</v>
      </c>
      <c r="J296" s="226" t="str">
        <f t="shared" si="18"/>
        <v>建築產品和設備</v>
      </c>
      <c r="K296" s="227" t="str">
        <f t="shared" si="19"/>
        <v>.SPX</v>
      </c>
      <c r="L296" s="228">
        <v>0.22689999999999999</v>
      </c>
      <c r="M296" s="229">
        <v>60.49</v>
      </c>
      <c r="N296" s="228">
        <v>0.33579999999999999</v>
      </c>
      <c r="O296" s="228">
        <v>0.1406</v>
      </c>
      <c r="P296" s="228">
        <v>0.40749999999999997</v>
      </c>
      <c r="Q296" s="230">
        <v>0.22239999999999999</v>
      </c>
      <c r="R296" s="231">
        <v>44343</v>
      </c>
      <c r="S296" s="232">
        <v>60.470001220703097</v>
      </c>
      <c r="T296" s="233">
        <v>0.23499999999999999</v>
      </c>
      <c r="U296" s="234">
        <v>42655</v>
      </c>
      <c r="V296" s="232">
        <v>31.8109436035156</v>
      </c>
      <c r="W296" s="235">
        <v>0.1</v>
      </c>
    </row>
    <row r="297" spans="1:23" ht="15.75" customHeight="1" thickBot="1">
      <c r="A297" s="102"/>
      <c r="B297" s="104"/>
      <c r="C297" s="104"/>
      <c r="D297" s="105"/>
      <c r="E297" s="374"/>
      <c r="F297" s="222" t="s">
        <v>107</v>
      </c>
      <c r="G297" s="223" t="s">
        <v>1487</v>
      </c>
      <c r="H297" s="224" t="str">
        <f t="shared" si="16"/>
        <v>MCD</v>
      </c>
      <c r="I297" s="225" t="str">
        <f t="shared" si="17"/>
        <v>XLY</v>
      </c>
      <c r="J297" s="226" t="str">
        <f t="shared" si="18"/>
        <v>飯館</v>
      </c>
      <c r="K297" s="227" t="str">
        <f t="shared" si="19"/>
        <v>.SPX</v>
      </c>
      <c r="L297" s="228">
        <v>0.16320000000000001</v>
      </c>
      <c r="M297" s="229">
        <v>236.42</v>
      </c>
      <c r="N297" s="228">
        <v>0.2137</v>
      </c>
      <c r="O297" s="228">
        <v>0.1085</v>
      </c>
      <c r="P297" s="228">
        <v>0.34200000000000003</v>
      </c>
      <c r="Q297" s="230">
        <v>0.1376</v>
      </c>
      <c r="R297" s="231">
        <v>44344</v>
      </c>
      <c r="S297" s="232">
        <v>233.88999938964801</v>
      </c>
      <c r="T297" s="233">
        <v>1.29</v>
      </c>
      <c r="U297" s="234">
        <v>42612</v>
      </c>
      <c r="V297" s="232">
        <v>102.486152648925</v>
      </c>
      <c r="W297" s="235">
        <v>0.89</v>
      </c>
    </row>
    <row r="298" spans="1:23" ht="15.75" customHeight="1" thickBot="1">
      <c r="A298" s="102"/>
      <c r="B298" s="104"/>
      <c r="C298" s="104"/>
      <c r="D298" s="105"/>
      <c r="E298" s="374"/>
      <c r="F298" s="222" t="s">
        <v>131</v>
      </c>
      <c r="G298" s="223" t="s">
        <v>1439</v>
      </c>
      <c r="H298" s="224" t="str">
        <f t="shared" si="16"/>
        <v>MCHP</v>
      </c>
      <c r="I298" s="225" t="str">
        <f t="shared" si="17"/>
        <v>XLK</v>
      </c>
      <c r="J298" s="226" t="str">
        <f t="shared" si="18"/>
        <v>半導體</v>
      </c>
      <c r="K298" s="227" t="str">
        <f t="shared" si="19"/>
        <v>.SPX</v>
      </c>
      <c r="L298" s="228">
        <v>0.3019</v>
      </c>
      <c r="M298" s="229">
        <v>149.78</v>
      </c>
      <c r="N298" s="228">
        <v>0.61909999999999998</v>
      </c>
      <c r="O298" s="228">
        <v>0.21879999999999999</v>
      </c>
      <c r="P298" s="228">
        <v>0.51239999999999997</v>
      </c>
      <c r="Q298" s="230">
        <v>0.27399999999999997</v>
      </c>
      <c r="R298" s="231">
        <v>44336</v>
      </c>
      <c r="S298" s="232">
        <v>151.14999389648401</v>
      </c>
      <c r="T298" s="233">
        <v>0.41299999999999998</v>
      </c>
      <c r="U298" s="234">
        <v>42600</v>
      </c>
      <c r="V298" s="232">
        <v>56.708152770996001</v>
      </c>
      <c r="W298" s="235">
        <v>0.36</v>
      </c>
    </row>
    <row r="299" spans="1:23" ht="15.75" customHeight="1" thickBot="1">
      <c r="A299" s="102"/>
      <c r="B299" s="104"/>
      <c r="C299" s="104"/>
      <c r="D299" s="105"/>
      <c r="E299" s="374"/>
      <c r="F299" s="222" t="s">
        <v>42</v>
      </c>
      <c r="G299" s="223" t="s">
        <v>1435</v>
      </c>
      <c r="H299" s="224" t="str">
        <f t="shared" si="16"/>
        <v>MCK</v>
      </c>
      <c r="I299" s="225" t="str">
        <f t="shared" si="17"/>
        <v>XLV</v>
      </c>
      <c r="J299" s="226" t="str">
        <f t="shared" si="18"/>
        <v>醫療分銷</v>
      </c>
      <c r="K299" s="227" t="str">
        <f t="shared" si="19"/>
        <v>.SPX</v>
      </c>
      <c r="L299" s="228">
        <v>0.24099999999999999</v>
      </c>
      <c r="M299" s="229">
        <v>198.05</v>
      </c>
      <c r="N299" s="228">
        <v>0.41420000000000001</v>
      </c>
      <c r="O299" s="228">
        <v>0.14460000000000001</v>
      </c>
      <c r="P299" s="228">
        <v>0.49780000000000002</v>
      </c>
      <c r="Q299" s="230">
        <v>0.22390000000000002</v>
      </c>
      <c r="R299" s="231">
        <v>44344</v>
      </c>
      <c r="S299" s="232">
        <v>192.38999938964801</v>
      </c>
      <c r="T299" s="233">
        <v>0.42</v>
      </c>
      <c r="U299" s="234">
        <v>42612</v>
      </c>
      <c r="V299" s="232">
        <v>174.4677734375</v>
      </c>
      <c r="W299" s="235">
        <v>0.28000000000000003</v>
      </c>
    </row>
    <row r="300" spans="1:23" ht="15.75" customHeight="1" thickBot="1">
      <c r="A300" s="102"/>
      <c r="B300" s="104"/>
      <c r="C300" s="104"/>
      <c r="D300" s="105"/>
      <c r="E300" s="374"/>
      <c r="F300" s="222" t="s">
        <v>246</v>
      </c>
      <c r="G300" s="223" t="s">
        <v>1486</v>
      </c>
      <c r="H300" s="224" t="str">
        <f t="shared" si="16"/>
        <v>MCO</v>
      </c>
      <c r="I300" s="225" t="str">
        <f t="shared" si="17"/>
        <v>XLF</v>
      </c>
      <c r="J300" s="226" t="str">
        <f t="shared" si="18"/>
        <v>金融數據與證券交易所</v>
      </c>
      <c r="K300" s="227" t="str">
        <f t="shared" si="19"/>
        <v>.SPX</v>
      </c>
      <c r="L300" s="228">
        <v>0.20030000000000001</v>
      </c>
      <c r="M300" s="229">
        <v>386.84</v>
      </c>
      <c r="N300" s="228">
        <v>0.31969999999999998</v>
      </c>
      <c r="O300" s="228">
        <v>0.1195</v>
      </c>
      <c r="P300" s="228">
        <v>0.38689999999999997</v>
      </c>
      <c r="Q300" s="230">
        <v>0.1812</v>
      </c>
      <c r="R300" s="231">
        <v>44335</v>
      </c>
      <c r="S300" s="232">
        <v>323.89999389648398</v>
      </c>
      <c r="T300" s="233">
        <v>0.62</v>
      </c>
      <c r="U300" s="234">
        <v>42600</v>
      </c>
      <c r="V300" s="232">
        <v>99.204277038574205</v>
      </c>
      <c r="W300" s="235">
        <v>0.37</v>
      </c>
    </row>
    <row r="301" spans="1:23" ht="15.75" customHeight="1" thickBot="1">
      <c r="A301" s="102"/>
      <c r="B301" s="104"/>
      <c r="C301" s="104"/>
      <c r="D301" s="105"/>
      <c r="E301" s="374"/>
      <c r="F301" s="222" t="s">
        <v>223</v>
      </c>
      <c r="G301" s="223" t="s">
        <v>1513</v>
      </c>
      <c r="H301" s="224" t="str">
        <f t="shared" si="16"/>
        <v>MDLZ</v>
      </c>
      <c r="I301" s="225" t="str">
        <f t="shared" si="17"/>
        <v>XLP</v>
      </c>
      <c r="J301" s="226" t="str">
        <f t="shared" si="18"/>
        <v>糖果店</v>
      </c>
      <c r="K301" s="227" t="str">
        <f t="shared" si="19"/>
        <v>.SPX</v>
      </c>
      <c r="L301" s="228">
        <v>0.1479</v>
      </c>
      <c r="M301" s="229">
        <v>62.09</v>
      </c>
      <c r="N301" s="228">
        <v>0.23430000000000001</v>
      </c>
      <c r="O301" s="228">
        <v>8.6800000000000002E-2</v>
      </c>
      <c r="P301" s="228">
        <v>0.34700000000000003</v>
      </c>
      <c r="Q301" s="230">
        <v>0.13059999999999999</v>
      </c>
      <c r="R301" s="231">
        <v>44376</v>
      </c>
      <c r="S301" s="232">
        <v>62.340000152587798</v>
      </c>
      <c r="T301" s="233">
        <v>0.315</v>
      </c>
      <c r="U301" s="234">
        <v>42641</v>
      </c>
      <c r="V301" s="232">
        <v>39.272117614746001</v>
      </c>
      <c r="W301" s="235">
        <v>0.19</v>
      </c>
    </row>
    <row r="302" spans="1:23" ht="15.75" customHeight="1" thickBot="1">
      <c r="A302" s="102"/>
      <c r="B302" s="104"/>
      <c r="C302" s="104"/>
      <c r="D302" s="105"/>
      <c r="E302" s="374"/>
      <c r="F302" s="222" t="s">
        <v>110</v>
      </c>
      <c r="G302" s="223" t="s">
        <v>1436</v>
      </c>
      <c r="H302" s="224" t="str">
        <f t="shared" si="16"/>
        <v>MDT</v>
      </c>
      <c r="I302" s="225" t="str">
        <f t="shared" si="17"/>
        <v>XLV</v>
      </c>
      <c r="J302" s="226" t="str">
        <f t="shared" si="18"/>
        <v>醫療設備</v>
      </c>
      <c r="K302" s="227" t="str">
        <f t="shared" si="19"/>
        <v>.SPX</v>
      </c>
      <c r="L302" s="228">
        <v>0.2102</v>
      </c>
      <c r="M302" s="229">
        <v>128.26</v>
      </c>
      <c r="N302" s="228">
        <v>0.377</v>
      </c>
      <c r="O302" s="228">
        <v>0.1328</v>
      </c>
      <c r="P302" s="228">
        <v>0.3997</v>
      </c>
      <c r="Q302" s="230">
        <v>0.15410000000000001</v>
      </c>
      <c r="R302" s="231">
        <v>44371</v>
      </c>
      <c r="S302" s="232">
        <v>125.08999633789</v>
      </c>
      <c r="T302" s="233">
        <v>0.63</v>
      </c>
      <c r="U302" s="234">
        <v>42640</v>
      </c>
      <c r="V302" s="232">
        <v>78.463333129882798</v>
      </c>
      <c r="W302" s="235">
        <v>0.43</v>
      </c>
    </row>
    <row r="303" spans="1:23" ht="15.75" customHeight="1" thickBot="1">
      <c r="A303" s="102"/>
      <c r="B303" s="104"/>
      <c r="C303" s="104"/>
      <c r="D303" s="105"/>
      <c r="E303" s="374"/>
      <c r="F303" s="222" t="s">
        <v>430</v>
      </c>
      <c r="G303" s="223" t="s">
        <v>1445</v>
      </c>
      <c r="H303" s="224" t="str">
        <f t="shared" si="16"/>
        <v>MET</v>
      </c>
      <c r="I303" s="225" t="str">
        <f t="shared" si="17"/>
        <v>XLF</v>
      </c>
      <c r="J303" s="226" t="str">
        <f t="shared" si="18"/>
        <v>保險-人壽保險</v>
      </c>
      <c r="K303" s="227" t="str">
        <f t="shared" si="19"/>
        <v>.SPX</v>
      </c>
      <c r="L303" s="228">
        <v>0.25679999999999997</v>
      </c>
      <c r="M303" s="229">
        <v>58.84</v>
      </c>
      <c r="N303" s="228">
        <v>0.4955</v>
      </c>
      <c r="O303" s="228">
        <v>0.20050000000000001</v>
      </c>
      <c r="P303" s="228">
        <v>0.47240000000000004</v>
      </c>
      <c r="Q303" s="230">
        <v>0.21929999999999999</v>
      </c>
      <c r="R303" s="231">
        <v>44326</v>
      </c>
      <c r="S303" s="232">
        <v>66.470001220703097</v>
      </c>
      <c r="T303" s="233">
        <v>0.48</v>
      </c>
      <c r="U303" s="234">
        <v>42677</v>
      </c>
      <c r="V303" s="232">
        <v>35.4847602844238</v>
      </c>
      <c r="W303" s="235">
        <v>0.35650599999999999</v>
      </c>
    </row>
    <row r="304" spans="1:23" ht="15.75" customHeight="1" thickBot="1">
      <c r="A304" s="102"/>
      <c r="B304" s="104"/>
      <c r="C304" s="104"/>
      <c r="D304" s="105"/>
      <c r="E304" s="374"/>
      <c r="F304" s="222" t="s">
        <v>482</v>
      </c>
      <c r="G304" s="223" t="s">
        <v>1494</v>
      </c>
      <c r="H304" s="224" t="str">
        <f t="shared" si="16"/>
        <v>MGM</v>
      </c>
      <c r="I304" s="225" t="str">
        <f t="shared" si="17"/>
        <v>XLY</v>
      </c>
      <c r="J304" s="226" t="str">
        <f t="shared" si="18"/>
        <v>度假村和賭場</v>
      </c>
      <c r="K304" s="227" t="str">
        <f t="shared" si="19"/>
        <v>.SPX</v>
      </c>
      <c r="L304" s="228">
        <v>0.42449999999999999</v>
      </c>
      <c r="M304" s="229">
        <v>39.630000000000003</v>
      </c>
      <c r="N304" s="228">
        <v>0.72070000000000001</v>
      </c>
      <c r="O304" s="228">
        <v>0.29060000000000002</v>
      </c>
      <c r="P304" s="228">
        <v>0.78260000000000007</v>
      </c>
      <c r="Q304" s="230">
        <v>0.34610000000000002</v>
      </c>
      <c r="R304" s="231">
        <v>44356</v>
      </c>
      <c r="S304" s="232">
        <v>43.540000915527301</v>
      </c>
      <c r="T304" s="233">
        <v>3.0000000000000001E-3</v>
      </c>
      <c r="U304" s="234">
        <v>42802</v>
      </c>
      <c r="V304" s="232">
        <v>24.370752334594702</v>
      </c>
      <c r="W304" s="235">
        <v>0.11</v>
      </c>
    </row>
    <row r="305" spans="1:23" ht="15.75" customHeight="1" thickBot="1">
      <c r="A305" s="102"/>
      <c r="B305" s="104"/>
      <c r="C305" s="104"/>
      <c r="D305" s="105"/>
      <c r="E305" s="374"/>
      <c r="F305" s="222" t="s">
        <v>516</v>
      </c>
      <c r="G305" s="223" t="s">
        <v>521</v>
      </c>
      <c r="H305" s="224" t="str">
        <f t="shared" si="16"/>
        <v>MHK</v>
      </c>
      <c r="I305" s="225" t="str">
        <f t="shared" si="17"/>
        <v>XLY</v>
      </c>
      <c r="J305" s="226" t="str">
        <f t="shared" si="18"/>
        <v>-</v>
      </c>
      <c r="K305" s="227" t="str">
        <f t="shared" si="19"/>
        <v>.SPX</v>
      </c>
      <c r="L305" s="228">
        <v>0.32269999999999999</v>
      </c>
      <c r="M305" s="229">
        <v>199.1</v>
      </c>
      <c r="N305" s="228">
        <v>0.87319999999999998</v>
      </c>
      <c r="O305" s="228">
        <v>0.26229999999999998</v>
      </c>
      <c r="P305" s="228">
        <v>0.77639999999999998</v>
      </c>
      <c r="Q305" s="230">
        <v>0.30349999999999999</v>
      </c>
      <c r="R305" s="231">
        <v>0</v>
      </c>
      <c r="S305" s="232">
        <v>0</v>
      </c>
      <c r="T305" s="233">
        <v>0</v>
      </c>
      <c r="U305" s="234">
        <v>0</v>
      </c>
      <c r="V305" s="232">
        <v>0</v>
      </c>
      <c r="W305" s="235">
        <v>0</v>
      </c>
    </row>
    <row r="306" spans="1:23" ht="15.75" customHeight="1" thickBot="1">
      <c r="A306" s="102"/>
      <c r="B306" s="104"/>
      <c r="C306" s="104"/>
      <c r="D306" s="105"/>
      <c r="E306" s="374"/>
      <c r="F306" s="222" t="s">
        <v>191</v>
      </c>
      <c r="G306" s="223" t="s">
        <v>1476</v>
      </c>
      <c r="H306" s="224" t="str">
        <f t="shared" si="16"/>
        <v>MKC</v>
      </c>
      <c r="I306" s="225" t="str">
        <f t="shared" si="17"/>
        <v>XLP</v>
      </c>
      <c r="J306" s="226" t="str">
        <f t="shared" si="18"/>
        <v>包裝食品</v>
      </c>
      <c r="K306" s="227" t="str">
        <f t="shared" si="19"/>
        <v>.SPX</v>
      </c>
      <c r="L306" s="228">
        <v>0.18410000000000001</v>
      </c>
      <c r="M306" s="229">
        <v>83.25</v>
      </c>
      <c r="N306" s="228">
        <v>2.0226999999999999</v>
      </c>
      <c r="O306" s="228">
        <v>0.1158</v>
      </c>
      <c r="P306" s="228">
        <v>0.36509999999999998</v>
      </c>
      <c r="Q306" s="230">
        <v>0.16350000000000001</v>
      </c>
      <c r="R306" s="231">
        <v>44386</v>
      </c>
      <c r="S306" s="232">
        <v>87.099998474121094</v>
      </c>
      <c r="T306" s="233">
        <v>0.34</v>
      </c>
      <c r="U306" s="234">
        <v>42649</v>
      </c>
      <c r="V306" s="232">
        <v>44.031742095947202</v>
      </c>
      <c r="W306" s="235">
        <v>0.215</v>
      </c>
    </row>
    <row r="307" spans="1:23" ht="15.75" customHeight="1" thickBot="1">
      <c r="A307" s="102"/>
      <c r="B307" s="104"/>
      <c r="C307" s="104"/>
      <c r="D307" s="105"/>
      <c r="E307" s="374"/>
      <c r="F307" s="222" t="s">
        <v>324</v>
      </c>
      <c r="G307" s="223" t="s">
        <v>1507</v>
      </c>
      <c r="H307" s="224" t="str">
        <f t="shared" si="16"/>
        <v>MKTX</v>
      </c>
      <c r="I307" s="225" t="str">
        <f t="shared" si="17"/>
        <v>XLF</v>
      </c>
      <c r="J307" s="226" t="str">
        <f t="shared" si="18"/>
        <v>資本市場</v>
      </c>
      <c r="K307" s="227" t="str">
        <f t="shared" si="19"/>
        <v>.SPX</v>
      </c>
      <c r="L307" s="228">
        <v>0.26900000000000002</v>
      </c>
      <c r="M307" s="229">
        <v>490.73</v>
      </c>
      <c r="N307" s="228">
        <v>0.54700000000000004</v>
      </c>
      <c r="O307" s="228">
        <v>0.21659999999999999</v>
      </c>
      <c r="P307" s="228">
        <v>0.46429999999999999</v>
      </c>
      <c r="Q307" s="230">
        <v>0.24420000000000003</v>
      </c>
      <c r="R307" s="231">
        <v>44411</v>
      </c>
      <c r="S307" s="232">
        <v>479.94000244140602</v>
      </c>
      <c r="T307" s="233">
        <v>0.66</v>
      </c>
      <c r="U307" s="234">
        <v>42591</v>
      </c>
      <c r="V307" s="232">
        <v>156.14109802246</v>
      </c>
      <c r="W307" s="235">
        <v>0.26</v>
      </c>
    </row>
    <row r="308" spans="1:23" ht="15.75" customHeight="1" thickBot="1">
      <c r="A308" s="102"/>
      <c r="B308" s="104"/>
      <c r="C308" s="104"/>
      <c r="D308" s="105"/>
      <c r="E308" s="374"/>
      <c r="F308" s="222" t="s">
        <v>499</v>
      </c>
      <c r="G308" s="223" t="s">
        <v>1522</v>
      </c>
      <c r="H308" s="224" t="str">
        <f t="shared" si="16"/>
        <v>MLM</v>
      </c>
      <c r="I308" s="225" t="str">
        <f t="shared" si="17"/>
        <v>XLB</v>
      </c>
      <c r="J308" s="226" t="str">
        <f t="shared" si="18"/>
        <v>建築材料</v>
      </c>
      <c r="K308" s="227" t="str">
        <f t="shared" si="19"/>
        <v>.SPX</v>
      </c>
      <c r="L308" s="228">
        <v>0.25769999999999998</v>
      </c>
      <c r="M308" s="229">
        <v>367.07</v>
      </c>
      <c r="N308" s="228">
        <v>0.46210000000000001</v>
      </c>
      <c r="O308" s="228">
        <v>0.21460000000000001</v>
      </c>
      <c r="P308" s="228">
        <v>0.48399999999999999</v>
      </c>
      <c r="Q308" s="230">
        <v>0.23760000000000001</v>
      </c>
      <c r="R308" s="231">
        <v>44344</v>
      </c>
      <c r="S308" s="232">
        <v>363.64999389648398</v>
      </c>
      <c r="T308" s="233">
        <v>0.56999999999999995</v>
      </c>
      <c r="U308" s="234">
        <v>42612</v>
      </c>
      <c r="V308" s="232">
        <v>181.22795104980401</v>
      </c>
      <c r="W308" s="235">
        <v>0.42</v>
      </c>
    </row>
    <row r="309" spans="1:23" ht="15.75" customHeight="1" thickBot="1">
      <c r="A309" s="102"/>
      <c r="B309" s="104"/>
      <c r="C309" s="104"/>
      <c r="D309" s="105"/>
      <c r="E309" s="374"/>
      <c r="F309" s="222" t="s">
        <v>172</v>
      </c>
      <c r="G309" s="223" t="s">
        <v>1448</v>
      </c>
      <c r="H309" s="224" t="str">
        <f t="shared" si="16"/>
        <v>MMC</v>
      </c>
      <c r="I309" s="225" t="str">
        <f t="shared" si="17"/>
        <v>XLF</v>
      </c>
      <c r="J309" s="226" t="str">
        <f t="shared" si="18"/>
        <v>保險經紀</v>
      </c>
      <c r="K309" s="227" t="str">
        <f t="shared" si="19"/>
        <v>.SPX</v>
      </c>
      <c r="L309" s="228">
        <v>0.1721</v>
      </c>
      <c r="M309" s="229">
        <v>151.54</v>
      </c>
      <c r="N309" s="228">
        <v>0.25119999999999998</v>
      </c>
      <c r="O309" s="228">
        <v>0.1157</v>
      </c>
      <c r="P309" s="228">
        <v>0.36170000000000002</v>
      </c>
      <c r="Q309" s="230">
        <v>0.1479</v>
      </c>
      <c r="R309" s="231">
        <v>44405</v>
      </c>
      <c r="S309" s="232">
        <v>144.78999328613199</v>
      </c>
      <c r="T309" s="233">
        <v>0.53500000000000003</v>
      </c>
      <c r="U309" s="234">
        <v>42649</v>
      </c>
      <c r="V309" s="232">
        <v>60.941139221191399</v>
      </c>
      <c r="W309" s="235">
        <v>0.34</v>
      </c>
    </row>
    <row r="310" spans="1:23" ht="15.75" customHeight="1" thickBot="1">
      <c r="A310" s="102"/>
      <c r="B310" s="104"/>
      <c r="C310" s="104"/>
      <c r="D310" s="105"/>
      <c r="E310" s="374"/>
      <c r="F310" s="222" t="s">
        <v>272</v>
      </c>
      <c r="G310" s="223" t="s">
        <v>1454</v>
      </c>
      <c r="H310" s="224" t="str">
        <f t="shared" si="16"/>
        <v>MMM</v>
      </c>
      <c r="I310" s="225" t="str">
        <f t="shared" si="17"/>
        <v>XLI</v>
      </c>
      <c r="J310" s="226" t="str">
        <f t="shared" si="18"/>
        <v>特種工業機械</v>
      </c>
      <c r="K310" s="227" t="str">
        <f t="shared" si="19"/>
        <v>.SPX</v>
      </c>
      <c r="L310" s="228">
        <v>0.17899999999999999</v>
      </c>
      <c r="M310" s="229">
        <v>198.62</v>
      </c>
      <c r="N310" s="228">
        <v>0.29549999999999998</v>
      </c>
      <c r="O310" s="228">
        <v>0.13059999999999999</v>
      </c>
      <c r="P310" s="228">
        <v>0.36299999999999999</v>
      </c>
      <c r="Q310" s="230">
        <v>0.15609999999999999</v>
      </c>
      <c r="R310" s="231">
        <v>44336</v>
      </c>
      <c r="S310" s="232">
        <v>201.64999389648401</v>
      </c>
      <c r="T310" s="233">
        <v>1.48</v>
      </c>
      <c r="U310" s="234">
        <v>42599</v>
      </c>
      <c r="V310" s="232">
        <v>156.21170043945301</v>
      </c>
      <c r="W310" s="235">
        <v>1.1100000000000001</v>
      </c>
    </row>
    <row r="311" spans="1:23" ht="15.75" customHeight="1" thickBot="1">
      <c r="A311" s="102"/>
      <c r="B311" s="104"/>
      <c r="C311" s="104"/>
      <c r="D311" s="105"/>
      <c r="E311" s="374"/>
      <c r="F311" s="222" t="s">
        <v>211</v>
      </c>
      <c r="G311" s="223" t="s">
        <v>1519</v>
      </c>
      <c r="H311" s="224" t="str">
        <f t="shared" si="16"/>
        <v>MNST</v>
      </c>
      <c r="I311" s="225" t="str">
        <f t="shared" si="17"/>
        <v>XLP</v>
      </c>
      <c r="J311" s="226" t="str">
        <f t="shared" si="18"/>
        <v>飲料-不含酒精</v>
      </c>
      <c r="K311" s="227" t="str">
        <f t="shared" si="19"/>
        <v>.SPX</v>
      </c>
      <c r="L311" s="228">
        <v>0.29899999999999999</v>
      </c>
      <c r="M311" s="229">
        <v>91.95</v>
      </c>
      <c r="N311" s="228">
        <v>0.30930000000000002</v>
      </c>
      <c r="O311" s="228">
        <v>0.12709999999999999</v>
      </c>
      <c r="P311" s="228">
        <v>0.51129999999999998</v>
      </c>
      <c r="Q311" s="230">
        <v>0.1782</v>
      </c>
      <c r="R311" s="231">
        <v>42684</v>
      </c>
      <c r="S311" s="232">
        <v>42.330001831054602</v>
      </c>
      <c r="T311" s="233">
        <v>0</v>
      </c>
      <c r="U311" s="234">
        <v>42684</v>
      </c>
      <c r="V311" s="232">
        <v>42.330001831054602</v>
      </c>
      <c r="W311" s="235">
        <v>0</v>
      </c>
    </row>
    <row r="312" spans="1:23" ht="15.75" customHeight="1" thickBot="1">
      <c r="A312" s="102"/>
      <c r="B312" s="104"/>
      <c r="C312" s="104"/>
      <c r="D312" s="105"/>
      <c r="E312" s="374"/>
      <c r="F312" s="222" t="s">
        <v>224</v>
      </c>
      <c r="G312" s="223" t="s">
        <v>1523</v>
      </c>
      <c r="H312" s="224" t="str">
        <f t="shared" si="16"/>
        <v>MO</v>
      </c>
      <c r="I312" s="225" t="str">
        <f t="shared" si="17"/>
        <v>XLP</v>
      </c>
      <c r="J312" s="226" t="str">
        <f t="shared" si="18"/>
        <v>煙草</v>
      </c>
      <c r="K312" s="227" t="str">
        <f t="shared" si="19"/>
        <v>.SPX</v>
      </c>
      <c r="L312" s="228">
        <v>0.189</v>
      </c>
      <c r="M312" s="229">
        <v>47.37</v>
      </c>
      <c r="N312" s="228">
        <v>0.32669999999999999</v>
      </c>
      <c r="O312" s="228">
        <v>0.16</v>
      </c>
      <c r="P312" s="228">
        <v>0.36009999999999998</v>
      </c>
      <c r="Q312" s="230">
        <v>0.1782</v>
      </c>
      <c r="R312" s="231">
        <v>44361</v>
      </c>
      <c r="S312" s="232">
        <v>48.080001831054602</v>
      </c>
      <c r="T312" s="233">
        <v>0.86</v>
      </c>
      <c r="U312" s="234">
        <v>42626</v>
      </c>
      <c r="V312" s="232">
        <v>47.760982513427699</v>
      </c>
      <c r="W312" s="235">
        <v>0.61</v>
      </c>
    </row>
    <row r="313" spans="1:23" ht="15.75" customHeight="1" thickBot="1">
      <c r="A313" s="102"/>
      <c r="B313" s="104"/>
      <c r="C313" s="104"/>
      <c r="D313" s="105"/>
      <c r="E313" s="374"/>
      <c r="F313" s="222" t="s">
        <v>451</v>
      </c>
      <c r="G313" s="223" t="s">
        <v>1481</v>
      </c>
      <c r="H313" s="224" t="str">
        <f t="shared" si="16"/>
        <v>MOS</v>
      </c>
      <c r="I313" s="225" t="str">
        <f t="shared" si="17"/>
        <v>XLB</v>
      </c>
      <c r="J313" s="226" t="str">
        <f t="shared" si="18"/>
        <v>農業投入</v>
      </c>
      <c r="K313" s="227" t="str">
        <f t="shared" si="19"/>
        <v>.SPX</v>
      </c>
      <c r="L313" s="228">
        <v>0.41320000000000001</v>
      </c>
      <c r="M313" s="229">
        <v>31.34</v>
      </c>
      <c r="N313" s="228">
        <v>0.67569999999999997</v>
      </c>
      <c r="O313" s="228">
        <v>0.26079999999999998</v>
      </c>
      <c r="P313" s="228">
        <v>0.69720000000000004</v>
      </c>
      <c r="Q313" s="230">
        <v>0.36780000000000002</v>
      </c>
      <c r="R313" s="231">
        <v>44349</v>
      </c>
      <c r="S313" s="232">
        <v>37.299999237060497</v>
      </c>
      <c r="T313" s="233">
        <v>7.4999999999999997E-2</v>
      </c>
      <c r="U313" s="234">
        <v>42619</v>
      </c>
      <c r="V313" s="232">
        <v>26.940149307250898</v>
      </c>
      <c r="W313" s="235">
        <v>0.27500000000000002</v>
      </c>
    </row>
    <row r="314" spans="1:23" ht="15.75" customHeight="1" thickBot="1">
      <c r="A314" s="102"/>
      <c r="B314" s="104"/>
      <c r="C314" s="104"/>
      <c r="D314" s="105"/>
      <c r="E314" s="374"/>
      <c r="F314" s="222" t="s">
        <v>336</v>
      </c>
      <c r="G314" s="223" t="s">
        <v>1524</v>
      </c>
      <c r="H314" s="224" t="str">
        <f t="shared" si="16"/>
        <v>MPC</v>
      </c>
      <c r="I314" s="225" t="str">
        <f t="shared" si="17"/>
        <v>XLE</v>
      </c>
      <c r="J314" s="226" t="str">
        <f t="shared" si="18"/>
        <v>油氣煉製與營銷</v>
      </c>
      <c r="K314" s="227" t="str">
        <f t="shared" si="19"/>
        <v>.SPX</v>
      </c>
      <c r="L314" s="228">
        <v>0.32200000000000001</v>
      </c>
      <c r="M314" s="229">
        <v>57.14</v>
      </c>
      <c r="N314" s="228">
        <v>0.748</v>
      </c>
      <c r="O314" s="228">
        <v>0.19620000000000001</v>
      </c>
      <c r="P314" s="228">
        <v>0.7319</v>
      </c>
      <c r="Q314" s="230">
        <v>0.26890000000000003</v>
      </c>
      <c r="R314" s="231">
        <v>44334</v>
      </c>
      <c r="S314" s="232">
        <v>60.330001831054602</v>
      </c>
      <c r="T314" s="233">
        <v>0.57999999999999996</v>
      </c>
      <c r="U314" s="234">
        <v>42597</v>
      </c>
      <c r="V314" s="232">
        <v>34.516632080078097</v>
      </c>
      <c r="W314" s="235">
        <v>0.36</v>
      </c>
    </row>
    <row r="315" spans="1:23" ht="15.75" customHeight="1" thickBot="1">
      <c r="A315" s="102"/>
      <c r="B315" s="104"/>
      <c r="C315" s="104"/>
      <c r="D315" s="105"/>
      <c r="E315" s="374"/>
      <c r="F315" s="222" t="s">
        <v>158</v>
      </c>
      <c r="G315" s="223" t="s">
        <v>1439</v>
      </c>
      <c r="H315" s="224" t="str">
        <f t="shared" si="16"/>
        <v>MPWR</v>
      </c>
      <c r="I315" s="225" t="str">
        <f t="shared" si="17"/>
        <v>XLK</v>
      </c>
      <c r="J315" s="226" t="str">
        <f t="shared" si="18"/>
        <v>半導體</v>
      </c>
      <c r="K315" s="227" t="str">
        <f t="shared" si="19"/>
        <v>.SPX</v>
      </c>
      <c r="L315" s="228">
        <v>0.3392</v>
      </c>
      <c r="M315" s="229">
        <v>463.48</v>
      </c>
      <c r="N315" s="228">
        <v>0.68830000000000002</v>
      </c>
      <c r="O315" s="228">
        <v>0.22839999999999999</v>
      </c>
      <c r="P315" s="228">
        <v>0.53659999999999997</v>
      </c>
      <c r="Q315" s="230">
        <v>0.29549999999999998</v>
      </c>
      <c r="R315" s="231">
        <v>44376</v>
      </c>
      <c r="S315" s="232">
        <v>377.39999389648398</v>
      </c>
      <c r="T315" s="233">
        <v>0.6</v>
      </c>
      <c r="U315" s="234">
        <v>42641</v>
      </c>
      <c r="V315" s="232">
        <v>75.631164550781193</v>
      </c>
      <c r="W315" s="235">
        <v>0.2</v>
      </c>
    </row>
    <row r="316" spans="1:23" ht="15.75" customHeight="1" thickBot="1">
      <c r="A316" s="102"/>
      <c r="B316" s="104"/>
      <c r="C316" s="104"/>
      <c r="D316" s="105"/>
      <c r="E316" s="374"/>
      <c r="F316" s="222" t="s">
        <v>38</v>
      </c>
      <c r="G316" s="223" t="s">
        <v>1434</v>
      </c>
      <c r="H316" s="224" t="str">
        <f t="shared" si="16"/>
        <v>MRK</v>
      </c>
      <c r="I316" s="225" t="str">
        <f t="shared" si="17"/>
        <v>XLV</v>
      </c>
      <c r="J316" s="226" t="str">
        <f t="shared" si="18"/>
        <v>藥品製造商— 常規</v>
      </c>
      <c r="K316" s="227" t="str">
        <f t="shared" si="19"/>
        <v>.SPX</v>
      </c>
      <c r="L316" s="228">
        <v>0.1681</v>
      </c>
      <c r="M316" s="229">
        <v>75.22</v>
      </c>
      <c r="N316" s="228">
        <v>0.2472</v>
      </c>
      <c r="O316" s="228">
        <v>0.11269999999999999</v>
      </c>
      <c r="P316" s="228">
        <v>0.31900000000000001</v>
      </c>
      <c r="Q316" s="230">
        <v>0.15710000000000002</v>
      </c>
      <c r="R316" s="231">
        <v>44361</v>
      </c>
      <c r="S316" s="232">
        <v>75.449996948242102</v>
      </c>
      <c r="T316" s="233">
        <v>0.65</v>
      </c>
      <c r="U316" s="234">
        <v>42626</v>
      </c>
      <c r="V316" s="232">
        <v>51.096309661865199</v>
      </c>
      <c r="W316" s="235">
        <v>0.43893100000000002</v>
      </c>
    </row>
    <row r="317" spans="1:23" ht="15.75" customHeight="1" thickBot="1">
      <c r="A317" s="102"/>
      <c r="B317" s="104"/>
      <c r="C317" s="104"/>
      <c r="D317" s="105"/>
      <c r="E317" s="374"/>
      <c r="F317" s="222" t="s">
        <v>641</v>
      </c>
      <c r="G317" s="223" t="s">
        <v>1514</v>
      </c>
      <c r="H317" s="224" t="str">
        <f t="shared" si="16"/>
        <v>MRNA</v>
      </c>
      <c r="I317" s="225" t="str">
        <f t="shared" si="17"/>
        <v>XLV</v>
      </c>
      <c r="J317" s="226" t="str">
        <f t="shared" si="18"/>
        <v>生物技術</v>
      </c>
      <c r="K317" s="227" t="str">
        <f t="shared" si="19"/>
        <v>.SPX</v>
      </c>
      <c r="L317" s="228">
        <v>0.59660000000000002</v>
      </c>
      <c r="M317" s="229">
        <v>440.65</v>
      </c>
      <c r="N317" s="228">
        <v>1.1395</v>
      </c>
      <c r="O317" s="228">
        <v>0.40710000000000002</v>
      </c>
      <c r="P317" s="228">
        <v>1.3043</v>
      </c>
      <c r="Q317" s="230">
        <v>0.51719999999999999</v>
      </c>
      <c r="R317" s="231">
        <v>0</v>
      </c>
      <c r="S317" s="232">
        <v>0</v>
      </c>
      <c r="T317" s="233">
        <v>0</v>
      </c>
      <c r="U317" s="234">
        <v>0</v>
      </c>
      <c r="V317" s="232">
        <v>0</v>
      </c>
      <c r="W317" s="235">
        <v>0</v>
      </c>
    </row>
    <row r="318" spans="1:23" ht="15.75" customHeight="1" thickBot="1">
      <c r="A318" s="102"/>
      <c r="B318" s="104"/>
      <c r="C318" s="104"/>
      <c r="D318" s="105"/>
      <c r="E318" s="374"/>
      <c r="F318" s="222" t="s">
        <v>163</v>
      </c>
      <c r="G318" s="223" t="s">
        <v>1460</v>
      </c>
      <c r="H318" s="224" t="str">
        <f t="shared" si="16"/>
        <v>MRO</v>
      </c>
      <c r="I318" s="225" t="str">
        <f t="shared" si="17"/>
        <v>XLE</v>
      </c>
      <c r="J318" s="226" t="str">
        <f t="shared" si="18"/>
        <v>油氣E&amp;P</v>
      </c>
      <c r="K318" s="227" t="str">
        <f t="shared" si="19"/>
        <v>.SPX</v>
      </c>
      <c r="L318" s="228">
        <v>0.51900000000000002</v>
      </c>
      <c r="M318" s="229">
        <v>12.04</v>
      </c>
      <c r="N318" s="228">
        <v>0.9133</v>
      </c>
      <c r="O318" s="228">
        <v>0.43140000000000001</v>
      </c>
      <c r="P318" s="228">
        <v>0.87629999999999997</v>
      </c>
      <c r="Q318" s="230">
        <v>0.4617</v>
      </c>
      <c r="R318" s="231">
        <v>44334</v>
      </c>
      <c r="S318" s="232">
        <v>11.9300003051757</v>
      </c>
      <c r="T318" s="233">
        <v>0.04</v>
      </c>
      <c r="U318" s="234">
        <v>42597</v>
      </c>
      <c r="V318" s="232">
        <v>14.039460182189901</v>
      </c>
      <c r="W318" s="235">
        <v>0.05</v>
      </c>
    </row>
    <row r="319" spans="1:23" ht="15.75" customHeight="1" thickBot="1">
      <c r="A319" s="102"/>
      <c r="B319" s="104"/>
      <c r="C319" s="104"/>
      <c r="D319" s="105"/>
      <c r="E319" s="374"/>
      <c r="F319" s="222" t="s">
        <v>409</v>
      </c>
      <c r="G319" s="223" t="s">
        <v>1507</v>
      </c>
      <c r="H319" s="224" t="str">
        <f t="shared" si="16"/>
        <v>MS</v>
      </c>
      <c r="I319" s="225" t="str">
        <f t="shared" si="17"/>
        <v>XLF</v>
      </c>
      <c r="J319" s="226" t="str">
        <f t="shared" si="18"/>
        <v>資本市場</v>
      </c>
      <c r="K319" s="227" t="str">
        <f t="shared" si="19"/>
        <v>.SPX</v>
      </c>
      <c r="L319" s="228">
        <v>0.25380000000000003</v>
      </c>
      <c r="M319" s="229">
        <v>97.83</v>
      </c>
      <c r="N319" s="228">
        <v>0.4108</v>
      </c>
      <c r="O319" s="228">
        <v>0.2001</v>
      </c>
      <c r="P319" s="228">
        <v>0.45579999999999998</v>
      </c>
      <c r="Q319" s="230">
        <v>0.24429999999999999</v>
      </c>
      <c r="R319" s="231">
        <v>44406</v>
      </c>
      <c r="S319" s="232">
        <v>96.279998779296804</v>
      </c>
      <c r="T319" s="233">
        <v>0.7</v>
      </c>
      <c r="U319" s="234">
        <v>42670</v>
      </c>
      <c r="V319" s="232">
        <v>30.111824035644499</v>
      </c>
      <c r="W319" s="235">
        <v>0.2</v>
      </c>
    </row>
    <row r="320" spans="1:23" ht="15.75" customHeight="1" thickBot="1">
      <c r="A320" s="102"/>
      <c r="B320" s="104"/>
      <c r="C320" s="104"/>
      <c r="D320" s="105"/>
      <c r="E320" s="374"/>
      <c r="F320" s="222" t="s">
        <v>53</v>
      </c>
      <c r="G320" s="223" t="s">
        <v>1486</v>
      </c>
      <c r="H320" s="224" t="str">
        <f t="shared" si="16"/>
        <v>MSCI</v>
      </c>
      <c r="I320" s="225" t="str">
        <f t="shared" si="17"/>
        <v>XLF</v>
      </c>
      <c r="J320" s="226" t="str">
        <f t="shared" si="18"/>
        <v>金融數據與證券交易所</v>
      </c>
      <c r="K320" s="227" t="str">
        <f t="shared" si="19"/>
        <v>.SPX</v>
      </c>
      <c r="L320" s="228">
        <v>0.25380000000000003</v>
      </c>
      <c r="M320" s="229">
        <v>627.38</v>
      </c>
      <c r="N320" s="228">
        <v>0.46100000000000002</v>
      </c>
      <c r="O320" s="228">
        <v>0.15049999999999999</v>
      </c>
      <c r="P320" s="228">
        <v>0.45049999999999996</v>
      </c>
      <c r="Q320" s="230">
        <v>0.2213</v>
      </c>
      <c r="R320" s="231">
        <v>44329</v>
      </c>
      <c r="S320" s="232">
        <v>461.08999633789</v>
      </c>
      <c r="T320" s="233">
        <v>0.78</v>
      </c>
      <c r="U320" s="234">
        <v>42593</v>
      </c>
      <c r="V320" s="232">
        <v>81.796546936035099</v>
      </c>
      <c r="W320" s="235">
        <v>0.28000000000000003</v>
      </c>
    </row>
    <row r="321" spans="1:23" ht="15.75" customHeight="1" thickBot="1">
      <c r="A321" s="102"/>
      <c r="B321" s="104"/>
      <c r="C321" s="104"/>
      <c r="D321" s="105"/>
      <c r="E321" s="374"/>
      <c r="F321" s="222" t="s">
        <v>99</v>
      </c>
      <c r="G321" s="223" t="s">
        <v>1438</v>
      </c>
      <c r="H321" s="224" t="str">
        <f t="shared" si="16"/>
        <v>MSFT</v>
      </c>
      <c r="I321" s="225" t="str">
        <f t="shared" si="17"/>
        <v>XLK</v>
      </c>
      <c r="J321" s="226" t="str">
        <f t="shared" si="18"/>
        <v>軟件基礎設施</v>
      </c>
      <c r="K321" s="227" t="str">
        <f t="shared" si="19"/>
        <v>.SPX</v>
      </c>
      <c r="L321" s="228">
        <v>0.1694</v>
      </c>
      <c r="M321" s="229">
        <v>289.52</v>
      </c>
      <c r="N321" s="228">
        <v>0.39860000000000001</v>
      </c>
      <c r="O321" s="228">
        <v>0.13059999999999999</v>
      </c>
      <c r="P321" s="228">
        <v>0.48</v>
      </c>
      <c r="Q321" s="230">
        <v>0.16500000000000001</v>
      </c>
      <c r="R321" s="231">
        <v>44335</v>
      </c>
      <c r="S321" s="232">
        <v>243.11999511718699</v>
      </c>
      <c r="T321" s="233">
        <v>0.56000000000000005</v>
      </c>
      <c r="U321" s="234">
        <v>42598</v>
      </c>
      <c r="V321" s="232">
        <v>53.246871948242102</v>
      </c>
      <c r="W321" s="235">
        <v>0.36</v>
      </c>
    </row>
    <row r="322" spans="1:23" ht="15.75" customHeight="1" thickBot="1">
      <c r="A322" s="102"/>
      <c r="B322" s="104"/>
      <c r="C322" s="104"/>
      <c r="D322" s="105"/>
      <c r="E322" s="374"/>
      <c r="F322" s="222" t="s">
        <v>84</v>
      </c>
      <c r="G322" s="223" t="s">
        <v>1490</v>
      </c>
      <c r="H322" s="224" t="str">
        <f t="shared" si="16"/>
        <v>MSI</v>
      </c>
      <c r="I322" s="225" t="str">
        <f t="shared" si="17"/>
        <v>XLK</v>
      </c>
      <c r="J322" s="226" t="str">
        <f t="shared" si="18"/>
        <v>通信設備</v>
      </c>
      <c r="K322" s="227" t="str">
        <f t="shared" si="19"/>
        <v>.SPX</v>
      </c>
      <c r="L322" s="228">
        <v>0.2447</v>
      </c>
      <c r="M322" s="229">
        <v>222.27</v>
      </c>
      <c r="N322" s="228">
        <v>0.34050000000000002</v>
      </c>
      <c r="O322" s="228">
        <v>0.11210000000000001</v>
      </c>
      <c r="P322" s="228">
        <v>0.42859999999999998</v>
      </c>
      <c r="Q322" s="230">
        <v>0.17530000000000001</v>
      </c>
      <c r="R322" s="231">
        <v>44361</v>
      </c>
      <c r="S322" s="232">
        <v>211.39999389648401</v>
      </c>
      <c r="T322" s="233">
        <v>0.71</v>
      </c>
      <c r="U322" s="234">
        <v>42626</v>
      </c>
      <c r="V322" s="232">
        <v>69.871246337890597</v>
      </c>
      <c r="W322" s="235">
        <v>0.41</v>
      </c>
    </row>
    <row r="323" spans="1:23" ht="15.75" customHeight="1" thickBot="1">
      <c r="A323" s="102"/>
      <c r="B323" s="104"/>
      <c r="C323" s="104"/>
      <c r="D323" s="105"/>
      <c r="E323" s="374"/>
      <c r="F323" s="222" t="s">
        <v>496</v>
      </c>
      <c r="G323" s="223" t="s">
        <v>1482</v>
      </c>
      <c r="H323" s="224" t="str">
        <f t="shared" si="16"/>
        <v>MTB</v>
      </c>
      <c r="I323" s="225" t="str">
        <f t="shared" si="17"/>
        <v>XLF</v>
      </c>
      <c r="J323" s="226" t="str">
        <f t="shared" si="18"/>
        <v>銀行-區域</v>
      </c>
      <c r="K323" s="227" t="str">
        <f t="shared" si="19"/>
        <v>.SPX</v>
      </c>
      <c r="L323" s="228">
        <v>0.29599999999999999</v>
      </c>
      <c r="M323" s="229">
        <v>137.37</v>
      </c>
      <c r="N323" s="228">
        <v>0.88749999999999996</v>
      </c>
      <c r="O323" s="228">
        <v>0.22339999999999999</v>
      </c>
      <c r="P323" s="228">
        <v>0.53159999999999996</v>
      </c>
      <c r="Q323" s="230">
        <v>0.24480000000000002</v>
      </c>
      <c r="R323" s="231">
        <v>44344</v>
      </c>
      <c r="S323" s="232">
        <v>160.69000244140599</v>
      </c>
      <c r="T323" s="233">
        <v>1.1000000000000001</v>
      </c>
      <c r="U323" s="234">
        <v>42612</v>
      </c>
      <c r="V323" s="232">
        <v>104.575912475585</v>
      </c>
      <c r="W323" s="235">
        <v>0.7</v>
      </c>
    </row>
    <row r="324" spans="1:23" ht="15.75" customHeight="1" thickBot="1">
      <c r="A324" s="102"/>
      <c r="B324" s="104"/>
      <c r="C324" s="104"/>
      <c r="D324" s="105"/>
      <c r="E324" s="374"/>
      <c r="F324" s="222" t="s">
        <v>46</v>
      </c>
      <c r="G324" s="223" t="s">
        <v>1430</v>
      </c>
      <c r="H324" s="224" t="str">
        <f t="shared" ref="H324:H387" si="20">IF(F324="","",F324)</f>
        <v>MTD</v>
      </c>
      <c r="I324" s="225" t="str">
        <f t="shared" ref="I324:I387" si="21">IFERROR(INDEX($X$3:$AH$3,IF(IFERROR(MATCH(H324,X:X,0),0)&lt;&gt;0,1,IF(IFERROR(MATCH(H324,Y:Y,0),0)&lt;&gt;0,2,IF(IFERROR(MATCH(H324,Z:Z,0),0)&lt;&gt;0,3,IF(IFERROR(MATCH(H324,AA:AA,0),0)&lt;&gt;0,4,IF(IFERROR(MATCH(H324,AB:AB,0),0)&lt;&gt;0,5,IF(IFERROR(MATCH(H324,AC:AC,0),0)&lt;&gt;0,6,IF(IFERROR(MATCH(H324,AD:AD,0),0)&lt;&gt;0,7,IF(IFERROR(MATCH(H324,AE:AE,0),0)&lt;&gt;0,8,IF(IFERROR(MATCH(H324,AF:AF,0),0)&lt;&gt;0,9,IF(IFERROR(MATCH(H324,AG:AG,0),0)&lt;&gt;0,10,IF(IFERROR(MATCH(H324,AH:AH,0),0)&lt;&gt;0,11,"Z")))))))))))),"")</f>
        <v>XLV</v>
      </c>
      <c r="J324" s="226" t="str">
        <f t="shared" ref="J324:J387" si="22">IF(G324="","",G324)</f>
        <v>診斷與研究</v>
      </c>
      <c r="K324" s="227" t="str">
        <f t="shared" si="19"/>
        <v>.SPX</v>
      </c>
      <c r="L324" s="228">
        <v>0.21959999999999999</v>
      </c>
      <c r="M324" s="236">
        <v>1527.56</v>
      </c>
      <c r="N324" s="228">
        <v>0.37580000000000002</v>
      </c>
      <c r="O324" s="228">
        <v>0.15090000000000001</v>
      </c>
      <c r="P324" s="228">
        <v>0.39409999999999995</v>
      </c>
      <c r="Q324" s="230">
        <v>0.17960000000000001</v>
      </c>
      <c r="R324" s="231">
        <v>0</v>
      </c>
      <c r="S324" s="232">
        <v>0</v>
      </c>
      <c r="T324" s="233">
        <v>0</v>
      </c>
      <c r="U324" s="234">
        <v>0</v>
      </c>
      <c r="V324" s="232">
        <v>0</v>
      </c>
      <c r="W324" s="235">
        <v>0</v>
      </c>
    </row>
    <row r="325" spans="1:23" ht="15.75" customHeight="1" thickBot="1">
      <c r="A325" s="102"/>
      <c r="B325" s="104"/>
      <c r="C325" s="104"/>
      <c r="D325" s="105"/>
      <c r="E325" s="374"/>
      <c r="F325" s="222" t="s">
        <v>169</v>
      </c>
      <c r="G325" s="223" t="s">
        <v>1439</v>
      </c>
      <c r="H325" s="224" t="str">
        <f t="shared" si="20"/>
        <v>MU</v>
      </c>
      <c r="I325" s="225" t="str">
        <f t="shared" si="21"/>
        <v>XLK</v>
      </c>
      <c r="J325" s="226" t="str">
        <f t="shared" si="22"/>
        <v>半導體</v>
      </c>
      <c r="K325" s="227" t="str">
        <f t="shared" ref="K325:K388" si="23">IF(H325="","",".SPX")</f>
        <v>.SPX</v>
      </c>
      <c r="L325" s="228">
        <v>0.34139999999999998</v>
      </c>
      <c r="M325" s="229">
        <v>81.489999999999995</v>
      </c>
      <c r="N325" s="228">
        <v>0.61329999999999996</v>
      </c>
      <c r="O325" s="228">
        <v>0.29609999999999997</v>
      </c>
      <c r="P325" s="228">
        <v>0.60809999999999997</v>
      </c>
      <c r="Q325" s="230">
        <v>0.29370000000000002</v>
      </c>
      <c r="R325" s="231">
        <v>0</v>
      </c>
      <c r="S325" s="232">
        <v>0</v>
      </c>
      <c r="T325" s="233">
        <v>0</v>
      </c>
      <c r="U325" s="234">
        <v>0</v>
      </c>
      <c r="V325" s="232">
        <v>0</v>
      </c>
      <c r="W325" s="235">
        <v>0</v>
      </c>
    </row>
    <row r="326" spans="1:23" ht="15.75" customHeight="1" thickBot="1">
      <c r="A326" s="102"/>
      <c r="B326" s="104"/>
      <c r="C326" s="104"/>
      <c r="D326" s="105"/>
      <c r="E326" s="374"/>
      <c r="F326" s="222" t="s">
        <v>204</v>
      </c>
      <c r="G326" s="223" t="s">
        <v>1439</v>
      </c>
      <c r="H326" s="224" t="str">
        <f t="shared" si="20"/>
        <v>MXIM</v>
      </c>
      <c r="I326" s="225" t="str">
        <f t="shared" si="21"/>
        <v>XLK</v>
      </c>
      <c r="J326" s="226" t="str">
        <f t="shared" si="22"/>
        <v>半導體</v>
      </c>
      <c r="K326" s="227" t="str">
        <f t="shared" si="23"/>
        <v>.SPX</v>
      </c>
      <c r="L326" s="228">
        <v>0.4088</v>
      </c>
      <c r="M326" s="229">
        <v>100.46</v>
      </c>
      <c r="N326" s="228">
        <v>0.44230000000000003</v>
      </c>
      <c r="O326" s="228">
        <v>0.17699999999999999</v>
      </c>
      <c r="P326" s="228">
        <v>0.48200000000000004</v>
      </c>
      <c r="Q326" s="230">
        <v>0.24850000000000003</v>
      </c>
      <c r="R326" s="231">
        <v>44069</v>
      </c>
      <c r="S326" s="232">
        <v>70.309997558593693</v>
      </c>
      <c r="T326" s="233">
        <v>0.48</v>
      </c>
      <c r="U326" s="234">
        <v>42598</v>
      </c>
      <c r="V326" s="232">
        <v>35.563793182372997</v>
      </c>
      <c r="W326" s="235">
        <v>0.33</v>
      </c>
    </row>
    <row r="327" spans="1:23" ht="15.75" customHeight="1" thickBot="1">
      <c r="A327" s="102"/>
      <c r="B327" s="104"/>
      <c r="C327" s="104"/>
      <c r="D327" s="105"/>
      <c r="E327" s="374"/>
      <c r="F327" s="222" t="s">
        <v>357</v>
      </c>
      <c r="G327" s="223" t="s">
        <v>1474</v>
      </c>
      <c r="H327" s="224" t="str">
        <f t="shared" si="20"/>
        <v>NCLH</v>
      </c>
      <c r="I327" s="225" t="str">
        <f t="shared" si="21"/>
        <v>XLY</v>
      </c>
      <c r="J327" s="226" t="str">
        <f t="shared" si="22"/>
        <v>旅行服務</v>
      </c>
      <c r="K327" s="227" t="str">
        <f t="shared" si="23"/>
        <v>.SPX</v>
      </c>
      <c r="L327" s="228">
        <v>0.60099999999999998</v>
      </c>
      <c r="M327" s="229">
        <v>24.18</v>
      </c>
      <c r="N327" s="228">
        <v>1.0387</v>
      </c>
      <c r="O327" s="228">
        <v>0.37580000000000002</v>
      </c>
      <c r="P327" s="228">
        <v>1.1062000000000001</v>
      </c>
      <c r="Q327" s="230">
        <v>0.46679999999999999</v>
      </c>
      <c r="R327" s="231">
        <v>0</v>
      </c>
      <c r="S327" s="232">
        <v>0</v>
      </c>
      <c r="T327" s="233">
        <v>0</v>
      </c>
      <c r="U327" s="234">
        <v>0</v>
      </c>
      <c r="V327" s="232">
        <v>0</v>
      </c>
      <c r="W327" s="235">
        <v>0</v>
      </c>
    </row>
    <row r="328" spans="1:23" ht="15.75" customHeight="1" thickBot="1">
      <c r="A328" s="102"/>
      <c r="B328" s="104"/>
      <c r="C328" s="104"/>
      <c r="D328" s="105"/>
      <c r="E328" s="374"/>
      <c r="F328" s="222" t="s">
        <v>322</v>
      </c>
      <c r="G328" s="223" t="s">
        <v>1486</v>
      </c>
      <c r="H328" s="224" t="str">
        <f t="shared" si="20"/>
        <v>NDAQ</v>
      </c>
      <c r="I328" s="225" t="str">
        <f t="shared" si="21"/>
        <v>XLF</v>
      </c>
      <c r="J328" s="226" t="str">
        <f t="shared" si="22"/>
        <v>金融數據與證券交易所</v>
      </c>
      <c r="K328" s="227" t="str">
        <f t="shared" si="23"/>
        <v>.SPX</v>
      </c>
      <c r="L328" s="228">
        <v>0.20419999999999999</v>
      </c>
      <c r="M328" s="229">
        <v>188.68</v>
      </c>
      <c r="N328" s="228">
        <v>0.28599999999999998</v>
      </c>
      <c r="O328" s="228">
        <v>0.15229999999999999</v>
      </c>
      <c r="P328" s="228">
        <v>0.38020000000000004</v>
      </c>
      <c r="Q328" s="230">
        <v>0.1898</v>
      </c>
      <c r="R328" s="231">
        <v>44357</v>
      </c>
      <c r="S328" s="232">
        <v>168.36000061035099</v>
      </c>
      <c r="T328" s="233">
        <v>0.54</v>
      </c>
      <c r="U328" s="234">
        <v>42627</v>
      </c>
      <c r="V328" s="232">
        <v>63.032932281494098</v>
      </c>
      <c r="W328" s="235">
        <v>0.32</v>
      </c>
    </row>
    <row r="329" spans="1:23" ht="15.75" customHeight="1" thickBot="1">
      <c r="A329" s="102"/>
      <c r="B329" s="104"/>
      <c r="C329" s="104"/>
      <c r="D329" s="105"/>
      <c r="E329" s="374"/>
      <c r="F329" s="222" t="s">
        <v>95</v>
      </c>
      <c r="G329" s="223" t="s">
        <v>1443</v>
      </c>
      <c r="H329" s="224" t="str">
        <f t="shared" si="20"/>
        <v>NEE</v>
      </c>
      <c r="I329" s="225" t="str">
        <f t="shared" si="21"/>
        <v>XLU</v>
      </c>
      <c r="J329" s="226" t="str">
        <f t="shared" si="22"/>
        <v>公用事業—受監督的電力</v>
      </c>
      <c r="K329" s="227" t="str">
        <f t="shared" si="23"/>
        <v>.SPX</v>
      </c>
      <c r="L329" s="228">
        <v>0.18440000000000001</v>
      </c>
      <c r="M329" s="229">
        <v>80.489999999999995</v>
      </c>
      <c r="N329" s="228">
        <v>0.34139999999999998</v>
      </c>
      <c r="O329" s="228">
        <v>0.14680000000000001</v>
      </c>
      <c r="P329" s="228">
        <v>0.33750000000000002</v>
      </c>
      <c r="Q329" s="230">
        <v>0.18440000000000001</v>
      </c>
      <c r="R329" s="231">
        <v>44348</v>
      </c>
      <c r="S329" s="232">
        <v>72.120002746582003</v>
      </c>
      <c r="T329" s="233">
        <v>0.38500000000000001</v>
      </c>
      <c r="U329" s="234">
        <v>42608</v>
      </c>
      <c r="V329" s="232">
        <v>27.0553684234619</v>
      </c>
      <c r="W329" s="235">
        <v>0.2175</v>
      </c>
    </row>
    <row r="330" spans="1:23" ht="15.75" customHeight="1" thickBot="1">
      <c r="A330" s="102"/>
      <c r="B330" s="104"/>
      <c r="C330" s="104"/>
      <c r="D330" s="105"/>
      <c r="E330" s="374"/>
      <c r="F330" s="222" t="s">
        <v>90</v>
      </c>
      <c r="G330" s="223" t="s">
        <v>1525</v>
      </c>
      <c r="H330" s="224" t="str">
        <f t="shared" si="20"/>
        <v>NEM</v>
      </c>
      <c r="I330" s="225" t="str">
        <f t="shared" si="21"/>
        <v>XLB</v>
      </c>
      <c r="J330" s="226" t="str">
        <f t="shared" si="22"/>
        <v>黃金</v>
      </c>
      <c r="K330" s="227" t="str">
        <f t="shared" si="23"/>
        <v>.SPX</v>
      </c>
      <c r="L330" s="228">
        <v>0.26519999999999999</v>
      </c>
      <c r="M330" s="229">
        <v>61.25</v>
      </c>
      <c r="N330" s="228">
        <v>0.45440000000000003</v>
      </c>
      <c r="O330" s="228">
        <v>0.16619999999999999</v>
      </c>
      <c r="P330" s="228">
        <v>0.4546</v>
      </c>
      <c r="Q330" s="230">
        <v>0.24660000000000001</v>
      </c>
      <c r="R330" s="231">
        <v>44349</v>
      </c>
      <c r="S330" s="232">
        <v>72.699996948242102</v>
      </c>
      <c r="T330" s="233">
        <v>0.55000000000000004</v>
      </c>
      <c r="U330" s="234">
        <v>42626</v>
      </c>
      <c r="V330" s="232">
        <v>35.324626922607401</v>
      </c>
      <c r="W330" s="235">
        <v>2.5000000000000001E-2</v>
      </c>
    </row>
    <row r="331" spans="1:23" ht="15.75" customHeight="1" thickBot="1">
      <c r="A331" s="102"/>
      <c r="B331" s="104"/>
      <c r="C331" s="104"/>
      <c r="D331" s="105"/>
      <c r="E331" s="374"/>
      <c r="F331" s="222" t="s">
        <v>255</v>
      </c>
      <c r="G331" s="223" t="s">
        <v>1485</v>
      </c>
      <c r="H331" s="224" t="str">
        <f t="shared" si="20"/>
        <v>NFLX</v>
      </c>
      <c r="I331" s="225" t="str">
        <f t="shared" si="21"/>
        <v>XLC</v>
      </c>
      <c r="J331" s="226" t="str">
        <f t="shared" si="22"/>
        <v>娛樂</v>
      </c>
      <c r="K331" s="227" t="str">
        <f t="shared" si="23"/>
        <v>.SPX</v>
      </c>
      <c r="L331" s="228">
        <v>0.2223</v>
      </c>
      <c r="M331" s="229">
        <v>524.89</v>
      </c>
      <c r="N331" s="228">
        <v>0.58560000000000001</v>
      </c>
      <c r="O331" s="228">
        <v>0.1661</v>
      </c>
      <c r="P331" s="228">
        <v>0.62509999999999999</v>
      </c>
      <c r="Q331" s="230">
        <v>0.2223</v>
      </c>
      <c r="R331" s="231">
        <v>0</v>
      </c>
      <c r="S331" s="232">
        <v>0</v>
      </c>
      <c r="T331" s="233">
        <v>0</v>
      </c>
      <c r="U331" s="234">
        <v>0</v>
      </c>
      <c r="V331" s="232">
        <v>0</v>
      </c>
      <c r="W331" s="235">
        <v>0</v>
      </c>
    </row>
    <row r="332" spans="1:23" ht="15.75" customHeight="1" thickBot="1">
      <c r="A332" s="102"/>
      <c r="B332" s="104"/>
      <c r="C332" s="104"/>
      <c r="D332" s="105"/>
      <c r="E332" s="374"/>
      <c r="F332" s="222" t="s">
        <v>222</v>
      </c>
      <c r="G332" s="223" t="s">
        <v>1465</v>
      </c>
      <c r="H332" s="224" t="str">
        <f t="shared" si="20"/>
        <v>NI</v>
      </c>
      <c r="I332" s="225" t="str">
        <f t="shared" si="21"/>
        <v>XLU</v>
      </c>
      <c r="J332" s="226" t="str">
        <f t="shared" si="22"/>
        <v>公用事業-管制氣體</v>
      </c>
      <c r="K332" s="227" t="str">
        <f t="shared" si="23"/>
        <v>.SPX</v>
      </c>
      <c r="L332" s="228">
        <v>0.22020000000000001</v>
      </c>
      <c r="M332" s="229">
        <v>25.6</v>
      </c>
      <c r="N332" s="228">
        <v>0.33439999999999998</v>
      </c>
      <c r="O332" s="228">
        <v>0.13730000000000001</v>
      </c>
      <c r="P332" s="228">
        <v>0.48249999999999998</v>
      </c>
      <c r="Q332" s="230">
        <v>0.17859999999999998</v>
      </c>
      <c r="R332" s="231">
        <v>44406</v>
      </c>
      <c r="S332" s="232">
        <v>25.2000007629394</v>
      </c>
      <c r="T332" s="233">
        <v>0.22</v>
      </c>
      <c r="U332" s="234">
        <v>42670</v>
      </c>
      <c r="V332" s="232">
        <v>19.380744934081999</v>
      </c>
      <c r="W332" s="235">
        <v>0.16500000000000001</v>
      </c>
    </row>
    <row r="333" spans="1:23" ht="15.75" customHeight="1" thickBot="1">
      <c r="A333" s="102"/>
      <c r="B333" s="104"/>
      <c r="C333" s="104"/>
      <c r="D333" s="105"/>
      <c r="E333" s="374"/>
      <c r="F333" s="222" t="s">
        <v>369</v>
      </c>
      <c r="G333" s="223" t="s">
        <v>1526</v>
      </c>
      <c r="H333" s="224" t="str">
        <f t="shared" si="20"/>
        <v>NKE</v>
      </c>
      <c r="I333" s="225" t="str">
        <f t="shared" si="21"/>
        <v>XLY</v>
      </c>
      <c r="J333" s="226" t="str">
        <f t="shared" si="22"/>
        <v>鞋類及配件</v>
      </c>
      <c r="K333" s="227" t="str">
        <f t="shared" si="23"/>
        <v>.SPX</v>
      </c>
      <c r="L333" s="228">
        <v>0.22320000000000001</v>
      </c>
      <c r="M333" s="229">
        <v>173.85</v>
      </c>
      <c r="N333" s="228">
        <v>0.44900000000000001</v>
      </c>
      <c r="O333" s="228">
        <v>0.14399999999999999</v>
      </c>
      <c r="P333" s="228">
        <v>0.42869999999999997</v>
      </c>
      <c r="Q333" s="230">
        <v>0.19269999999999998</v>
      </c>
      <c r="R333" s="231">
        <v>44344</v>
      </c>
      <c r="S333" s="232">
        <v>136.46000671386699</v>
      </c>
      <c r="T333" s="233">
        <v>0.27500000000000002</v>
      </c>
      <c r="U333" s="234">
        <v>42614</v>
      </c>
      <c r="V333" s="232">
        <v>55.5647583007812</v>
      </c>
      <c r="W333" s="235">
        <v>0.16</v>
      </c>
    </row>
    <row r="334" spans="1:23" ht="15.75" customHeight="1" thickBot="1">
      <c r="A334" s="102"/>
      <c r="B334" s="104"/>
      <c r="C334" s="104"/>
      <c r="D334" s="105"/>
      <c r="E334" s="374"/>
      <c r="F334" s="222" t="s">
        <v>264</v>
      </c>
      <c r="G334" s="223" t="s">
        <v>1438</v>
      </c>
      <c r="H334" s="224" t="str">
        <f t="shared" si="20"/>
        <v>NLOK</v>
      </c>
      <c r="I334" s="225" t="str">
        <f t="shared" si="21"/>
        <v>XLK</v>
      </c>
      <c r="J334" s="226" t="str">
        <f t="shared" si="22"/>
        <v>軟件基礎設施</v>
      </c>
      <c r="K334" s="227" t="str">
        <f t="shared" si="23"/>
        <v>.SPX</v>
      </c>
      <c r="L334" s="228">
        <v>0.26750000000000002</v>
      </c>
      <c r="M334" s="229">
        <v>23.99</v>
      </c>
      <c r="N334" s="228">
        <v>0.41649999999999998</v>
      </c>
      <c r="O334" s="228">
        <v>0.1832</v>
      </c>
      <c r="P334" s="228">
        <v>0.53859999999999997</v>
      </c>
      <c r="Q334" s="230">
        <v>0.2462</v>
      </c>
      <c r="R334" s="231">
        <v>44355</v>
      </c>
      <c r="S334" s="232">
        <v>28.2600002288818</v>
      </c>
      <c r="T334" s="233">
        <v>0.125</v>
      </c>
      <c r="U334" s="234">
        <v>42600</v>
      </c>
      <c r="V334" s="232">
        <v>12.364355087280201</v>
      </c>
      <c r="W334" s="235">
        <v>7.4999999999999997E-2</v>
      </c>
    </row>
    <row r="335" spans="1:23" ht="15.75" customHeight="1" thickBot="1">
      <c r="A335" s="102"/>
      <c r="B335" s="104"/>
      <c r="C335" s="104"/>
      <c r="D335" s="105"/>
      <c r="E335" s="374"/>
      <c r="F335" s="222" t="s">
        <v>520</v>
      </c>
      <c r="G335" s="223" t="s">
        <v>1498</v>
      </c>
      <c r="H335" s="224" t="str">
        <f t="shared" si="20"/>
        <v>NLSN</v>
      </c>
      <c r="I335" s="225" t="str">
        <f t="shared" si="21"/>
        <v>XLI</v>
      </c>
      <c r="J335" s="226" t="str">
        <f t="shared" si="22"/>
        <v>咨詢服務</v>
      </c>
      <c r="K335" s="227" t="str">
        <f t="shared" si="23"/>
        <v>.SPX</v>
      </c>
      <c r="L335" s="228">
        <v>0.29599999999999999</v>
      </c>
      <c r="M335" s="229">
        <v>23.24</v>
      </c>
      <c r="N335" s="228">
        <v>0.57320000000000004</v>
      </c>
      <c r="O335" s="228">
        <v>0.22389999999999999</v>
      </c>
      <c r="P335" s="228">
        <v>0.66980000000000006</v>
      </c>
      <c r="Q335" s="230">
        <v>0.2893</v>
      </c>
      <c r="R335" s="231">
        <v>44349</v>
      </c>
      <c r="S335" s="232">
        <v>27.379999160766602</v>
      </c>
      <c r="T335" s="233">
        <v>0.06</v>
      </c>
      <c r="U335" s="234">
        <v>42605</v>
      </c>
      <c r="V335" s="232">
        <v>45.148921966552699</v>
      </c>
      <c r="W335" s="235">
        <v>0.31</v>
      </c>
    </row>
    <row r="336" spans="1:23" ht="15.75" customHeight="1" thickBot="1">
      <c r="A336" s="102"/>
      <c r="B336" s="104"/>
      <c r="C336" s="104"/>
      <c r="D336" s="105"/>
      <c r="E336" s="374"/>
      <c r="F336" s="222" t="s">
        <v>302</v>
      </c>
      <c r="G336" s="223" t="s">
        <v>1470</v>
      </c>
      <c r="H336" s="224" t="str">
        <f t="shared" si="20"/>
        <v>NOC</v>
      </c>
      <c r="I336" s="225" t="str">
        <f t="shared" si="21"/>
        <v>XLI</v>
      </c>
      <c r="J336" s="226" t="str">
        <f t="shared" si="22"/>
        <v>航天軍工</v>
      </c>
      <c r="K336" s="227" t="str">
        <f t="shared" si="23"/>
        <v>.SPX</v>
      </c>
      <c r="L336" s="228">
        <v>0.1845</v>
      </c>
      <c r="M336" s="229">
        <v>358.72</v>
      </c>
      <c r="N336" s="228">
        <v>0.2974</v>
      </c>
      <c r="O336" s="228">
        <v>0.14460000000000001</v>
      </c>
      <c r="P336" s="228">
        <v>0.39169999999999999</v>
      </c>
      <c r="Q336" s="230">
        <v>0.16510000000000002</v>
      </c>
      <c r="R336" s="231">
        <v>44344</v>
      </c>
      <c r="S336" s="232">
        <v>365.86999511718699</v>
      </c>
      <c r="T336" s="233">
        <v>1.57</v>
      </c>
      <c r="U336" s="234">
        <v>42607</v>
      </c>
      <c r="V336" s="232">
        <v>197.97323608398401</v>
      </c>
      <c r="W336" s="235">
        <v>0.9</v>
      </c>
    </row>
    <row r="337" spans="1:23" ht="15.75" customHeight="1" thickBot="1">
      <c r="A337" s="102"/>
      <c r="B337" s="104"/>
      <c r="C337" s="104"/>
      <c r="D337" s="105"/>
      <c r="E337" s="374"/>
      <c r="F337" s="222" t="s">
        <v>466</v>
      </c>
      <c r="G337" s="223" t="s">
        <v>1475</v>
      </c>
      <c r="H337" s="224" t="str">
        <f t="shared" si="20"/>
        <v>NOV</v>
      </c>
      <c r="I337" s="225" t="str">
        <f t="shared" si="21"/>
        <v>XLE</v>
      </c>
      <c r="J337" s="226" t="str">
        <f t="shared" si="22"/>
        <v>石油和天然氣設備和服務</v>
      </c>
      <c r="K337" s="227" t="str">
        <f t="shared" si="23"/>
        <v>.SPX</v>
      </c>
      <c r="L337" s="228">
        <v>0.51859999999999995</v>
      </c>
      <c r="M337" s="229">
        <v>13.54</v>
      </c>
      <c r="N337" s="228">
        <v>0.97950000000000004</v>
      </c>
      <c r="O337" s="228">
        <v>0.36230000000000001</v>
      </c>
      <c r="P337" s="228">
        <v>0.93159999999999998</v>
      </c>
      <c r="Q337" s="230">
        <v>0.41880000000000001</v>
      </c>
      <c r="R337" s="231">
        <v>43902</v>
      </c>
      <c r="S337" s="232">
        <v>8.6999998092651296</v>
      </c>
      <c r="T337" s="233">
        <v>0.05</v>
      </c>
      <c r="U337" s="234">
        <v>42627</v>
      </c>
      <c r="V337" s="232">
        <v>31.487176895141602</v>
      </c>
      <c r="W337" s="235">
        <v>0.05</v>
      </c>
    </row>
    <row r="338" spans="1:23" ht="15.75" customHeight="1" thickBot="1">
      <c r="A338" s="102"/>
      <c r="B338" s="104"/>
      <c r="C338" s="104"/>
      <c r="D338" s="105"/>
      <c r="E338" s="374"/>
      <c r="F338" s="222" t="s">
        <v>21</v>
      </c>
      <c r="G338" s="223" t="s">
        <v>1442</v>
      </c>
      <c r="H338" s="224" t="str">
        <f t="shared" si="20"/>
        <v>NOW</v>
      </c>
      <c r="I338" s="225" t="str">
        <f t="shared" si="21"/>
        <v>XLK</v>
      </c>
      <c r="J338" s="226" t="str">
        <f t="shared" si="22"/>
        <v>軟件-應用</v>
      </c>
      <c r="K338" s="227" t="str">
        <f t="shared" si="23"/>
        <v>.SPX</v>
      </c>
      <c r="L338" s="228">
        <v>0.25259999999999999</v>
      </c>
      <c r="M338" s="229">
        <v>595.5</v>
      </c>
      <c r="N338" s="228">
        <v>0.51529999999999998</v>
      </c>
      <c r="O338" s="228">
        <v>0.1464</v>
      </c>
      <c r="P338" s="228">
        <v>0.51019999999999999</v>
      </c>
      <c r="Q338" s="230">
        <v>0.25259999999999999</v>
      </c>
      <c r="R338" s="231">
        <v>0</v>
      </c>
      <c r="S338" s="232">
        <v>0</v>
      </c>
      <c r="T338" s="233">
        <v>0</v>
      </c>
      <c r="U338" s="234">
        <v>0</v>
      </c>
      <c r="V338" s="232">
        <v>0</v>
      </c>
      <c r="W338" s="235">
        <v>0</v>
      </c>
    </row>
    <row r="339" spans="1:23" ht="15.75" customHeight="1" thickBot="1">
      <c r="A339" s="102"/>
      <c r="B339" s="104"/>
      <c r="C339" s="104"/>
      <c r="D339" s="105"/>
      <c r="E339" s="374"/>
      <c r="F339" s="222" t="s">
        <v>370</v>
      </c>
      <c r="G339" s="223" t="s">
        <v>1527</v>
      </c>
      <c r="H339" s="224" t="str">
        <f t="shared" si="20"/>
        <v>NRG</v>
      </c>
      <c r="I339" s="225" t="str">
        <f t="shared" si="21"/>
        <v>XLU</v>
      </c>
      <c r="J339" s="226" t="str">
        <f t="shared" si="22"/>
        <v>公用事業-獨立發電商</v>
      </c>
      <c r="K339" s="227" t="str">
        <f t="shared" si="23"/>
        <v>.SPX</v>
      </c>
      <c r="L339" s="228">
        <v>0.29049999999999998</v>
      </c>
      <c r="M339" s="229">
        <v>41.97</v>
      </c>
      <c r="N339" s="228">
        <v>0.80130000000000001</v>
      </c>
      <c r="O339" s="228">
        <v>0.18490000000000001</v>
      </c>
      <c r="P339" s="228">
        <v>0.71040000000000003</v>
      </c>
      <c r="Q339" s="230">
        <v>0.27029999999999998</v>
      </c>
      <c r="R339" s="231">
        <v>44407</v>
      </c>
      <c r="S339" s="232">
        <v>41.240001678466797</v>
      </c>
      <c r="T339" s="233">
        <v>0.32500000000000001</v>
      </c>
      <c r="U339" s="234">
        <v>42671</v>
      </c>
      <c r="V339" s="232">
        <v>9.5750141143798793</v>
      </c>
      <c r="W339" s="235">
        <v>0.03</v>
      </c>
    </row>
    <row r="340" spans="1:23" ht="15.75" customHeight="1" thickBot="1">
      <c r="A340" s="102"/>
      <c r="B340" s="104"/>
      <c r="C340" s="104"/>
      <c r="D340" s="105"/>
      <c r="E340" s="374"/>
      <c r="F340" s="222" t="s">
        <v>441</v>
      </c>
      <c r="G340" s="223" t="s">
        <v>1491</v>
      </c>
      <c r="H340" s="224" t="str">
        <f t="shared" si="20"/>
        <v>NSC</v>
      </c>
      <c r="I340" s="225" t="str">
        <f t="shared" si="21"/>
        <v>XLI</v>
      </c>
      <c r="J340" s="226" t="str">
        <f t="shared" si="22"/>
        <v>鐵路</v>
      </c>
      <c r="K340" s="227" t="str">
        <f t="shared" si="23"/>
        <v>.SPX</v>
      </c>
      <c r="L340" s="228">
        <v>0.21740000000000001</v>
      </c>
      <c r="M340" s="229">
        <v>254.47</v>
      </c>
      <c r="N340" s="228">
        <v>0.33760000000000001</v>
      </c>
      <c r="O340" s="228">
        <v>0.13669999999999999</v>
      </c>
      <c r="P340" s="228">
        <v>0.40079999999999999</v>
      </c>
      <c r="Q340" s="230">
        <v>0.19159999999999999</v>
      </c>
      <c r="R340" s="231">
        <v>44322</v>
      </c>
      <c r="S340" s="232">
        <v>286.97000122070301</v>
      </c>
      <c r="T340" s="233">
        <v>0.99</v>
      </c>
      <c r="U340" s="234">
        <v>42676</v>
      </c>
      <c r="V340" s="232">
        <v>84.403594970703097</v>
      </c>
      <c r="W340" s="235">
        <v>0.59</v>
      </c>
    </row>
    <row r="341" spans="1:23" ht="15.75" customHeight="1" thickBot="1">
      <c r="A341" s="102"/>
      <c r="B341" s="104"/>
      <c r="C341" s="104"/>
      <c r="D341" s="105"/>
      <c r="E341" s="374"/>
      <c r="F341" s="222" t="s">
        <v>66</v>
      </c>
      <c r="G341" s="223" t="s">
        <v>1458</v>
      </c>
      <c r="H341" s="224" t="str">
        <f t="shared" si="20"/>
        <v>NTAP</v>
      </c>
      <c r="I341" s="225" t="str">
        <f t="shared" si="21"/>
        <v>XLK</v>
      </c>
      <c r="J341" s="226" t="str">
        <f t="shared" si="22"/>
        <v>計算機硬件</v>
      </c>
      <c r="K341" s="227" t="str">
        <f t="shared" si="23"/>
        <v>.SPX</v>
      </c>
      <c r="L341" s="228">
        <v>0.36499999999999999</v>
      </c>
      <c r="M341" s="229">
        <v>81.48</v>
      </c>
      <c r="N341" s="228">
        <v>0.61670000000000003</v>
      </c>
      <c r="O341" s="228">
        <v>0.17119999999999999</v>
      </c>
      <c r="P341" s="228">
        <v>0.59870000000000001</v>
      </c>
      <c r="Q341" s="230">
        <v>0.23129999999999998</v>
      </c>
      <c r="R341" s="231">
        <v>44385</v>
      </c>
      <c r="S341" s="232">
        <v>81.610000610351506</v>
      </c>
      <c r="T341" s="233">
        <v>0.5</v>
      </c>
      <c r="U341" s="234">
        <v>42648</v>
      </c>
      <c r="V341" s="232">
        <v>30.7674560546875</v>
      </c>
      <c r="W341" s="235">
        <v>0.19</v>
      </c>
    </row>
    <row r="342" spans="1:23" ht="15.75" customHeight="1" thickBot="1">
      <c r="A342" s="102"/>
      <c r="B342" s="104"/>
      <c r="C342" s="104"/>
      <c r="D342" s="105"/>
      <c r="E342" s="374"/>
      <c r="F342" s="222" t="s">
        <v>374</v>
      </c>
      <c r="G342" s="223" t="s">
        <v>1455</v>
      </c>
      <c r="H342" s="224" t="str">
        <f t="shared" si="20"/>
        <v>NTRS</v>
      </c>
      <c r="I342" s="225" t="str">
        <f t="shared" si="21"/>
        <v>XLF</v>
      </c>
      <c r="J342" s="226" t="str">
        <f t="shared" si="22"/>
        <v>資產管理</v>
      </c>
      <c r="K342" s="227" t="str">
        <f t="shared" si="23"/>
        <v>.SPX</v>
      </c>
      <c r="L342" s="228">
        <v>0.24349999999999999</v>
      </c>
      <c r="M342" s="229">
        <v>112.23</v>
      </c>
      <c r="N342" s="228">
        <v>0.48370000000000002</v>
      </c>
      <c r="O342" s="228">
        <v>0.17510000000000001</v>
      </c>
      <c r="P342" s="228">
        <v>0.45579999999999998</v>
      </c>
      <c r="Q342" s="230">
        <v>0.22440000000000002</v>
      </c>
      <c r="R342" s="231">
        <v>44357</v>
      </c>
      <c r="S342" s="232">
        <v>117.120002746582</v>
      </c>
      <c r="T342" s="233">
        <v>0.7</v>
      </c>
      <c r="U342" s="234">
        <v>42613</v>
      </c>
      <c r="V342" s="232">
        <v>62.871517181396399</v>
      </c>
      <c r="W342" s="235">
        <v>0.38</v>
      </c>
    </row>
    <row r="343" spans="1:23" ht="15.75" customHeight="1" thickBot="1">
      <c r="A343" s="102"/>
      <c r="B343" s="104"/>
      <c r="C343" s="104"/>
      <c r="D343" s="105"/>
      <c r="E343" s="374"/>
      <c r="F343" s="222" t="s">
        <v>425</v>
      </c>
      <c r="G343" s="223" t="s">
        <v>1528</v>
      </c>
      <c r="H343" s="224" t="str">
        <f t="shared" si="20"/>
        <v>NUE</v>
      </c>
      <c r="I343" s="225" t="str">
        <f t="shared" si="21"/>
        <v>XLB</v>
      </c>
      <c r="J343" s="226" t="str">
        <f t="shared" si="22"/>
        <v>鋼鐵</v>
      </c>
      <c r="K343" s="227" t="str">
        <f t="shared" si="23"/>
        <v>.SPX</v>
      </c>
      <c r="L343" s="228">
        <v>0.39150000000000001</v>
      </c>
      <c r="M343" s="229">
        <v>103.77</v>
      </c>
      <c r="N343" s="228">
        <v>0.50149999999999995</v>
      </c>
      <c r="O343" s="228">
        <v>0.2535</v>
      </c>
      <c r="P343" s="228">
        <v>0.45079999999999998</v>
      </c>
      <c r="Q343" s="230">
        <v>0.29299999999999998</v>
      </c>
      <c r="R343" s="231">
        <v>44376</v>
      </c>
      <c r="S343" s="232">
        <v>94.629997253417898</v>
      </c>
      <c r="T343" s="233">
        <v>0.40500000000000003</v>
      </c>
      <c r="U343" s="234">
        <v>42641</v>
      </c>
      <c r="V343" s="232">
        <v>43.443828582763601</v>
      </c>
      <c r="W343" s="235">
        <v>0.375</v>
      </c>
    </row>
    <row r="344" spans="1:23" ht="15.75" customHeight="1" thickBot="1">
      <c r="A344" s="102"/>
      <c r="B344" s="104"/>
      <c r="C344" s="104"/>
      <c r="D344" s="105"/>
      <c r="E344" s="374"/>
      <c r="F344" s="222" t="s">
        <v>239</v>
      </c>
      <c r="G344" s="223" t="s">
        <v>1439</v>
      </c>
      <c r="H344" s="224" t="str">
        <f t="shared" si="20"/>
        <v>NVDA</v>
      </c>
      <c r="I344" s="225" t="str">
        <f t="shared" si="21"/>
        <v>XLK</v>
      </c>
      <c r="J344" s="226" t="str">
        <f t="shared" si="22"/>
        <v>半導體</v>
      </c>
      <c r="K344" s="227" t="str">
        <f t="shared" si="23"/>
        <v>.SPX</v>
      </c>
      <c r="L344" s="228">
        <v>0.32819999999999999</v>
      </c>
      <c r="M344" s="229">
        <v>222.42</v>
      </c>
      <c r="N344" s="228">
        <v>0.59089999999999998</v>
      </c>
      <c r="O344" s="228">
        <v>0.20330000000000001</v>
      </c>
      <c r="P344" s="228">
        <v>0.57119999999999993</v>
      </c>
      <c r="Q344" s="230">
        <v>0.31480000000000002</v>
      </c>
      <c r="R344" s="231">
        <v>44439</v>
      </c>
      <c r="S344" s="232">
        <v>223.850006103515</v>
      </c>
      <c r="T344" s="233">
        <v>0.04</v>
      </c>
      <c r="U344" s="234">
        <v>42697</v>
      </c>
      <c r="V344" s="232">
        <v>23.189723968505799</v>
      </c>
      <c r="W344" s="235">
        <v>3.5000000000000003E-2</v>
      </c>
    </row>
    <row r="345" spans="1:23" ht="15.75" customHeight="1" thickBot="1">
      <c r="A345" s="102"/>
      <c r="B345" s="104"/>
      <c r="C345" s="104"/>
      <c r="D345" s="105"/>
      <c r="E345" s="374"/>
      <c r="F345" s="222" t="s">
        <v>518</v>
      </c>
      <c r="G345" s="223" t="s">
        <v>1495</v>
      </c>
      <c r="H345" s="224" t="str">
        <f t="shared" si="20"/>
        <v>NVR</v>
      </c>
      <c r="I345" s="225" t="str">
        <f t="shared" si="21"/>
        <v>XLY</v>
      </c>
      <c r="J345" s="226" t="str">
        <f t="shared" si="22"/>
        <v>住宅建設</v>
      </c>
      <c r="K345" s="227" t="str">
        <f t="shared" si="23"/>
        <v>.SPX</v>
      </c>
      <c r="L345" s="228" t="s">
        <v>887</v>
      </c>
      <c r="M345" s="236">
        <v>5313.57</v>
      </c>
      <c r="N345" s="228">
        <v>0.4219</v>
      </c>
      <c r="O345" s="228">
        <v>0.1928</v>
      </c>
      <c r="P345" s="228" t="s">
        <v>887</v>
      </c>
      <c r="Q345" s="230" t="s">
        <v>887</v>
      </c>
      <c r="R345" s="231">
        <v>0</v>
      </c>
      <c r="S345" s="232">
        <v>0</v>
      </c>
      <c r="T345" s="233">
        <v>0</v>
      </c>
      <c r="U345" s="234">
        <v>0</v>
      </c>
      <c r="V345" s="232">
        <v>0</v>
      </c>
      <c r="W345" s="235">
        <v>0</v>
      </c>
    </row>
    <row r="346" spans="1:23" ht="15.75" customHeight="1" thickBot="1">
      <c r="A346" s="102"/>
      <c r="B346" s="104"/>
      <c r="C346" s="104"/>
      <c r="D346" s="105"/>
      <c r="E346" s="374"/>
      <c r="F346" s="222" t="s">
        <v>428</v>
      </c>
      <c r="G346" s="223" t="s">
        <v>1483</v>
      </c>
      <c r="H346" s="224" t="str">
        <f t="shared" si="20"/>
        <v>NWL</v>
      </c>
      <c r="I346" s="225" t="str">
        <f t="shared" si="21"/>
        <v>XLY</v>
      </c>
      <c r="J346" s="226" t="str">
        <f t="shared" si="22"/>
        <v>家庭及個人產品</v>
      </c>
      <c r="K346" s="227" t="str">
        <f t="shared" si="23"/>
        <v>.SPX</v>
      </c>
      <c r="L346" s="228">
        <v>0.27229999999999999</v>
      </c>
      <c r="M346" s="229">
        <v>25.52</v>
      </c>
      <c r="N346" s="228">
        <v>0.4335</v>
      </c>
      <c r="O346" s="228">
        <v>0.18079999999999999</v>
      </c>
      <c r="P346" s="228">
        <v>0.54420000000000002</v>
      </c>
      <c r="Q346" s="230">
        <v>0.23949999999999999</v>
      </c>
      <c r="R346" s="231">
        <v>44343</v>
      </c>
      <c r="S346" s="232">
        <v>28.590000152587798</v>
      </c>
      <c r="T346" s="233">
        <v>0.23</v>
      </c>
      <c r="U346" s="234">
        <v>42611</v>
      </c>
      <c r="V346" s="232">
        <v>44.496730804443303</v>
      </c>
      <c r="W346" s="235">
        <v>0.19</v>
      </c>
    </row>
    <row r="347" spans="1:23" ht="15.75" customHeight="1" thickBot="1">
      <c r="A347" s="102"/>
      <c r="B347" s="104"/>
      <c r="C347" s="104"/>
      <c r="D347" s="105"/>
      <c r="E347" s="374"/>
      <c r="F347" s="222" t="s">
        <v>362</v>
      </c>
      <c r="G347" s="223" t="s">
        <v>1504</v>
      </c>
      <c r="H347" s="224" t="str">
        <f t="shared" si="20"/>
        <v>NWS</v>
      </c>
      <c r="I347" s="225" t="str">
        <f t="shared" si="21"/>
        <v>XLC</v>
      </c>
      <c r="J347" s="226" t="str">
        <f t="shared" si="22"/>
        <v>廣播</v>
      </c>
      <c r="K347" s="227" t="str">
        <f t="shared" si="23"/>
        <v>.SPX</v>
      </c>
      <c r="L347" s="228">
        <v>0.31990000000000002</v>
      </c>
      <c r="M347" s="229">
        <v>24.44</v>
      </c>
      <c r="N347" s="228">
        <v>0.41810000000000003</v>
      </c>
      <c r="O347" s="228">
        <v>0.2056</v>
      </c>
      <c r="P347" s="228">
        <v>0.95099999999999996</v>
      </c>
      <c r="Q347" s="230">
        <v>0.23949999999999999</v>
      </c>
      <c r="R347" s="231">
        <v>44271</v>
      </c>
      <c r="S347" s="232">
        <v>25.2199993133544</v>
      </c>
      <c r="T347" s="233">
        <v>0.1</v>
      </c>
      <c r="U347" s="234">
        <v>42625</v>
      </c>
      <c r="V347" s="232">
        <v>13.608837127685501</v>
      </c>
      <c r="W347" s="235">
        <v>0.1</v>
      </c>
    </row>
    <row r="348" spans="1:23" ht="15.75" customHeight="1" thickBot="1">
      <c r="A348" s="102"/>
      <c r="B348" s="104"/>
      <c r="C348" s="104"/>
      <c r="D348" s="105"/>
      <c r="E348" s="374"/>
      <c r="F348" s="222" t="s">
        <v>334</v>
      </c>
      <c r="G348" s="223" t="s">
        <v>1504</v>
      </c>
      <c r="H348" s="224" t="str">
        <f t="shared" si="20"/>
        <v>NWSA</v>
      </c>
      <c r="I348" s="225" t="str">
        <f t="shared" si="21"/>
        <v>XLC</v>
      </c>
      <c r="J348" s="226" t="str">
        <f t="shared" si="22"/>
        <v>廣播</v>
      </c>
      <c r="K348" s="227" t="str">
        <f t="shared" si="23"/>
        <v>.SPX</v>
      </c>
      <c r="L348" s="228">
        <v>0.34820000000000001</v>
      </c>
      <c r="M348" s="229">
        <v>25.33</v>
      </c>
      <c r="N348" s="228">
        <v>0.41649999999999998</v>
      </c>
      <c r="O348" s="228">
        <v>0.1976</v>
      </c>
      <c r="P348" s="228">
        <v>0.70680000000000009</v>
      </c>
      <c r="Q348" s="230">
        <v>0.27829999999999999</v>
      </c>
      <c r="R348" s="231">
        <v>44271</v>
      </c>
      <c r="S348" s="232">
        <v>26.4799995422363</v>
      </c>
      <c r="T348" s="233">
        <v>0.1</v>
      </c>
      <c r="U348" s="234">
        <v>42625</v>
      </c>
      <c r="V348" s="232">
        <v>13.0300092697143</v>
      </c>
      <c r="W348" s="235">
        <v>0.1</v>
      </c>
    </row>
    <row r="349" spans="1:23" ht="15.75" customHeight="1" thickBot="1">
      <c r="A349" s="102"/>
      <c r="B349" s="104"/>
      <c r="C349" s="104"/>
      <c r="D349" s="105"/>
      <c r="E349" s="374"/>
      <c r="F349" s="222" t="s">
        <v>75</v>
      </c>
      <c r="G349" s="223" t="s">
        <v>1439</v>
      </c>
      <c r="H349" s="224" t="str">
        <f t="shared" si="20"/>
        <v>NXPI</v>
      </c>
      <c r="I349" s="225" t="str">
        <f t="shared" si="21"/>
        <v>XLK</v>
      </c>
      <c r="J349" s="226" t="str">
        <f t="shared" si="22"/>
        <v>半導體</v>
      </c>
      <c r="K349" s="227" t="str">
        <f t="shared" si="23"/>
        <v>.SPX</v>
      </c>
      <c r="L349" s="228">
        <v>0.30599999999999999</v>
      </c>
      <c r="M349" s="229">
        <v>212.9</v>
      </c>
      <c r="N349" s="228">
        <v>0.63260000000000005</v>
      </c>
      <c r="O349" s="228">
        <v>0.2291</v>
      </c>
      <c r="P349" s="228">
        <v>0.50170000000000003</v>
      </c>
      <c r="Q349" s="230">
        <v>0.28029999999999999</v>
      </c>
      <c r="R349" s="231">
        <v>44361</v>
      </c>
      <c r="S349" s="232">
        <v>203.57000732421801</v>
      </c>
      <c r="T349" s="233">
        <v>0.56299999999999994</v>
      </c>
      <c r="U349" s="234">
        <v>43367</v>
      </c>
      <c r="V349" s="232">
        <v>88.054138183593693</v>
      </c>
      <c r="W349" s="235">
        <v>0.25</v>
      </c>
    </row>
    <row r="350" spans="1:23" ht="15.75" customHeight="1" thickBot="1">
      <c r="A350" s="102"/>
      <c r="B350" s="104"/>
      <c r="C350" s="104"/>
      <c r="D350" s="105"/>
      <c r="E350" s="374"/>
      <c r="F350" s="222" t="s">
        <v>277</v>
      </c>
      <c r="G350" s="223" t="s">
        <v>521</v>
      </c>
      <c r="H350" s="224" t="str">
        <f t="shared" si="20"/>
        <v>O</v>
      </c>
      <c r="I350" s="225" t="str">
        <f t="shared" si="21"/>
        <v>XLRE</v>
      </c>
      <c r="J350" s="226" t="str">
        <f t="shared" si="22"/>
        <v>-</v>
      </c>
      <c r="K350" s="227" t="str">
        <f t="shared" si="23"/>
        <v>.SPX</v>
      </c>
      <c r="L350" s="228">
        <v>0.1736</v>
      </c>
      <c r="M350" s="229">
        <v>70.86</v>
      </c>
      <c r="N350" s="228">
        <v>0.35820000000000002</v>
      </c>
      <c r="O350" s="228">
        <v>0.13730000000000001</v>
      </c>
      <c r="P350" s="228">
        <v>0.39119999999999999</v>
      </c>
      <c r="Q350" s="230">
        <v>0.16149999999999998</v>
      </c>
      <c r="R350" s="231">
        <v>44407</v>
      </c>
      <c r="S350" s="232">
        <v>70.290000915527301</v>
      </c>
      <c r="T350" s="233">
        <v>0.23599999999999999</v>
      </c>
      <c r="U350" s="234">
        <v>42612</v>
      </c>
      <c r="V350" s="232">
        <v>52.836269378662102</v>
      </c>
      <c r="W350" s="235">
        <v>0.20200000000000001</v>
      </c>
    </row>
    <row r="351" spans="1:23" ht="15.75" customHeight="1" thickBot="1">
      <c r="A351" s="102"/>
      <c r="B351" s="104"/>
      <c r="C351" s="104"/>
      <c r="D351" s="105"/>
      <c r="E351" s="374"/>
      <c r="F351" s="222" t="s">
        <v>361</v>
      </c>
      <c r="G351" s="223" t="s">
        <v>1529</v>
      </c>
      <c r="H351" s="224" t="str">
        <f t="shared" si="20"/>
        <v>ODFL</v>
      </c>
      <c r="I351" s="225" t="str">
        <f t="shared" si="21"/>
        <v>XLI</v>
      </c>
      <c r="J351" s="226" t="str">
        <f t="shared" si="22"/>
        <v>貨車運輸</v>
      </c>
      <c r="K351" s="227" t="str">
        <f t="shared" si="23"/>
        <v>.SPX</v>
      </c>
      <c r="L351" s="228">
        <v>0.22889999999999999</v>
      </c>
      <c r="M351" s="229">
        <v>272.19</v>
      </c>
      <c r="N351" s="228">
        <v>0.38969999999999999</v>
      </c>
      <c r="O351" s="228">
        <v>0.14480000000000001</v>
      </c>
      <c r="P351" s="228">
        <v>0.41689999999999999</v>
      </c>
      <c r="Q351" s="230">
        <v>0.22270000000000001</v>
      </c>
      <c r="R351" s="231">
        <v>44348</v>
      </c>
      <c r="S351" s="232">
        <v>267.850006103515</v>
      </c>
      <c r="T351" s="233">
        <v>0.2</v>
      </c>
      <c r="U351" s="234">
        <v>42796</v>
      </c>
      <c r="V351" s="232">
        <v>60.439403533935497</v>
      </c>
      <c r="W351" s="235">
        <v>6.6667000000000004E-2</v>
      </c>
    </row>
    <row r="352" spans="1:23" ht="15.75" customHeight="1" thickBot="1">
      <c r="A352" s="102"/>
      <c r="B352" s="104"/>
      <c r="C352" s="104"/>
      <c r="D352" s="105"/>
      <c r="E352" s="374"/>
      <c r="F352" s="222" t="s">
        <v>1530</v>
      </c>
      <c r="G352" s="223" t="s">
        <v>1434</v>
      </c>
      <c r="H352" s="224" t="str">
        <f t="shared" si="20"/>
        <v>OGN</v>
      </c>
      <c r="I352" s="225" t="str">
        <f t="shared" si="21"/>
        <v>XLV</v>
      </c>
      <c r="J352" s="226" t="str">
        <f t="shared" si="22"/>
        <v>藥品製造商— 常規</v>
      </c>
      <c r="K352" s="227" t="str">
        <f t="shared" si="23"/>
        <v>.SPX</v>
      </c>
      <c r="L352" s="228">
        <v>0.39489999999999997</v>
      </c>
      <c r="M352" s="229">
        <v>29.56</v>
      </c>
      <c r="N352" s="228">
        <v>0.54559999999999997</v>
      </c>
      <c r="O352" s="228">
        <v>0.26240000000000002</v>
      </c>
      <c r="P352" s="228">
        <v>0.47539999999999999</v>
      </c>
      <c r="Q352" s="230">
        <v>0.3095</v>
      </c>
      <c r="R352" s="231">
        <v>0</v>
      </c>
      <c r="S352" s="232">
        <v>0</v>
      </c>
      <c r="T352" s="233">
        <v>0</v>
      </c>
      <c r="U352" s="234">
        <v>0</v>
      </c>
      <c r="V352" s="232">
        <v>0</v>
      </c>
      <c r="W352" s="235">
        <v>0</v>
      </c>
    </row>
    <row r="353" spans="1:23" ht="15.75" customHeight="1" thickBot="1">
      <c r="A353" s="102"/>
      <c r="B353" s="104"/>
      <c r="C353" s="104"/>
      <c r="D353" s="105"/>
      <c r="E353" s="374"/>
      <c r="F353" s="222" t="s">
        <v>316</v>
      </c>
      <c r="G353" s="223" t="s">
        <v>1517</v>
      </c>
      <c r="H353" s="224" t="str">
        <f t="shared" si="20"/>
        <v>OKE</v>
      </c>
      <c r="I353" s="225" t="str">
        <f t="shared" si="21"/>
        <v>XLE</v>
      </c>
      <c r="J353" s="226" t="str">
        <f t="shared" si="22"/>
        <v>油氣中流</v>
      </c>
      <c r="K353" s="227" t="str">
        <f t="shared" si="23"/>
        <v>.SPX</v>
      </c>
      <c r="L353" s="228">
        <v>0.3095</v>
      </c>
      <c r="M353" s="229">
        <v>52.46</v>
      </c>
      <c r="N353" s="228">
        <v>0.69850000000000001</v>
      </c>
      <c r="O353" s="228">
        <v>0.19320000000000001</v>
      </c>
      <c r="P353" s="228">
        <v>0.72689999999999999</v>
      </c>
      <c r="Q353" s="230">
        <v>0.247</v>
      </c>
      <c r="R353" s="231">
        <v>44407</v>
      </c>
      <c r="S353" s="232">
        <v>51.970001220703097</v>
      </c>
      <c r="T353" s="233">
        <v>0.93500000000000005</v>
      </c>
      <c r="U353" s="234">
        <v>42670</v>
      </c>
      <c r="V353" s="232">
        <v>35.189792633056598</v>
      </c>
      <c r="W353" s="235">
        <v>0.61499999999999999</v>
      </c>
    </row>
    <row r="354" spans="1:23" ht="15.75" customHeight="1" thickBot="1">
      <c r="A354" s="102"/>
      <c r="B354" s="104"/>
      <c r="C354" s="104"/>
      <c r="D354" s="105"/>
      <c r="E354" s="374"/>
      <c r="F354" s="222" t="s">
        <v>284</v>
      </c>
      <c r="G354" s="223" t="s">
        <v>1515</v>
      </c>
      <c r="H354" s="224" t="str">
        <f t="shared" si="20"/>
        <v>OMC</v>
      </c>
      <c r="I354" s="225" t="str">
        <f t="shared" si="21"/>
        <v>XLC</v>
      </c>
      <c r="J354" s="226" t="str">
        <f t="shared" si="22"/>
        <v>廣告公司</v>
      </c>
      <c r="K354" s="227" t="str">
        <f t="shared" si="23"/>
        <v>.SPX</v>
      </c>
      <c r="L354" s="228">
        <v>0.22520000000000001</v>
      </c>
      <c r="M354" s="229">
        <v>73.73</v>
      </c>
      <c r="N354" s="228">
        <v>0.61050000000000004</v>
      </c>
      <c r="O354" s="228">
        <v>0.1416</v>
      </c>
      <c r="P354" s="228">
        <v>0.44619999999999999</v>
      </c>
      <c r="Q354" s="230">
        <v>0.20809999999999998</v>
      </c>
      <c r="R354" s="231">
        <v>44357</v>
      </c>
      <c r="S354" s="232">
        <v>82.949996948242102</v>
      </c>
      <c r="T354" s="233">
        <v>0.7</v>
      </c>
      <c r="U354" s="234">
        <v>42633</v>
      </c>
      <c r="V354" s="232">
        <v>71.432945251464801</v>
      </c>
      <c r="W354" s="235">
        <v>0.55000000000000004</v>
      </c>
    </row>
    <row r="355" spans="1:23" ht="15.75" customHeight="1" thickBot="1">
      <c r="A355" s="102"/>
      <c r="B355" s="104"/>
      <c r="C355" s="104"/>
      <c r="D355" s="105"/>
      <c r="E355" s="374"/>
      <c r="F355" s="222" t="s">
        <v>500</v>
      </c>
      <c r="G355" s="223" t="s">
        <v>1438</v>
      </c>
      <c r="H355" s="224" t="str">
        <f t="shared" si="20"/>
        <v>ORCL</v>
      </c>
      <c r="I355" s="225" t="str">
        <f t="shared" si="21"/>
        <v>XLK</v>
      </c>
      <c r="J355" s="226" t="str">
        <f t="shared" si="22"/>
        <v>軟件基礎設施</v>
      </c>
      <c r="K355" s="227" t="str">
        <f t="shared" si="23"/>
        <v>.SPX</v>
      </c>
      <c r="L355" s="228">
        <v>0.24210000000000001</v>
      </c>
      <c r="M355" s="229">
        <v>89.43</v>
      </c>
      <c r="N355" s="228">
        <v>0.37769999999999998</v>
      </c>
      <c r="O355" s="228">
        <v>0.11840000000000001</v>
      </c>
      <c r="P355" s="228">
        <v>0.43819999999999998</v>
      </c>
      <c r="Q355" s="230">
        <v>0.188</v>
      </c>
      <c r="R355" s="231">
        <v>44391</v>
      </c>
      <c r="S355" s="232">
        <v>88.279998779296804</v>
      </c>
      <c r="T355" s="233">
        <v>0.32</v>
      </c>
      <c r="U355" s="234">
        <v>42650</v>
      </c>
      <c r="V355" s="232">
        <v>35.804313659667898</v>
      </c>
      <c r="W355" s="235">
        <v>0.15</v>
      </c>
    </row>
    <row r="356" spans="1:23" ht="15.75" customHeight="1" thickBot="1">
      <c r="A356" s="102"/>
      <c r="B356" s="104"/>
      <c r="C356" s="104"/>
      <c r="D356" s="105"/>
      <c r="E356" s="374"/>
      <c r="F356" s="222" t="s">
        <v>307</v>
      </c>
      <c r="G356" s="223" t="s">
        <v>1432</v>
      </c>
      <c r="H356" s="224" t="str">
        <f t="shared" si="20"/>
        <v>ORLY</v>
      </c>
      <c r="I356" s="225" t="str">
        <f t="shared" si="21"/>
        <v>XLY</v>
      </c>
      <c r="J356" s="226" t="str">
        <f t="shared" si="22"/>
        <v>專業零售</v>
      </c>
      <c r="K356" s="227" t="str">
        <f t="shared" si="23"/>
        <v>.SPX</v>
      </c>
      <c r="L356" s="228">
        <v>0.1938</v>
      </c>
      <c r="M356" s="229">
        <v>605.15</v>
      </c>
      <c r="N356" s="228">
        <v>0.35170000000000001</v>
      </c>
      <c r="O356" s="228">
        <v>0.11119999999999999</v>
      </c>
      <c r="P356" s="228">
        <v>0.43009999999999998</v>
      </c>
      <c r="Q356" s="230">
        <v>0.1729</v>
      </c>
      <c r="R356" s="231">
        <v>0</v>
      </c>
      <c r="S356" s="232">
        <v>0</v>
      </c>
      <c r="T356" s="233">
        <v>0</v>
      </c>
      <c r="U356" s="234">
        <v>0</v>
      </c>
      <c r="V356" s="232">
        <v>0</v>
      </c>
      <c r="W356" s="235">
        <v>0</v>
      </c>
    </row>
    <row r="357" spans="1:23" ht="15.75" customHeight="1" thickBot="1">
      <c r="A357" s="102"/>
      <c r="B357" s="104"/>
      <c r="C357" s="104"/>
      <c r="D357" s="105"/>
      <c r="E357" s="374"/>
      <c r="F357" s="222" t="s">
        <v>346</v>
      </c>
      <c r="G357" s="223" t="s">
        <v>1454</v>
      </c>
      <c r="H357" s="224" t="str">
        <f t="shared" si="20"/>
        <v>OTIS</v>
      </c>
      <c r="I357" s="225" t="str">
        <f t="shared" si="21"/>
        <v>XLI</v>
      </c>
      <c r="J357" s="226" t="str">
        <f t="shared" si="22"/>
        <v>特種工業機械</v>
      </c>
      <c r="K357" s="227" t="str">
        <f t="shared" si="23"/>
        <v>.SPX</v>
      </c>
      <c r="L357" s="228">
        <v>0.2051</v>
      </c>
      <c r="M357" s="229">
        <v>90.27</v>
      </c>
      <c r="N357" s="228">
        <v>0.31240000000000001</v>
      </c>
      <c r="O357" s="228">
        <v>0.10879999999999999</v>
      </c>
      <c r="P357" s="228">
        <v>0.41090000000000004</v>
      </c>
      <c r="Q357" s="230">
        <v>0.18989999999999999</v>
      </c>
      <c r="R357" s="231">
        <v>44336</v>
      </c>
      <c r="S357" s="232">
        <v>77.360000610351506</v>
      </c>
      <c r="T357" s="233">
        <v>0.24</v>
      </c>
      <c r="U357" s="234">
        <v>43972</v>
      </c>
      <c r="V357" s="232">
        <v>51.390880584716797</v>
      </c>
      <c r="W357" s="235">
        <v>0.2</v>
      </c>
    </row>
    <row r="358" spans="1:23" ht="15.75" customHeight="1" thickBot="1">
      <c r="A358" s="102"/>
      <c r="B358" s="104"/>
      <c r="C358" s="104"/>
      <c r="D358" s="105"/>
      <c r="E358" s="374"/>
      <c r="F358" s="222" t="s">
        <v>310</v>
      </c>
      <c r="G358" s="223" t="s">
        <v>1460</v>
      </c>
      <c r="H358" s="224" t="str">
        <f t="shared" si="20"/>
        <v>OXY</v>
      </c>
      <c r="I358" s="225" t="str">
        <f t="shared" si="21"/>
        <v>XLE</v>
      </c>
      <c r="J358" s="226" t="str">
        <f t="shared" si="22"/>
        <v>油氣E&amp;P</v>
      </c>
      <c r="K358" s="227" t="str">
        <f t="shared" si="23"/>
        <v>.SPX</v>
      </c>
      <c r="L358" s="228">
        <v>0.52959999999999996</v>
      </c>
      <c r="M358" s="229">
        <v>26.62</v>
      </c>
      <c r="N358" s="228">
        <v>1.0264</v>
      </c>
      <c r="O358" s="228">
        <v>0.4748</v>
      </c>
      <c r="P358" s="228">
        <v>0.92269999999999996</v>
      </c>
      <c r="Q358" s="230">
        <v>0.48039999999999999</v>
      </c>
      <c r="R358" s="231">
        <v>44356</v>
      </c>
      <c r="S358" s="232">
        <v>28.350000381469702</v>
      </c>
      <c r="T358" s="233">
        <v>0.01</v>
      </c>
      <c r="U358" s="234">
        <v>42620</v>
      </c>
      <c r="V358" s="232">
        <v>63.1567573547363</v>
      </c>
      <c r="W358" s="235">
        <v>0.76</v>
      </c>
    </row>
    <row r="359" spans="1:23" ht="15.75" customHeight="1" thickBot="1">
      <c r="A359" s="102"/>
      <c r="B359" s="104"/>
      <c r="C359" s="104"/>
      <c r="D359" s="105"/>
      <c r="E359" s="374"/>
      <c r="F359" s="222" t="s">
        <v>48</v>
      </c>
      <c r="G359" s="223" t="s">
        <v>1442</v>
      </c>
      <c r="H359" s="224" t="str">
        <f t="shared" si="20"/>
        <v>PAYC</v>
      </c>
      <c r="I359" s="225" t="str">
        <f t="shared" si="21"/>
        <v>XLK</v>
      </c>
      <c r="J359" s="226" t="str">
        <f t="shared" si="22"/>
        <v>軟件-應用</v>
      </c>
      <c r="K359" s="227" t="str">
        <f t="shared" si="23"/>
        <v>.SPX</v>
      </c>
      <c r="L359" s="228">
        <v>0.32440000000000002</v>
      </c>
      <c r="M359" s="229">
        <v>457.27</v>
      </c>
      <c r="N359" s="228">
        <v>0.54379999999999995</v>
      </c>
      <c r="O359" s="228">
        <v>0.22550000000000001</v>
      </c>
      <c r="P359" s="228">
        <v>0.62029999999999996</v>
      </c>
      <c r="Q359" s="230">
        <v>0.32240000000000002</v>
      </c>
      <c r="R359" s="231">
        <v>0</v>
      </c>
      <c r="S359" s="232">
        <v>0</v>
      </c>
      <c r="T359" s="233">
        <v>0</v>
      </c>
      <c r="U359" s="234">
        <v>0</v>
      </c>
      <c r="V359" s="232">
        <v>0</v>
      </c>
      <c r="W359" s="235">
        <v>0</v>
      </c>
    </row>
    <row r="360" spans="1:23" ht="15.75" customHeight="1" thickBot="1">
      <c r="A360" s="102"/>
      <c r="B360" s="104"/>
      <c r="C360" s="104"/>
      <c r="D360" s="105"/>
      <c r="E360" s="374"/>
      <c r="F360" s="222" t="s">
        <v>124</v>
      </c>
      <c r="G360" s="223" t="s">
        <v>1441</v>
      </c>
      <c r="H360" s="224" t="str">
        <f t="shared" si="20"/>
        <v>PAYX</v>
      </c>
      <c r="I360" s="225" t="str">
        <f t="shared" si="21"/>
        <v>XLK</v>
      </c>
      <c r="J360" s="226" t="str">
        <f t="shared" si="22"/>
        <v>人員配置和就業服務</v>
      </c>
      <c r="K360" s="227" t="str">
        <f t="shared" si="23"/>
        <v>.SPX</v>
      </c>
      <c r="L360" s="228">
        <v>0.1923</v>
      </c>
      <c r="M360" s="229">
        <v>114.94</v>
      </c>
      <c r="N360" s="228">
        <v>0.28360000000000002</v>
      </c>
      <c r="O360" s="228">
        <v>0.1241</v>
      </c>
      <c r="P360" s="228">
        <v>0.37490000000000001</v>
      </c>
      <c r="Q360" s="230">
        <v>0.1691</v>
      </c>
      <c r="R360" s="231">
        <v>44407</v>
      </c>
      <c r="S360" s="232">
        <v>113.81999969482401</v>
      </c>
      <c r="T360" s="233">
        <v>0.66</v>
      </c>
      <c r="U360" s="234">
        <v>42671</v>
      </c>
      <c r="V360" s="232">
        <v>47.510593414306598</v>
      </c>
      <c r="W360" s="235">
        <v>0.46</v>
      </c>
    </row>
    <row r="361" spans="1:23" ht="15.75" customHeight="1" thickBot="1">
      <c r="A361" s="102"/>
      <c r="B361" s="104"/>
      <c r="C361" s="104"/>
      <c r="D361" s="105"/>
      <c r="E361" s="374"/>
      <c r="F361" s="222" t="s">
        <v>497</v>
      </c>
      <c r="G361" s="223" t="s">
        <v>1482</v>
      </c>
      <c r="H361" s="224" t="str">
        <f t="shared" si="20"/>
        <v>PBCT</v>
      </c>
      <c r="I361" s="225" t="str">
        <f t="shared" si="21"/>
        <v>XLF</v>
      </c>
      <c r="J361" s="226" t="str">
        <f t="shared" si="22"/>
        <v>銀行-區域</v>
      </c>
      <c r="K361" s="227" t="str">
        <f t="shared" si="23"/>
        <v>.SPX</v>
      </c>
      <c r="L361" s="228">
        <v>0.2792</v>
      </c>
      <c r="M361" s="229">
        <v>16.16</v>
      </c>
      <c r="N361" s="228">
        <v>0.80500000000000005</v>
      </c>
      <c r="O361" s="228">
        <v>0.2379</v>
      </c>
      <c r="P361" s="228">
        <v>0.55349999999999999</v>
      </c>
      <c r="Q361" s="230">
        <v>0.21179999999999999</v>
      </c>
      <c r="R361" s="231">
        <v>44406</v>
      </c>
      <c r="S361" s="232">
        <v>15.869999885559</v>
      </c>
      <c r="T361" s="233">
        <v>0.183</v>
      </c>
      <c r="U361" s="234">
        <v>42671</v>
      </c>
      <c r="V361" s="232">
        <v>13.1089305877685</v>
      </c>
      <c r="W361" s="235">
        <v>0.17</v>
      </c>
    </row>
    <row r="362" spans="1:23" ht="15.75" customHeight="1" thickBot="1">
      <c r="A362" s="102"/>
      <c r="B362" s="104"/>
      <c r="C362" s="104"/>
      <c r="D362" s="105"/>
      <c r="E362" s="374"/>
      <c r="F362" s="222" t="s">
        <v>401</v>
      </c>
      <c r="G362" s="223" t="s">
        <v>1478</v>
      </c>
      <c r="H362" s="224" t="str">
        <f t="shared" si="20"/>
        <v>PCAR</v>
      </c>
      <c r="I362" s="225" t="str">
        <f t="shared" si="21"/>
        <v>XLI</v>
      </c>
      <c r="J362" s="226" t="str">
        <f t="shared" si="22"/>
        <v>農重工程機械</v>
      </c>
      <c r="K362" s="227" t="str">
        <f t="shared" si="23"/>
        <v>.SPX</v>
      </c>
      <c r="L362" s="228">
        <v>0.23119999999999999</v>
      </c>
      <c r="M362" s="229">
        <v>80.290000000000006</v>
      </c>
      <c r="N362" s="228">
        <v>0.39319999999999999</v>
      </c>
      <c r="O362" s="228">
        <v>0.15</v>
      </c>
      <c r="P362" s="228">
        <v>0.38650000000000001</v>
      </c>
      <c r="Q362" s="230">
        <v>0.20879999999999999</v>
      </c>
      <c r="R362" s="231">
        <v>44327</v>
      </c>
      <c r="S362" s="232">
        <v>94.760002136230398</v>
      </c>
      <c r="T362" s="233">
        <v>0.34</v>
      </c>
      <c r="U362" s="234">
        <v>42592</v>
      </c>
      <c r="V362" s="232">
        <v>48.484725952148402</v>
      </c>
      <c r="W362" s="235">
        <v>0.24</v>
      </c>
    </row>
    <row r="363" spans="1:23" ht="15.75" customHeight="1" thickBot="1">
      <c r="A363" s="102"/>
      <c r="B363" s="104"/>
      <c r="C363" s="104"/>
      <c r="D363" s="105"/>
      <c r="E363" s="374"/>
      <c r="F363" s="222" t="s">
        <v>146</v>
      </c>
      <c r="G363" s="223" t="s">
        <v>1531</v>
      </c>
      <c r="H363" s="224" t="str">
        <f t="shared" si="20"/>
        <v>PEAK</v>
      </c>
      <c r="I363" s="225" t="str">
        <f t="shared" si="21"/>
        <v>XLRE</v>
      </c>
      <c r="J363" s="226" t="str">
        <f t="shared" si="22"/>
        <v>REIT-保健設施</v>
      </c>
      <c r="K363" s="227" t="str">
        <f t="shared" si="23"/>
        <v>.SPX</v>
      </c>
      <c r="L363" s="228">
        <v>0.22339999999999999</v>
      </c>
      <c r="M363" s="229">
        <v>36.729999999999997</v>
      </c>
      <c r="N363" s="228">
        <v>0.36820000000000003</v>
      </c>
      <c r="O363" s="228">
        <v>0.1641</v>
      </c>
      <c r="P363" s="228">
        <v>0.50649999999999995</v>
      </c>
      <c r="Q363" s="230">
        <v>0.18719999999999998</v>
      </c>
      <c r="R363" s="231">
        <v>44323</v>
      </c>
      <c r="S363" s="232">
        <v>33.520000457763601</v>
      </c>
      <c r="T363" s="233">
        <v>0.3</v>
      </c>
      <c r="U363" s="234">
        <v>42675</v>
      </c>
      <c r="V363" s="232">
        <v>24.009008407592699</v>
      </c>
      <c r="W363" s="235">
        <v>0</v>
      </c>
    </row>
    <row r="364" spans="1:23" ht="15.75" customHeight="1" thickBot="1">
      <c r="A364" s="102"/>
      <c r="B364" s="104"/>
      <c r="C364" s="104"/>
      <c r="D364" s="105"/>
      <c r="E364" s="374"/>
      <c r="F364" s="222" t="s">
        <v>165</v>
      </c>
      <c r="G364" s="223" t="s">
        <v>1444</v>
      </c>
      <c r="H364" s="224" t="str">
        <f t="shared" si="20"/>
        <v>PEG</v>
      </c>
      <c r="I364" s="225" t="str">
        <f t="shared" si="21"/>
        <v>XLU</v>
      </c>
      <c r="J364" s="226" t="str">
        <f t="shared" si="22"/>
        <v>公用事業-多樣化</v>
      </c>
      <c r="K364" s="227" t="str">
        <f t="shared" si="23"/>
        <v>.SPX</v>
      </c>
      <c r="L364" s="228">
        <v>0.1822</v>
      </c>
      <c r="M364" s="229">
        <v>63.91</v>
      </c>
      <c r="N364" s="228">
        <v>0.33879999999999999</v>
      </c>
      <c r="O364" s="228">
        <v>0.128</v>
      </c>
      <c r="P364" s="228">
        <v>0.40899999999999997</v>
      </c>
      <c r="Q364" s="230">
        <v>0.15490000000000001</v>
      </c>
      <c r="R364" s="231">
        <v>44354</v>
      </c>
      <c r="S364" s="232">
        <v>60.869998931884702</v>
      </c>
      <c r="T364" s="233">
        <v>0.51</v>
      </c>
      <c r="U364" s="234">
        <v>42620</v>
      </c>
      <c r="V364" s="232">
        <v>35.857326507568303</v>
      </c>
      <c r="W364" s="235">
        <v>0.41</v>
      </c>
    </row>
    <row r="365" spans="1:23" ht="15.75" customHeight="1" thickBot="1">
      <c r="A365" s="102"/>
      <c r="B365" s="104"/>
      <c r="C365" s="104"/>
      <c r="D365" s="105"/>
      <c r="E365" s="374"/>
      <c r="F365" s="222" t="s">
        <v>386</v>
      </c>
      <c r="G365" s="223" t="s">
        <v>1494</v>
      </c>
      <c r="H365" s="224" t="str">
        <f t="shared" si="20"/>
        <v>PENN</v>
      </c>
      <c r="I365" s="225" t="str">
        <f t="shared" si="21"/>
        <v>XLY</v>
      </c>
      <c r="J365" s="226" t="str">
        <f t="shared" si="22"/>
        <v>度假村和賭場</v>
      </c>
      <c r="K365" s="227" t="str">
        <f t="shared" si="23"/>
        <v>.SPX</v>
      </c>
      <c r="L365" s="228">
        <v>0.53200000000000003</v>
      </c>
      <c r="M365" s="229">
        <v>76.069999999999993</v>
      </c>
      <c r="N365" s="228">
        <v>0.87739999999999996</v>
      </c>
      <c r="O365" s="228">
        <v>0.30880000000000002</v>
      </c>
      <c r="P365" s="228">
        <v>0.998</v>
      </c>
      <c r="Q365" s="230">
        <v>0.48799999999999999</v>
      </c>
      <c r="R365" s="231">
        <v>0</v>
      </c>
      <c r="S365" s="232">
        <v>0</v>
      </c>
      <c r="T365" s="233">
        <v>0</v>
      </c>
      <c r="U365" s="234">
        <v>0</v>
      </c>
      <c r="V365" s="232">
        <v>0</v>
      </c>
      <c r="W365" s="235">
        <v>0</v>
      </c>
    </row>
    <row r="366" spans="1:23" ht="15.75" customHeight="1" thickBot="1">
      <c r="A366" s="102"/>
      <c r="B366" s="104"/>
      <c r="C366" s="104"/>
      <c r="D366" s="105"/>
      <c r="E366" s="374"/>
      <c r="F366" s="222" t="s">
        <v>136</v>
      </c>
      <c r="G366" s="223" t="s">
        <v>1519</v>
      </c>
      <c r="H366" s="224" t="str">
        <f t="shared" si="20"/>
        <v>PEP</v>
      </c>
      <c r="I366" s="225" t="str">
        <f t="shared" si="21"/>
        <v>XLP</v>
      </c>
      <c r="J366" s="226" t="str">
        <f t="shared" si="22"/>
        <v>飲料-不含酒精</v>
      </c>
      <c r="K366" s="227" t="str">
        <f t="shared" si="23"/>
        <v>.SPX</v>
      </c>
      <c r="L366" s="228">
        <v>0.13980000000000001</v>
      </c>
      <c r="M366" s="229">
        <v>154.1</v>
      </c>
      <c r="N366" s="228">
        <v>0.23910000000000001</v>
      </c>
      <c r="O366" s="228">
        <v>9.9199999999999997E-2</v>
      </c>
      <c r="P366" s="228">
        <v>0.2984</v>
      </c>
      <c r="Q366" s="230">
        <v>0.1353</v>
      </c>
      <c r="R366" s="231">
        <v>44350</v>
      </c>
      <c r="S366" s="232">
        <v>147.669998168945</v>
      </c>
      <c r="T366" s="233">
        <v>1.075</v>
      </c>
      <c r="U366" s="234">
        <v>42613</v>
      </c>
      <c r="V366" s="232">
        <v>92.729026794433594</v>
      </c>
      <c r="W366" s="235">
        <v>0.753</v>
      </c>
    </row>
    <row r="367" spans="1:23" ht="15.75" customHeight="1" thickBot="1">
      <c r="A367" s="102"/>
      <c r="B367" s="104"/>
      <c r="C367" s="104"/>
      <c r="D367" s="105"/>
      <c r="E367" s="374"/>
      <c r="F367" s="222" t="s">
        <v>58</v>
      </c>
      <c r="G367" s="223" t="s">
        <v>1434</v>
      </c>
      <c r="H367" s="224" t="str">
        <f t="shared" si="20"/>
        <v>PFE</v>
      </c>
      <c r="I367" s="225" t="str">
        <f t="shared" si="21"/>
        <v>XLV</v>
      </c>
      <c r="J367" s="226" t="str">
        <f t="shared" si="22"/>
        <v>藥品製造商— 常規</v>
      </c>
      <c r="K367" s="227" t="str">
        <f t="shared" si="23"/>
        <v>.SPX</v>
      </c>
      <c r="L367" s="228">
        <v>0.23549999999999999</v>
      </c>
      <c r="M367" s="229">
        <v>44.47</v>
      </c>
      <c r="N367" s="228">
        <v>0.4148</v>
      </c>
      <c r="O367" s="228">
        <v>0.13059999999999999</v>
      </c>
      <c r="P367" s="228">
        <v>0.59189999999999998</v>
      </c>
      <c r="Q367" s="230">
        <v>0.15229999999999999</v>
      </c>
      <c r="R367" s="231">
        <v>44406</v>
      </c>
      <c r="S367" s="232">
        <v>42.790000915527301</v>
      </c>
      <c r="T367" s="233">
        <v>0.39</v>
      </c>
      <c r="U367" s="234">
        <v>42682</v>
      </c>
      <c r="V367" s="232">
        <v>23.778501510620099</v>
      </c>
      <c r="W367" s="235">
        <v>0.28462999999999999</v>
      </c>
    </row>
    <row r="368" spans="1:23" ht="15.75" customHeight="1" thickBot="1">
      <c r="A368" s="102"/>
      <c r="B368" s="104"/>
      <c r="C368" s="104"/>
      <c r="D368" s="105"/>
      <c r="E368" s="374"/>
      <c r="F368" s="222" t="s">
        <v>411</v>
      </c>
      <c r="G368" s="223" t="s">
        <v>1446</v>
      </c>
      <c r="H368" s="224" t="str">
        <f t="shared" si="20"/>
        <v>PFG</v>
      </c>
      <c r="I368" s="225" t="str">
        <f t="shared" si="21"/>
        <v>XLF</v>
      </c>
      <c r="J368" s="226" t="str">
        <f t="shared" si="22"/>
        <v>保險-多樣化</v>
      </c>
      <c r="K368" s="227" t="str">
        <f t="shared" si="23"/>
        <v>.SPX</v>
      </c>
      <c r="L368" s="228">
        <v>0.2505</v>
      </c>
      <c r="M368" s="229">
        <v>64.72</v>
      </c>
      <c r="N368" s="228">
        <v>0.60650000000000004</v>
      </c>
      <c r="O368" s="228">
        <v>0.1893</v>
      </c>
      <c r="P368" s="228">
        <v>0.49520000000000003</v>
      </c>
      <c r="Q368" s="230">
        <v>0.24739999999999998</v>
      </c>
      <c r="R368" s="231">
        <v>44349</v>
      </c>
      <c r="S368" s="232">
        <v>65.459999084472599</v>
      </c>
      <c r="T368" s="233">
        <v>0.61</v>
      </c>
      <c r="U368" s="234">
        <v>42613</v>
      </c>
      <c r="V368" s="232">
        <v>40.814449310302699</v>
      </c>
      <c r="W368" s="235">
        <v>0.41</v>
      </c>
    </row>
    <row r="369" spans="1:23" ht="15.75" customHeight="1" thickBot="1">
      <c r="A369" s="102"/>
      <c r="B369" s="104"/>
      <c r="C369" s="104"/>
      <c r="D369" s="105"/>
      <c r="E369" s="374"/>
      <c r="F369" s="222" t="s">
        <v>182</v>
      </c>
      <c r="G369" s="223" t="s">
        <v>1483</v>
      </c>
      <c r="H369" s="224" t="str">
        <f t="shared" si="20"/>
        <v>PG</v>
      </c>
      <c r="I369" s="225" t="str">
        <f t="shared" si="21"/>
        <v>XLP</v>
      </c>
      <c r="J369" s="226" t="str">
        <f t="shared" si="22"/>
        <v>家庭及個人產品</v>
      </c>
      <c r="K369" s="227" t="str">
        <f t="shared" si="23"/>
        <v>.SPX</v>
      </c>
      <c r="L369" s="228">
        <v>0.13150000000000001</v>
      </c>
      <c r="M369" s="229">
        <v>142.26</v>
      </c>
      <c r="N369" s="228">
        <v>0.21290000000000001</v>
      </c>
      <c r="O369" s="228">
        <v>9.8000000000000004E-2</v>
      </c>
      <c r="P369" s="228">
        <v>0.2959</v>
      </c>
      <c r="Q369" s="230">
        <v>0.13150000000000001</v>
      </c>
      <c r="R369" s="231">
        <v>44399</v>
      </c>
      <c r="S369" s="232">
        <v>137.80000305175699</v>
      </c>
      <c r="T369" s="233">
        <v>0.87</v>
      </c>
      <c r="U369" s="234">
        <v>42662</v>
      </c>
      <c r="V369" s="232">
        <v>74.645423889160099</v>
      </c>
      <c r="W369" s="235">
        <v>0.67</v>
      </c>
    </row>
    <row r="370" spans="1:23" ht="15.75" customHeight="1" thickBot="1">
      <c r="A370" s="102" t="s">
        <v>1428</v>
      </c>
      <c r="B370" s="104"/>
      <c r="C370" s="104"/>
      <c r="D370" s="105"/>
      <c r="E370" s="374"/>
      <c r="F370" s="222" t="s">
        <v>391</v>
      </c>
      <c r="G370" s="223" t="s">
        <v>1450</v>
      </c>
      <c r="H370" s="224" t="str">
        <f t="shared" si="20"/>
        <v>PGR</v>
      </c>
      <c r="I370" s="225" t="str">
        <f t="shared" si="21"/>
        <v>XLF</v>
      </c>
      <c r="J370" s="226" t="str">
        <f t="shared" si="22"/>
        <v>保險-財產及意外事故</v>
      </c>
      <c r="K370" s="227" t="str">
        <f t="shared" si="23"/>
        <v>.SPX</v>
      </c>
      <c r="L370" s="228">
        <v>0.20030000000000001</v>
      </c>
      <c r="M370" s="229">
        <v>96.56</v>
      </c>
      <c r="N370" s="228">
        <v>0.35060000000000002</v>
      </c>
      <c r="O370" s="228">
        <v>0.1444</v>
      </c>
      <c r="P370" s="228">
        <v>0.37979999999999997</v>
      </c>
      <c r="Q370" s="230">
        <v>0.18820000000000001</v>
      </c>
      <c r="R370" s="231">
        <v>44383</v>
      </c>
      <c r="S370" s="232">
        <v>97.860000610351506</v>
      </c>
      <c r="T370" s="233">
        <v>0.1</v>
      </c>
      <c r="U370" s="234">
        <v>42767</v>
      </c>
      <c r="V370" s="232">
        <v>31.861452102661101</v>
      </c>
      <c r="W370" s="235">
        <v>0.68100000000000005</v>
      </c>
    </row>
    <row r="371" spans="1:23" ht="15.75" customHeight="1" thickBot="1">
      <c r="A371" s="111"/>
      <c r="B371" s="59"/>
      <c r="C371" s="59"/>
      <c r="D371" s="60"/>
      <c r="E371" s="374"/>
      <c r="F371" s="222" t="s">
        <v>385</v>
      </c>
      <c r="G371" s="223" t="s">
        <v>1454</v>
      </c>
      <c r="H371" s="224" t="str">
        <f t="shared" si="20"/>
        <v>PH</v>
      </c>
      <c r="I371" s="225" t="str">
        <f t="shared" si="21"/>
        <v>XLI</v>
      </c>
      <c r="J371" s="226" t="str">
        <f t="shared" si="22"/>
        <v>特種工業機械</v>
      </c>
      <c r="K371" s="227" t="str">
        <f t="shared" si="23"/>
        <v>.SPX</v>
      </c>
      <c r="L371" s="228">
        <v>0.2581</v>
      </c>
      <c r="M371" s="229">
        <v>300.23</v>
      </c>
      <c r="N371" s="228">
        <v>0.47320000000000001</v>
      </c>
      <c r="O371" s="228">
        <v>0.1431</v>
      </c>
      <c r="P371" s="228">
        <v>0.53</v>
      </c>
      <c r="Q371" s="230">
        <v>0.22219999999999998</v>
      </c>
      <c r="R371" s="231">
        <v>44322</v>
      </c>
      <c r="S371" s="232">
        <v>316.07000732421801</v>
      </c>
      <c r="T371" s="233">
        <v>1.03</v>
      </c>
      <c r="U371" s="234">
        <v>42607</v>
      </c>
      <c r="V371" s="232">
        <v>113.750770568847</v>
      </c>
      <c r="W371" s="235">
        <v>0.63</v>
      </c>
    </row>
    <row r="372" spans="1:23" ht="15.75" customHeight="1">
      <c r="E372" s="374"/>
      <c r="F372" s="222" t="s">
        <v>507</v>
      </c>
      <c r="G372" s="223" t="s">
        <v>1495</v>
      </c>
      <c r="H372" s="224" t="str">
        <f t="shared" si="20"/>
        <v>PHM</v>
      </c>
      <c r="I372" s="225" t="str">
        <f t="shared" si="21"/>
        <v>XLY</v>
      </c>
      <c r="J372" s="226" t="str">
        <f t="shared" si="22"/>
        <v>住宅建設</v>
      </c>
      <c r="K372" s="227" t="str">
        <f t="shared" si="23"/>
        <v>.SPX</v>
      </c>
      <c r="L372" s="228">
        <v>0.31669999999999998</v>
      </c>
      <c r="M372" s="229">
        <v>53.49</v>
      </c>
      <c r="N372" s="228">
        <v>0.52390000000000003</v>
      </c>
      <c r="O372" s="228">
        <v>0.21340000000000001</v>
      </c>
      <c r="P372" s="228">
        <v>0.56130000000000002</v>
      </c>
      <c r="Q372" s="230">
        <v>0.28439999999999999</v>
      </c>
      <c r="R372" s="231">
        <v>44357</v>
      </c>
      <c r="S372" s="232">
        <v>53.990001678466797</v>
      </c>
      <c r="T372" s="233">
        <v>0.14000000000000001</v>
      </c>
      <c r="U372" s="234">
        <v>42629</v>
      </c>
      <c r="V372" s="232">
        <v>18.357606887817301</v>
      </c>
      <c r="W372" s="235">
        <v>0.09</v>
      </c>
    </row>
    <row r="373" spans="1:23" ht="15.75" customHeight="1">
      <c r="E373" s="374"/>
      <c r="F373" s="222" t="s">
        <v>333</v>
      </c>
      <c r="G373" s="223" t="s">
        <v>1453</v>
      </c>
      <c r="H373" s="224" t="str">
        <f t="shared" si="20"/>
        <v>PKG</v>
      </c>
      <c r="I373" s="225" t="str">
        <f t="shared" si="21"/>
        <v>XLB</v>
      </c>
      <c r="J373" s="226" t="str">
        <f t="shared" si="22"/>
        <v>包裝和容器</v>
      </c>
      <c r="K373" s="227" t="str">
        <f t="shared" si="23"/>
        <v>.SPX</v>
      </c>
      <c r="L373" s="228">
        <v>0.22550000000000001</v>
      </c>
      <c r="M373" s="229">
        <v>138.54</v>
      </c>
      <c r="N373" s="228">
        <v>0.3523</v>
      </c>
      <c r="O373" s="228">
        <v>0.16700000000000001</v>
      </c>
      <c r="P373" s="228">
        <v>0.40649999999999997</v>
      </c>
      <c r="Q373" s="230">
        <v>0.1943</v>
      </c>
      <c r="R373" s="231">
        <v>44361</v>
      </c>
      <c r="S373" s="232">
        <v>138.86000061035099</v>
      </c>
      <c r="T373" s="233">
        <v>1</v>
      </c>
      <c r="U373" s="234">
        <v>42626</v>
      </c>
      <c r="V373" s="232">
        <v>69.145553588867102</v>
      </c>
      <c r="W373" s="235">
        <v>0.63</v>
      </c>
    </row>
    <row r="374" spans="1:23" ht="15.75" customHeight="1">
      <c r="E374" s="374"/>
      <c r="F374" s="222" t="s">
        <v>33</v>
      </c>
      <c r="G374" s="223" t="s">
        <v>1430</v>
      </c>
      <c r="H374" s="224" t="str">
        <f t="shared" si="20"/>
        <v>PKI</v>
      </c>
      <c r="I374" s="225" t="str">
        <f t="shared" si="21"/>
        <v>XLV</v>
      </c>
      <c r="J374" s="226" t="str">
        <f t="shared" si="22"/>
        <v>診斷與研究</v>
      </c>
      <c r="K374" s="227" t="str">
        <f t="shared" si="23"/>
        <v>.SPX</v>
      </c>
      <c r="L374" s="228">
        <v>0.2893</v>
      </c>
      <c r="M374" s="229">
        <v>187.05</v>
      </c>
      <c r="N374" s="228">
        <v>0.44829999999999998</v>
      </c>
      <c r="O374" s="228">
        <v>0.14549999999999999</v>
      </c>
      <c r="P374" s="228">
        <v>0.56689999999999996</v>
      </c>
      <c r="Q374" s="230">
        <v>0.2404</v>
      </c>
      <c r="R374" s="231">
        <v>44392</v>
      </c>
      <c r="S374" s="232">
        <v>153.169998168945</v>
      </c>
      <c r="T374" s="233">
        <v>7.0000000000000007E-2</v>
      </c>
      <c r="U374" s="234">
        <v>42655</v>
      </c>
      <c r="V374" s="232">
        <v>52.068920135497997</v>
      </c>
      <c r="W374" s="235">
        <v>7.0000000000000007E-2</v>
      </c>
    </row>
    <row r="375" spans="1:23" ht="15.75" customHeight="1">
      <c r="E375" s="374"/>
      <c r="F375" s="222" t="s">
        <v>59</v>
      </c>
      <c r="G375" s="223" t="s">
        <v>1496</v>
      </c>
      <c r="H375" s="224" t="str">
        <f t="shared" si="20"/>
        <v>PLD</v>
      </c>
      <c r="I375" s="225" t="str">
        <f t="shared" si="21"/>
        <v>XLRE</v>
      </c>
      <c r="J375" s="226" t="str">
        <f t="shared" si="22"/>
        <v>REIT-工業</v>
      </c>
      <c r="K375" s="227" t="str">
        <f t="shared" si="23"/>
        <v>.SPX</v>
      </c>
      <c r="L375" s="228">
        <v>0.19289999999999999</v>
      </c>
      <c r="M375" s="229">
        <v>130.44999999999999</v>
      </c>
      <c r="N375" s="228">
        <v>0.29480000000000001</v>
      </c>
      <c r="O375" s="228">
        <v>0.1308</v>
      </c>
      <c r="P375" s="228">
        <v>0.37140000000000001</v>
      </c>
      <c r="Q375" s="230">
        <v>0.18329999999999999</v>
      </c>
      <c r="R375" s="231">
        <v>44362</v>
      </c>
      <c r="S375" s="232">
        <v>123.139999389648</v>
      </c>
      <c r="T375" s="233">
        <v>0.63</v>
      </c>
      <c r="U375" s="234">
        <v>42628</v>
      </c>
      <c r="V375" s="232">
        <v>44.9508056640625</v>
      </c>
      <c r="W375" s="235">
        <v>0.42</v>
      </c>
    </row>
    <row r="376" spans="1:23" ht="15.75" customHeight="1">
      <c r="E376" s="374"/>
      <c r="F376" s="222" t="s">
        <v>162</v>
      </c>
      <c r="G376" s="223" t="s">
        <v>1523</v>
      </c>
      <c r="H376" s="224" t="str">
        <f t="shared" si="20"/>
        <v>PM</v>
      </c>
      <c r="I376" s="225" t="str">
        <f t="shared" si="21"/>
        <v>XLP</v>
      </c>
      <c r="J376" s="226" t="str">
        <f t="shared" si="22"/>
        <v>煙草</v>
      </c>
      <c r="K376" s="227" t="str">
        <f t="shared" si="23"/>
        <v>.SPX</v>
      </c>
      <c r="L376" s="228">
        <v>0.1653</v>
      </c>
      <c r="M376" s="229">
        <v>99.47</v>
      </c>
      <c r="N376" s="228">
        <v>0.32329999999999998</v>
      </c>
      <c r="O376" s="228">
        <v>0.11509999999999999</v>
      </c>
      <c r="P376" s="228">
        <v>0.36229999999999996</v>
      </c>
      <c r="Q376" s="230">
        <v>0.1537</v>
      </c>
      <c r="R376" s="231">
        <v>44371</v>
      </c>
      <c r="S376" s="232">
        <v>99.029998779296804</v>
      </c>
      <c r="T376" s="233">
        <v>1.2</v>
      </c>
      <c r="U376" s="234">
        <v>42639</v>
      </c>
      <c r="V376" s="232">
        <v>77.255271911621094</v>
      </c>
      <c r="W376" s="235">
        <v>1.04</v>
      </c>
    </row>
    <row r="377" spans="1:23" ht="15.75" customHeight="1">
      <c r="E377" s="374"/>
      <c r="F377" s="222" t="s">
        <v>410</v>
      </c>
      <c r="G377" s="223" t="s">
        <v>1482</v>
      </c>
      <c r="H377" s="224" t="str">
        <f t="shared" si="20"/>
        <v>PNC</v>
      </c>
      <c r="I377" s="225" t="str">
        <f t="shared" si="21"/>
        <v>XLF</v>
      </c>
      <c r="J377" s="226" t="str">
        <f t="shared" si="22"/>
        <v>銀行-區域</v>
      </c>
      <c r="K377" s="227" t="str">
        <f t="shared" si="23"/>
        <v>.SPX</v>
      </c>
      <c r="L377" s="228">
        <v>0.25480000000000003</v>
      </c>
      <c r="M377" s="229">
        <v>186.68</v>
      </c>
      <c r="N377" s="228">
        <v>0.50570000000000004</v>
      </c>
      <c r="O377" s="228">
        <v>0.1983</v>
      </c>
      <c r="P377" s="228">
        <v>0.44740000000000002</v>
      </c>
      <c r="Q377" s="230">
        <v>0.21940000000000001</v>
      </c>
      <c r="R377" s="231">
        <v>44392</v>
      </c>
      <c r="S377" s="232">
        <v>189.5</v>
      </c>
      <c r="T377" s="233">
        <v>1.25</v>
      </c>
      <c r="U377" s="234">
        <v>42656</v>
      </c>
      <c r="V377" s="232">
        <v>76.636749267578097</v>
      </c>
      <c r="W377" s="235">
        <v>0.55000000000000004</v>
      </c>
    </row>
    <row r="378" spans="1:23" ht="15.75" customHeight="1">
      <c r="E378" s="374"/>
      <c r="F378" s="222" t="s">
        <v>503</v>
      </c>
      <c r="G378" s="223" t="s">
        <v>1454</v>
      </c>
      <c r="H378" s="224" t="str">
        <f t="shared" si="20"/>
        <v>PNR</v>
      </c>
      <c r="I378" s="225" t="str">
        <f t="shared" si="21"/>
        <v>XLI</v>
      </c>
      <c r="J378" s="226" t="str">
        <f t="shared" si="22"/>
        <v>特種工業機械</v>
      </c>
      <c r="K378" s="227" t="str">
        <f t="shared" si="23"/>
        <v>.SPX</v>
      </c>
      <c r="L378" s="228">
        <v>0.23880000000000001</v>
      </c>
      <c r="M378" s="229">
        <v>76.44</v>
      </c>
      <c r="N378" s="228">
        <v>0.3538</v>
      </c>
      <c r="O378" s="228">
        <v>0.1636</v>
      </c>
      <c r="P378" s="228">
        <v>0.47960000000000003</v>
      </c>
      <c r="Q378" s="230">
        <v>0.22440000000000002</v>
      </c>
      <c r="R378" s="231">
        <v>44399</v>
      </c>
      <c r="S378" s="232">
        <v>68.180000305175696</v>
      </c>
      <c r="T378" s="233">
        <v>0.2</v>
      </c>
      <c r="U378" s="234">
        <v>42662</v>
      </c>
      <c r="V378" s="232">
        <v>36.327499389648402</v>
      </c>
      <c r="W378" s="235">
        <v>0.22834099999999999</v>
      </c>
    </row>
    <row r="379" spans="1:23" ht="15.75" customHeight="1">
      <c r="E379" s="374"/>
      <c r="F379" s="222" t="s">
        <v>129</v>
      </c>
      <c r="G379" s="223" t="s">
        <v>1443</v>
      </c>
      <c r="H379" s="224" t="str">
        <f t="shared" si="20"/>
        <v>PNW</v>
      </c>
      <c r="I379" s="225" t="str">
        <f t="shared" si="21"/>
        <v>XLU</v>
      </c>
      <c r="J379" s="226" t="str">
        <f t="shared" si="22"/>
        <v>公用事業—受監督的電力</v>
      </c>
      <c r="K379" s="227" t="str">
        <f t="shared" si="23"/>
        <v>.SPX</v>
      </c>
      <c r="L379" s="228">
        <v>0.27350000000000002</v>
      </c>
      <c r="M379" s="229">
        <v>80.39</v>
      </c>
      <c r="N379" s="228">
        <v>0.3357</v>
      </c>
      <c r="O379" s="228">
        <v>0.1512</v>
      </c>
      <c r="P379" s="228">
        <v>0.52570000000000006</v>
      </c>
      <c r="Q379" s="230">
        <v>0.16820000000000002</v>
      </c>
      <c r="R379" s="231">
        <v>44407</v>
      </c>
      <c r="S379" s="232">
        <v>83.550003051757798</v>
      </c>
      <c r="T379" s="233">
        <v>0.83</v>
      </c>
      <c r="U379" s="234">
        <v>42671</v>
      </c>
      <c r="V379" s="232">
        <v>63.086254119872997</v>
      </c>
      <c r="W379" s="235">
        <v>0.65500000000000003</v>
      </c>
    </row>
    <row r="380" spans="1:23" ht="15.75" customHeight="1">
      <c r="E380" s="374"/>
      <c r="F380" s="222" t="s">
        <v>408</v>
      </c>
      <c r="G380" s="223" t="s">
        <v>1508</v>
      </c>
      <c r="H380" s="224" t="str">
        <f t="shared" si="20"/>
        <v>POOL</v>
      </c>
      <c r="I380" s="225" t="str">
        <f t="shared" si="21"/>
        <v>XLY</v>
      </c>
      <c r="J380" s="226" t="str">
        <f t="shared" si="22"/>
        <v>休閑</v>
      </c>
      <c r="K380" s="227" t="str">
        <f t="shared" si="23"/>
        <v>.SPX</v>
      </c>
      <c r="L380" s="228">
        <v>0.2145</v>
      </c>
      <c r="M380" s="229">
        <v>486.81</v>
      </c>
      <c r="N380" s="228">
        <v>0.63759999999999994</v>
      </c>
      <c r="O380" s="228">
        <v>0.14799999999999999</v>
      </c>
      <c r="P380" s="228">
        <v>0.45419999999999999</v>
      </c>
      <c r="Q380" s="230">
        <v>0.2145</v>
      </c>
      <c r="R380" s="231">
        <v>44330</v>
      </c>
      <c r="S380" s="232">
        <v>437.86999511718699</v>
      </c>
      <c r="T380" s="233">
        <v>0.8</v>
      </c>
      <c r="U380" s="234">
        <v>42590</v>
      </c>
      <c r="V380" s="232">
        <v>94.435279846191406</v>
      </c>
      <c r="W380" s="235">
        <v>0.31</v>
      </c>
    </row>
    <row r="381" spans="1:23" ht="15.75" customHeight="1">
      <c r="E381" s="374"/>
      <c r="F381" s="222" t="s">
        <v>281</v>
      </c>
      <c r="G381" s="223" t="s">
        <v>1449</v>
      </c>
      <c r="H381" s="224" t="str">
        <f t="shared" si="20"/>
        <v>PPG</v>
      </c>
      <c r="I381" s="225" t="str">
        <f t="shared" si="21"/>
        <v>XLB</v>
      </c>
      <c r="J381" s="226" t="str">
        <f t="shared" si="22"/>
        <v>特種化學品</v>
      </c>
      <c r="K381" s="227" t="str">
        <f t="shared" si="23"/>
        <v>.SPX</v>
      </c>
      <c r="L381" s="228">
        <v>0.20569999999999999</v>
      </c>
      <c r="M381" s="229">
        <v>164.2</v>
      </c>
      <c r="N381" s="228">
        <v>0.3357</v>
      </c>
      <c r="O381" s="228">
        <v>0.14680000000000001</v>
      </c>
      <c r="P381" s="228">
        <v>0.43270000000000003</v>
      </c>
      <c r="Q381" s="230">
        <v>0.1769</v>
      </c>
      <c r="R381" s="231">
        <v>44323</v>
      </c>
      <c r="S381" s="232">
        <v>179.49000549316401</v>
      </c>
      <c r="T381" s="233">
        <v>0.54</v>
      </c>
      <c r="U381" s="234">
        <v>42590</v>
      </c>
      <c r="V381" s="232">
        <v>96.498687744140597</v>
      </c>
      <c r="W381" s="235">
        <v>0.4</v>
      </c>
    </row>
    <row r="382" spans="1:23" ht="15.75" customHeight="1">
      <c r="E382" s="374"/>
      <c r="F382" s="222" t="s">
        <v>252</v>
      </c>
      <c r="G382" s="223" t="s">
        <v>1443</v>
      </c>
      <c r="H382" s="224" t="str">
        <f t="shared" si="20"/>
        <v>PPL</v>
      </c>
      <c r="I382" s="225" t="str">
        <f t="shared" si="21"/>
        <v>XLU</v>
      </c>
      <c r="J382" s="226" t="str">
        <f t="shared" si="22"/>
        <v>公用事業—受監督的電力</v>
      </c>
      <c r="K382" s="227" t="str">
        <f t="shared" si="23"/>
        <v>.SPX</v>
      </c>
      <c r="L382" s="228">
        <v>0.16669999999999999</v>
      </c>
      <c r="M382" s="236">
        <v>29.17</v>
      </c>
      <c r="N382" s="228">
        <v>0.36480000000000001</v>
      </c>
      <c r="O382" s="228">
        <v>0.1197</v>
      </c>
      <c r="P382" s="228">
        <v>0.35619999999999996</v>
      </c>
      <c r="Q382" s="230">
        <v>0.13439999999999999</v>
      </c>
      <c r="R382" s="231">
        <v>44356</v>
      </c>
      <c r="S382" s="232">
        <v>28.9899997711181</v>
      </c>
      <c r="T382" s="233">
        <v>0.41499999999999998</v>
      </c>
      <c r="U382" s="234">
        <v>42620</v>
      </c>
      <c r="V382" s="232">
        <v>27.060829162597599</v>
      </c>
      <c r="W382" s="235">
        <v>0.38</v>
      </c>
    </row>
    <row r="383" spans="1:23" ht="15.75" customHeight="1">
      <c r="E383" s="374"/>
      <c r="F383" s="222" t="s">
        <v>27</v>
      </c>
      <c r="G383" s="223" t="s">
        <v>1492</v>
      </c>
      <c r="H383" s="224" t="str">
        <f t="shared" si="20"/>
        <v>PRGO</v>
      </c>
      <c r="I383" s="225" t="str">
        <f t="shared" si="21"/>
        <v>XLV</v>
      </c>
      <c r="J383" s="226" t="str">
        <f t="shared" si="22"/>
        <v>藥品製造商-專業和通用</v>
      </c>
      <c r="K383" s="227" t="str">
        <f t="shared" si="23"/>
        <v>.SPX</v>
      </c>
      <c r="L383" s="228">
        <v>0.39169999999999999</v>
      </c>
      <c r="M383" s="229">
        <v>48.52</v>
      </c>
      <c r="N383" s="228">
        <v>0.51890000000000003</v>
      </c>
      <c r="O383" s="228">
        <v>0.17119999999999999</v>
      </c>
      <c r="P383" s="228">
        <v>0.71589999999999998</v>
      </c>
      <c r="Q383" s="230">
        <v>0.21530000000000002</v>
      </c>
      <c r="R383" s="231">
        <v>44350</v>
      </c>
      <c r="S383" s="232">
        <v>47.349998474121001</v>
      </c>
      <c r="T383" s="233">
        <v>0.24</v>
      </c>
      <c r="U383" s="234">
        <v>42606</v>
      </c>
      <c r="V383" s="232">
        <v>82.307205200195298</v>
      </c>
      <c r="W383" s="235">
        <v>0.14499999999999999</v>
      </c>
    </row>
    <row r="384" spans="1:23" ht="15.75" customHeight="1">
      <c r="E384" s="374"/>
      <c r="F384" s="222" t="s">
        <v>418</v>
      </c>
      <c r="G384" s="223" t="s">
        <v>1445</v>
      </c>
      <c r="H384" s="224" t="str">
        <f t="shared" si="20"/>
        <v>PRU</v>
      </c>
      <c r="I384" s="225" t="str">
        <f t="shared" si="21"/>
        <v>XLF</v>
      </c>
      <c r="J384" s="226" t="str">
        <f t="shared" si="22"/>
        <v>保險-人壽保險</v>
      </c>
      <c r="K384" s="227" t="str">
        <f t="shared" si="23"/>
        <v>.SPX</v>
      </c>
      <c r="L384" s="228">
        <v>0.26019999999999999</v>
      </c>
      <c r="M384" s="229">
        <v>104.01</v>
      </c>
      <c r="N384" s="228">
        <v>0.61370000000000002</v>
      </c>
      <c r="O384" s="228">
        <v>0.18079999999999999</v>
      </c>
      <c r="P384" s="228">
        <v>0.5141</v>
      </c>
      <c r="Q384" s="230">
        <v>0.22210000000000002</v>
      </c>
      <c r="R384" s="231">
        <v>44340</v>
      </c>
      <c r="S384" s="232">
        <v>106.33000183105401</v>
      </c>
      <c r="T384" s="233">
        <v>1.1499999999999999</v>
      </c>
      <c r="U384" s="234">
        <v>42601</v>
      </c>
      <c r="V384" s="232">
        <v>62.226932525634702</v>
      </c>
      <c r="W384" s="235">
        <v>0.7</v>
      </c>
    </row>
    <row r="385" spans="5:23" ht="15.75" customHeight="1">
      <c r="E385" s="374"/>
      <c r="F385" s="222" t="s">
        <v>212</v>
      </c>
      <c r="G385" s="223" t="s">
        <v>1496</v>
      </c>
      <c r="H385" s="224" t="str">
        <f t="shared" si="20"/>
        <v>PSA</v>
      </c>
      <c r="I385" s="225" t="str">
        <f t="shared" si="21"/>
        <v>XLRE</v>
      </c>
      <c r="J385" s="226" t="str">
        <f t="shared" si="22"/>
        <v>REIT-工業</v>
      </c>
      <c r="K385" s="227" t="str">
        <f t="shared" si="23"/>
        <v>.SPX</v>
      </c>
      <c r="L385" s="228">
        <v>0.1847</v>
      </c>
      <c r="M385" s="229">
        <v>308.25</v>
      </c>
      <c r="N385" s="228">
        <v>0.2863</v>
      </c>
      <c r="O385" s="228">
        <v>0.10059999999999999</v>
      </c>
      <c r="P385" s="228">
        <v>0.35729999999999995</v>
      </c>
      <c r="Q385" s="230">
        <v>0.15909999999999999</v>
      </c>
      <c r="R385" s="231">
        <v>44361</v>
      </c>
      <c r="S385" s="232">
        <v>294.63000488281199</v>
      </c>
      <c r="T385" s="233">
        <v>2</v>
      </c>
      <c r="U385" s="234">
        <v>42625</v>
      </c>
      <c r="V385" s="232">
        <v>184.08473205566401</v>
      </c>
      <c r="W385" s="235">
        <v>1.8</v>
      </c>
    </row>
    <row r="386" spans="5:23" ht="15.75" customHeight="1">
      <c r="E386" s="374"/>
      <c r="F386" s="222" t="s">
        <v>394</v>
      </c>
      <c r="G386" s="223" t="s">
        <v>1524</v>
      </c>
      <c r="H386" s="224" t="str">
        <f t="shared" si="20"/>
        <v>PSX</v>
      </c>
      <c r="I386" s="225" t="str">
        <f t="shared" si="21"/>
        <v>XLE</v>
      </c>
      <c r="J386" s="226" t="str">
        <f t="shared" si="22"/>
        <v>油氣煉製與營銷</v>
      </c>
      <c r="K386" s="227" t="str">
        <f t="shared" si="23"/>
        <v>.SPX</v>
      </c>
      <c r="L386" s="228">
        <v>0.34860000000000002</v>
      </c>
      <c r="M386" s="229">
        <v>73.599999999999994</v>
      </c>
      <c r="N386" s="228">
        <v>0.86140000000000005</v>
      </c>
      <c r="O386" s="228">
        <v>0.26340000000000002</v>
      </c>
      <c r="P386" s="228">
        <v>0.61599999999999999</v>
      </c>
      <c r="Q386" s="230">
        <v>0.2888</v>
      </c>
      <c r="R386" s="231">
        <v>44337</v>
      </c>
      <c r="S386" s="232">
        <v>84.290000915527301</v>
      </c>
      <c r="T386" s="233">
        <v>0.9</v>
      </c>
      <c r="U386" s="234">
        <v>42598</v>
      </c>
      <c r="V386" s="232">
        <v>65.178909301757798</v>
      </c>
      <c r="W386" s="235">
        <v>0.63</v>
      </c>
    </row>
    <row r="387" spans="5:23" ht="15.75" customHeight="1">
      <c r="E387" s="374"/>
      <c r="F387" s="222" t="s">
        <v>119</v>
      </c>
      <c r="G387" s="223" t="s">
        <v>1442</v>
      </c>
      <c r="H387" s="224" t="str">
        <f t="shared" si="20"/>
        <v>PTC</v>
      </c>
      <c r="I387" s="225" t="str">
        <f t="shared" si="21"/>
        <v>XLK</v>
      </c>
      <c r="J387" s="226" t="str">
        <f t="shared" si="22"/>
        <v>軟件-應用</v>
      </c>
      <c r="K387" s="227" t="str">
        <f t="shared" si="23"/>
        <v>.SPX</v>
      </c>
      <c r="L387" s="228">
        <v>0.29330000000000001</v>
      </c>
      <c r="M387" s="229">
        <v>135.55000000000001</v>
      </c>
      <c r="N387" s="228">
        <v>0.64349999999999996</v>
      </c>
      <c r="O387" s="228">
        <v>0.16300000000000001</v>
      </c>
      <c r="P387" s="228">
        <v>0.54720000000000002</v>
      </c>
      <c r="Q387" s="230">
        <v>0.26429999999999998</v>
      </c>
      <c r="R387" s="231">
        <v>0</v>
      </c>
      <c r="S387" s="232">
        <v>0</v>
      </c>
      <c r="T387" s="233">
        <v>0</v>
      </c>
      <c r="U387" s="234">
        <v>0</v>
      </c>
      <c r="V387" s="232">
        <v>0</v>
      </c>
      <c r="W387" s="235">
        <v>0</v>
      </c>
    </row>
    <row r="388" spans="5:23" ht="15.75" customHeight="1">
      <c r="E388" s="374"/>
      <c r="F388" s="222" t="s">
        <v>481</v>
      </c>
      <c r="G388" s="223" t="s">
        <v>1509</v>
      </c>
      <c r="H388" s="224" t="str">
        <f t="shared" ref="H388:H451" si="24">IF(F388="","",F388)</f>
        <v>PVH</v>
      </c>
      <c r="I388" s="225" t="str">
        <f t="shared" ref="I388:I451" si="25">IFERROR(INDEX($X$3:$AH$3,IF(IFERROR(MATCH(H388,X:X,0),0)&lt;&gt;0,1,IF(IFERROR(MATCH(H388,Y:Y,0),0)&lt;&gt;0,2,IF(IFERROR(MATCH(H388,Z:Z,0),0)&lt;&gt;0,3,IF(IFERROR(MATCH(H388,AA:AA,0),0)&lt;&gt;0,4,IF(IFERROR(MATCH(H388,AB:AB,0),0)&lt;&gt;0,5,IF(IFERROR(MATCH(H388,AC:AC,0),0)&lt;&gt;0,6,IF(IFERROR(MATCH(H388,AD:AD,0),0)&lt;&gt;0,7,IF(IFERROR(MATCH(H388,AE:AE,0),0)&lt;&gt;0,8,IF(IFERROR(MATCH(H388,AF:AF,0),0)&lt;&gt;0,9,IF(IFERROR(MATCH(H388,AG:AG,0),0)&lt;&gt;0,10,IF(IFERROR(MATCH(H388,AH:AH,0),0)&lt;&gt;0,11,"Z")))))))))))),"")</f>
        <v>XLY</v>
      </c>
      <c r="J388" s="226" t="str">
        <f t="shared" ref="J388:J451" si="26">IF(G388="","",G388)</f>
        <v>服裝製造</v>
      </c>
      <c r="K388" s="227" t="str">
        <f t="shared" si="23"/>
        <v>.SPX</v>
      </c>
      <c r="L388" s="228">
        <v>0.46379999999999999</v>
      </c>
      <c r="M388" s="229">
        <v>110.59</v>
      </c>
      <c r="N388" s="228">
        <v>0.83919999999999995</v>
      </c>
      <c r="O388" s="228">
        <v>0.3629</v>
      </c>
      <c r="P388" s="228">
        <v>0.77650000000000008</v>
      </c>
      <c r="Q388" s="230">
        <v>0.37590000000000001</v>
      </c>
      <c r="R388" s="231">
        <v>43909</v>
      </c>
      <c r="S388" s="232">
        <v>33.900001525878899</v>
      </c>
      <c r="T388" s="233">
        <v>3.7999999999999999E-2</v>
      </c>
      <c r="U388" s="234">
        <v>42604</v>
      </c>
      <c r="V388" s="232">
        <v>106.62395477294901</v>
      </c>
      <c r="W388" s="235">
        <v>3.7999999999999999E-2</v>
      </c>
    </row>
    <row r="389" spans="5:23" ht="15.75" customHeight="1">
      <c r="E389" s="374"/>
      <c r="F389" s="222" t="s">
        <v>435</v>
      </c>
      <c r="G389" s="223" t="s">
        <v>1516</v>
      </c>
      <c r="H389" s="224" t="str">
        <f t="shared" si="24"/>
        <v>PWR</v>
      </c>
      <c r="I389" s="225" t="str">
        <f t="shared" si="25"/>
        <v>XLI</v>
      </c>
      <c r="J389" s="226" t="str">
        <f t="shared" si="26"/>
        <v>工程建設</v>
      </c>
      <c r="K389" s="227" t="str">
        <f t="shared" ref="K389:K452" si="27">IF(H389="","",".SPX")</f>
        <v>.SPX</v>
      </c>
      <c r="L389" s="228">
        <v>0.27200000000000002</v>
      </c>
      <c r="M389" s="229">
        <v>92.53</v>
      </c>
      <c r="N389" s="228">
        <v>0.4194</v>
      </c>
      <c r="O389" s="228">
        <v>0.21709999999999999</v>
      </c>
      <c r="P389" s="228">
        <v>0.50070000000000003</v>
      </c>
      <c r="Q389" s="230">
        <v>0.25700000000000001</v>
      </c>
      <c r="R389" s="231">
        <v>44377</v>
      </c>
      <c r="S389" s="232">
        <v>90.569999694824205</v>
      </c>
      <c r="T389" s="233">
        <v>0.06</v>
      </c>
      <c r="U389" s="234">
        <v>43465</v>
      </c>
      <c r="V389" s="232">
        <v>29.788610458373999</v>
      </c>
      <c r="W389" s="235">
        <v>0.04</v>
      </c>
    </row>
    <row r="390" spans="5:23" ht="15.75" customHeight="1">
      <c r="E390" s="374"/>
      <c r="F390" s="222" t="s">
        <v>502</v>
      </c>
      <c r="G390" s="223" t="s">
        <v>1460</v>
      </c>
      <c r="H390" s="224" t="str">
        <f t="shared" si="24"/>
        <v>PXD</v>
      </c>
      <c r="I390" s="225" t="str">
        <f t="shared" si="25"/>
        <v>XLE</v>
      </c>
      <c r="J390" s="226" t="str">
        <f t="shared" si="26"/>
        <v>油氣E&amp;P</v>
      </c>
      <c r="K390" s="227" t="str">
        <f t="shared" si="27"/>
        <v>.SPX</v>
      </c>
      <c r="L390" s="228">
        <v>0.38900000000000001</v>
      </c>
      <c r="M390" s="229">
        <v>151.79</v>
      </c>
      <c r="N390" s="228">
        <v>0.75870000000000004</v>
      </c>
      <c r="O390" s="228">
        <v>0.29620000000000002</v>
      </c>
      <c r="P390" s="228">
        <v>0.66680000000000006</v>
      </c>
      <c r="Q390" s="230">
        <v>0.33689999999999998</v>
      </c>
      <c r="R390" s="231">
        <v>44376</v>
      </c>
      <c r="S390" s="232">
        <v>158.66000366210901</v>
      </c>
      <c r="T390" s="233">
        <v>0.56000000000000005</v>
      </c>
      <c r="U390" s="234">
        <v>42641</v>
      </c>
      <c r="V390" s="232">
        <v>175.71873474121</v>
      </c>
      <c r="W390" s="235">
        <v>0.04</v>
      </c>
    </row>
    <row r="391" spans="5:23" ht="15.75" customHeight="1">
      <c r="E391" s="374"/>
      <c r="F391" s="222" t="s">
        <v>56</v>
      </c>
      <c r="G391" s="223" t="s">
        <v>1469</v>
      </c>
      <c r="H391" s="224" t="str">
        <f t="shared" si="24"/>
        <v>PYPL</v>
      </c>
      <c r="I391" s="225" t="str">
        <f t="shared" si="25"/>
        <v>XLK</v>
      </c>
      <c r="J391" s="226" t="str">
        <f t="shared" si="26"/>
        <v>信貸服務</v>
      </c>
      <c r="K391" s="227" t="str">
        <f t="shared" si="27"/>
        <v>.SPX</v>
      </c>
      <c r="L391" s="228">
        <v>0.25850000000000001</v>
      </c>
      <c r="M391" s="229">
        <v>280.67</v>
      </c>
      <c r="N391" s="228">
        <v>0.59709999999999996</v>
      </c>
      <c r="O391" s="228">
        <v>0.184</v>
      </c>
      <c r="P391" s="228">
        <v>0.58160000000000001</v>
      </c>
      <c r="Q391" s="230">
        <v>0.2482</v>
      </c>
      <c r="R391" s="231">
        <v>0</v>
      </c>
      <c r="S391" s="232">
        <v>0</v>
      </c>
      <c r="T391" s="233">
        <v>0</v>
      </c>
      <c r="U391" s="234">
        <v>0</v>
      </c>
      <c r="V391" s="232">
        <v>0</v>
      </c>
      <c r="W391" s="235">
        <v>0</v>
      </c>
    </row>
    <row r="392" spans="5:23" ht="15.75" customHeight="1">
      <c r="E392" s="374"/>
      <c r="F392" s="222" t="s">
        <v>141</v>
      </c>
      <c r="G392" s="223" t="s">
        <v>1439</v>
      </c>
      <c r="H392" s="224" t="str">
        <f t="shared" si="24"/>
        <v>QCOM</v>
      </c>
      <c r="I392" s="225" t="str">
        <f t="shared" si="25"/>
        <v>XLK</v>
      </c>
      <c r="J392" s="226" t="str">
        <f t="shared" si="26"/>
        <v>半導體</v>
      </c>
      <c r="K392" s="227" t="str">
        <f t="shared" si="27"/>
        <v>.SPX</v>
      </c>
      <c r="L392" s="228">
        <v>0.2412</v>
      </c>
      <c r="M392" s="229">
        <v>146.83000000000001</v>
      </c>
      <c r="N392" s="228">
        <v>0.56479999999999997</v>
      </c>
      <c r="O392" s="228">
        <v>0.16439999999999999</v>
      </c>
      <c r="P392" s="228">
        <v>0.52390000000000003</v>
      </c>
      <c r="Q392" s="230">
        <v>0.23019999999999999</v>
      </c>
      <c r="R392" s="231">
        <v>44349</v>
      </c>
      <c r="S392" s="232">
        <v>133.82000732421801</v>
      </c>
      <c r="T392" s="233">
        <v>0.68</v>
      </c>
      <c r="U392" s="234">
        <v>42611</v>
      </c>
      <c r="V392" s="232">
        <v>53.8543891906738</v>
      </c>
      <c r="W392" s="235">
        <v>0.53</v>
      </c>
    </row>
    <row r="393" spans="5:23" ht="15.75" customHeight="1">
      <c r="E393" s="374"/>
      <c r="F393" s="222" t="s">
        <v>180</v>
      </c>
      <c r="G393" s="223" t="s">
        <v>1439</v>
      </c>
      <c r="H393" s="224" t="str">
        <f t="shared" si="24"/>
        <v>QRVO</v>
      </c>
      <c r="I393" s="225" t="str">
        <f t="shared" si="25"/>
        <v>XLK</v>
      </c>
      <c r="J393" s="226" t="str">
        <f t="shared" si="26"/>
        <v>半導體</v>
      </c>
      <c r="K393" s="227" t="str">
        <f t="shared" si="27"/>
        <v>.SPX</v>
      </c>
      <c r="L393" s="228">
        <v>0.30149999999999999</v>
      </c>
      <c r="M393" s="229">
        <v>194.76</v>
      </c>
      <c r="N393" s="228">
        <v>0.58650000000000002</v>
      </c>
      <c r="O393" s="228">
        <v>0.2477</v>
      </c>
      <c r="P393" s="228">
        <v>0.58520000000000005</v>
      </c>
      <c r="Q393" s="230">
        <v>0.28739999999999999</v>
      </c>
      <c r="R393" s="231">
        <v>0</v>
      </c>
      <c r="S393" s="232">
        <v>0</v>
      </c>
      <c r="T393" s="233">
        <v>0</v>
      </c>
      <c r="U393" s="234">
        <v>0</v>
      </c>
      <c r="V393" s="232">
        <v>0</v>
      </c>
      <c r="W393" s="235">
        <v>0</v>
      </c>
    </row>
    <row r="394" spans="5:23" ht="15.75" customHeight="1">
      <c r="E394" s="374"/>
      <c r="F394" s="222" t="s">
        <v>494</v>
      </c>
      <c r="G394" s="223" t="s">
        <v>1474</v>
      </c>
      <c r="H394" s="224" t="str">
        <f t="shared" si="24"/>
        <v>RCL</v>
      </c>
      <c r="I394" s="225" t="str">
        <f t="shared" si="25"/>
        <v>XLY</v>
      </c>
      <c r="J394" s="226" t="str">
        <f t="shared" si="26"/>
        <v>旅行服務</v>
      </c>
      <c r="K394" s="227" t="str">
        <f t="shared" si="27"/>
        <v>.SPX</v>
      </c>
      <c r="L394" s="228">
        <v>0.50239999999999996</v>
      </c>
      <c r="M394" s="229">
        <v>77.55</v>
      </c>
      <c r="N394" s="228">
        <v>1.0345</v>
      </c>
      <c r="O394" s="228">
        <v>0.34560000000000002</v>
      </c>
      <c r="P394" s="228">
        <v>0.96099999999999997</v>
      </c>
      <c r="Q394" s="230">
        <v>0.36579999999999996</v>
      </c>
      <c r="R394" s="231">
        <v>43895</v>
      </c>
      <c r="S394" s="232">
        <v>65.779998779296804</v>
      </c>
      <c r="T394" s="233">
        <v>0.78</v>
      </c>
      <c r="U394" s="234">
        <v>42640</v>
      </c>
      <c r="V394" s="232">
        <v>68.477989196777301</v>
      </c>
      <c r="W394" s="235">
        <v>0.48</v>
      </c>
    </row>
    <row r="395" spans="5:23" ht="15.75" customHeight="1">
      <c r="E395" s="374"/>
      <c r="F395" s="222" t="s">
        <v>412</v>
      </c>
      <c r="G395" s="223" t="s">
        <v>1532</v>
      </c>
      <c r="H395" s="224" t="str">
        <f t="shared" si="24"/>
        <v>RE</v>
      </c>
      <c r="I395" s="225" t="str">
        <f t="shared" si="25"/>
        <v>XLF</v>
      </c>
      <c r="J395" s="226" t="str">
        <f t="shared" si="26"/>
        <v>保險-再保險</v>
      </c>
      <c r="K395" s="227" t="str">
        <f t="shared" si="27"/>
        <v>.SPX</v>
      </c>
      <c r="L395" s="228">
        <v>0.2334</v>
      </c>
      <c r="M395" s="229">
        <v>261.13</v>
      </c>
      <c r="N395" s="228">
        <v>0.46949999999999997</v>
      </c>
      <c r="O395" s="228">
        <v>0.17169999999999999</v>
      </c>
      <c r="P395" s="228">
        <v>0.43990000000000001</v>
      </c>
      <c r="Q395" s="230">
        <v>0.19079999999999997</v>
      </c>
      <c r="R395" s="231">
        <v>44341</v>
      </c>
      <c r="S395" s="232">
        <v>254.44000244140599</v>
      </c>
      <c r="T395" s="233">
        <v>1.55</v>
      </c>
      <c r="U395" s="234">
        <v>42615</v>
      </c>
      <c r="V395" s="232">
        <v>173.96667480468699</v>
      </c>
      <c r="W395" s="235">
        <v>1.1499999999999999</v>
      </c>
    </row>
    <row r="396" spans="5:23" ht="15.75" customHeight="1">
      <c r="E396" s="374"/>
      <c r="F396" s="222" t="s">
        <v>175</v>
      </c>
      <c r="G396" s="223" t="s">
        <v>521</v>
      </c>
      <c r="H396" s="224" t="str">
        <f t="shared" si="24"/>
        <v>REG</v>
      </c>
      <c r="I396" s="225" t="str">
        <f t="shared" si="25"/>
        <v>XLRE</v>
      </c>
      <c r="J396" s="226" t="str">
        <f t="shared" si="26"/>
        <v>-</v>
      </c>
      <c r="K396" s="227" t="str">
        <f t="shared" si="27"/>
        <v>.SPX</v>
      </c>
      <c r="L396" s="228">
        <v>0.27800000000000002</v>
      </c>
      <c r="M396" s="229">
        <v>67.41</v>
      </c>
      <c r="N396" s="228">
        <v>0.99319999999999997</v>
      </c>
      <c r="O396" s="228">
        <v>0.1767</v>
      </c>
      <c r="P396" s="228">
        <v>0.60470000000000002</v>
      </c>
      <c r="Q396" s="230">
        <v>0.22219999999999998</v>
      </c>
      <c r="R396" s="231">
        <v>44361</v>
      </c>
      <c r="S396" s="232">
        <v>66.839996337890597</v>
      </c>
      <c r="T396" s="233">
        <v>0.59499999999999997</v>
      </c>
      <c r="U396" s="234">
        <v>42597</v>
      </c>
      <c r="V396" s="232">
        <v>66.777107238769503</v>
      </c>
      <c r="W396" s="235">
        <v>0.5</v>
      </c>
    </row>
    <row r="397" spans="5:23" ht="15.75" customHeight="1">
      <c r="E397" s="374"/>
      <c r="F397" s="222" t="s">
        <v>69</v>
      </c>
      <c r="G397" s="223" t="s">
        <v>1514</v>
      </c>
      <c r="H397" s="224" t="str">
        <f t="shared" si="24"/>
        <v>REGN</v>
      </c>
      <c r="I397" s="225" t="str">
        <f t="shared" si="25"/>
        <v>XLV</v>
      </c>
      <c r="J397" s="226" t="str">
        <f t="shared" si="26"/>
        <v>生物技術</v>
      </c>
      <c r="K397" s="227" t="str">
        <f t="shared" si="27"/>
        <v>.SPX</v>
      </c>
      <c r="L397" s="228">
        <v>0.27800000000000002</v>
      </c>
      <c r="M397" s="229">
        <v>602.47</v>
      </c>
      <c r="N397" s="228">
        <v>0.44209999999999999</v>
      </c>
      <c r="O397" s="228">
        <v>0.1898</v>
      </c>
      <c r="P397" s="228">
        <v>0.48680000000000001</v>
      </c>
      <c r="Q397" s="230">
        <v>0.22989999999999999</v>
      </c>
      <c r="R397" s="231">
        <v>0</v>
      </c>
      <c r="S397" s="232">
        <v>0</v>
      </c>
      <c r="T397" s="233">
        <v>0</v>
      </c>
      <c r="U397" s="234">
        <v>0</v>
      </c>
      <c r="V397" s="232">
        <v>0</v>
      </c>
      <c r="W397" s="235">
        <v>0</v>
      </c>
    </row>
    <row r="398" spans="5:23" ht="15.75" customHeight="1">
      <c r="E398" s="374"/>
      <c r="F398" s="222" t="s">
        <v>504</v>
      </c>
      <c r="G398" s="223" t="s">
        <v>1482</v>
      </c>
      <c r="H398" s="224" t="str">
        <f t="shared" si="24"/>
        <v>RF</v>
      </c>
      <c r="I398" s="225" t="str">
        <f t="shared" si="25"/>
        <v>XLF</v>
      </c>
      <c r="J398" s="226" t="str">
        <f t="shared" si="26"/>
        <v>銀行-區域</v>
      </c>
      <c r="K398" s="227" t="str">
        <f t="shared" si="27"/>
        <v>.SPX</v>
      </c>
      <c r="L398" s="228">
        <v>0.32100000000000001</v>
      </c>
      <c r="M398" s="229">
        <v>19.54</v>
      </c>
      <c r="N398" s="228">
        <v>0.6825</v>
      </c>
      <c r="O398" s="228">
        <v>0.24299999999999999</v>
      </c>
      <c r="P398" s="228">
        <v>0.52329999999999999</v>
      </c>
      <c r="Q398" s="230">
        <v>0.2641</v>
      </c>
      <c r="R398" s="231">
        <v>44350</v>
      </c>
      <c r="S398" s="232">
        <v>22.940000534057599</v>
      </c>
      <c r="T398" s="233">
        <v>0.155</v>
      </c>
      <c r="U398" s="234">
        <v>42620</v>
      </c>
      <c r="V398" s="232">
        <v>8.5668964385986293</v>
      </c>
      <c r="W398" s="235">
        <v>6.5000000000000002E-2</v>
      </c>
    </row>
    <row r="399" spans="5:23" ht="15.75" customHeight="1">
      <c r="E399" s="374"/>
      <c r="F399" s="222" t="s">
        <v>312</v>
      </c>
      <c r="G399" s="223" t="s">
        <v>1441</v>
      </c>
      <c r="H399" s="224" t="str">
        <f t="shared" si="24"/>
        <v>RHI</v>
      </c>
      <c r="I399" s="225" t="str">
        <f t="shared" si="25"/>
        <v>XLI</v>
      </c>
      <c r="J399" s="226" t="str">
        <f t="shared" si="26"/>
        <v>人員配置和就業服務</v>
      </c>
      <c r="K399" s="227" t="str">
        <f t="shared" si="27"/>
        <v>.SPX</v>
      </c>
      <c r="L399" s="228">
        <v>0.22559999999999999</v>
      </c>
      <c r="M399" s="229">
        <v>99.03</v>
      </c>
      <c r="N399" s="228">
        <v>0.71530000000000005</v>
      </c>
      <c r="O399" s="228">
        <v>0.1522</v>
      </c>
      <c r="P399" s="228">
        <v>0.49680000000000002</v>
      </c>
      <c r="Q399" s="230">
        <v>0.21579999999999999</v>
      </c>
      <c r="R399" s="231">
        <v>44340</v>
      </c>
      <c r="S399" s="232">
        <v>88.019996643066406</v>
      </c>
      <c r="T399" s="233">
        <v>0.38</v>
      </c>
      <c r="U399" s="234">
        <v>42605</v>
      </c>
      <c r="V399" s="232">
        <v>34.7591552734375</v>
      </c>
      <c r="W399" s="235">
        <v>0.22</v>
      </c>
    </row>
    <row r="400" spans="5:23" ht="15.75" customHeight="1">
      <c r="E400" s="374"/>
      <c r="F400" s="222" t="s">
        <v>337</v>
      </c>
      <c r="G400" s="223" t="s">
        <v>1507</v>
      </c>
      <c r="H400" s="224" t="str">
        <f t="shared" si="24"/>
        <v>RJF</v>
      </c>
      <c r="I400" s="225" t="str">
        <f t="shared" si="25"/>
        <v>XLF</v>
      </c>
      <c r="J400" s="226" t="str">
        <f t="shared" si="26"/>
        <v>資本市場</v>
      </c>
      <c r="K400" s="227" t="str">
        <f t="shared" si="27"/>
        <v>.SPX</v>
      </c>
      <c r="L400" s="228">
        <v>0.2465</v>
      </c>
      <c r="M400" s="229">
        <v>130.47</v>
      </c>
      <c r="N400" s="228">
        <v>0.43859999999999999</v>
      </c>
      <c r="O400" s="228">
        <v>0.18229999999999999</v>
      </c>
      <c r="P400" s="228">
        <v>0.44719999999999999</v>
      </c>
      <c r="Q400" s="230">
        <v>0.22339999999999999</v>
      </c>
      <c r="R400" s="231">
        <v>44377</v>
      </c>
      <c r="S400" s="232">
        <v>129.89999389648401</v>
      </c>
      <c r="T400" s="233">
        <v>0.39</v>
      </c>
      <c r="U400" s="234">
        <v>42642</v>
      </c>
      <c r="V400" s="232">
        <v>52.748203277587798</v>
      </c>
      <c r="W400" s="235">
        <v>0.2</v>
      </c>
    </row>
    <row r="401" spans="5:23" ht="15.75" customHeight="1">
      <c r="E401" s="374"/>
      <c r="F401" s="222" t="s">
        <v>453</v>
      </c>
      <c r="G401" s="223" t="s">
        <v>1509</v>
      </c>
      <c r="H401" s="224" t="str">
        <f t="shared" si="24"/>
        <v>RL</v>
      </c>
      <c r="I401" s="225" t="str">
        <f t="shared" si="25"/>
        <v>XLY</v>
      </c>
      <c r="J401" s="226" t="str">
        <f t="shared" si="26"/>
        <v>服裝製造</v>
      </c>
      <c r="K401" s="227" t="str">
        <f t="shared" si="27"/>
        <v>.SPX</v>
      </c>
      <c r="L401" s="228">
        <v>0.36220000000000002</v>
      </c>
      <c r="M401" s="229">
        <v>125.19</v>
      </c>
      <c r="N401" s="228">
        <v>0.77659999999999996</v>
      </c>
      <c r="O401" s="228">
        <v>0.2465</v>
      </c>
      <c r="P401" s="228">
        <v>0.66180000000000005</v>
      </c>
      <c r="Q401" s="230">
        <v>0.30159999999999998</v>
      </c>
      <c r="R401" s="231">
        <v>44371</v>
      </c>
      <c r="S401" s="232">
        <v>120.389999389648</v>
      </c>
      <c r="T401" s="233">
        <v>0.68799999999999994</v>
      </c>
      <c r="U401" s="234">
        <v>42641</v>
      </c>
      <c r="V401" s="232">
        <v>89.599761962890597</v>
      </c>
      <c r="W401" s="235">
        <v>0.5</v>
      </c>
    </row>
    <row r="402" spans="5:23" ht="15.75" customHeight="1">
      <c r="E402" s="374"/>
      <c r="F402" s="222" t="s">
        <v>25</v>
      </c>
      <c r="G402" s="223" t="s">
        <v>1472</v>
      </c>
      <c r="H402" s="224" t="str">
        <f t="shared" si="24"/>
        <v>RMD</v>
      </c>
      <c r="I402" s="225" t="str">
        <f t="shared" si="25"/>
        <v>XLV</v>
      </c>
      <c r="J402" s="226" t="str">
        <f t="shared" si="26"/>
        <v>醫療器械及用品</v>
      </c>
      <c r="K402" s="227" t="str">
        <f t="shared" si="27"/>
        <v>.SPX</v>
      </c>
      <c r="L402" s="228">
        <v>0.40029999999999999</v>
      </c>
      <c r="M402" s="229">
        <v>267.38</v>
      </c>
      <c r="N402" s="228">
        <v>0.48349999999999999</v>
      </c>
      <c r="O402" s="228">
        <v>0.12620000000000001</v>
      </c>
      <c r="P402" s="228">
        <v>0.47720000000000001</v>
      </c>
      <c r="Q402" s="230">
        <v>0.21719999999999998</v>
      </c>
      <c r="R402" s="231">
        <v>44328</v>
      </c>
      <c r="S402" s="232">
        <v>192.32000732421801</v>
      </c>
      <c r="T402" s="233">
        <v>0.39</v>
      </c>
      <c r="U402" s="234">
        <v>42598</v>
      </c>
      <c r="V402" s="232">
        <v>64.818145751953097</v>
      </c>
      <c r="W402" s="235">
        <v>0.33</v>
      </c>
    </row>
    <row r="403" spans="5:23" ht="15.75" customHeight="1">
      <c r="E403" s="374"/>
      <c r="F403" s="222" t="s">
        <v>152</v>
      </c>
      <c r="G403" s="223" t="s">
        <v>1454</v>
      </c>
      <c r="H403" s="224" t="str">
        <f t="shared" si="24"/>
        <v>ROK</v>
      </c>
      <c r="I403" s="225" t="str">
        <f t="shared" si="25"/>
        <v>XLI</v>
      </c>
      <c r="J403" s="226" t="str">
        <f t="shared" si="26"/>
        <v>特種工業機械</v>
      </c>
      <c r="K403" s="227" t="str">
        <f t="shared" si="27"/>
        <v>.SPX</v>
      </c>
      <c r="L403" s="228">
        <v>0.21779999999999999</v>
      </c>
      <c r="M403" s="229">
        <v>313.70999999999998</v>
      </c>
      <c r="N403" s="228">
        <v>0.33660000000000001</v>
      </c>
      <c r="O403" s="228">
        <v>0.16139999999999999</v>
      </c>
      <c r="P403" s="228">
        <v>0.41570000000000001</v>
      </c>
      <c r="Q403" s="230">
        <v>0.20170000000000002</v>
      </c>
      <c r="R403" s="231">
        <v>44330</v>
      </c>
      <c r="S403" s="232">
        <v>267.45999145507801</v>
      </c>
      <c r="T403" s="233">
        <v>1.07</v>
      </c>
      <c r="U403" s="234">
        <v>42593</v>
      </c>
      <c r="V403" s="232">
        <v>108.099487304687</v>
      </c>
      <c r="W403" s="235">
        <v>0.72499999999999998</v>
      </c>
    </row>
    <row r="404" spans="5:23" ht="15.75" customHeight="1">
      <c r="E404" s="374"/>
      <c r="F404" s="222" t="s">
        <v>232</v>
      </c>
      <c r="G404" s="223" t="s">
        <v>1533</v>
      </c>
      <c r="H404" s="224" t="str">
        <f t="shared" si="24"/>
        <v>ROL</v>
      </c>
      <c r="I404" s="225" t="str">
        <f t="shared" si="25"/>
        <v>XLI</v>
      </c>
      <c r="J404" s="226" t="str">
        <f t="shared" si="26"/>
        <v>個人服務</v>
      </c>
      <c r="K404" s="227" t="str">
        <f t="shared" si="27"/>
        <v>.SPX</v>
      </c>
      <c r="L404" s="228">
        <v>0.2452</v>
      </c>
      <c r="M404" s="229">
        <v>38.409999999999997</v>
      </c>
      <c r="N404" s="228">
        <v>1.2113</v>
      </c>
      <c r="O404" s="228">
        <v>0.14729999999999999</v>
      </c>
      <c r="P404" s="228">
        <v>0.54049999999999998</v>
      </c>
      <c r="Q404" s="230">
        <v>0.19899999999999998</v>
      </c>
      <c r="R404" s="231">
        <v>44323</v>
      </c>
      <c r="S404" s="232">
        <v>37.119998931884702</v>
      </c>
      <c r="T404" s="233">
        <v>0.08</v>
      </c>
      <c r="U404" s="234">
        <v>42590</v>
      </c>
      <c r="V404" s="232">
        <v>11.4838314056396</v>
      </c>
      <c r="W404" s="235">
        <v>4.4443999999999997E-2</v>
      </c>
    </row>
    <row r="405" spans="5:23" ht="15.75" customHeight="1">
      <c r="E405" s="374"/>
      <c r="F405" s="222" t="s">
        <v>203</v>
      </c>
      <c r="G405" s="223" t="s">
        <v>1454</v>
      </c>
      <c r="H405" s="224" t="str">
        <f t="shared" si="24"/>
        <v>ROP</v>
      </c>
      <c r="I405" s="225" t="str">
        <f t="shared" si="25"/>
        <v>XLI</v>
      </c>
      <c r="J405" s="226" t="str">
        <f t="shared" si="26"/>
        <v>特種工業機械</v>
      </c>
      <c r="K405" s="227" t="str">
        <f t="shared" si="27"/>
        <v>.SPX</v>
      </c>
      <c r="L405" s="228">
        <v>0.19789999999999999</v>
      </c>
      <c r="M405" s="229">
        <v>489.82</v>
      </c>
      <c r="N405" s="228">
        <v>0.36399999999999999</v>
      </c>
      <c r="O405" s="228">
        <v>0.12529999999999999</v>
      </c>
      <c r="P405" s="228">
        <v>0.37759999999999999</v>
      </c>
      <c r="Q405" s="230">
        <v>0.17579999999999998</v>
      </c>
      <c r="R405" s="231">
        <v>44384</v>
      </c>
      <c r="S405" s="232">
        <v>481.82000732421801</v>
      </c>
      <c r="T405" s="233">
        <v>0.56299999999999994</v>
      </c>
      <c r="U405" s="234">
        <v>42648</v>
      </c>
      <c r="V405" s="232">
        <v>177.3349609375</v>
      </c>
      <c r="W405" s="235">
        <v>0.3</v>
      </c>
    </row>
    <row r="406" spans="5:23" ht="15.75" customHeight="1">
      <c r="E406" s="374"/>
      <c r="F406" s="222" t="s">
        <v>475</v>
      </c>
      <c r="G406" s="223" t="s">
        <v>1506</v>
      </c>
      <c r="H406" s="224" t="str">
        <f t="shared" si="24"/>
        <v>ROST</v>
      </c>
      <c r="I406" s="225" t="str">
        <f t="shared" si="25"/>
        <v>XLY</v>
      </c>
      <c r="J406" s="226" t="str">
        <f t="shared" si="26"/>
        <v>服裝零售</v>
      </c>
      <c r="K406" s="227" t="str">
        <f t="shared" si="27"/>
        <v>.SPX</v>
      </c>
      <c r="L406" s="228">
        <v>0.35460000000000003</v>
      </c>
      <c r="M406" s="229">
        <v>120.67</v>
      </c>
      <c r="N406" s="228">
        <v>0.60750000000000004</v>
      </c>
      <c r="O406" s="228">
        <v>0.2152</v>
      </c>
      <c r="P406" s="228">
        <v>0.50340000000000007</v>
      </c>
      <c r="Q406" s="230">
        <v>0.22640000000000002</v>
      </c>
      <c r="R406" s="231">
        <v>44354</v>
      </c>
      <c r="S406" s="232">
        <v>119.220001220703</v>
      </c>
      <c r="T406" s="233">
        <v>0.28499999999999998</v>
      </c>
      <c r="U406" s="234">
        <v>42613</v>
      </c>
      <c r="V406" s="232">
        <v>59.789543151855398</v>
      </c>
      <c r="W406" s="235">
        <v>0.13500000000000001</v>
      </c>
    </row>
    <row r="407" spans="5:23" ht="15.75" customHeight="1">
      <c r="E407" s="374"/>
      <c r="F407" s="222" t="s">
        <v>318</v>
      </c>
      <c r="G407" s="223" t="s">
        <v>1534</v>
      </c>
      <c r="H407" s="224" t="str">
        <f t="shared" si="24"/>
        <v>RSG</v>
      </c>
      <c r="I407" s="225" t="str">
        <f t="shared" si="25"/>
        <v>XLI</v>
      </c>
      <c r="J407" s="226" t="str">
        <f t="shared" si="26"/>
        <v>廢物管理</v>
      </c>
      <c r="K407" s="227" t="str">
        <f t="shared" si="27"/>
        <v>.SPX</v>
      </c>
      <c r="L407" s="228">
        <v>0.18079999999999999</v>
      </c>
      <c r="M407" s="229">
        <v>118.23</v>
      </c>
      <c r="N407" s="228">
        <v>0.2374</v>
      </c>
      <c r="O407" s="228">
        <v>0.1158</v>
      </c>
      <c r="P407" s="228">
        <v>0.30499999999999999</v>
      </c>
      <c r="Q407" s="230">
        <v>0.14380000000000001</v>
      </c>
      <c r="R407" s="231">
        <v>44377</v>
      </c>
      <c r="S407" s="232">
        <v>110.01000213623</v>
      </c>
      <c r="T407" s="233">
        <v>0.42499999999999999</v>
      </c>
      <c r="U407" s="234">
        <v>42642</v>
      </c>
      <c r="V407" s="232">
        <v>45.650859832763601</v>
      </c>
      <c r="W407" s="235">
        <v>0.32</v>
      </c>
    </row>
    <row r="408" spans="5:23" ht="15.75" customHeight="1">
      <c r="E408" s="374"/>
      <c r="F408" s="222" t="s">
        <v>373</v>
      </c>
      <c r="G408" s="223" t="s">
        <v>1470</v>
      </c>
      <c r="H408" s="224" t="str">
        <f t="shared" si="24"/>
        <v>RTX</v>
      </c>
      <c r="I408" s="225" t="str">
        <f t="shared" si="25"/>
        <v>XLI</v>
      </c>
      <c r="J408" s="226" t="str">
        <f t="shared" si="26"/>
        <v>航天軍工</v>
      </c>
      <c r="K408" s="227" t="str">
        <f t="shared" si="27"/>
        <v>.SPX</v>
      </c>
      <c r="L408" s="228">
        <v>0.24460000000000001</v>
      </c>
      <c r="M408" s="229">
        <v>87.3</v>
      </c>
      <c r="N408" s="228">
        <v>0.5665</v>
      </c>
      <c r="O408" s="228">
        <v>0.14480000000000001</v>
      </c>
      <c r="P408" s="228">
        <v>0.52369999999999994</v>
      </c>
      <c r="Q408" s="230">
        <v>0.19920000000000002</v>
      </c>
      <c r="R408" s="231">
        <v>44336</v>
      </c>
      <c r="S408" s="232">
        <v>85.230003356933594</v>
      </c>
      <c r="T408" s="233">
        <v>0.51</v>
      </c>
      <c r="U408" s="234">
        <v>42599</v>
      </c>
      <c r="V408" s="232">
        <v>61.144321441650298</v>
      </c>
      <c r="W408" s="235">
        <v>0.415356</v>
      </c>
    </row>
    <row r="409" spans="5:23" ht="15.75" customHeight="1">
      <c r="E409" s="374"/>
      <c r="F409" s="222" t="s">
        <v>201</v>
      </c>
      <c r="G409" s="223" t="s">
        <v>1456</v>
      </c>
      <c r="H409" s="224" t="str">
        <f t="shared" si="24"/>
        <v>SBAC</v>
      </c>
      <c r="I409" s="225" t="str">
        <f t="shared" si="25"/>
        <v>XLRE</v>
      </c>
      <c r="J409" s="226" t="str">
        <f t="shared" si="26"/>
        <v>REIT-專業</v>
      </c>
      <c r="K409" s="227" t="str">
        <f t="shared" si="27"/>
        <v>.SPX</v>
      </c>
      <c r="L409" s="228">
        <v>0.2107</v>
      </c>
      <c r="M409" s="229">
        <v>346.93</v>
      </c>
      <c r="N409" s="228">
        <v>0.31240000000000001</v>
      </c>
      <c r="O409" s="228">
        <v>0.1065</v>
      </c>
      <c r="P409" s="228">
        <v>0.41420000000000001</v>
      </c>
      <c r="Q409" s="230">
        <v>0.20329999999999998</v>
      </c>
      <c r="R409" s="231">
        <v>44335</v>
      </c>
      <c r="S409" s="232">
        <v>288.39001464843699</v>
      </c>
      <c r="T409" s="233">
        <v>0.57999999999999996</v>
      </c>
      <c r="U409" s="234">
        <v>43704</v>
      </c>
      <c r="V409" s="232">
        <v>261.62243652343699</v>
      </c>
      <c r="W409" s="235">
        <v>0.37</v>
      </c>
    </row>
    <row r="410" spans="5:23" ht="15.75" customHeight="1">
      <c r="E410" s="374"/>
      <c r="F410" s="222" t="s">
        <v>184</v>
      </c>
      <c r="G410" s="223" t="s">
        <v>1487</v>
      </c>
      <c r="H410" s="224" t="str">
        <f t="shared" si="24"/>
        <v>SBUX</v>
      </c>
      <c r="I410" s="225" t="str">
        <f t="shared" si="25"/>
        <v>XLY</v>
      </c>
      <c r="J410" s="226" t="str">
        <f t="shared" si="26"/>
        <v>飯館</v>
      </c>
      <c r="K410" s="227" t="str">
        <f t="shared" si="27"/>
        <v>.SPX</v>
      </c>
      <c r="L410" s="228">
        <v>0.18099999999999999</v>
      </c>
      <c r="M410" s="229">
        <v>119.03</v>
      </c>
      <c r="N410" s="228">
        <v>0.32740000000000002</v>
      </c>
      <c r="O410" s="228">
        <v>0.1217</v>
      </c>
      <c r="P410" s="228">
        <v>0.39630000000000004</v>
      </c>
      <c r="Q410" s="230">
        <v>0.1754</v>
      </c>
      <c r="R410" s="231">
        <v>44328</v>
      </c>
      <c r="S410" s="232">
        <v>109.790000915527</v>
      </c>
      <c r="T410" s="233">
        <v>0.45</v>
      </c>
      <c r="U410" s="234">
        <v>42689</v>
      </c>
      <c r="V410" s="232">
        <v>49.963958740234297</v>
      </c>
      <c r="W410" s="235">
        <v>0.25</v>
      </c>
    </row>
    <row r="411" spans="5:23" ht="15.75" customHeight="1">
      <c r="E411" s="374"/>
      <c r="F411" s="222" t="s">
        <v>338</v>
      </c>
      <c r="G411" s="223" t="s">
        <v>1507</v>
      </c>
      <c r="H411" s="224" t="str">
        <f t="shared" si="24"/>
        <v>SCHW</v>
      </c>
      <c r="I411" s="225" t="str">
        <f t="shared" si="25"/>
        <v>XLF</v>
      </c>
      <c r="J411" s="226" t="str">
        <f t="shared" si="26"/>
        <v>資本市場</v>
      </c>
      <c r="K411" s="227" t="str">
        <f t="shared" si="27"/>
        <v>.SPX</v>
      </c>
      <c r="L411" s="228">
        <v>0.2772</v>
      </c>
      <c r="M411" s="229">
        <v>69.3</v>
      </c>
      <c r="N411" s="228">
        <v>0.46970000000000001</v>
      </c>
      <c r="O411" s="228">
        <v>0.20830000000000001</v>
      </c>
      <c r="P411" s="228">
        <v>0.44780000000000003</v>
      </c>
      <c r="Q411" s="230">
        <v>0.25650000000000001</v>
      </c>
      <c r="R411" s="231">
        <v>44329</v>
      </c>
      <c r="S411" s="232">
        <v>70.430000305175696</v>
      </c>
      <c r="T411" s="233">
        <v>0.18</v>
      </c>
      <c r="U411" s="234">
        <v>42592</v>
      </c>
      <c r="V411" s="232">
        <v>27.871145248413001</v>
      </c>
      <c r="W411" s="235">
        <v>7.0000000000000007E-2</v>
      </c>
    </row>
    <row r="412" spans="5:23" ht="15.75" customHeight="1">
      <c r="E412" s="374"/>
      <c r="F412" s="222" t="s">
        <v>265</v>
      </c>
      <c r="G412" s="223" t="s">
        <v>1453</v>
      </c>
      <c r="H412" s="224" t="str">
        <f t="shared" si="24"/>
        <v>SEE</v>
      </c>
      <c r="I412" s="225" t="str">
        <f t="shared" si="25"/>
        <v>XLB</v>
      </c>
      <c r="J412" s="226" t="str">
        <f t="shared" si="26"/>
        <v>包裝和容器</v>
      </c>
      <c r="K412" s="227" t="str">
        <f t="shared" si="27"/>
        <v>.SPX</v>
      </c>
      <c r="L412" s="228">
        <v>0.24879999999999999</v>
      </c>
      <c r="M412" s="229">
        <v>58.4</v>
      </c>
      <c r="N412" s="228">
        <v>0.35570000000000002</v>
      </c>
      <c r="O412" s="228">
        <v>0.1226</v>
      </c>
      <c r="P412" s="228">
        <v>0.4657</v>
      </c>
      <c r="Q412" s="230">
        <v>0.21059999999999998</v>
      </c>
      <c r="R412" s="231">
        <v>44350</v>
      </c>
      <c r="S412" s="232">
        <v>57.810001373291001</v>
      </c>
      <c r="T412" s="233">
        <v>0.2</v>
      </c>
      <c r="U412" s="234">
        <v>42613</v>
      </c>
      <c r="V412" s="232">
        <v>43.794750213622997</v>
      </c>
      <c r="W412" s="235">
        <v>0.16</v>
      </c>
    </row>
    <row r="413" spans="5:23" ht="15.75" customHeight="1">
      <c r="E413" s="374"/>
      <c r="F413" s="222" t="s">
        <v>249</v>
      </c>
      <c r="G413" s="223" t="s">
        <v>1449</v>
      </c>
      <c r="H413" s="224" t="str">
        <f t="shared" si="24"/>
        <v>SHW</v>
      </c>
      <c r="I413" s="225" t="str">
        <f t="shared" si="25"/>
        <v>XLB</v>
      </c>
      <c r="J413" s="226" t="str">
        <f t="shared" si="26"/>
        <v>特種化學品</v>
      </c>
      <c r="K413" s="227" t="str">
        <f t="shared" si="27"/>
        <v>.SPX</v>
      </c>
      <c r="L413" s="228">
        <v>0.18379999999999999</v>
      </c>
      <c r="M413" s="229">
        <v>295.66000000000003</v>
      </c>
      <c r="N413" s="228">
        <v>0.31080000000000002</v>
      </c>
      <c r="O413" s="228">
        <v>0.11210000000000001</v>
      </c>
      <c r="P413" s="228">
        <v>0.33450000000000002</v>
      </c>
      <c r="Q413" s="230">
        <v>0.18379999999999999</v>
      </c>
      <c r="R413" s="231">
        <v>44336</v>
      </c>
      <c r="S413" s="232">
        <v>282.58999633789</v>
      </c>
      <c r="T413" s="233">
        <v>0.55000000000000004</v>
      </c>
      <c r="U413" s="234">
        <v>42599</v>
      </c>
      <c r="V413" s="232">
        <v>91.742225646972599</v>
      </c>
      <c r="W413" s="235">
        <v>0.28000000000000003</v>
      </c>
    </row>
    <row r="414" spans="5:23" ht="15.75" customHeight="1">
      <c r="E414" s="374"/>
      <c r="F414" s="222" t="s">
        <v>519</v>
      </c>
      <c r="G414" s="223" t="s">
        <v>1482</v>
      </c>
      <c r="H414" s="224" t="str">
        <f t="shared" si="24"/>
        <v>SIVB</v>
      </c>
      <c r="I414" s="225" t="str">
        <f t="shared" si="25"/>
        <v>XLF</v>
      </c>
      <c r="J414" s="226" t="str">
        <f t="shared" si="26"/>
        <v>銀行-區域</v>
      </c>
      <c r="K414" s="227" t="str">
        <f t="shared" si="27"/>
        <v>.SPX</v>
      </c>
      <c r="L414" s="228">
        <v>0.34720000000000001</v>
      </c>
      <c r="M414" s="229">
        <v>569.29</v>
      </c>
      <c r="N414" s="228">
        <v>0.47849999999999998</v>
      </c>
      <c r="O414" s="228">
        <v>0.2581</v>
      </c>
      <c r="P414" s="228">
        <v>0.51800000000000002</v>
      </c>
      <c r="Q414" s="230">
        <v>0.30809999999999998</v>
      </c>
      <c r="R414" s="231">
        <v>0</v>
      </c>
      <c r="S414" s="232">
        <v>0</v>
      </c>
      <c r="T414" s="233">
        <v>0</v>
      </c>
      <c r="U414" s="234">
        <v>0</v>
      </c>
      <c r="V414" s="232">
        <v>0</v>
      </c>
      <c r="W414" s="235">
        <v>0</v>
      </c>
    </row>
    <row r="415" spans="5:23" ht="15.75" customHeight="1">
      <c r="E415" s="374"/>
      <c r="F415" s="222" t="s">
        <v>331</v>
      </c>
      <c r="G415" s="223" t="s">
        <v>1476</v>
      </c>
      <c r="H415" s="224" t="str">
        <f t="shared" si="24"/>
        <v>SJM</v>
      </c>
      <c r="I415" s="225" t="str">
        <f t="shared" si="25"/>
        <v>XLP</v>
      </c>
      <c r="J415" s="226" t="str">
        <f t="shared" si="26"/>
        <v>包裝食品</v>
      </c>
      <c r="K415" s="227" t="str">
        <f t="shared" si="27"/>
        <v>.SPX</v>
      </c>
      <c r="L415" s="228">
        <v>0.23760000000000001</v>
      </c>
      <c r="M415" s="229">
        <v>128.61000000000001</v>
      </c>
      <c r="N415" s="228">
        <v>0.36399999999999999</v>
      </c>
      <c r="O415" s="228">
        <v>0.12959999999999999</v>
      </c>
      <c r="P415" s="228">
        <v>0.42080000000000001</v>
      </c>
      <c r="Q415" s="230">
        <v>0.17780000000000001</v>
      </c>
      <c r="R415" s="231">
        <v>44329</v>
      </c>
      <c r="S415" s="232">
        <v>136.19000244140599</v>
      </c>
      <c r="T415" s="233">
        <v>0.9</v>
      </c>
      <c r="U415" s="234">
        <v>42592</v>
      </c>
      <c r="V415" s="232">
        <v>134.397689819335</v>
      </c>
      <c r="W415" s="235">
        <v>0.75</v>
      </c>
    </row>
    <row r="416" spans="5:23" ht="15.75" customHeight="1">
      <c r="E416" s="374"/>
      <c r="F416" s="222" t="s">
        <v>491</v>
      </c>
      <c r="G416" s="223" t="s">
        <v>1475</v>
      </c>
      <c r="H416" s="224" t="str">
        <f t="shared" si="24"/>
        <v>SLB</v>
      </c>
      <c r="I416" s="225" t="str">
        <f t="shared" si="25"/>
        <v>XLE</v>
      </c>
      <c r="J416" s="226" t="str">
        <f t="shared" si="26"/>
        <v>石油和天然氣設備和服務</v>
      </c>
      <c r="K416" s="227" t="str">
        <f t="shared" si="27"/>
        <v>.SPX</v>
      </c>
      <c r="L416" s="228">
        <v>0.41949999999999998</v>
      </c>
      <c r="M416" s="229">
        <v>28.6</v>
      </c>
      <c r="N416" s="228">
        <v>0.78859999999999997</v>
      </c>
      <c r="O416" s="228">
        <v>0.31759999999999999</v>
      </c>
      <c r="P416" s="228">
        <v>0.65599999999999992</v>
      </c>
      <c r="Q416" s="230">
        <v>0.35570000000000002</v>
      </c>
      <c r="R416" s="231">
        <v>44348</v>
      </c>
      <c r="S416" s="232">
        <v>32.930000305175703</v>
      </c>
      <c r="T416" s="233">
        <v>0.125</v>
      </c>
      <c r="U416" s="234">
        <v>42615</v>
      </c>
      <c r="V416" s="232">
        <v>66.548919677734304</v>
      </c>
      <c r="W416" s="235">
        <v>0.5</v>
      </c>
    </row>
    <row r="417" spans="5:23" ht="15.75" customHeight="1">
      <c r="E417" s="374"/>
      <c r="F417" s="222" t="s">
        <v>460</v>
      </c>
      <c r="G417" s="223" t="s">
        <v>1535</v>
      </c>
      <c r="H417" s="224" t="str">
        <f t="shared" si="24"/>
        <v>SNA</v>
      </c>
      <c r="I417" s="225" t="str">
        <f t="shared" si="25"/>
        <v>XLI</v>
      </c>
      <c r="J417" s="226" t="str">
        <f t="shared" si="26"/>
        <v>工具及附件</v>
      </c>
      <c r="K417" s="227" t="str">
        <f t="shared" si="27"/>
        <v>.SPX</v>
      </c>
      <c r="L417" s="228">
        <v>0.24729999999999999</v>
      </c>
      <c r="M417" s="229">
        <v>222.95</v>
      </c>
      <c r="N417" s="228">
        <v>0.4093</v>
      </c>
      <c r="O417" s="228">
        <v>0.15859999999999999</v>
      </c>
      <c r="P417" s="228">
        <v>0.43490000000000001</v>
      </c>
      <c r="Q417" s="230">
        <v>0.21859999999999999</v>
      </c>
      <c r="R417" s="231">
        <v>44336</v>
      </c>
      <c r="S417" s="232">
        <v>248.13999938964801</v>
      </c>
      <c r="T417" s="233">
        <v>1.23</v>
      </c>
      <c r="U417" s="234">
        <v>42599</v>
      </c>
      <c r="V417" s="232">
        <v>137.04769897460901</v>
      </c>
      <c r="W417" s="235">
        <v>0.61</v>
      </c>
    </row>
    <row r="418" spans="5:23" ht="15.75" customHeight="1">
      <c r="E418" s="374"/>
      <c r="F418" s="222" t="s">
        <v>49</v>
      </c>
      <c r="G418" s="223" t="s">
        <v>1438</v>
      </c>
      <c r="H418" s="224" t="str">
        <f t="shared" si="24"/>
        <v>SNPS</v>
      </c>
      <c r="I418" s="225" t="str">
        <f t="shared" si="25"/>
        <v>XLK</v>
      </c>
      <c r="J418" s="226" t="str">
        <f t="shared" si="26"/>
        <v>軟件基礎設施</v>
      </c>
      <c r="K418" s="227" t="str">
        <f t="shared" si="27"/>
        <v>.SPX</v>
      </c>
      <c r="L418" s="228">
        <v>0.26219999999999999</v>
      </c>
      <c r="M418" s="229">
        <v>293.2</v>
      </c>
      <c r="N418" s="228">
        <v>0.46929999999999999</v>
      </c>
      <c r="O418" s="228">
        <v>0.13189999999999999</v>
      </c>
      <c r="P418" s="228">
        <v>0.45760000000000001</v>
      </c>
      <c r="Q418" s="230">
        <v>0.21859999999999999</v>
      </c>
      <c r="R418" s="231">
        <v>0</v>
      </c>
      <c r="S418" s="232">
        <v>0</v>
      </c>
      <c r="T418" s="233">
        <v>0</v>
      </c>
      <c r="U418" s="234">
        <v>0</v>
      </c>
      <c r="V418" s="232">
        <v>0</v>
      </c>
      <c r="W418" s="235">
        <v>0</v>
      </c>
    </row>
    <row r="419" spans="5:23" ht="15.75" customHeight="1">
      <c r="E419" s="374"/>
      <c r="F419" s="222" t="s">
        <v>238</v>
      </c>
      <c r="G419" s="223" t="s">
        <v>1443</v>
      </c>
      <c r="H419" s="224" t="str">
        <f t="shared" si="24"/>
        <v>SO</v>
      </c>
      <c r="I419" s="225" t="str">
        <f t="shared" si="25"/>
        <v>XLU</v>
      </c>
      <c r="J419" s="226" t="str">
        <f t="shared" si="26"/>
        <v>公用事業—受監督的電力</v>
      </c>
      <c r="K419" s="227" t="str">
        <f t="shared" si="27"/>
        <v>.SPX</v>
      </c>
      <c r="L419" s="228">
        <v>0.16420000000000001</v>
      </c>
      <c r="M419" s="229">
        <v>64.91</v>
      </c>
      <c r="N419" s="228">
        <v>0.25380000000000003</v>
      </c>
      <c r="O419" s="228">
        <v>0.1227</v>
      </c>
      <c r="P419" s="228">
        <v>0.30790000000000001</v>
      </c>
      <c r="Q419" s="230">
        <v>0.1459</v>
      </c>
      <c r="R419" s="231">
        <v>44330</v>
      </c>
      <c r="S419" s="232">
        <v>65.110000610351506</v>
      </c>
      <c r="T419" s="233">
        <v>0.66</v>
      </c>
      <c r="U419" s="234">
        <v>42593</v>
      </c>
      <c r="V419" s="232">
        <v>42.058303833007798</v>
      </c>
      <c r="W419" s="235">
        <v>0.56000000000000005</v>
      </c>
    </row>
    <row r="420" spans="5:23" ht="15.75" customHeight="1">
      <c r="E420" s="374"/>
      <c r="F420" s="222" t="s">
        <v>387</v>
      </c>
      <c r="G420" s="223" t="s">
        <v>521</v>
      </c>
      <c r="H420" s="224" t="str">
        <f t="shared" si="24"/>
        <v>SPG</v>
      </c>
      <c r="I420" s="225" t="str">
        <f t="shared" si="25"/>
        <v>XLRE</v>
      </c>
      <c r="J420" s="226" t="str">
        <f t="shared" si="26"/>
        <v>-</v>
      </c>
      <c r="K420" s="227" t="str">
        <f t="shared" si="27"/>
        <v>.SPX</v>
      </c>
      <c r="L420" s="228">
        <v>0.31130000000000002</v>
      </c>
      <c r="M420" s="229">
        <v>135.06</v>
      </c>
      <c r="N420" s="228">
        <v>0.9365</v>
      </c>
      <c r="O420" s="228">
        <v>0.22739999999999999</v>
      </c>
      <c r="P420" s="228">
        <v>0.75930000000000009</v>
      </c>
      <c r="Q420" s="230">
        <v>0.26229999999999998</v>
      </c>
      <c r="R420" s="231">
        <v>44378</v>
      </c>
      <c r="S420" s="232">
        <v>131.53999328613199</v>
      </c>
      <c r="T420" s="233">
        <v>1.4</v>
      </c>
      <c r="U420" s="234">
        <v>42597</v>
      </c>
      <c r="V420" s="232">
        <v>168.10356140136699</v>
      </c>
      <c r="W420" s="235">
        <v>1.65</v>
      </c>
    </row>
    <row r="421" spans="5:23" ht="15.75" customHeight="1">
      <c r="E421" s="374"/>
      <c r="F421" s="222" t="s">
        <v>213</v>
      </c>
      <c r="G421" s="223" t="s">
        <v>1486</v>
      </c>
      <c r="H421" s="224" t="str">
        <f t="shared" si="24"/>
        <v>SPGI</v>
      </c>
      <c r="I421" s="225" t="str">
        <f t="shared" si="25"/>
        <v>XLF</v>
      </c>
      <c r="J421" s="226" t="str">
        <f t="shared" si="26"/>
        <v>金融數據與證券交易所</v>
      </c>
      <c r="K421" s="227" t="str">
        <f t="shared" si="27"/>
        <v>.SPX</v>
      </c>
      <c r="L421" s="228">
        <v>0.2089</v>
      </c>
      <c r="M421" s="229">
        <v>441.72</v>
      </c>
      <c r="N421" s="228">
        <v>0.32479999999999998</v>
      </c>
      <c r="O421" s="228">
        <v>0.15029999999999999</v>
      </c>
      <c r="P421" s="228">
        <v>0.38090000000000002</v>
      </c>
      <c r="Q421" s="230">
        <v>0.16750000000000001</v>
      </c>
      <c r="R421" s="231">
        <v>44341</v>
      </c>
      <c r="S421" s="232">
        <v>378.58999633789</v>
      </c>
      <c r="T421" s="233">
        <v>0.77</v>
      </c>
      <c r="U421" s="234">
        <v>42606</v>
      </c>
      <c r="V421" s="232">
        <v>115.354034423828</v>
      </c>
      <c r="W421" s="235">
        <v>0.36</v>
      </c>
    </row>
    <row r="422" spans="5:23" ht="15.75" customHeight="1">
      <c r="E422" s="374"/>
      <c r="F422" s="222" t="s">
        <v>275</v>
      </c>
      <c r="G422" s="223" t="s">
        <v>1444</v>
      </c>
      <c r="H422" s="224" t="str">
        <f t="shared" si="24"/>
        <v>SRE</v>
      </c>
      <c r="I422" s="225" t="str">
        <f t="shared" si="25"/>
        <v>XLU</v>
      </c>
      <c r="J422" s="226" t="str">
        <f t="shared" si="26"/>
        <v>公用事業-多樣化</v>
      </c>
      <c r="K422" s="227" t="str">
        <f t="shared" si="27"/>
        <v>.SPX</v>
      </c>
      <c r="L422" s="228">
        <v>0.2039</v>
      </c>
      <c r="M422" s="229">
        <v>132.99</v>
      </c>
      <c r="N422" s="228">
        <v>0.29870000000000002</v>
      </c>
      <c r="O422" s="228">
        <v>0.1283</v>
      </c>
      <c r="P422" s="228">
        <v>0.38200000000000001</v>
      </c>
      <c r="Q422" s="230">
        <v>0.17180000000000001</v>
      </c>
      <c r="R422" s="231">
        <v>44383</v>
      </c>
      <c r="S422" s="232">
        <v>133.36999511718699</v>
      </c>
      <c r="T422" s="233">
        <v>1.1000000000000001</v>
      </c>
      <c r="U422" s="234">
        <v>42640</v>
      </c>
      <c r="V422" s="232">
        <v>93.083511352539006</v>
      </c>
      <c r="W422" s="235">
        <v>0.755</v>
      </c>
    </row>
    <row r="423" spans="5:23" ht="15.75" customHeight="1">
      <c r="E423" s="374"/>
      <c r="F423" s="222" t="s">
        <v>104</v>
      </c>
      <c r="G423" s="223" t="s">
        <v>1436</v>
      </c>
      <c r="H423" s="224" t="str">
        <f t="shared" si="24"/>
        <v>STE</v>
      </c>
      <c r="I423" s="225" t="str">
        <f t="shared" si="25"/>
        <v>XLV</v>
      </c>
      <c r="J423" s="226" t="str">
        <f t="shared" si="26"/>
        <v>醫療設備</v>
      </c>
      <c r="K423" s="227" t="str">
        <f t="shared" si="27"/>
        <v>.SPX</v>
      </c>
      <c r="L423" s="228">
        <v>0.24030000000000001</v>
      </c>
      <c r="M423" s="229">
        <v>215.53</v>
      </c>
      <c r="N423" s="228">
        <v>0.2923</v>
      </c>
      <c r="O423" s="228">
        <v>0.12330000000000001</v>
      </c>
      <c r="P423" s="228">
        <v>0.4078</v>
      </c>
      <c r="Q423" s="230">
        <v>0.18059999999999998</v>
      </c>
      <c r="R423" s="231">
        <v>44343</v>
      </c>
      <c r="S423" s="232">
        <v>190.88999938964801</v>
      </c>
      <c r="T423" s="233">
        <v>0.4</v>
      </c>
      <c r="U423" s="234">
        <v>42608</v>
      </c>
      <c r="V423" s="232">
        <v>66.402862548828097</v>
      </c>
      <c r="W423" s="235">
        <v>0.28000000000000003</v>
      </c>
    </row>
    <row r="424" spans="5:23" ht="15.75" customHeight="1">
      <c r="E424" s="374"/>
      <c r="F424" s="222" t="s">
        <v>416</v>
      </c>
      <c r="G424" s="223" t="s">
        <v>1455</v>
      </c>
      <c r="H424" s="224" t="str">
        <f t="shared" si="24"/>
        <v>STT</v>
      </c>
      <c r="I424" s="225" t="str">
        <f t="shared" si="25"/>
        <v>XLF</v>
      </c>
      <c r="J424" s="226" t="str">
        <f t="shared" si="26"/>
        <v>資產管理</v>
      </c>
      <c r="K424" s="227" t="str">
        <f t="shared" si="27"/>
        <v>.SPX</v>
      </c>
      <c r="L424" s="228">
        <v>0.26469999999999999</v>
      </c>
      <c r="M424" s="229">
        <v>89.33</v>
      </c>
      <c r="N424" s="228">
        <v>0.52449999999999997</v>
      </c>
      <c r="O424" s="228">
        <v>0.16789999999999999</v>
      </c>
      <c r="P424" s="228">
        <v>0.46329999999999999</v>
      </c>
      <c r="Q424" s="230">
        <v>0.24460000000000001</v>
      </c>
      <c r="R424" s="231">
        <v>44377</v>
      </c>
      <c r="S424" s="232">
        <v>82.279998779296804</v>
      </c>
      <c r="T424" s="233">
        <v>0.52</v>
      </c>
      <c r="U424" s="234">
        <v>42642</v>
      </c>
      <c r="V424" s="232">
        <v>60.710842132568303</v>
      </c>
      <c r="W424" s="235">
        <v>0.38</v>
      </c>
    </row>
    <row r="425" spans="5:23" ht="15.75" customHeight="1">
      <c r="E425" s="374"/>
      <c r="F425" s="222" t="s">
        <v>479</v>
      </c>
      <c r="G425" s="223" t="s">
        <v>1458</v>
      </c>
      <c r="H425" s="224" t="str">
        <f t="shared" si="24"/>
        <v>STX</v>
      </c>
      <c r="I425" s="225" t="str">
        <f t="shared" si="25"/>
        <v>XLK</v>
      </c>
      <c r="J425" s="226" t="str">
        <f t="shared" si="26"/>
        <v>計算機硬件</v>
      </c>
      <c r="K425" s="227" t="str">
        <f t="shared" si="27"/>
        <v>.SPX</v>
      </c>
      <c r="L425" s="228">
        <v>0.30830000000000002</v>
      </c>
      <c r="M425" s="229">
        <v>90.9</v>
      </c>
      <c r="N425" s="228">
        <v>0.58330000000000004</v>
      </c>
      <c r="O425" s="228">
        <v>0.1895</v>
      </c>
      <c r="P425" s="228">
        <v>0.65319999999999989</v>
      </c>
      <c r="Q425" s="230">
        <v>0.26419999999999999</v>
      </c>
      <c r="R425" s="231">
        <v>44327</v>
      </c>
      <c r="S425" s="232">
        <v>86.760002136230398</v>
      </c>
      <c r="T425" s="233">
        <v>0.67</v>
      </c>
      <c r="U425" s="234">
        <v>42632</v>
      </c>
      <c r="V425" s="232">
        <v>28.011070251464801</v>
      </c>
      <c r="W425" s="235">
        <v>0.63</v>
      </c>
    </row>
    <row r="426" spans="5:23" ht="15.75" customHeight="1">
      <c r="E426" s="374"/>
      <c r="F426" s="222" t="s">
        <v>270</v>
      </c>
      <c r="G426" s="223" t="s">
        <v>1473</v>
      </c>
      <c r="H426" s="224" t="str">
        <f t="shared" si="24"/>
        <v>STZ</v>
      </c>
      <c r="I426" s="225" t="str">
        <f t="shared" si="25"/>
        <v>XLP</v>
      </c>
      <c r="J426" s="226" t="str">
        <f t="shared" si="26"/>
        <v>飲料-酒廠和釀酒廠</v>
      </c>
      <c r="K426" s="227" t="str">
        <f t="shared" si="27"/>
        <v>.SPX</v>
      </c>
      <c r="L426" s="228">
        <v>0.1933</v>
      </c>
      <c r="M426" s="229">
        <v>220.28</v>
      </c>
      <c r="N426" s="228">
        <v>0.42130000000000001</v>
      </c>
      <c r="O426" s="228">
        <v>0.1086</v>
      </c>
      <c r="P426" s="228">
        <v>0.43490000000000001</v>
      </c>
      <c r="Q426" s="230">
        <v>0.17749999999999999</v>
      </c>
      <c r="R426" s="231">
        <v>44319</v>
      </c>
      <c r="S426" s="232">
        <v>243.02000427246</v>
      </c>
      <c r="T426" s="233">
        <v>0.76</v>
      </c>
      <c r="U426" s="234">
        <v>42590</v>
      </c>
      <c r="V426" s="232">
        <v>152.39666748046801</v>
      </c>
      <c r="W426" s="235">
        <v>0.4</v>
      </c>
    </row>
    <row r="427" spans="5:23" ht="15.75" customHeight="1">
      <c r="E427" s="374"/>
      <c r="F427" s="222" t="s">
        <v>434</v>
      </c>
      <c r="G427" s="223" t="s">
        <v>1535</v>
      </c>
      <c r="H427" s="224" t="str">
        <f t="shared" si="24"/>
        <v>SWK</v>
      </c>
      <c r="I427" s="225" t="str">
        <f t="shared" si="25"/>
        <v>XLI</v>
      </c>
      <c r="J427" s="226" t="str">
        <f t="shared" si="26"/>
        <v>工具及附件</v>
      </c>
      <c r="K427" s="227" t="str">
        <f t="shared" si="27"/>
        <v>.SPX</v>
      </c>
      <c r="L427" s="228">
        <v>0.21299999999999999</v>
      </c>
      <c r="M427" s="229">
        <v>197.07</v>
      </c>
      <c r="N427" s="228">
        <v>0.31559999999999999</v>
      </c>
      <c r="O427" s="228">
        <v>0.15920000000000001</v>
      </c>
      <c r="P427" s="228">
        <v>0.45829999999999999</v>
      </c>
      <c r="Q427" s="230">
        <v>0.20309999999999997</v>
      </c>
      <c r="R427" s="231">
        <v>44354</v>
      </c>
      <c r="S427" s="232">
        <v>209.14999389648401</v>
      </c>
      <c r="T427" s="233">
        <v>0.7</v>
      </c>
      <c r="U427" s="234">
        <v>42613</v>
      </c>
      <c r="V427" s="232">
        <v>113.633010864257</v>
      </c>
      <c r="W427" s="235">
        <v>0.57999999999999996</v>
      </c>
    </row>
    <row r="428" spans="5:23" ht="15.75" customHeight="1">
      <c r="E428" s="374"/>
      <c r="F428" s="222" t="s">
        <v>217</v>
      </c>
      <c r="G428" s="223" t="s">
        <v>1439</v>
      </c>
      <c r="H428" s="224" t="str">
        <f t="shared" si="24"/>
        <v>SWKS</v>
      </c>
      <c r="I428" s="225" t="str">
        <f t="shared" si="25"/>
        <v>XLK</v>
      </c>
      <c r="J428" s="226" t="str">
        <f t="shared" si="26"/>
        <v>半導體</v>
      </c>
      <c r="K428" s="227" t="str">
        <f t="shared" si="27"/>
        <v>.SPX</v>
      </c>
      <c r="L428" s="228">
        <v>0.28410000000000002</v>
      </c>
      <c r="M428" s="229">
        <v>185.79</v>
      </c>
      <c r="N428" s="228">
        <v>0.63200000000000001</v>
      </c>
      <c r="O428" s="228">
        <v>0.2079</v>
      </c>
      <c r="P428" s="228">
        <v>0.52359999999999995</v>
      </c>
      <c r="Q428" s="230">
        <v>0.2576</v>
      </c>
      <c r="R428" s="231">
        <v>44333</v>
      </c>
      <c r="S428" s="232">
        <v>164.16000366210901</v>
      </c>
      <c r="T428" s="233">
        <v>0.5</v>
      </c>
      <c r="U428" s="234">
        <v>42689</v>
      </c>
      <c r="V428" s="232">
        <v>70.905258178710895</v>
      </c>
      <c r="W428" s="235">
        <v>0.28000000000000003</v>
      </c>
    </row>
    <row r="429" spans="5:23" ht="15.75" customHeight="1">
      <c r="E429" s="374"/>
      <c r="F429" s="222" t="s">
        <v>488</v>
      </c>
      <c r="G429" s="223" t="s">
        <v>1469</v>
      </c>
      <c r="H429" s="224" t="str">
        <f t="shared" si="24"/>
        <v>SYF</v>
      </c>
      <c r="I429" s="225" t="str">
        <f t="shared" si="25"/>
        <v>XLF</v>
      </c>
      <c r="J429" s="226" t="str">
        <f t="shared" si="26"/>
        <v>信貸服務</v>
      </c>
      <c r="K429" s="227" t="str">
        <f t="shared" si="27"/>
        <v>.SPX</v>
      </c>
      <c r="L429" s="228">
        <v>0.31809999999999999</v>
      </c>
      <c r="M429" s="229">
        <v>49.11</v>
      </c>
      <c r="N429" s="228">
        <v>0.54</v>
      </c>
      <c r="O429" s="228">
        <v>0.24379999999999999</v>
      </c>
      <c r="P429" s="228">
        <v>0.61049999999999993</v>
      </c>
      <c r="Q429" s="230">
        <v>0.27600000000000002</v>
      </c>
      <c r="R429" s="231">
        <v>44407</v>
      </c>
      <c r="S429" s="232">
        <v>47.020000457763601</v>
      </c>
      <c r="T429" s="233">
        <v>0.22</v>
      </c>
      <c r="U429" s="234">
        <v>42592</v>
      </c>
      <c r="V429" s="232">
        <v>24.468017578125</v>
      </c>
      <c r="W429" s="235">
        <v>0.13</v>
      </c>
    </row>
    <row r="430" spans="5:23" ht="15.75" customHeight="1">
      <c r="E430" s="374"/>
      <c r="F430" s="222" t="s">
        <v>103</v>
      </c>
      <c r="G430" s="223" t="s">
        <v>1436</v>
      </c>
      <c r="H430" s="224" t="str">
        <f t="shared" si="24"/>
        <v>SYK</v>
      </c>
      <c r="I430" s="225" t="str">
        <f t="shared" si="25"/>
        <v>XLV</v>
      </c>
      <c r="J430" s="226" t="str">
        <f t="shared" si="26"/>
        <v>醫療設備</v>
      </c>
      <c r="K430" s="227" t="str">
        <f t="shared" si="27"/>
        <v>.SPX</v>
      </c>
      <c r="L430" s="228">
        <v>0.20660000000000001</v>
      </c>
      <c r="M430" s="229">
        <v>264.51</v>
      </c>
      <c r="N430" s="228">
        <v>0.39650000000000002</v>
      </c>
      <c r="O430" s="228">
        <v>0.1426</v>
      </c>
      <c r="P430" s="228">
        <v>0.44179999999999997</v>
      </c>
      <c r="Q430" s="230">
        <v>0.18899999999999997</v>
      </c>
      <c r="R430" s="231">
        <v>44376</v>
      </c>
      <c r="S430" s="232">
        <v>260.44000244140602</v>
      </c>
      <c r="T430" s="233">
        <v>0.63</v>
      </c>
      <c r="U430" s="234">
        <v>42641</v>
      </c>
      <c r="V430" s="232">
        <v>110.99348449707</v>
      </c>
      <c r="W430" s="235">
        <v>0.38</v>
      </c>
    </row>
    <row r="431" spans="5:23" ht="15.75" customHeight="1">
      <c r="E431" s="374"/>
      <c r="F431" s="222" t="s">
        <v>372</v>
      </c>
      <c r="G431" s="223" t="s">
        <v>1536</v>
      </c>
      <c r="H431" s="224" t="str">
        <f t="shared" si="24"/>
        <v>SYY</v>
      </c>
      <c r="I431" s="225" t="str">
        <f t="shared" si="25"/>
        <v>XLP</v>
      </c>
      <c r="J431" s="226" t="str">
        <f t="shared" si="26"/>
        <v>食品分銷商</v>
      </c>
      <c r="K431" s="227" t="str">
        <f t="shared" si="27"/>
        <v>.SPX</v>
      </c>
      <c r="L431" s="228">
        <v>0.2944</v>
      </c>
      <c r="M431" s="229">
        <v>73.989999999999995</v>
      </c>
      <c r="N431" s="228">
        <v>0.67490000000000006</v>
      </c>
      <c r="O431" s="228">
        <v>0.1857</v>
      </c>
      <c r="P431" s="228">
        <v>0.50470000000000004</v>
      </c>
      <c r="Q431" s="230">
        <v>0.2082</v>
      </c>
      <c r="R431" s="231">
        <v>44378</v>
      </c>
      <c r="S431" s="232">
        <v>76.819999694824205</v>
      </c>
      <c r="T431" s="233">
        <v>0.47</v>
      </c>
      <c r="U431" s="234">
        <v>42648</v>
      </c>
      <c r="V431" s="232">
        <v>42.407569885253899</v>
      </c>
      <c r="W431" s="235">
        <v>0.31</v>
      </c>
    </row>
    <row r="432" spans="5:23" ht="15.75" customHeight="1">
      <c r="E432" s="374"/>
      <c r="F432" s="222" t="s">
        <v>205</v>
      </c>
      <c r="G432" s="223" t="s">
        <v>1521</v>
      </c>
      <c r="H432" s="224" t="str">
        <f t="shared" si="24"/>
        <v>T</v>
      </c>
      <c r="I432" s="225" t="str">
        <f t="shared" si="25"/>
        <v>XLC</v>
      </c>
      <c r="J432" s="226" t="str">
        <f t="shared" si="26"/>
        <v>電信業務</v>
      </c>
      <c r="K432" s="227" t="str">
        <f t="shared" si="27"/>
        <v>.SPX</v>
      </c>
      <c r="L432" s="228">
        <v>0.17979999999999999</v>
      </c>
      <c r="M432" s="229">
        <v>27.99</v>
      </c>
      <c r="N432" s="228">
        <v>0.27960000000000002</v>
      </c>
      <c r="O432" s="228">
        <v>9.0399999999999994E-2</v>
      </c>
      <c r="P432" s="228">
        <v>0.28760000000000002</v>
      </c>
      <c r="Q432" s="230">
        <v>0.14749999999999999</v>
      </c>
      <c r="R432" s="231">
        <v>44385</v>
      </c>
      <c r="S432" s="232">
        <v>28.1800003051757</v>
      </c>
      <c r="T432" s="233">
        <v>0.52</v>
      </c>
      <c r="U432" s="234">
        <v>42648</v>
      </c>
      <c r="V432" s="232">
        <v>29.415304183959901</v>
      </c>
      <c r="W432" s="235">
        <v>0.48</v>
      </c>
    </row>
    <row r="433" spans="5:23" ht="15.75" customHeight="1">
      <c r="E433" s="374"/>
      <c r="F433" s="222" t="s">
        <v>303</v>
      </c>
      <c r="G433" s="223" t="s">
        <v>1537</v>
      </c>
      <c r="H433" s="224" t="str">
        <f t="shared" si="24"/>
        <v>TAP</v>
      </c>
      <c r="I433" s="225" t="str">
        <f t="shared" si="25"/>
        <v>XLP</v>
      </c>
      <c r="J433" s="226" t="str">
        <f t="shared" si="26"/>
        <v>飲料-啤酒</v>
      </c>
      <c r="K433" s="227" t="str">
        <f t="shared" si="27"/>
        <v>.SPX</v>
      </c>
      <c r="L433" s="228">
        <v>0.2462</v>
      </c>
      <c r="M433" s="229">
        <v>49.16</v>
      </c>
      <c r="N433" s="228">
        <v>0.47970000000000002</v>
      </c>
      <c r="O433" s="228">
        <v>0.1691</v>
      </c>
      <c r="P433" s="228">
        <v>0.51219999999999999</v>
      </c>
      <c r="Q433" s="230">
        <v>0.24600000000000002</v>
      </c>
      <c r="R433" s="231">
        <v>43896</v>
      </c>
      <c r="S433" s="232">
        <v>48.040000915527301</v>
      </c>
      <c r="T433" s="233">
        <v>0.56999999999999995</v>
      </c>
      <c r="U433" s="234">
        <v>42611</v>
      </c>
      <c r="V433" s="232">
        <v>93.9765625</v>
      </c>
      <c r="W433" s="235">
        <v>0.41</v>
      </c>
    </row>
    <row r="434" spans="5:23" ht="15.75" customHeight="1">
      <c r="E434" s="374"/>
      <c r="F434" s="222" t="s">
        <v>366</v>
      </c>
      <c r="G434" s="223" t="s">
        <v>1470</v>
      </c>
      <c r="H434" s="224" t="str">
        <f t="shared" si="24"/>
        <v>TDG</v>
      </c>
      <c r="I434" s="225" t="str">
        <f t="shared" si="25"/>
        <v>XLI</v>
      </c>
      <c r="J434" s="226" t="str">
        <f t="shared" si="26"/>
        <v>航天軍工</v>
      </c>
      <c r="K434" s="227" t="str">
        <f t="shared" si="27"/>
        <v>.SPX</v>
      </c>
      <c r="L434" s="228">
        <v>0.31890000000000002</v>
      </c>
      <c r="M434" s="229">
        <v>624.54999999999995</v>
      </c>
      <c r="N434" s="228">
        <v>0.44119999999999998</v>
      </c>
      <c r="O434" s="228">
        <v>0.18679999999999999</v>
      </c>
      <c r="P434" s="228">
        <v>0.50659999999999994</v>
      </c>
      <c r="Q434" s="230">
        <v>0.22519999999999998</v>
      </c>
      <c r="R434" s="231">
        <v>43826</v>
      </c>
      <c r="S434" s="232">
        <v>563.97998046875</v>
      </c>
      <c r="T434" s="233">
        <v>32.5</v>
      </c>
      <c r="U434" s="234">
        <v>42663</v>
      </c>
      <c r="V434" s="232">
        <v>213.8642578125</v>
      </c>
      <c r="W434" s="235">
        <v>24</v>
      </c>
    </row>
    <row r="435" spans="5:23" ht="15.75" customHeight="1">
      <c r="E435" s="374"/>
      <c r="F435" s="222" t="s">
        <v>196</v>
      </c>
      <c r="G435" s="223" t="s">
        <v>1505</v>
      </c>
      <c r="H435" s="224" t="str">
        <f t="shared" si="24"/>
        <v>TDY</v>
      </c>
      <c r="I435" s="225" t="str">
        <f t="shared" si="25"/>
        <v>XLI</v>
      </c>
      <c r="J435" s="226" t="str">
        <f t="shared" si="26"/>
        <v>科技儀器</v>
      </c>
      <c r="K435" s="227" t="str">
        <f t="shared" si="27"/>
        <v>.SPX</v>
      </c>
      <c r="L435" s="228">
        <v>0.23480000000000001</v>
      </c>
      <c r="M435" s="229">
        <v>454.25</v>
      </c>
      <c r="N435" s="228">
        <v>0.41210000000000002</v>
      </c>
      <c r="O435" s="228">
        <v>0.16980000000000001</v>
      </c>
      <c r="P435" s="228">
        <v>0.40889999999999999</v>
      </c>
      <c r="Q435" s="230">
        <v>0.21820000000000001</v>
      </c>
      <c r="R435" s="231">
        <v>0</v>
      </c>
      <c r="S435" s="232">
        <v>0</v>
      </c>
      <c r="T435" s="233">
        <v>0</v>
      </c>
      <c r="U435" s="234">
        <v>0</v>
      </c>
      <c r="V435" s="232">
        <v>0</v>
      </c>
      <c r="W435" s="235">
        <v>0</v>
      </c>
    </row>
    <row r="436" spans="5:23" ht="15.75" customHeight="1">
      <c r="E436" s="374"/>
      <c r="F436" s="222" t="s">
        <v>151</v>
      </c>
      <c r="G436" s="223" t="s">
        <v>1462</v>
      </c>
      <c r="H436" s="224" t="str">
        <f t="shared" si="24"/>
        <v>TEL</v>
      </c>
      <c r="I436" s="225" t="str">
        <f t="shared" si="25"/>
        <v>XLK</v>
      </c>
      <c r="J436" s="226" t="str">
        <f t="shared" si="26"/>
        <v>電子元件</v>
      </c>
      <c r="K436" s="227" t="str">
        <f t="shared" si="27"/>
        <v>.SPX</v>
      </c>
      <c r="L436" s="228">
        <v>0.24229999999999999</v>
      </c>
      <c r="M436" s="229">
        <v>148.52000000000001</v>
      </c>
      <c r="N436" s="228">
        <v>0.33600000000000002</v>
      </c>
      <c r="O436" s="228">
        <v>0.1764</v>
      </c>
      <c r="P436" s="228">
        <v>0.42560000000000003</v>
      </c>
      <c r="Q436" s="230">
        <v>0.21100000000000002</v>
      </c>
      <c r="R436" s="231">
        <v>44336</v>
      </c>
      <c r="S436" s="232">
        <v>133.5</v>
      </c>
      <c r="T436" s="233">
        <v>0.5</v>
      </c>
      <c r="U436" s="234">
        <v>42606</v>
      </c>
      <c r="V436" s="232">
        <v>57.498104095458899</v>
      </c>
      <c r="W436" s="235">
        <v>0.37</v>
      </c>
    </row>
    <row r="437" spans="5:23" ht="15.75" customHeight="1">
      <c r="E437" s="374"/>
      <c r="F437" s="222" t="s">
        <v>44</v>
      </c>
      <c r="G437" s="223" t="s">
        <v>1452</v>
      </c>
      <c r="H437" s="224" t="str">
        <f t="shared" si="24"/>
        <v>TER</v>
      </c>
      <c r="I437" s="225" t="str">
        <f t="shared" si="25"/>
        <v>XLK</v>
      </c>
      <c r="J437" s="226" t="str">
        <f t="shared" si="26"/>
        <v>半導體設備與材料</v>
      </c>
      <c r="K437" s="227" t="str">
        <f t="shared" si="27"/>
        <v>.SPX</v>
      </c>
      <c r="L437" s="228">
        <v>0.33350000000000002</v>
      </c>
      <c r="M437" s="229">
        <v>126.58</v>
      </c>
      <c r="N437" s="228">
        <v>0.74380000000000002</v>
      </c>
      <c r="O437" s="228">
        <v>0.24829999999999999</v>
      </c>
      <c r="P437" s="228">
        <v>0.54210000000000003</v>
      </c>
      <c r="Q437" s="230">
        <v>0.3201</v>
      </c>
      <c r="R437" s="231">
        <v>44341</v>
      </c>
      <c r="S437" s="232">
        <v>128.52999877929599</v>
      </c>
      <c r="T437" s="233">
        <v>0.1</v>
      </c>
      <c r="U437" s="234">
        <v>42615</v>
      </c>
      <c r="V437" s="232">
        <v>20.5792026519775</v>
      </c>
      <c r="W437" s="235">
        <v>0.06</v>
      </c>
    </row>
    <row r="438" spans="5:23" ht="15.75" customHeight="1">
      <c r="E438" s="374"/>
      <c r="F438" s="222" t="s">
        <v>407</v>
      </c>
      <c r="G438" s="223" t="s">
        <v>1482</v>
      </c>
      <c r="H438" s="224" t="str">
        <f t="shared" si="24"/>
        <v>TFC</v>
      </c>
      <c r="I438" s="225" t="str">
        <f t="shared" si="25"/>
        <v>XLF</v>
      </c>
      <c r="J438" s="226" t="str">
        <f t="shared" si="26"/>
        <v>銀行-區域</v>
      </c>
      <c r="K438" s="227" t="str">
        <f t="shared" si="27"/>
        <v>.SPX</v>
      </c>
      <c r="L438" s="228">
        <v>0.26600000000000001</v>
      </c>
      <c r="M438" s="229">
        <v>56.55</v>
      </c>
      <c r="N438" s="228">
        <v>0.55589999999999995</v>
      </c>
      <c r="O438" s="228">
        <v>0.18179999999999999</v>
      </c>
      <c r="P438" s="228">
        <v>0.47979999999999995</v>
      </c>
      <c r="Q438" s="230">
        <v>0.23860000000000001</v>
      </c>
      <c r="R438" s="231">
        <v>44329</v>
      </c>
      <c r="S438" s="232">
        <v>60.569999694824197</v>
      </c>
      <c r="T438" s="233">
        <v>0.45</v>
      </c>
      <c r="U438" s="234">
        <v>42592</v>
      </c>
      <c r="V438" s="232">
        <v>31.705501556396399</v>
      </c>
      <c r="W438" s="235">
        <v>0.3</v>
      </c>
    </row>
    <row r="439" spans="5:23" ht="15.75" customHeight="1">
      <c r="E439" s="374"/>
      <c r="F439" s="222" t="s">
        <v>170</v>
      </c>
      <c r="G439" s="223" t="s">
        <v>1472</v>
      </c>
      <c r="H439" s="224" t="str">
        <f t="shared" si="24"/>
        <v>TFX</v>
      </c>
      <c r="I439" s="225" t="str">
        <f t="shared" si="25"/>
        <v>XLV</v>
      </c>
      <c r="J439" s="226" t="str">
        <f t="shared" si="26"/>
        <v>醫療器械及用品</v>
      </c>
      <c r="K439" s="227" t="str">
        <f t="shared" si="27"/>
        <v>.SPX</v>
      </c>
      <c r="L439" s="228">
        <v>0.31840000000000002</v>
      </c>
      <c r="M439" s="229">
        <v>378.42</v>
      </c>
      <c r="N439" s="228">
        <v>0.40529999999999999</v>
      </c>
      <c r="O439" s="228">
        <v>0.15490000000000001</v>
      </c>
      <c r="P439" s="228">
        <v>0.45729999999999998</v>
      </c>
      <c r="Q439" s="230">
        <v>0.23499999999999999</v>
      </c>
      <c r="R439" s="231">
        <v>44329</v>
      </c>
      <c r="S439" s="232">
        <v>392.10998535156199</v>
      </c>
      <c r="T439" s="233">
        <v>0.34</v>
      </c>
      <c r="U439" s="234">
        <v>42593</v>
      </c>
      <c r="V439" s="232">
        <v>177.19367980957</v>
      </c>
      <c r="W439" s="235">
        <v>0.34</v>
      </c>
    </row>
    <row r="440" spans="5:23" ht="15.75" customHeight="1">
      <c r="E440" s="374"/>
      <c r="F440" s="222" t="s">
        <v>319</v>
      </c>
      <c r="G440" s="223" t="s">
        <v>1488</v>
      </c>
      <c r="H440" s="224" t="str">
        <f t="shared" si="24"/>
        <v>TGT</v>
      </c>
      <c r="I440" s="225" t="str">
        <f t="shared" si="25"/>
        <v>XLY</v>
      </c>
      <c r="J440" s="226" t="str">
        <f t="shared" si="26"/>
        <v>折扣店</v>
      </c>
      <c r="K440" s="227" t="str">
        <f t="shared" si="27"/>
        <v>.SPX</v>
      </c>
      <c r="L440" s="228">
        <v>0.29630000000000001</v>
      </c>
      <c r="M440" s="229">
        <v>261.39999999999998</v>
      </c>
      <c r="N440" s="228">
        <v>0.40050000000000002</v>
      </c>
      <c r="O440" s="228">
        <v>0.1007</v>
      </c>
      <c r="P440" s="228">
        <v>0.43430000000000002</v>
      </c>
      <c r="Q440" s="230">
        <v>0.16289999999999999</v>
      </c>
      <c r="R440" s="231">
        <v>44334</v>
      </c>
      <c r="S440" s="232">
        <v>206.42999267578099</v>
      </c>
      <c r="T440" s="233">
        <v>0.68</v>
      </c>
      <c r="U440" s="234">
        <v>42597</v>
      </c>
      <c r="V440" s="232">
        <v>65.5982666015625</v>
      </c>
      <c r="W440" s="235">
        <v>0.6</v>
      </c>
    </row>
    <row r="441" spans="5:23" ht="15.75" customHeight="1">
      <c r="E441" s="374"/>
      <c r="F441" s="222" t="s">
        <v>344</v>
      </c>
      <c r="G441" s="223" t="s">
        <v>1506</v>
      </c>
      <c r="H441" s="224" t="str">
        <f t="shared" si="24"/>
        <v>TJX</v>
      </c>
      <c r="I441" s="225" t="str">
        <f t="shared" si="25"/>
        <v>XLY</v>
      </c>
      <c r="J441" s="226" t="str">
        <f t="shared" si="26"/>
        <v>服裝零售</v>
      </c>
      <c r="K441" s="227" t="str">
        <f t="shared" si="27"/>
        <v>.SPX</v>
      </c>
      <c r="L441" s="228">
        <v>0.26550000000000001</v>
      </c>
      <c r="M441" s="229">
        <v>68.58</v>
      </c>
      <c r="N441" s="228">
        <v>0.50690000000000002</v>
      </c>
      <c r="O441" s="228">
        <v>0.17150000000000001</v>
      </c>
      <c r="P441" s="228">
        <v>0.48460000000000003</v>
      </c>
      <c r="Q441" s="230">
        <v>0.19289999999999999</v>
      </c>
      <c r="R441" s="231">
        <v>44328</v>
      </c>
      <c r="S441" s="232">
        <v>69.529998779296804</v>
      </c>
      <c r="T441" s="233">
        <v>0.26</v>
      </c>
      <c r="U441" s="234">
        <v>42591</v>
      </c>
      <c r="V441" s="232">
        <v>37.946037292480398</v>
      </c>
      <c r="W441" s="235">
        <v>0.13</v>
      </c>
    </row>
    <row r="442" spans="5:23" ht="15.75" customHeight="1">
      <c r="E442" s="374"/>
      <c r="F442" s="222" t="s">
        <v>29</v>
      </c>
      <c r="G442" s="223" t="s">
        <v>1430</v>
      </c>
      <c r="H442" s="224" t="str">
        <f t="shared" si="24"/>
        <v>TMO</v>
      </c>
      <c r="I442" s="225" t="str">
        <f t="shared" si="25"/>
        <v>XLV</v>
      </c>
      <c r="J442" s="226" t="str">
        <f t="shared" si="26"/>
        <v>診斷與研究</v>
      </c>
      <c r="K442" s="227" t="str">
        <f t="shared" si="27"/>
        <v>.SPX</v>
      </c>
      <c r="L442" s="228">
        <v>0.21299999999999999</v>
      </c>
      <c r="M442" s="229">
        <v>542.35</v>
      </c>
      <c r="N442" s="228">
        <v>0.40839999999999999</v>
      </c>
      <c r="O442" s="228">
        <v>0.14610000000000001</v>
      </c>
      <c r="P442" s="228">
        <v>0.38040000000000002</v>
      </c>
      <c r="Q442" s="230">
        <v>0.20199999999999999</v>
      </c>
      <c r="R442" s="231">
        <v>44361</v>
      </c>
      <c r="S442" s="232">
        <v>470.07000732421801</v>
      </c>
      <c r="T442" s="233">
        <v>0.26</v>
      </c>
      <c r="U442" s="234">
        <v>42626</v>
      </c>
      <c r="V442" s="232">
        <v>143.19500732421801</v>
      </c>
      <c r="W442" s="235">
        <v>0.15</v>
      </c>
    </row>
    <row r="443" spans="5:23" ht="15.75" customHeight="1">
      <c r="E443" s="374"/>
      <c r="F443" s="222" t="s">
        <v>356</v>
      </c>
      <c r="G443" s="223" t="s">
        <v>1521</v>
      </c>
      <c r="H443" s="224" t="str">
        <f t="shared" si="24"/>
        <v>TMUS</v>
      </c>
      <c r="I443" s="225" t="str">
        <f t="shared" si="25"/>
        <v>XLC</v>
      </c>
      <c r="J443" s="226" t="str">
        <f t="shared" si="26"/>
        <v>電信業務</v>
      </c>
      <c r="K443" s="227" t="str">
        <f t="shared" si="27"/>
        <v>.SPX</v>
      </c>
      <c r="L443" s="228">
        <v>0.1963</v>
      </c>
      <c r="M443" s="229">
        <v>141.93</v>
      </c>
      <c r="N443" s="228">
        <v>0.36709999999999998</v>
      </c>
      <c r="O443" s="228">
        <v>0.112</v>
      </c>
      <c r="P443" s="228">
        <v>0.46060000000000001</v>
      </c>
      <c r="Q443" s="230">
        <v>0.16829999999999998</v>
      </c>
      <c r="R443" s="231">
        <v>0</v>
      </c>
      <c r="S443" s="232">
        <v>0</v>
      </c>
      <c r="T443" s="233">
        <v>0</v>
      </c>
      <c r="U443" s="234">
        <v>0</v>
      </c>
      <c r="V443" s="232">
        <v>0</v>
      </c>
      <c r="W443" s="235">
        <v>0</v>
      </c>
    </row>
    <row r="444" spans="5:23" ht="15.75" customHeight="1">
      <c r="E444" s="374"/>
      <c r="F444" s="222" t="s">
        <v>464</v>
      </c>
      <c r="G444" s="223" t="s">
        <v>1538</v>
      </c>
      <c r="H444" s="224" t="str">
        <f t="shared" si="24"/>
        <v>TPR</v>
      </c>
      <c r="I444" s="225" t="str">
        <f t="shared" si="25"/>
        <v>XLY</v>
      </c>
      <c r="J444" s="226" t="str">
        <f t="shared" si="26"/>
        <v>奢侈品</v>
      </c>
      <c r="K444" s="227" t="str">
        <f t="shared" si="27"/>
        <v>.SPX</v>
      </c>
      <c r="L444" s="228">
        <v>0.4642</v>
      </c>
      <c r="M444" s="229">
        <v>43.64</v>
      </c>
      <c r="N444" s="228">
        <v>0.57530000000000003</v>
      </c>
      <c r="O444" s="228">
        <v>0.30080000000000001</v>
      </c>
      <c r="P444" s="228">
        <v>0.76029999999999998</v>
      </c>
      <c r="Q444" s="230">
        <v>0.35520000000000002</v>
      </c>
      <c r="R444" s="231">
        <v>43895</v>
      </c>
      <c r="S444" s="232">
        <v>22.2199993133544</v>
      </c>
      <c r="T444" s="233">
        <v>0.33800000000000002</v>
      </c>
      <c r="U444" s="234">
        <v>42621</v>
      </c>
      <c r="V444" s="232">
        <v>32.676876068115199</v>
      </c>
      <c r="W444" s="235">
        <v>0.33800000000000002</v>
      </c>
    </row>
    <row r="445" spans="5:23" ht="15.75" customHeight="1">
      <c r="E445" s="374"/>
      <c r="F445" s="222" t="s">
        <v>177</v>
      </c>
      <c r="G445" s="223" t="s">
        <v>1505</v>
      </c>
      <c r="H445" s="224" t="str">
        <f t="shared" si="24"/>
        <v>TRMB</v>
      </c>
      <c r="I445" s="225" t="str">
        <f t="shared" si="25"/>
        <v>XLK</v>
      </c>
      <c r="J445" s="226" t="str">
        <f t="shared" si="26"/>
        <v>科技儀器</v>
      </c>
      <c r="K445" s="227" t="str">
        <f t="shared" si="27"/>
        <v>.SPX</v>
      </c>
      <c r="L445" s="228">
        <v>0.28939999999999999</v>
      </c>
      <c r="M445" s="229">
        <v>89.42</v>
      </c>
      <c r="N445" s="228">
        <v>0.42899999999999999</v>
      </c>
      <c r="O445" s="228">
        <v>0.13700000000000001</v>
      </c>
      <c r="P445" s="228">
        <v>0.58130000000000004</v>
      </c>
      <c r="Q445" s="230">
        <v>0.25190000000000001</v>
      </c>
      <c r="R445" s="231">
        <v>0</v>
      </c>
      <c r="S445" s="232">
        <v>0</v>
      </c>
      <c r="T445" s="233">
        <v>0</v>
      </c>
      <c r="U445" s="234">
        <v>0</v>
      </c>
      <c r="V445" s="232">
        <v>0</v>
      </c>
      <c r="W445" s="235">
        <v>0</v>
      </c>
    </row>
    <row r="446" spans="5:23" ht="15.75" customHeight="1">
      <c r="E446" s="374"/>
      <c r="F446" s="222" t="s">
        <v>448</v>
      </c>
      <c r="G446" s="223" t="s">
        <v>1455</v>
      </c>
      <c r="H446" s="224" t="str">
        <f t="shared" si="24"/>
        <v>TROW</v>
      </c>
      <c r="I446" s="225" t="str">
        <f t="shared" si="25"/>
        <v>XLF</v>
      </c>
      <c r="J446" s="226" t="str">
        <f t="shared" si="26"/>
        <v>資產管理</v>
      </c>
      <c r="K446" s="227" t="str">
        <f t="shared" si="27"/>
        <v>.SPX</v>
      </c>
      <c r="L446" s="228">
        <v>0.23300000000000001</v>
      </c>
      <c r="M446" s="229">
        <v>212.27</v>
      </c>
      <c r="N446" s="228">
        <v>0.34799999999999998</v>
      </c>
      <c r="O446" s="228">
        <v>0.14299999999999999</v>
      </c>
      <c r="P446" s="228">
        <v>0.38619999999999999</v>
      </c>
      <c r="Q446" s="230">
        <v>0.20100000000000001</v>
      </c>
      <c r="R446" s="231">
        <v>44371</v>
      </c>
      <c r="S446" s="232">
        <v>195.13999938964801</v>
      </c>
      <c r="T446" s="233">
        <v>3</v>
      </c>
      <c r="U446" s="234">
        <v>42626</v>
      </c>
      <c r="V446" s="232">
        <v>58.2191352844238</v>
      </c>
      <c r="W446" s="235">
        <v>0.54</v>
      </c>
    </row>
    <row r="447" spans="5:23" ht="15.75" customHeight="1">
      <c r="E447" s="374"/>
      <c r="F447" s="222" t="s">
        <v>352</v>
      </c>
      <c r="G447" s="223" t="s">
        <v>1450</v>
      </c>
      <c r="H447" s="224" t="str">
        <f t="shared" si="24"/>
        <v>TRV</v>
      </c>
      <c r="I447" s="225" t="str">
        <f t="shared" si="25"/>
        <v>XLF</v>
      </c>
      <c r="J447" s="226" t="str">
        <f t="shared" si="26"/>
        <v>保險-財產及意外事故</v>
      </c>
      <c r="K447" s="227" t="str">
        <f t="shared" si="27"/>
        <v>.SPX</v>
      </c>
      <c r="L447" s="228">
        <v>0.2074</v>
      </c>
      <c r="M447" s="229">
        <v>152.22999999999999</v>
      </c>
      <c r="N447" s="228">
        <v>0.3861</v>
      </c>
      <c r="O447" s="228">
        <v>0.1575</v>
      </c>
      <c r="P447" s="228">
        <v>0.39460000000000001</v>
      </c>
      <c r="Q447" s="230">
        <v>0.18629999999999999</v>
      </c>
      <c r="R447" s="231">
        <v>44356</v>
      </c>
      <c r="S447" s="232">
        <v>154.74000549316401</v>
      </c>
      <c r="T447" s="233">
        <v>0.88</v>
      </c>
      <c r="U447" s="234">
        <v>42620</v>
      </c>
      <c r="V447" s="232">
        <v>106.027702331542</v>
      </c>
      <c r="W447" s="235">
        <v>0.67</v>
      </c>
    </row>
    <row r="448" spans="5:23" ht="15.75" customHeight="1">
      <c r="E448" s="374"/>
      <c r="F448" s="222" t="s">
        <v>371</v>
      </c>
      <c r="G448" s="223" t="s">
        <v>1432</v>
      </c>
      <c r="H448" s="224" t="str">
        <f t="shared" si="24"/>
        <v>TSCO</v>
      </c>
      <c r="I448" s="225" t="str">
        <f t="shared" si="25"/>
        <v>XLY</v>
      </c>
      <c r="J448" s="226" t="str">
        <f t="shared" si="26"/>
        <v>專業零售</v>
      </c>
      <c r="K448" s="227" t="str">
        <f t="shared" si="27"/>
        <v>.SPX</v>
      </c>
      <c r="L448" s="228">
        <v>0.24490000000000001</v>
      </c>
      <c r="M448" s="229">
        <v>188.07</v>
      </c>
      <c r="N448" s="228">
        <v>0.43330000000000002</v>
      </c>
      <c r="O448" s="228">
        <v>0.1978</v>
      </c>
      <c r="P448" s="228">
        <v>0.40810000000000002</v>
      </c>
      <c r="Q448" s="230">
        <v>0.23129999999999998</v>
      </c>
      <c r="R448" s="231">
        <v>44337</v>
      </c>
      <c r="S448" s="232">
        <v>183.33999633789</v>
      </c>
      <c r="T448" s="233">
        <v>0.52</v>
      </c>
      <c r="U448" s="234">
        <v>42593</v>
      </c>
      <c r="V448" s="232">
        <v>80.538475036621094</v>
      </c>
      <c r="W448" s="235">
        <v>0.24</v>
      </c>
    </row>
    <row r="449" spans="5:23" ht="15.75" customHeight="1">
      <c r="E449" s="374"/>
      <c r="F449" s="222" t="s">
        <v>72</v>
      </c>
      <c r="G449" s="223" t="s">
        <v>1500</v>
      </c>
      <c r="H449" s="224" t="str">
        <f t="shared" si="24"/>
        <v>TSLA</v>
      </c>
      <c r="I449" s="225" t="str">
        <f t="shared" si="25"/>
        <v>XLY</v>
      </c>
      <c r="J449" s="226" t="str">
        <f t="shared" si="26"/>
        <v>汽車製造商</v>
      </c>
      <c r="K449" s="227" t="str">
        <f t="shared" si="27"/>
        <v>.SPX</v>
      </c>
      <c r="L449" s="228">
        <v>0.43919999999999998</v>
      </c>
      <c r="M449" s="229">
        <v>714.63</v>
      </c>
      <c r="N449" s="228">
        <v>1.2194</v>
      </c>
      <c r="O449" s="228">
        <v>0.31519999999999998</v>
      </c>
      <c r="P449" s="228">
        <v>1.3216999999999999</v>
      </c>
      <c r="Q449" s="230">
        <v>0.42770000000000002</v>
      </c>
      <c r="R449" s="231">
        <v>44074</v>
      </c>
      <c r="S449" s="232">
        <v>498.32000732421801</v>
      </c>
      <c r="T449" s="233">
        <v>0</v>
      </c>
      <c r="U449" s="234">
        <v>44074</v>
      </c>
      <c r="V449" s="232">
        <v>498.32000732421801</v>
      </c>
      <c r="W449" s="235">
        <v>0</v>
      </c>
    </row>
    <row r="450" spans="5:23" ht="15.75" customHeight="1">
      <c r="E450" s="374"/>
      <c r="F450" s="222" t="s">
        <v>363</v>
      </c>
      <c r="G450" s="223" t="s">
        <v>1440</v>
      </c>
      <c r="H450" s="224" t="str">
        <f t="shared" si="24"/>
        <v>TSN</v>
      </c>
      <c r="I450" s="225" t="str">
        <f t="shared" si="25"/>
        <v>XLP</v>
      </c>
      <c r="J450" s="226" t="str">
        <f t="shared" si="26"/>
        <v>農產品</v>
      </c>
      <c r="K450" s="227" t="str">
        <f t="shared" si="27"/>
        <v>.SPX</v>
      </c>
      <c r="L450" s="228">
        <v>0.25419999999999998</v>
      </c>
      <c r="M450" s="229">
        <v>70.14</v>
      </c>
      <c r="N450" s="228">
        <v>0.35049999999999998</v>
      </c>
      <c r="O450" s="228">
        <v>0.1159</v>
      </c>
      <c r="P450" s="228">
        <v>0.44579999999999997</v>
      </c>
      <c r="Q450" s="230">
        <v>0.187</v>
      </c>
      <c r="R450" s="231">
        <v>44344</v>
      </c>
      <c r="S450" s="232">
        <v>79.5</v>
      </c>
      <c r="T450" s="233">
        <v>0.44500000000000001</v>
      </c>
      <c r="U450" s="234">
        <v>42612</v>
      </c>
      <c r="V450" s="232">
        <v>68.497184753417898</v>
      </c>
      <c r="W450" s="235">
        <v>0.15</v>
      </c>
    </row>
    <row r="451" spans="5:23" ht="15.75" customHeight="1">
      <c r="E451" s="374"/>
      <c r="F451" s="222" t="s">
        <v>176</v>
      </c>
      <c r="G451" s="223" t="s">
        <v>1454</v>
      </c>
      <c r="H451" s="224" t="str">
        <f t="shared" si="24"/>
        <v>TT</v>
      </c>
      <c r="I451" s="225" t="str">
        <f t="shared" si="25"/>
        <v>XLI</v>
      </c>
      <c r="J451" s="226" t="str">
        <f t="shared" si="26"/>
        <v>特種工業機械</v>
      </c>
      <c r="K451" s="227" t="str">
        <f t="shared" si="27"/>
        <v>.SPX</v>
      </c>
      <c r="L451" s="228">
        <v>0.23849999999999999</v>
      </c>
      <c r="M451" s="229">
        <v>195.43</v>
      </c>
      <c r="N451" s="228">
        <v>0.36130000000000001</v>
      </c>
      <c r="O451" s="228">
        <v>0.17050000000000001</v>
      </c>
      <c r="P451" s="228">
        <v>0.4042</v>
      </c>
      <c r="Q451" s="230">
        <v>0.20660000000000001</v>
      </c>
      <c r="R451" s="231">
        <v>44350</v>
      </c>
      <c r="S451" s="232">
        <v>183.36000061035099</v>
      </c>
      <c r="T451" s="233">
        <v>0.59</v>
      </c>
      <c r="U451" s="234">
        <v>42620</v>
      </c>
      <c r="V451" s="232">
        <v>47.606475830078097</v>
      </c>
      <c r="W451" s="235">
        <v>0.248254</v>
      </c>
    </row>
    <row r="452" spans="5:23" ht="15.75" customHeight="1">
      <c r="E452" s="374"/>
      <c r="F452" s="222" t="s">
        <v>179</v>
      </c>
      <c r="G452" s="223" t="s">
        <v>1466</v>
      </c>
      <c r="H452" s="224" t="str">
        <f t="shared" ref="H452:H508" si="28">IF(F452="","",F452)</f>
        <v>TTWO</v>
      </c>
      <c r="I452" s="225" t="str">
        <f t="shared" ref="I452:I515" si="29">IFERROR(INDEX($X$3:$AH$3,IF(IFERROR(MATCH(H452,X:X,0),0)&lt;&gt;0,1,IF(IFERROR(MATCH(H452,Y:Y,0),0)&lt;&gt;0,2,IF(IFERROR(MATCH(H452,Z:Z,0),0)&lt;&gt;0,3,IF(IFERROR(MATCH(H452,AA:AA,0),0)&lt;&gt;0,4,IF(IFERROR(MATCH(H452,AB:AB,0),0)&lt;&gt;0,5,IF(IFERROR(MATCH(H452,AC:AC,0),0)&lt;&gt;0,6,IF(IFERROR(MATCH(H452,AD:AD,0),0)&lt;&gt;0,7,IF(IFERROR(MATCH(H452,AE:AE,0),0)&lt;&gt;0,8,IF(IFERROR(MATCH(H452,AF:AF,0),0)&lt;&gt;0,9,IF(IFERROR(MATCH(H452,AG:AG,0),0)&lt;&gt;0,10,IF(IFERROR(MATCH(H452,AH:AH,0),0)&lt;&gt;0,11,"Z")))))))))))),"")</f>
        <v>XLC</v>
      </c>
      <c r="J452" s="226" t="str">
        <f t="shared" ref="J452:J520" si="30">IF(G452="","",G452)</f>
        <v>電子游戲與多媒體</v>
      </c>
      <c r="K452" s="227" t="str">
        <f t="shared" si="27"/>
        <v>.SPX</v>
      </c>
      <c r="L452" s="228">
        <v>0.28689999999999999</v>
      </c>
      <c r="M452" s="229">
        <v>156.78</v>
      </c>
      <c r="N452" s="228">
        <v>0.44319999999999998</v>
      </c>
      <c r="O452" s="228">
        <v>0.16750000000000001</v>
      </c>
      <c r="P452" s="228">
        <v>0.505</v>
      </c>
      <c r="Q452" s="230">
        <v>0.2336</v>
      </c>
      <c r="R452" s="231">
        <v>0</v>
      </c>
      <c r="S452" s="232">
        <v>0</v>
      </c>
      <c r="T452" s="233">
        <v>0</v>
      </c>
      <c r="U452" s="234">
        <v>0</v>
      </c>
      <c r="V452" s="232">
        <v>0</v>
      </c>
      <c r="W452" s="235">
        <v>0</v>
      </c>
    </row>
    <row r="453" spans="5:23" ht="15.75" customHeight="1">
      <c r="E453" s="374"/>
      <c r="F453" s="222" t="s">
        <v>143</v>
      </c>
      <c r="G453" s="223" t="s">
        <v>1502</v>
      </c>
      <c r="H453" s="224" t="str">
        <f t="shared" si="28"/>
        <v>TWTR</v>
      </c>
      <c r="I453" s="225" t="str">
        <f t="shared" si="29"/>
        <v>XLC</v>
      </c>
      <c r="J453" s="226" t="str">
        <f t="shared" si="30"/>
        <v>互聯網內容與信息</v>
      </c>
      <c r="K453" s="227" t="str">
        <f t="shared" ref="K453:K516" si="31">IF(H453="","",".SPX")</f>
        <v>.SPX</v>
      </c>
      <c r="L453" s="228">
        <v>0.3569</v>
      </c>
      <c r="M453" s="229">
        <v>69.28</v>
      </c>
      <c r="N453" s="228">
        <v>0.91490000000000005</v>
      </c>
      <c r="O453" s="228">
        <v>0.2301</v>
      </c>
      <c r="P453" s="228">
        <v>0.90459999999999996</v>
      </c>
      <c r="Q453" s="230">
        <v>0.34429999999999999</v>
      </c>
      <c r="R453" s="231">
        <v>0</v>
      </c>
      <c r="S453" s="232">
        <v>0</v>
      </c>
      <c r="T453" s="233">
        <v>0</v>
      </c>
      <c r="U453" s="234">
        <v>0</v>
      </c>
      <c r="V453" s="232">
        <v>0</v>
      </c>
      <c r="W453" s="235">
        <v>0</v>
      </c>
    </row>
    <row r="454" spans="5:23" ht="15.75" customHeight="1">
      <c r="E454" s="374"/>
      <c r="F454" s="222" t="s">
        <v>161</v>
      </c>
      <c r="G454" s="223" t="s">
        <v>1439</v>
      </c>
      <c r="H454" s="224" t="str">
        <f t="shared" si="28"/>
        <v>TXN</v>
      </c>
      <c r="I454" s="225" t="str">
        <f t="shared" si="29"/>
        <v>XLK</v>
      </c>
      <c r="J454" s="226" t="str">
        <f t="shared" si="30"/>
        <v>半導體</v>
      </c>
      <c r="K454" s="227" t="str">
        <f t="shared" si="31"/>
        <v>.SPX</v>
      </c>
      <c r="L454" s="228">
        <v>0.2223</v>
      </c>
      <c r="M454" s="229">
        <v>193.16</v>
      </c>
      <c r="N454" s="228">
        <v>0.4526</v>
      </c>
      <c r="O454" s="228">
        <v>0.1537</v>
      </c>
      <c r="P454" s="228">
        <v>0.41090000000000004</v>
      </c>
      <c r="Q454" s="230">
        <v>0.19589999999999999</v>
      </c>
      <c r="R454" s="231">
        <v>44400</v>
      </c>
      <c r="S454" s="232">
        <v>186.850006103515</v>
      </c>
      <c r="T454" s="233">
        <v>1.02</v>
      </c>
      <c r="U454" s="234">
        <v>42677</v>
      </c>
      <c r="V454" s="232">
        <v>59.9602661132812</v>
      </c>
      <c r="W454" s="235">
        <v>0.5</v>
      </c>
    </row>
    <row r="455" spans="5:23" ht="15.75" customHeight="1">
      <c r="E455" s="374"/>
      <c r="F455" s="222" t="s">
        <v>426</v>
      </c>
      <c r="G455" s="223" t="s">
        <v>1470</v>
      </c>
      <c r="H455" s="224" t="str">
        <f t="shared" si="28"/>
        <v>TXT</v>
      </c>
      <c r="I455" s="225" t="str">
        <f t="shared" si="29"/>
        <v>XLI</v>
      </c>
      <c r="J455" s="226" t="str">
        <f t="shared" si="30"/>
        <v>航天軍工</v>
      </c>
      <c r="K455" s="227" t="str">
        <f t="shared" si="31"/>
        <v>.SPX</v>
      </c>
      <c r="L455" s="228">
        <v>0.28870000000000001</v>
      </c>
      <c r="M455" s="229">
        <v>71.709999999999994</v>
      </c>
      <c r="N455" s="228">
        <v>0.56440000000000001</v>
      </c>
      <c r="O455" s="228">
        <v>0.1802</v>
      </c>
      <c r="P455" s="228">
        <v>0.55610000000000004</v>
      </c>
      <c r="Q455" s="230">
        <v>0.26590000000000003</v>
      </c>
      <c r="R455" s="231">
        <v>44357</v>
      </c>
      <c r="S455" s="232">
        <v>68.220001220703097</v>
      </c>
      <c r="T455" s="233">
        <v>0.02</v>
      </c>
      <c r="U455" s="234">
        <v>42620</v>
      </c>
      <c r="V455" s="232">
        <v>40.493133544921797</v>
      </c>
      <c r="W455" s="235">
        <v>0.02</v>
      </c>
    </row>
    <row r="456" spans="5:23" ht="15.75" customHeight="1">
      <c r="E456" s="374"/>
      <c r="F456" s="222" t="s">
        <v>67</v>
      </c>
      <c r="G456" s="223" t="s">
        <v>1442</v>
      </c>
      <c r="H456" s="224" t="str">
        <f t="shared" si="28"/>
        <v>TYL</v>
      </c>
      <c r="I456" s="225" t="str">
        <f t="shared" si="29"/>
        <v>XLK</v>
      </c>
      <c r="J456" s="226" t="str">
        <f t="shared" si="30"/>
        <v>軟件-應用</v>
      </c>
      <c r="K456" s="227" t="str">
        <f t="shared" si="31"/>
        <v>.SPX</v>
      </c>
      <c r="L456" s="228">
        <v>0.23219999999999999</v>
      </c>
      <c r="M456" s="229">
        <v>493.99</v>
      </c>
      <c r="N456" s="228">
        <v>0.58540000000000003</v>
      </c>
      <c r="O456" s="228">
        <v>0.12759999999999999</v>
      </c>
      <c r="P456" s="228">
        <v>0.4536</v>
      </c>
      <c r="Q456" s="230">
        <v>0.21789999999999998</v>
      </c>
      <c r="R456" s="231">
        <v>0</v>
      </c>
      <c r="S456" s="232">
        <v>0</v>
      </c>
      <c r="T456" s="233">
        <v>0</v>
      </c>
      <c r="U456" s="234">
        <v>0</v>
      </c>
      <c r="V456" s="232">
        <v>0</v>
      </c>
      <c r="W456" s="235">
        <v>0</v>
      </c>
    </row>
    <row r="457" spans="5:23" ht="15.75" customHeight="1">
      <c r="E457" s="374"/>
      <c r="F457" s="222" t="s">
        <v>484</v>
      </c>
      <c r="G457" s="223" t="s">
        <v>1509</v>
      </c>
      <c r="H457" s="224" t="str">
        <f t="shared" si="28"/>
        <v>UA</v>
      </c>
      <c r="I457" s="225" t="str">
        <f t="shared" si="29"/>
        <v>XLY</v>
      </c>
      <c r="J457" s="226" t="str">
        <f t="shared" si="30"/>
        <v>服裝製造</v>
      </c>
      <c r="K457" s="227" t="str">
        <f t="shared" si="31"/>
        <v>.SPX</v>
      </c>
      <c r="L457" s="228">
        <v>0.39660000000000001</v>
      </c>
      <c r="M457" s="229">
        <v>21.23</v>
      </c>
      <c r="N457" s="228">
        <v>0.63239999999999996</v>
      </c>
      <c r="O457" s="228">
        <v>0.26290000000000002</v>
      </c>
      <c r="P457" s="228">
        <v>0.91799999999999993</v>
      </c>
      <c r="Q457" s="230">
        <v>0.3579</v>
      </c>
      <c r="R457" s="231">
        <v>0</v>
      </c>
      <c r="S457" s="232">
        <v>0</v>
      </c>
      <c r="T457" s="233">
        <v>0</v>
      </c>
      <c r="U457" s="234">
        <v>0</v>
      </c>
      <c r="V457" s="232">
        <v>0</v>
      </c>
      <c r="W457" s="235">
        <v>0</v>
      </c>
    </row>
    <row r="458" spans="5:23" ht="15.75" customHeight="1">
      <c r="E458" s="374"/>
      <c r="F458" s="222" t="s">
        <v>458</v>
      </c>
      <c r="G458" s="223" t="s">
        <v>1509</v>
      </c>
      <c r="H458" s="224" t="str">
        <f t="shared" si="28"/>
        <v>UAA</v>
      </c>
      <c r="I458" s="225" t="str">
        <f t="shared" si="29"/>
        <v>XLY</v>
      </c>
      <c r="J458" s="226" t="str">
        <f t="shared" si="30"/>
        <v>服裝製造</v>
      </c>
      <c r="K458" s="227" t="str">
        <f t="shared" si="31"/>
        <v>.SPX</v>
      </c>
      <c r="L458" s="228">
        <v>0.3947</v>
      </c>
      <c r="M458" s="229">
        <v>24.81</v>
      </c>
      <c r="N458" s="228">
        <v>0.67410000000000003</v>
      </c>
      <c r="O458" s="228">
        <v>0.28539999999999999</v>
      </c>
      <c r="P458" s="228">
        <v>0.82730000000000004</v>
      </c>
      <c r="Q458" s="230">
        <v>0.3574</v>
      </c>
      <c r="R458" s="231">
        <v>0</v>
      </c>
      <c r="S458" s="232">
        <v>0</v>
      </c>
      <c r="T458" s="233">
        <v>0</v>
      </c>
      <c r="U458" s="234">
        <v>0</v>
      </c>
      <c r="V458" s="232">
        <v>0</v>
      </c>
      <c r="W458" s="235">
        <v>0</v>
      </c>
    </row>
    <row r="459" spans="5:23" ht="15.75" customHeight="1">
      <c r="E459" s="374"/>
      <c r="F459" s="222" t="s">
        <v>469</v>
      </c>
      <c r="G459" s="223" t="s">
        <v>1431</v>
      </c>
      <c r="H459" s="224" t="str">
        <f t="shared" si="28"/>
        <v>UAL</v>
      </c>
      <c r="I459" s="225" t="str">
        <f t="shared" si="29"/>
        <v>XLI</v>
      </c>
      <c r="J459" s="226" t="str">
        <f t="shared" si="30"/>
        <v>航空公司</v>
      </c>
      <c r="K459" s="227" t="str">
        <f t="shared" si="31"/>
        <v>.SPX</v>
      </c>
      <c r="L459" s="228">
        <v>0.44500000000000001</v>
      </c>
      <c r="M459" s="229">
        <v>47.24</v>
      </c>
      <c r="N459" s="228">
        <v>0.78890000000000005</v>
      </c>
      <c r="O459" s="228">
        <v>0.24490000000000001</v>
      </c>
      <c r="P459" s="228">
        <v>0.95979999999999999</v>
      </c>
      <c r="Q459" s="230">
        <v>0.36479999999999996</v>
      </c>
      <c r="R459" s="231">
        <v>0</v>
      </c>
      <c r="S459" s="232">
        <v>0</v>
      </c>
      <c r="T459" s="233">
        <v>0</v>
      </c>
      <c r="U459" s="234">
        <v>0</v>
      </c>
      <c r="V459" s="232">
        <v>0</v>
      </c>
      <c r="W459" s="235">
        <v>0</v>
      </c>
    </row>
    <row r="460" spans="5:23" ht="15.75" customHeight="1">
      <c r="E460" s="374"/>
      <c r="F460" s="222" t="s">
        <v>135</v>
      </c>
      <c r="G460" s="223" t="s">
        <v>521</v>
      </c>
      <c r="H460" s="224" t="str">
        <f t="shared" si="28"/>
        <v>UDR</v>
      </c>
      <c r="I460" s="225" t="str">
        <f t="shared" si="29"/>
        <v>XLRE</v>
      </c>
      <c r="J460" s="226" t="str">
        <f t="shared" si="30"/>
        <v>-</v>
      </c>
      <c r="K460" s="227" t="str">
        <f t="shared" si="31"/>
        <v>.SPX</v>
      </c>
      <c r="L460" s="228">
        <v>0.2102</v>
      </c>
      <c r="M460" s="229">
        <v>55.46</v>
      </c>
      <c r="N460" s="228">
        <v>0.57020000000000004</v>
      </c>
      <c r="O460" s="228">
        <v>0.13339999999999999</v>
      </c>
      <c r="P460" s="228">
        <v>0.47159999999999996</v>
      </c>
      <c r="Q460" s="230">
        <v>0.1605</v>
      </c>
      <c r="R460" s="231">
        <v>44386</v>
      </c>
      <c r="S460" s="232">
        <v>51.959999084472599</v>
      </c>
      <c r="T460" s="233">
        <v>0.36299999999999999</v>
      </c>
      <c r="U460" s="234">
        <v>42649</v>
      </c>
      <c r="V460" s="232">
        <v>28.753776550292901</v>
      </c>
      <c r="W460" s="235">
        <v>0.29499999999999998</v>
      </c>
    </row>
    <row r="461" spans="5:23" ht="15.75" customHeight="1">
      <c r="E461" s="374"/>
      <c r="F461" s="222" t="s">
        <v>297</v>
      </c>
      <c r="G461" s="223" t="s">
        <v>1497</v>
      </c>
      <c r="H461" s="224" t="str">
        <f t="shared" si="28"/>
        <v>UHS</v>
      </c>
      <c r="I461" s="225" t="str">
        <f t="shared" si="29"/>
        <v>XLV</v>
      </c>
      <c r="J461" s="226" t="str">
        <f t="shared" si="30"/>
        <v>醫療設施</v>
      </c>
      <c r="K461" s="227" t="str">
        <f t="shared" si="31"/>
        <v>.SPX</v>
      </c>
      <c r="L461" s="228">
        <v>0.27610000000000001</v>
      </c>
      <c r="M461" s="229">
        <v>152.88</v>
      </c>
      <c r="N461" s="228">
        <v>0.48959999999999998</v>
      </c>
      <c r="O461" s="228">
        <v>0.1439</v>
      </c>
      <c r="P461" s="228">
        <v>0.61729999999999996</v>
      </c>
      <c r="Q461" s="230">
        <v>0.22760000000000002</v>
      </c>
      <c r="R461" s="231">
        <v>44348</v>
      </c>
      <c r="S461" s="232">
        <v>160.52999877929599</v>
      </c>
      <c r="T461" s="233">
        <v>0.2</v>
      </c>
      <c r="U461" s="234">
        <v>42612</v>
      </c>
      <c r="V461" s="232">
        <v>119.07787322998</v>
      </c>
      <c r="W461" s="235">
        <v>0.1</v>
      </c>
    </row>
    <row r="462" spans="5:23" ht="15.75" customHeight="1">
      <c r="E462" s="374"/>
      <c r="F462" s="222" t="s">
        <v>328</v>
      </c>
      <c r="G462" s="223" t="s">
        <v>1432</v>
      </c>
      <c r="H462" s="224" t="str">
        <f t="shared" si="28"/>
        <v>ULTA</v>
      </c>
      <c r="I462" s="225" t="str">
        <f t="shared" si="29"/>
        <v>XLY</v>
      </c>
      <c r="J462" s="226" t="str">
        <f t="shared" si="30"/>
        <v>專業零售</v>
      </c>
      <c r="K462" s="227" t="str">
        <f t="shared" si="31"/>
        <v>.SPX</v>
      </c>
      <c r="L462" s="228">
        <v>0.40510000000000002</v>
      </c>
      <c r="M462" s="229">
        <v>351.65</v>
      </c>
      <c r="N462" s="228">
        <v>0.63770000000000004</v>
      </c>
      <c r="O462" s="228">
        <v>0.19689999999999999</v>
      </c>
      <c r="P462" s="228">
        <v>0.62709999999999999</v>
      </c>
      <c r="Q462" s="230">
        <v>0.26250000000000001</v>
      </c>
      <c r="R462" s="231">
        <v>0</v>
      </c>
      <c r="S462" s="232">
        <v>0</v>
      </c>
      <c r="T462" s="233">
        <v>0</v>
      </c>
      <c r="U462" s="234">
        <v>0</v>
      </c>
      <c r="V462" s="232">
        <v>0</v>
      </c>
      <c r="W462" s="235">
        <v>0</v>
      </c>
    </row>
    <row r="463" spans="5:23" ht="15.75" customHeight="1">
      <c r="E463" s="374"/>
      <c r="F463" s="222" t="s">
        <v>292</v>
      </c>
      <c r="G463" s="223" t="s">
        <v>1459</v>
      </c>
      <c r="H463" s="224" t="str">
        <f t="shared" si="28"/>
        <v>UNH</v>
      </c>
      <c r="I463" s="225" t="str">
        <f t="shared" si="29"/>
        <v>XLV</v>
      </c>
      <c r="J463" s="226" t="str">
        <f t="shared" si="30"/>
        <v>醫療保健計劃</v>
      </c>
      <c r="K463" s="227" t="str">
        <f t="shared" si="31"/>
        <v>.SPX</v>
      </c>
      <c r="L463" s="228">
        <v>0.1963</v>
      </c>
      <c r="M463" s="229">
        <v>411.19</v>
      </c>
      <c r="N463" s="228">
        <v>0.38869999999999999</v>
      </c>
      <c r="O463" s="228">
        <v>0.11749999999999999</v>
      </c>
      <c r="P463" s="228">
        <v>0.4017</v>
      </c>
      <c r="Q463" s="230">
        <v>0.17280000000000001</v>
      </c>
      <c r="R463" s="231">
        <v>44365</v>
      </c>
      <c r="S463" s="232">
        <v>389.36999511718699</v>
      </c>
      <c r="T463" s="233">
        <v>1.45</v>
      </c>
      <c r="U463" s="234">
        <v>42620</v>
      </c>
      <c r="V463" s="232">
        <v>125.528854370117</v>
      </c>
      <c r="W463" s="235">
        <v>0.625</v>
      </c>
    </row>
    <row r="464" spans="5:23" ht="15.75" customHeight="1">
      <c r="E464" s="374"/>
      <c r="F464" s="222" t="s">
        <v>486</v>
      </c>
      <c r="G464" s="223" t="s">
        <v>1445</v>
      </c>
      <c r="H464" s="224" t="str">
        <f t="shared" si="28"/>
        <v>UNM</v>
      </c>
      <c r="I464" s="225" t="str">
        <f t="shared" si="29"/>
        <v>XLF</v>
      </c>
      <c r="J464" s="226" t="str">
        <f t="shared" si="30"/>
        <v>保險-人壽保險</v>
      </c>
      <c r="K464" s="227" t="str">
        <f t="shared" si="31"/>
        <v>.SPX</v>
      </c>
      <c r="L464" s="228">
        <v>0.33760000000000001</v>
      </c>
      <c r="M464" s="229">
        <v>26.39</v>
      </c>
      <c r="N464" s="228">
        <v>0.74570000000000003</v>
      </c>
      <c r="O464" s="228">
        <v>0.26319999999999999</v>
      </c>
      <c r="P464" s="228">
        <v>0.58840000000000003</v>
      </c>
      <c r="Q464" s="230">
        <v>0.2792</v>
      </c>
      <c r="R464" s="231">
        <v>44406</v>
      </c>
      <c r="S464" s="232">
        <v>27.659999847412099</v>
      </c>
      <c r="T464" s="233">
        <v>0.3</v>
      </c>
      <c r="U464" s="234">
        <v>42670</v>
      </c>
      <c r="V464" s="232">
        <v>30.540695190429599</v>
      </c>
      <c r="W464" s="235">
        <v>0.2</v>
      </c>
    </row>
    <row r="465" spans="5:23" ht="15.75" customHeight="1">
      <c r="E465" s="374"/>
      <c r="F465" s="222" t="s">
        <v>393</v>
      </c>
      <c r="G465" s="223" t="s">
        <v>1491</v>
      </c>
      <c r="H465" s="224" t="str">
        <f t="shared" si="28"/>
        <v>UNP</v>
      </c>
      <c r="I465" s="225" t="str">
        <f t="shared" si="29"/>
        <v>XLI</v>
      </c>
      <c r="J465" s="226" t="str">
        <f t="shared" si="30"/>
        <v>鐵路</v>
      </c>
      <c r="K465" s="227" t="str">
        <f t="shared" si="31"/>
        <v>.SPX</v>
      </c>
      <c r="L465" s="228">
        <v>0.1923</v>
      </c>
      <c r="M465" s="229">
        <v>219.16</v>
      </c>
      <c r="N465" s="228">
        <v>0.36359999999999998</v>
      </c>
      <c r="O465" s="228">
        <v>0.12379999999999999</v>
      </c>
      <c r="P465" s="228">
        <v>0.38679999999999998</v>
      </c>
      <c r="Q465" s="230">
        <v>0.17019999999999999</v>
      </c>
      <c r="R465" s="231">
        <v>44343</v>
      </c>
      <c r="S465" s="232">
        <v>223.89999389648401</v>
      </c>
      <c r="T465" s="233">
        <v>1.07</v>
      </c>
      <c r="U465" s="234">
        <v>42611</v>
      </c>
      <c r="V465" s="232">
        <v>86.737144470214801</v>
      </c>
      <c r="W465" s="235">
        <v>0.55000000000000004</v>
      </c>
    </row>
    <row r="466" spans="5:23" ht="15.75" customHeight="1">
      <c r="E466" s="374"/>
      <c r="F466" s="222" t="s">
        <v>132</v>
      </c>
      <c r="G466" s="223" t="s">
        <v>1484</v>
      </c>
      <c r="H466" s="224" t="str">
        <f t="shared" si="28"/>
        <v>UPS</v>
      </c>
      <c r="I466" s="225" t="str">
        <f t="shared" si="29"/>
        <v>XLI</v>
      </c>
      <c r="J466" s="226" t="str">
        <f t="shared" si="30"/>
        <v>綜合貨運物流</v>
      </c>
      <c r="K466" s="227" t="str">
        <f t="shared" si="31"/>
        <v>.SPX</v>
      </c>
      <c r="L466" s="228">
        <v>0.2117</v>
      </c>
      <c r="M466" s="229">
        <v>192.68</v>
      </c>
      <c r="N466" s="228">
        <v>0.49890000000000001</v>
      </c>
      <c r="O466" s="228">
        <v>0.14399999999999999</v>
      </c>
      <c r="P466" s="228">
        <v>0.51880000000000004</v>
      </c>
      <c r="Q466" s="230">
        <v>0.19329999999999997</v>
      </c>
      <c r="R466" s="231">
        <v>44337</v>
      </c>
      <c r="S466" s="232">
        <v>211.86999511718699</v>
      </c>
      <c r="T466" s="233">
        <v>1.02</v>
      </c>
      <c r="U466" s="234">
        <v>42594</v>
      </c>
      <c r="V466" s="232">
        <v>94.812355041503906</v>
      </c>
      <c r="W466" s="235">
        <v>0.78</v>
      </c>
    </row>
    <row r="467" spans="5:23" ht="15.75" customHeight="1">
      <c r="E467" s="374"/>
      <c r="F467" s="222" t="s">
        <v>515</v>
      </c>
      <c r="G467" s="223" t="s">
        <v>1539</v>
      </c>
      <c r="H467" s="224" t="str">
        <f t="shared" si="28"/>
        <v>URI</v>
      </c>
      <c r="I467" s="225" t="str">
        <f t="shared" si="29"/>
        <v>XLI</v>
      </c>
      <c r="J467" s="226" t="str">
        <f t="shared" si="30"/>
        <v>租賃服務</v>
      </c>
      <c r="K467" s="227" t="str">
        <f t="shared" si="31"/>
        <v>.SPX</v>
      </c>
      <c r="L467" s="228">
        <v>0.33729999999999999</v>
      </c>
      <c r="M467" s="229">
        <v>325.39</v>
      </c>
      <c r="N467" s="228">
        <v>0.6371</v>
      </c>
      <c r="O467" s="228">
        <v>0.26750000000000002</v>
      </c>
      <c r="P467" s="228">
        <v>0.53410000000000002</v>
      </c>
      <c r="Q467" s="230">
        <v>0.3125</v>
      </c>
      <c r="R467" s="231">
        <v>0</v>
      </c>
      <c r="S467" s="232">
        <v>0</v>
      </c>
      <c r="T467" s="233">
        <v>0</v>
      </c>
      <c r="U467" s="234">
        <v>0</v>
      </c>
      <c r="V467" s="232">
        <v>0</v>
      </c>
      <c r="W467" s="235">
        <v>0</v>
      </c>
    </row>
    <row r="468" spans="5:23" ht="15.75" customHeight="1">
      <c r="E468" s="374"/>
      <c r="F468" s="222" t="s">
        <v>413</v>
      </c>
      <c r="G468" s="223" t="s">
        <v>1482</v>
      </c>
      <c r="H468" s="224" t="str">
        <f t="shared" si="28"/>
        <v>USB</v>
      </c>
      <c r="I468" s="225" t="str">
        <f t="shared" si="29"/>
        <v>XLF</v>
      </c>
      <c r="J468" s="226" t="str">
        <f t="shared" si="30"/>
        <v>銀行-區域</v>
      </c>
      <c r="K468" s="227" t="str">
        <f t="shared" si="31"/>
        <v>.SPX</v>
      </c>
      <c r="L468" s="228">
        <v>0.25519999999999998</v>
      </c>
      <c r="M468" s="229">
        <v>56.6</v>
      </c>
      <c r="N468" s="228">
        <v>0.51929999999999998</v>
      </c>
      <c r="O468" s="228">
        <v>0.17949999999999999</v>
      </c>
      <c r="P468" s="228">
        <v>0.46240000000000003</v>
      </c>
      <c r="Q468" s="230">
        <v>0.22159999999999999</v>
      </c>
      <c r="R468" s="231">
        <v>44376</v>
      </c>
      <c r="S468" s="232">
        <v>56.659999847412102</v>
      </c>
      <c r="T468" s="233">
        <v>0.42</v>
      </c>
      <c r="U468" s="234">
        <v>42641</v>
      </c>
      <c r="V468" s="232">
        <v>37.098365783691399</v>
      </c>
      <c r="W468" s="235">
        <v>0.28000000000000003</v>
      </c>
    </row>
    <row r="469" spans="5:23" ht="15.75" customHeight="1">
      <c r="E469" s="374"/>
      <c r="F469" s="222" t="s">
        <v>188</v>
      </c>
      <c r="G469" s="223" t="s">
        <v>1469</v>
      </c>
      <c r="H469" s="224" t="str">
        <f t="shared" si="28"/>
        <v>V</v>
      </c>
      <c r="I469" s="225" t="str">
        <f t="shared" si="29"/>
        <v>XLK</v>
      </c>
      <c r="J469" s="226" t="str">
        <f t="shared" si="30"/>
        <v>信貸服務</v>
      </c>
      <c r="K469" s="227" t="str">
        <f t="shared" si="31"/>
        <v>.SPX</v>
      </c>
      <c r="L469" s="228">
        <v>0.20019999999999999</v>
      </c>
      <c r="M469" s="229">
        <v>240.21</v>
      </c>
      <c r="N469" s="228">
        <v>0.3387</v>
      </c>
      <c r="O469" s="228">
        <v>0.1203</v>
      </c>
      <c r="P469" s="228">
        <v>0.37259999999999999</v>
      </c>
      <c r="Q469" s="230">
        <v>0.18309999999999998</v>
      </c>
      <c r="R469" s="231">
        <v>44329</v>
      </c>
      <c r="S469" s="232">
        <v>223.74000549316401</v>
      </c>
      <c r="T469" s="233">
        <v>0.32</v>
      </c>
      <c r="U469" s="234">
        <v>42599</v>
      </c>
      <c r="V469" s="232">
        <v>78.346366882324205</v>
      </c>
      <c r="W469" s="235">
        <v>0.14000000000000001</v>
      </c>
    </row>
    <row r="470" spans="5:23" ht="15.75" customHeight="1">
      <c r="E470" s="374"/>
      <c r="F470" s="222" t="s">
        <v>288</v>
      </c>
      <c r="G470" s="223" t="s">
        <v>1509</v>
      </c>
      <c r="H470" s="224" t="str">
        <f t="shared" si="28"/>
        <v>VFC</v>
      </c>
      <c r="I470" s="225" t="str">
        <f t="shared" si="29"/>
        <v>XLY</v>
      </c>
      <c r="J470" s="226" t="str">
        <f t="shared" si="30"/>
        <v>服裝製造</v>
      </c>
      <c r="K470" s="227" t="str">
        <f t="shared" si="31"/>
        <v>.SPX</v>
      </c>
      <c r="L470" s="228">
        <v>0.26779999999999998</v>
      </c>
      <c r="M470" s="229">
        <v>81.09</v>
      </c>
      <c r="N470" s="228">
        <v>0.48880000000000001</v>
      </c>
      <c r="O470" s="228">
        <v>0.21179999999999999</v>
      </c>
      <c r="P470" s="228">
        <v>0.49030000000000001</v>
      </c>
      <c r="Q470" s="230">
        <v>0.22510000000000002</v>
      </c>
      <c r="R470" s="231">
        <v>44356</v>
      </c>
      <c r="S470" s="232">
        <v>78.459999084472599</v>
      </c>
      <c r="T470" s="233">
        <v>0.49</v>
      </c>
      <c r="U470" s="234">
        <v>42620</v>
      </c>
      <c r="V470" s="232">
        <v>50.596965789794901</v>
      </c>
      <c r="W470" s="235">
        <v>0.34839900000000001</v>
      </c>
    </row>
    <row r="471" spans="5:23" ht="15.75" customHeight="1">
      <c r="E471" s="374"/>
      <c r="F471" s="222" t="s">
        <v>472</v>
      </c>
      <c r="G471" s="223" t="s">
        <v>1485</v>
      </c>
      <c r="H471" s="224" t="str">
        <f t="shared" si="28"/>
        <v>VIAC</v>
      </c>
      <c r="I471" s="225" t="str">
        <f t="shared" si="29"/>
        <v>XLC</v>
      </c>
      <c r="J471" s="226" t="str">
        <f t="shared" si="30"/>
        <v>娛樂</v>
      </c>
      <c r="K471" s="227" t="str">
        <f t="shared" si="31"/>
        <v>.SPX</v>
      </c>
      <c r="L471" s="228">
        <v>0.39069999999999999</v>
      </c>
      <c r="M471" s="229">
        <v>41.8</v>
      </c>
      <c r="N471" s="228">
        <v>1.4275</v>
      </c>
      <c r="O471" s="228">
        <v>0.22509999999999999</v>
      </c>
      <c r="P471" s="228">
        <v>1.0688</v>
      </c>
      <c r="Q471" s="230">
        <v>0.35240000000000005</v>
      </c>
      <c r="R471" s="231">
        <v>44361</v>
      </c>
      <c r="S471" s="232">
        <v>42.630001068115199</v>
      </c>
      <c r="T471" s="233">
        <v>0.24</v>
      </c>
      <c r="U471" s="234">
        <v>42620</v>
      </c>
      <c r="V471" s="232">
        <v>48.155025482177699</v>
      </c>
      <c r="W471" s="235">
        <v>0.18</v>
      </c>
    </row>
    <row r="472" spans="5:23" ht="15.75" customHeight="1">
      <c r="E472" s="374"/>
      <c r="F472" s="222" t="s">
        <v>298</v>
      </c>
      <c r="G472" s="223" t="s">
        <v>1524</v>
      </c>
      <c r="H472" s="224" t="str">
        <f t="shared" si="28"/>
        <v>VLO</v>
      </c>
      <c r="I472" s="225" t="str">
        <f t="shared" si="29"/>
        <v>XLE</v>
      </c>
      <c r="J472" s="226" t="str">
        <f t="shared" si="30"/>
        <v>油氣煉製與營銷</v>
      </c>
      <c r="K472" s="227" t="str">
        <f t="shared" si="31"/>
        <v>.SPX</v>
      </c>
      <c r="L472" s="228">
        <v>0.37609999999999999</v>
      </c>
      <c r="M472" s="229">
        <v>65.709999999999994</v>
      </c>
      <c r="N472" s="228">
        <v>1.0476000000000001</v>
      </c>
      <c r="O472" s="228">
        <v>0.26869999999999999</v>
      </c>
      <c r="P472" s="228">
        <v>0.7016</v>
      </c>
      <c r="Q472" s="230">
        <v>0.32590000000000002</v>
      </c>
      <c r="R472" s="231">
        <v>44412</v>
      </c>
      <c r="S472" s="232">
        <v>64.180000305175696</v>
      </c>
      <c r="T472" s="233">
        <v>0.98</v>
      </c>
      <c r="U472" s="234">
        <v>42591</v>
      </c>
      <c r="V472" s="232">
        <v>41.772556304931598</v>
      </c>
      <c r="W472" s="235">
        <v>0.6</v>
      </c>
    </row>
    <row r="473" spans="5:23" ht="15.75" customHeight="1">
      <c r="E473" s="374"/>
      <c r="F473" s="222" t="s">
        <v>508</v>
      </c>
      <c r="G473" s="223" t="s">
        <v>1522</v>
      </c>
      <c r="H473" s="224" t="str">
        <f t="shared" si="28"/>
        <v>VMC</v>
      </c>
      <c r="I473" s="225" t="str">
        <f t="shared" si="29"/>
        <v>XLB</v>
      </c>
      <c r="J473" s="226" t="str">
        <f t="shared" si="30"/>
        <v>建築材料</v>
      </c>
      <c r="K473" s="227" t="str">
        <f t="shared" si="31"/>
        <v>.SPX</v>
      </c>
      <c r="L473" s="228">
        <v>0.25090000000000001</v>
      </c>
      <c r="M473" s="229">
        <v>180.34</v>
      </c>
      <c r="N473" s="228">
        <v>0.4415</v>
      </c>
      <c r="O473" s="228">
        <v>0.18720000000000001</v>
      </c>
      <c r="P473" s="228">
        <v>0.4955</v>
      </c>
      <c r="Q473" s="230">
        <v>0.22190000000000001</v>
      </c>
      <c r="R473" s="231">
        <v>44343</v>
      </c>
      <c r="S473" s="232">
        <v>185.52999877929599</v>
      </c>
      <c r="T473" s="233">
        <v>0.37</v>
      </c>
      <c r="U473" s="234">
        <v>42604</v>
      </c>
      <c r="V473" s="232">
        <v>113.7505569458</v>
      </c>
      <c r="W473" s="235">
        <v>0.2</v>
      </c>
    </row>
    <row r="474" spans="5:23" ht="15.75" customHeight="1">
      <c r="E474" s="374"/>
      <c r="F474" s="222" t="s">
        <v>285</v>
      </c>
      <c r="G474" s="223" t="s">
        <v>1464</v>
      </c>
      <c r="H474" s="224" t="str">
        <f t="shared" si="28"/>
        <v>VNO</v>
      </c>
      <c r="I474" s="225" t="str">
        <f t="shared" si="29"/>
        <v>XLRE</v>
      </c>
      <c r="J474" s="226" t="str">
        <f t="shared" si="30"/>
        <v>REIT-辦公室</v>
      </c>
      <c r="K474" s="227" t="str">
        <f t="shared" si="31"/>
        <v>.SPX</v>
      </c>
      <c r="L474" s="228">
        <v>0.33239999999999997</v>
      </c>
      <c r="M474" s="229">
        <v>42.56</v>
      </c>
      <c r="N474" s="228">
        <v>0.91859999999999997</v>
      </c>
      <c r="O474" s="228">
        <v>0.2495</v>
      </c>
      <c r="P474" s="228">
        <v>0.59240000000000004</v>
      </c>
      <c r="Q474" s="230">
        <v>0.28670000000000001</v>
      </c>
      <c r="R474" s="231">
        <v>44323</v>
      </c>
      <c r="S474" s="232">
        <v>46.009998321533203</v>
      </c>
      <c r="T474" s="233">
        <v>0.53</v>
      </c>
      <c r="U474" s="234">
        <v>42677</v>
      </c>
      <c r="V474" s="232">
        <v>56.315929412841797</v>
      </c>
      <c r="W474" s="235">
        <v>0.509297</v>
      </c>
    </row>
    <row r="475" spans="5:23" ht="15.75" customHeight="1">
      <c r="E475" s="374"/>
      <c r="F475" s="222" t="s">
        <v>216</v>
      </c>
      <c r="G475" s="223" t="s">
        <v>1498</v>
      </c>
      <c r="H475" s="224" t="str">
        <f t="shared" si="28"/>
        <v>VRSK</v>
      </c>
      <c r="I475" s="225" t="str">
        <f t="shared" si="29"/>
        <v>XLI</v>
      </c>
      <c r="J475" s="226" t="str">
        <f t="shared" si="30"/>
        <v>咨詢服務</v>
      </c>
      <c r="K475" s="227" t="str">
        <f t="shared" si="31"/>
        <v>.SPX</v>
      </c>
      <c r="L475" s="228">
        <v>0.20019999999999999</v>
      </c>
      <c r="M475" s="229">
        <v>189.91</v>
      </c>
      <c r="N475" s="228">
        <v>0.38569999999999999</v>
      </c>
      <c r="O475" s="228">
        <v>0.14269999999999999</v>
      </c>
      <c r="P475" s="228">
        <v>0.35520000000000002</v>
      </c>
      <c r="Q475" s="230">
        <v>0.18</v>
      </c>
      <c r="R475" s="231">
        <v>44361</v>
      </c>
      <c r="S475" s="232">
        <v>173.27000427246</v>
      </c>
      <c r="T475" s="233">
        <v>0.28999999999999998</v>
      </c>
      <c r="U475" s="234">
        <v>43538</v>
      </c>
      <c r="V475" s="232">
        <v>126.25830078125</v>
      </c>
      <c r="W475" s="235">
        <v>0.25</v>
      </c>
    </row>
    <row r="476" spans="5:23" ht="15.75" customHeight="1">
      <c r="E476" s="374"/>
      <c r="F476" s="222" t="s">
        <v>97</v>
      </c>
      <c r="G476" s="223" t="s">
        <v>1438</v>
      </c>
      <c r="H476" s="224" t="str">
        <f t="shared" si="28"/>
        <v>VRSN</v>
      </c>
      <c r="I476" s="225" t="str">
        <f t="shared" si="29"/>
        <v>XLK</v>
      </c>
      <c r="J476" s="226" t="str">
        <f t="shared" si="30"/>
        <v>軟件基礎設施</v>
      </c>
      <c r="K476" s="227" t="str">
        <f t="shared" si="31"/>
        <v>.SPX</v>
      </c>
      <c r="L476" s="228">
        <v>0.20830000000000001</v>
      </c>
      <c r="M476" s="229">
        <v>214.87</v>
      </c>
      <c r="N476" s="228">
        <v>0.32250000000000001</v>
      </c>
      <c r="O476" s="228">
        <v>0.12659999999999999</v>
      </c>
      <c r="P476" s="228">
        <v>0.3901</v>
      </c>
      <c r="Q476" s="230">
        <v>0.18090000000000001</v>
      </c>
      <c r="R476" s="231">
        <v>0</v>
      </c>
      <c r="S476" s="232">
        <v>0</v>
      </c>
      <c r="T476" s="233">
        <v>0</v>
      </c>
      <c r="U476" s="234">
        <v>0</v>
      </c>
      <c r="V476" s="232">
        <v>0</v>
      </c>
      <c r="W476" s="235">
        <v>0</v>
      </c>
    </row>
    <row r="477" spans="5:23" ht="15.75" customHeight="1">
      <c r="E477" s="374"/>
      <c r="F477" s="222" t="s">
        <v>92</v>
      </c>
      <c r="G477" s="223" t="s">
        <v>1514</v>
      </c>
      <c r="H477" s="224" t="str">
        <f t="shared" si="28"/>
        <v>VRTX</v>
      </c>
      <c r="I477" s="225" t="str">
        <f t="shared" si="29"/>
        <v>XLV</v>
      </c>
      <c r="J477" s="226" t="str">
        <f t="shared" si="30"/>
        <v>生物技術</v>
      </c>
      <c r="K477" s="227" t="str">
        <f t="shared" si="31"/>
        <v>.SPX</v>
      </c>
      <c r="L477" s="228">
        <v>0.25219999999999998</v>
      </c>
      <c r="M477" s="229">
        <v>202.99</v>
      </c>
      <c r="N477" s="228">
        <v>0.74480000000000002</v>
      </c>
      <c r="O477" s="228">
        <v>0.1497</v>
      </c>
      <c r="P477" s="228">
        <v>0.50259999999999994</v>
      </c>
      <c r="Q477" s="230">
        <v>0.22469999999999998</v>
      </c>
      <c r="R477" s="231">
        <v>0</v>
      </c>
      <c r="S477" s="232">
        <v>0</v>
      </c>
      <c r="T477" s="233">
        <v>0</v>
      </c>
      <c r="U477" s="234">
        <v>0</v>
      </c>
      <c r="V477" s="232">
        <v>0</v>
      </c>
      <c r="W477" s="235">
        <v>0</v>
      </c>
    </row>
    <row r="478" spans="5:23" ht="15.75" customHeight="1">
      <c r="E478" s="374"/>
      <c r="F478" s="222" t="s">
        <v>301</v>
      </c>
      <c r="G478" s="223" t="s">
        <v>1531</v>
      </c>
      <c r="H478" s="224" t="str">
        <f t="shared" si="28"/>
        <v>VTR</v>
      </c>
      <c r="I478" s="225" t="str">
        <f t="shared" si="29"/>
        <v>XLRE</v>
      </c>
      <c r="J478" s="226" t="str">
        <f t="shared" si="30"/>
        <v>REIT-保健設施</v>
      </c>
      <c r="K478" s="227" t="str">
        <f t="shared" si="31"/>
        <v>.SPX</v>
      </c>
      <c r="L478" s="228">
        <v>0.29399999999999998</v>
      </c>
      <c r="M478" s="229">
        <v>59.08</v>
      </c>
      <c r="N478" s="228">
        <v>0.65310000000000001</v>
      </c>
      <c r="O478" s="228">
        <v>0.17</v>
      </c>
      <c r="P478" s="228">
        <v>0.63380000000000003</v>
      </c>
      <c r="Q478" s="230">
        <v>0.22140000000000001</v>
      </c>
      <c r="R478" s="231">
        <v>44377</v>
      </c>
      <c r="S478" s="232">
        <v>57.099998474121001</v>
      </c>
      <c r="T478" s="233">
        <v>0.45</v>
      </c>
      <c r="U478" s="234">
        <v>42626</v>
      </c>
      <c r="V478" s="232">
        <v>52.786334991455</v>
      </c>
      <c r="W478" s="235">
        <v>0.73</v>
      </c>
    </row>
    <row r="479" spans="5:23" ht="15.75" customHeight="1">
      <c r="E479" s="374"/>
      <c r="F479" s="222" t="s">
        <v>57</v>
      </c>
      <c r="G479" s="223" t="s">
        <v>1492</v>
      </c>
      <c r="H479" s="224" t="str">
        <f t="shared" si="28"/>
        <v>VTRS</v>
      </c>
      <c r="I479" s="225" t="str">
        <f t="shared" si="29"/>
        <v>XLV</v>
      </c>
      <c r="J479" s="226" t="str">
        <f t="shared" si="30"/>
        <v>藥品製造商-專業和通用</v>
      </c>
      <c r="K479" s="227" t="str">
        <f t="shared" si="31"/>
        <v>.SPX</v>
      </c>
      <c r="L479" s="228">
        <v>0.39179999999999998</v>
      </c>
      <c r="M479" s="229">
        <v>13.93</v>
      </c>
      <c r="N479" s="228">
        <v>0.55189999999999995</v>
      </c>
      <c r="O479" s="228">
        <v>0.21820000000000001</v>
      </c>
      <c r="P479" s="228">
        <v>0.6048</v>
      </c>
      <c r="Q479" s="230">
        <v>0.24</v>
      </c>
      <c r="R479" s="231">
        <v>44337</v>
      </c>
      <c r="S479" s="232">
        <v>15.310000419616699</v>
      </c>
      <c r="T479" s="233">
        <v>0.11</v>
      </c>
      <c r="U479" s="234">
        <v>44337</v>
      </c>
      <c r="V479" s="232">
        <v>15.310000419616699</v>
      </c>
      <c r="W479" s="235">
        <v>0.11</v>
      </c>
    </row>
    <row r="480" spans="5:23" ht="15.75" customHeight="1">
      <c r="E480" s="374"/>
      <c r="F480" s="222" t="s">
        <v>221</v>
      </c>
      <c r="G480" s="223" t="s">
        <v>1521</v>
      </c>
      <c r="H480" s="224" t="str">
        <f t="shared" si="28"/>
        <v>VZ</v>
      </c>
      <c r="I480" s="225" t="str">
        <f t="shared" si="29"/>
        <v>XLC</v>
      </c>
      <c r="J480" s="226" t="str">
        <f t="shared" si="30"/>
        <v>電信業務</v>
      </c>
      <c r="K480" s="227" t="str">
        <f t="shared" si="31"/>
        <v>.SPX</v>
      </c>
      <c r="L480" s="228">
        <v>0.1212</v>
      </c>
      <c r="M480" s="229">
        <v>55.38</v>
      </c>
      <c r="N480" s="228">
        <v>0.2407</v>
      </c>
      <c r="O480" s="228">
        <v>8.1500000000000003E-2</v>
      </c>
      <c r="P480" s="228">
        <v>0.2303</v>
      </c>
      <c r="Q480" s="230">
        <v>0.12119999999999999</v>
      </c>
      <c r="R480" s="231">
        <v>44385</v>
      </c>
      <c r="S480" s="232">
        <v>55.680000305175703</v>
      </c>
      <c r="T480" s="233">
        <v>0.628</v>
      </c>
      <c r="U480" s="234">
        <v>42648</v>
      </c>
      <c r="V480" s="232">
        <v>40.723114013671797</v>
      </c>
      <c r="W480" s="235">
        <v>0.57799999999999996</v>
      </c>
    </row>
    <row r="481" spans="5:23" ht="15.75" customHeight="1">
      <c r="E481" s="374"/>
      <c r="F481" s="222" t="s">
        <v>327</v>
      </c>
      <c r="G481" s="223" t="s">
        <v>1491</v>
      </c>
      <c r="H481" s="224" t="str">
        <f t="shared" si="28"/>
        <v>WAB</v>
      </c>
      <c r="I481" s="225" t="str">
        <f t="shared" si="29"/>
        <v>XLI</v>
      </c>
      <c r="J481" s="226" t="str">
        <f t="shared" si="30"/>
        <v>鐵路</v>
      </c>
      <c r="K481" s="227" t="str">
        <f t="shared" si="31"/>
        <v>.SPX</v>
      </c>
      <c r="L481" s="228">
        <v>0.25779999999999997</v>
      </c>
      <c r="M481" s="229">
        <v>86.07</v>
      </c>
      <c r="N481" s="228">
        <v>0.54879999999999995</v>
      </c>
      <c r="O481" s="228">
        <v>0.1822</v>
      </c>
      <c r="P481" s="228">
        <v>0.50390000000000001</v>
      </c>
      <c r="Q481" s="230">
        <v>0.24160000000000001</v>
      </c>
      <c r="R481" s="231">
        <v>44322</v>
      </c>
      <c r="S481" s="232">
        <v>81.639999389648395</v>
      </c>
      <c r="T481" s="233">
        <v>0.12</v>
      </c>
      <c r="U481" s="234">
        <v>42593</v>
      </c>
      <c r="V481" s="232">
        <v>69.518447875976506</v>
      </c>
      <c r="W481" s="235">
        <v>0.1</v>
      </c>
    </row>
    <row r="482" spans="5:23" ht="15.75" customHeight="1">
      <c r="E482" s="374"/>
      <c r="F482" s="222" t="s">
        <v>79</v>
      </c>
      <c r="G482" s="223" t="s">
        <v>1430</v>
      </c>
      <c r="H482" s="224" t="str">
        <f t="shared" si="28"/>
        <v>WAT</v>
      </c>
      <c r="I482" s="225" t="str">
        <f t="shared" si="29"/>
        <v>XLV</v>
      </c>
      <c r="J482" s="226" t="str">
        <f t="shared" si="30"/>
        <v>診斷與研究</v>
      </c>
      <c r="K482" s="227" t="str">
        <f t="shared" si="31"/>
        <v>.SPX</v>
      </c>
      <c r="L482" s="228">
        <v>0.26300000000000001</v>
      </c>
      <c r="M482" s="229">
        <v>397.34</v>
      </c>
      <c r="N482" s="228">
        <v>0.4088</v>
      </c>
      <c r="O482" s="228">
        <v>0.14560000000000001</v>
      </c>
      <c r="P482" s="228">
        <v>0.43740000000000001</v>
      </c>
      <c r="Q482" s="230">
        <v>0.20960000000000001</v>
      </c>
      <c r="R482" s="231">
        <v>0</v>
      </c>
      <c r="S482" s="232">
        <v>0</v>
      </c>
      <c r="T482" s="233">
        <v>0</v>
      </c>
      <c r="U482" s="234">
        <v>0</v>
      </c>
      <c r="V482" s="232">
        <v>0</v>
      </c>
      <c r="W482" s="235">
        <v>0</v>
      </c>
    </row>
    <row r="483" spans="5:23" ht="15.75" customHeight="1">
      <c r="E483" s="374"/>
      <c r="F483" s="222" t="s">
        <v>30</v>
      </c>
      <c r="G483" s="223" t="s">
        <v>1540</v>
      </c>
      <c r="H483" s="224" t="str">
        <f t="shared" si="28"/>
        <v>WBA</v>
      </c>
      <c r="I483" s="225" t="str">
        <f t="shared" si="29"/>
        <v>XLP</v>
      </c>
      <c r="J483" s="226" t="str">
        <f t="shared" si="30"/>
        <v>醫葯零售商</v>
      </c>
      <c r="K483" s="227" t="str">
        <f t="shared" si="31"/>
        <v>.SPX</v>
      </c>
      <c r="L483" s="228">
        <v>0.2452</v>
      </c>
      <c r="M483" s="229">
        <v>47.06</v>
      </c>
      <c r="N483" s="228">
        <v>0.61119999999999997</v>
      </c>
      <c r="O483" s="228">
        <v>0.1802</v>
      </c>
      <c r="P483" s="228">
        <v>0.48020000000000002</v>
      </c>
      <c r="Q483" s="230">
        <v>0.23199999999999998</v>
      </c>
      <c r="R483" s="231">
        <v>44336</v>
      </c>
      <c r="S483" s="232">
        <v>54.599998474121001</v>
      </c>
      <c r="T483" s="233">
        <v>0.46800000000000003</v>
      </c>
      <c r="U483" s="234">
        <v>42599</v>
      </c>
      <c r="V483" s="232">
        <v>71.719642639160099</v>
      </c>
      <c r="W483" s="235">
        <v>0.375</v>
      </c>
    </row>
    <row r="484" spans="5:23" ht="15.75" customHeight="1">
      <c r="E484" s="374"/>
      <c r="F484" s="222" t="s">
        <v>471</v>
      </c>
      <c r="G484" s="223" t="s">
        <v>1458</v>
      </c>
      <c r="H484" s="224" t="str">
        <f t="shared" si="28"/>
        <v>WDC</v>
      </c>
      <c r="I484" s="225" t="str">
        <f t="shared" si="29"/>
        <v>XLK</v>
      </c>
      <c r="J484" s="226" t="str">
        <f t="shared" si="30"/>
        <v>計算機硬件</v>
      </c>
      <c r="K484" s="227" t="str">
        <f t="shared" si="31"/>
        <v>.SPX</v>
      </c>
      <c r="L484" s="228">
        <v>0.39179999999999998</v>
      </c>
      <c r="M484" s="229">
        <v>67.959999999999994</v>
      </c>
      <c r="N484" s="228">
        <v>0.66749999999999998</v>
      </c>
      <c r="O484" s="228">
        <v>0.21129999999999999</v>
      </c>
      <c r="P484" s="228">
        <v>0.71239999999999992</v>
      </c>
      <c r="Q484" s="230">
        <v>0.33520000000000005</v>
      </c>
      <c r="R484" s="231">
        <v>43923</v>
      </c>
      <c r="S484" s="232">
        <v>38.400001525878899</v>
      </c>
      <c r="T484" s="233">
        <v>0.5</v>
      </c>
      <c r="U484" s="234">
        <v>42641</v>
      </c>
      <c r="V484" s="232">
        <v>51.6045722961425</v>
      </c>
      <c r="W484" s="235">
        <v>0.5</v>
      </c>
    </row>
    <row r="485" spans="5:23" ht="15.75" customHeight="1">
      <c r="E485" s="374"/>
      <c r="F485" s="222" t="s">
        <v>267</v>
      </c>
      <c r="G485" s="223" t="s">
        <v>1443</v>
      </c>
      <c r="H485" s="224" t="str">
        <f t="shared" si="28"/>
        <v>WEC</v>
      </c>
      <c r="I485" s="225" t="str">
        <f t="shared" si="29"/>
        <v>XLU</v>
      </c>
      <c r="J485" s="226" t="str">
        <f t="shared" si="30"/>
        <v>公用事業—受監督的電力</v>
      </c>
      <c r="K485" s="227" t="str">
        <f t="shared" si="31"/>
        <v>.SPX</v>
      </c>
      <c r="L485" s="228">
        <v>0.1983</v>
      </c>
      <c r="M485" s="229">
        <v>96.29</v>
      </c>
      <c r="N485" s="228">
        <v>0.25600000000000001</v>
      </c>
      <c r="O485" s="228">
        <v>0.13569999999999999</v>
      </c>
      <c r="P485" s="228">
        <v>0.31780000000000003</v>
      </c>
      <c r="Q485" s="230">
        <v>0.16760000000000003</v>
      </c>
      <c r="R485" s="231">
        <v>44329</v>
      </c>
      <c r="S485" s="232">
        <v>95.839996337890597</v>
      </c>
      <c r="T485" s="233">
        <v>0.67800000000000005</v>
      </c>
      <c r="U485" s="234">
        <v>42592</v>
      </c>
      <c r="V485" s="232">
        <v>53.803722381591797</v>
      </c>
      <c r="W485" s="235">
        <v>0.495</v>
      </c>
    </row>
    <row r="486" spans="5:23" ht="15.75" customHeight="1">
      <c r="E486" s="374"/>
      <c r="F486" s="222" t="s">
        <v>241</v>
      </c>
      <c r="G486" s="223" t="s">
        <v>1531</v>
      </c>
      <c r="H486" s="224" t="str">
        <f t="shared" si="28"/>
        <v>WELL</v>
      </c>
      <c r="I486" s="225" t="str">
        <f t="shared" si="29"/>
        <v>XLRE</v>
      </c>
      <c r="J486" s="226" t="str">
        <f t="shared" si="30"/>
        <v>REIT-保健設施</v>
      </c>
      <c r="K486" s="227" t="str">
        <f t="shared" si="31"/>
        <v>.SPX</v>
      </c>
      <c r="L486" s="228">
        <v>0.26150000000000001</v>
      </c>
      <c r="M486" s="229">
        <v>85.68</v>
      </c>
      <c r="N486" s="228">
        <v>0.68230000000000002</v>
      </c>
      <c r="O486" s="228">
        <v>0.1721</v>
      </c>
      <c r="P486" s="228">
        <v>0.53909999999999991</v>
      </c>
      <c r="Q486" s="230">
        <v>0.21390000000000001</v>
      </c>
      <c r="R486" s="231">
        <v>44326</v>
      </c>
      <c r="S486" s="232">
        <v>74.309997558593693</v>
      </c>
      <c r="T486" s="233">
        <v>0.61</v>
      </c>
      <c r="U486" s="234">
        <v>42678</v>
      </c>
      <c r="V486" s="232">
        <v>52.502689361572202</v>
      </c>
      <c r="W486" s="235">
        <v>0.86</v>
      </c>
    </row>
    <row r="487" spans="5:23" ht="15.75" customHeight="1">
      <c r="E487" s="374"/>
      <c r="F487" s="222" t="s">
        <v>477</v>
      </c>
      <c r="G487" s="223" t="s">
        <v>1471</v>
      </c>
      <c r="H487" s="224" t="str">
        <f t="shared" si="28"/>
        <v>WFC</v>
      </c>
      <c r="I487" s="225" t="str">
        <f t="shared" si="29"/>
        <v>XLF</v>
      </c>
      <c r="J487" s="226" t="str">
        <f t="shared" si="30"/>
        <v>銀行-多樣化</v>
      </c>
      <c r="K487" s="227" t="str">
        <f t="shared" si="31"/>
        <v>.SPX</v>
      </c>
      <c r="L487" s="228">
        <v>0.28810000000000002</v>
      </c>
      <c r="M487" s="229">
        <v>48.75</v>
      </c>
      <c r="N487" s="228">
        <v>0.52049999999999996</v>
      </c>
      <c r="O487" s="228">
        <v>0.18260000000000001</v>
      </c>
      <c r="P487" s="228">
        <v>0.49</v>
      </c>
      <c r="Q487" s="230">
        <v>0.26590000000000003</v>
      </c>
      <c r="R487" s="231">
        <v>44413</v>
      </c>
      <c r="S487" s="232">
        <v>46.990001678466797</v>
      </c>
      <c r="T487" s="233">
        <v>0.2</v>
      </c>
      <c r="U487" s="234">
        <v>42676</v>
      </c>
      <c r="V487" s="232">
        <v>39.125007629394503</v>
      </c>
      <c r="W487" s="235">
        <v>0.38</v>
      </c>
    </row>
    <row r="488" spans="5:23" ht="15.75" customHeight="1">
      <c r="E488" s="374"/>
      <c r="F488" s="222" t="s">
        <v>511</v>
      </c>
      <c r="G488" s="223" t="s">
        <v>521</v>
      </c>
      <c r="H488" s="224" t="str">
        <f t="shared" si="28"/>
        <v>WHR</v>
      </c>
      <c r="I488" s="225" t="str">
        <f t="shared" si="29"/>
        <v>XLY</v>
      </c>
      <c r="J488" s="226" t="str">
        <f t="shared" si="30"/>
        <v>-</v>
      </c>
      <c r="K488" s="227" t="str">
        <f t="shared" si="31"/>
        <v>.SPX</v>
      </c>
      <c r="L488" s="228">
        <v>0.25850000000000001</v>
      </c>
      <c r="M488" s="229">
        <v>222.09</v>
      </c>
      <c r="N488" s="228">
        <v>0.4657</v>
      </c>
      <c r="O488" s="228">
        <v>0.19620000000000001</v>
      </c>
      <c r="P488" s="228">
        <v>0.49390000000000001</v>
      </c>
      <c r="Q488" s="230">
        <v>0.23870000000000002</v>
      </c>
      <c r="R488" s="231">
        <v>44336</v>
      </c>
      <c r="S488" s="232">
        <v>237</v>
      </c>
      <c r="T488" s="233">
        <v>1.4</v>
      </c>
      <c r="U488" s="234">
        <v>42606</v>
      </c>
      <c r="V488" s="232">
        <v>157.21614074707</v>
      </c>
      <c r="W488" s="235">
        <v>1</v>
      </c>
    </row>
    <row r="489" spans="5:23" ht="15.75" customHeight="1">
      <c r="E489" s="374"/>
      <c r="F489" s="222" t="s">
        <v>123</v>
      </c>
      <c r="G489" s="223" t="s">
        <v>1448</v>
      </c>
      <c r="H489" s="224" t="str">
        <f t="shared" si="28"/>
        <v>WLTW</v>
      </c>
      <c r="I489" s="225" t="str">
        <f t="shared" si="29"/>
        <v>XLF</v>
      </c>
      <c r="J489" s="226" t="str">
        <f t="shared" si="30"/>
        <v>保險經紀</v>
      </c>
      <c r="K489" s="227" t="str">
        <f t="shared" si="31"/>
        <v>.SPX</v>
      </c>
      <c r="L489" s="228">
        <v>0.23849999999999999</v>
      </c>
      <c r="M489" s="229">
        <v>217.51</v>
      </c>
      <c r="N489" s="228">
        <v>0.40389999999999998</v>
      </c>
      <c r="O489" s="228">
        <v>0.1215</v>
      </c>
      <c r="P489" s="228">
        <v>0.4224</v>
      </c>
      <c r="Q489" s="230">
        <v>0.2041</v>
      </c>
      <c r="R489" s="231">
        <v>44343</v>
      </c>
      <c r="S489" s="232">
        <v>260.989990234375</v>
      </c>
      <c r="T489" s="233">
        <v>0.71</v>
      </c>
      <c r="U489" s="234">
        <v>42641</v>
      </c>
      <c r="V489" s="232">
        <v>119.524772644042</v>
      </c>
      <c r="W489" s="235">
        <v>0.48</v>
      </c>
    </row>
    <row r="490" spans="5:23" ht="15.75" customHeight="1">
      <c r="E490" s="374"/>
      <c r="F490" s="222" t="s">
        <v>263</v>
      </c>
      <c r="G490" s="223" t="s">
        <v>1534</v>
      </c>
      <c r="H490" s="224" t="str">
        <f t="shared" si="28"/>
        <v>WM</v>
      </c>
      <c r="I490" s="225" t="str">
        <f t="shared" si="29"/>
        <v>XLI</v>
      </c>
      <c r="J490" s="226" t="str">
        <f t="shared" si="30"/>
        <v>廢物管理</v>
      </c>
      <c r="K490" s="227" t="str">
        <f t="shared" si="31"/>
        <v>.SPX</v>
      </c>
      <c r="L490" s="228">
        <v>0.16830000000000001</v>
      </c>
      <c r="M490" s="229">
        <v>148.33000000000001</v>
      </c>
      <c r="N490" s="228">
        <v>0.25729999999999997</v>
      </c>
      <c r="O490" s="228">
        <v>9.7900000000000001E-2</v>
      </c>
      <c r="P490" s="228">
        <v>0.3281</v>
      </c>
      <c r="Q490" s="230">
        <v>0.1522</v>
      </c>
      <c r="R490" s="231">
        <v>44350</v>
      </c>
      <c r="S490" s="232">
        <v>140.58000183105401</v>
      </c>
      <c r="T490" s="233">
        <v>0.57499999999999996</v>
      </c>
      <c r="U490" s="234">
        <v>42620</v>
      </c>
      <c r="V490" s="232">
        <v>58.260063171386697</v>
      </c>
      <c r="W490" s="235">
        <v>0.41</v>
      </c>
    </row>
    <row r="491" spans="5:23" ht="15.75" customHeight="1">
      <c r="E491" s="374"/>
      <c r="F491" s="222" t="s">
        <v>304</v>
      </c>
      <c r="G491" s="223" t="s">
        <v>1517</v>
      </c>
      <c r="H491" s="224" t="str">
        <f t="shared" si="28"/>
        <v>WMB</v>
      </c>
      <c r="I491" s="225" t="str">
        <f t="shared" si="29"/>
        <v>XLE</v>
      </c>
      <c r="J491" s="226" t="str">
        <f t="shared" si="30"/>
        <v>油氣中流</v>
      </c>
      <c r="K491" s="227" t="str">
        <f t="shared" si="31"/>
        <v>.SPX</v>
      </c>
      <c r="L491" s="228">
        <v>0.23530000000000001</v>
      </c>
      <c r="M491" s="229">
        <v>25.14</v>
      </c>
      <c r="N491" s="228">
        <v>0.4587</v>
      </c>
      <c r="O491" s="228">
        <v>0.16669999999999999</v>
      </c>
      <c r="P491" s="228">
        <v>0.51770000000000005</v>
      </c>
      <c r="Q491" s="230">
        <v>0.20749999999999999</v>
      </c>
      <c r="R491" s="231">
        <v>44357</v>
      </c>
      <c r="S491" s="232">
        <v>27.709999084472599</v>
      </c>
      <c r="T491" s="233">
        <v>0.41</v>
      </c>
      <c r="U491" s="234">
        <v>42620</v>
      </c>
      <c r="V491" s="232">
        <v>23.101690292358398</v>
      </c>
      <c r="W491" s="235">
        <v>0.2</v>
      </c>
    </row>
    <row r="492" spans="5:23" ht="15.75" customHeight="1">
      <c r="E492" s="374"/>
      <c r="F492" s="222" t="s">
        <v>209</v>
      </c>
      <c r="G492" s="223" t="s">
        <v>1488</v>
      </c>
      <c r="H492" s="224" t="str">
        <f t="shared" si="28"/>
        <v>WMT</v>
      </c>
      <c r="I492" s="225" t="str">
        <f t="shared" si="29"/>
        <v>XLP</v>
      </c>
      <c r="J492" s="226" t="str">
        <f t="shared" si="30"/>
        <v>折扣店</v>
      </c>
      <c r="K492" s="227" t="str">
        <f t="shared" si="31"/>
        <v>.SPX</v>
      </c>
      <c r="L492" s="228">
        <v>0.20880000000000001</v>
      </c>
      <c r="M492" s="229">
        <v>145.83000000000001</v>
      </c>
      <c r="N492" s="228">
        <v>0.30819999999999997</v>
      </c>
      <c r="O492" s="228">
        <v>0.1094</v>
      </c>
      <c r="P492" s="228">
        <v>0.4113</v>
      </c>
      <c r="Q492" s="230">
        <v>0.13119999999999998</v>
      </c>
      <c r="R492" s="231">
        <v>44322</v>
      </c>
      <c r="S492" s="232">
        <v>141.05000305175699</v>
      </c>
      <c r="T492" s="233">
        <v>0.55000000000000004</v>
      </c>
      <c r="U492" s="234">
        <v>42592</v>
      </c>
      <c r="V492" s="232">
        <v>66.858955383300696</v>
      </c>
      <c r="W492" s="235">
        <v>0.5</v>
      </c>
    </row>
    <row r="493" spans="5:23" ht="15.75" customHeight="1">
      <c r="E493" s="374"/>
      <c r="F493" s="222" t="s">
        <v>323</v>
      </c>
      <c r="G493" s="223" t="s">
        <v>1450</v>
      </c>
      <c r="H493" s="224" t="str">
        <f t="shared" si="28"/>
        <v>WRB</v>
      </c>
      <c r="I493" s="225" t="str">
        <f t="shared" si="29"/>
        <v>XLF</v>
      </c>
      <c r="J493" s="226" t="str">
        <f t="shared" si="30"/>
        <v>保險-財產及意外事故</v>
      </c>
      <c r="K493" s="227" t="str">
        <f t="shared" si="31"/>
        <v>.SPX</v>
      </c>
      <c r="L493" s="228">
        <v>0.19239999999999999</v>
      </c>
      <c r="M493" s="229">
        <v>72.66</v>
      </c>
      <c r="N493" s="228">
        <v>0.45710000000000001</v>
      </c>
      <c r="O493" s="228">
        <v>0.13139999999999999</v>
      </c>
      <c r="P493" s="228">
        <v>0.48259999999999997</v>
      </c>
      <c r="Q493" s="230">
        <v>0.17019999999999999</v>
      </c>
      <c r="R493" s="231">
        <v>44371</v>
      </c>
      <c r="S493" s="232">
        <v>73.930000305175696</v>
      </c>
      <c r="T493" s="233">
        <v>0.63</v>
      </c>
      <c r="U493" s="234">
        <v>42629</v>
      </c>
      <c r="V493" s="232">
        <v>33.855972290038999</v>
      </c>
      <c r="W493" s="235">
        <v>0.42</v>
      </c>
    </row>
    <row r="494" spans="5:23" ht="15.75" customHeight="1">
      <c r="E494" s="374"/>
      <c r="F494" s="222" t="s">
        <v>442</v>
      </c>
      <c r="G494" s="223" t="s">
        <v>1453</v>
      </c>
      <c r="H494" s="224" t="str">
        <f t="shared" si="28"/>
        <v>WRK</v>
      </c>
      <c r="I494" s="225" t="str">
        <f t="shared" si="29"/>
        <v>XLB</v>
      </c>
      <c r="J494" s="226" t="str">
        <f t="shared" si="30"/>
        <v>包裝和容器</v>
      </c>
      <c r="K494" s="227" t="str">
        <f t="shared" si="31"/>
        <v>.SPX</v>
      </c>
      <c r="L494" s="228">
        <v>0.31740000000000002</v>
      </c>
      <c r="M494" s="229">
        <v>48.52</v>
      </c>
      <c r="N494" s="228">
        <v>0.56110000000000004</v>
      </c>
      <c r="O494" s="228">
        <v>0.2223</v>
      </c>
      <c r="P494" s="228">
        <v>0.58950000000000002</v>
      </c>
      <c r="Q494" s="230">
        <v>0.2717</v>
      </c>
      <c r="R494" s="231">
        <v>44334</v>
      </c>
      <c r="S494" s="232">
        <v>59.720001220703097</v>
      </c>
      <c r="T494" s="233">
        <v>0.24</v>
      </c>
      <c r="U494" s="234">
        <v>42592</v>
      </c>
      <c r="V494" s="232">
        <v>37.496269226074197</v>
      </c>
      <c r="W494" s="235">
        <v>0.375</v>
      </c>
    </row>
    <row r="495" spans="5:23" ht="15.75" customHeight="1">
      <c r="E495" s="374"/>
      <c r="F495" s="222" t="s">
        <v>50</v>
      </c>
      <c r="G495" s="223" t="s">
        <v>1472</v>
      </c>
      <c r="H495" s="224" t="str">
        <f t="shared" si="28"/>
        <v>WST</v>
      </c>
      <c r="I495" s="225" t="str">
        <f t="shared" si="29"/>
        <v>XLV</v>
      </c>
      <c r="J495" s="226" t="str">
        <f t="shared" si="30"/>
        <v>醫療器械及用品</v>
      </c>
      <c r="K495" s="227" t="str">
        <f t="shared" si="31"/>
        <v>.SPX</v>
      </c>
      <c r="L495" s="228">
        <v>0.23760000000000001</v>
      </c>
      <c r="M495" s="229">
        <v>425.66</v>
      </c>
      <c r="N495" s="228">
        <v>0.38</v>
      </c>
      <c r="O495" s="228">
        <v>0.1226</v>
      </c>
      <c r="P495" s="228">
        <v>0.46130000000000004</v>
      </c>
      <c r="Q495" s="230">
        <v>0.21309999999999998</v>
      </c>
      <c r="R495" s="231">
        <v>44397</v>
      </c>
      <c r="S495" s="232">
        <v>372.69000244140602</v>
      </c>
      <c r="T495" s="233">
        <v>0.17</v>
      </c>
      <c r="U495" s="234">
        <v>42660</v>
      </c>
      <c r="V495" s="232">
        <v>71.063758850097599</v>
      </c>
      <c r="W495" s="235">
        <v>0.13</v>
      </c>
    </row>
    <row r="496" spans="5:23" ht="15.75" customHeight="1">
      <c r="E496" s="374"/>
      <c r="F496" s="222" t="s">
        <v>462</v>
      </c>
      <c r="G496" s="223" t="s">
        <v>1469</v>
      </c>
      <c r="H496" s="224" t="str">
        <f t="shared" si="28"/>
        <v>WU</v>
      </c>
      <c r="I496" s="225" t="str">
        <f t="shared" si="29"/>
        <v>XLK</v>
      </c>
      <c r="J496" s="226" t="str">
        <f t="shared" si="30"/>
        <v>信貸服務</v>
      </c>
      <c r="K496" s="227" t="str">
        <f t="shared" si="31"/>
        <v>.SPX</v>
      </c>
      <c r="L496" s="228">
        <v>0.2132</v>
      </c>
      <c r="M496" s="229">
        <v>22.52</v>
      </c>
      <c r="N496" s="228">
        <v>0.42699999999999999</v>
      </c>
      <c r="O496" s="228">
        <v>0.18149999999999999</v>
      </c>
      <c r="P496" s="228">
        <v>0.43869999999999998</v>
      </c>
      <c r="Q496" s="230">
        <v>0.20199999999999999</v>
      </c>
      <c r="R496" s="231">
        <v>44362</v>
      </c>
      <c r="S496" s="232">
        <v>24.4699993133544</v>
      </c>
      <c r="T496" s="233">
        <v>0.23499999999999999</v>
      </c>
      <c r="U496" s="234">
        <v>42627</v>
      </c>
      <c r="V496" s="232">
        <v>16.993543624877901</v>
      </c>
      <c r="W496" s="235">
        <v>0.16</v>
      </c>
    </row>
    <row r="497" spans="5:23" ht="15.75" customHeight="1">
      <c r="E497" s="374"/>
      <c r="F497" s="222" t="s">
        <v>505</v>
      </c>
      <c r="G497" s="223" t="s">
        <v>1456</v>
      </c>
      <c r="H497" s="224" t="str">
        <f t="shared" si="28"/>
        <v>WY</v>
      </c>
      <c r="I497" s="225" t="str">
        <f t="shared" si="29"/>
        <v>XLRE</v>
      </c>
      <c r="J497" s="226" t="str">
        <f t="shared" si="30"/>
        <v>REIT-專業</v>
      </c>
      <c r="K497" s="227" t="str">
        <f t="shared" si="31"/>
        <v>.SPX</v>
      </c>
      <c r="L497" s="228">
        <v>0.2631</v>
      </c>
      <c r="M497" s="229">
        <v>34.49</v>
      </c>
      <c r="N497" s="228">
        <v>0.40600000000000003</v>
      </c>
      <c r="O497" s="228">
        <v>0.20910000000000001</v>
      </c>
      <c r="P497" s="228">
        <v>0.51719999999999999</v>
      </c>
      <c r="Q497" s="230">
        <v>0.25530000000000003</v>
      </c>
      <c r="R497" s="231">
        <v>44350</v>
      </c>
      <c r="S497" s="232">
        <v>36.290000915527301</v>
      </c>
      <c r="T497" s="233">
        <v>0.17</v>
      </c>
      <c r="U497" s="234">
        <v>42620</v>
      </c>
      <c r="V497" s="232">
        <v>26.898960113525298</v>
      </c>
      <c r="W497" s="235">
        <v>0.31</v>
      </c>
    </row>
    <row r="498" spans="5:23" ht="15.75" customHeight="1">
      <c r="E498" s="374"/>
      <c r="F498" s="222" t="s">
        <v>342</v>
      </c>
      <c r="G498" s="223" t="s">
        <v>1494</v>
      </c>
      <c r="H498" s="224" t="str">
        <f t="shared" si="28"/>
        <v>WYNN</v>
      </c>
      <c r="I498" s="225" t="str">
        <f t="shared" si="29"/>
        <v>XLY</v>
      </c>
      <c r="J498" s="226" t="str">
        <f t="shared" si="30"/>
        <v>度假村和賭場</v>
      </c>
      <c r="K498" s="227" t="str">
        <f t="shared" si="31"/>
        <v>.SPX</v>
      </c>
      <c r="L498" s="228">
        <v>0.43859999999999999</v>
      </c>
      <c r="M498" s="229">
        <v>98.68</v>
      </c>
      <c r="N498" s="228">
        <v>0.90559999999999996</v>
      </c>
      <c r="O498" s="228">
        <v>0.2303</v>
      </c>
      <c r="P498" s="228">
        <v>0.75390000000000001</v>
      </c>
      <c r="Q498" s="230">
        <v>0.33600000000000002</v>
      </c>
      <c r="R498" s="231">
        <v>43886</v>
      </c>
      <c r="S498" s="232">
        <v>113.889999389648</v>
      </c>
      <c r="T498" s="233">
        <v>1</v>
      </c>
      <c r="U498" s="234">
        <v>42591</v>
      </c>
      <c r="V498" s="232">
        <v>92.277984619140597</v>
      </c>
      <c r="W498" s="235">
        <v>0.5</v>
      </c>
    </row>
    <row r="499" spans="5:23" ht="15.75" customHeight="1">
      <c r="E499" s="374"/>
      <c r="F499" s="222" t="s">
        <v>237</v>
      </c>
      <c r="G499" s="223" t="s">
        <v>1443</v>
      </c>
      <c r="H499" s="224" t="str">
        <f t="shared" si="28"/>
        <v>XEL</v>
      </c>
      <c r="I499" s="225" t="str">
        <f t="shared" si="29"/>
        <v>XLU</v>
      </c>
      <c r="J499" s="226" t="str">
        <f t="shared" si="30"/>
        <v>公用事業—受監督的電力</v>
      </c>
      <c r="K499" s="227" t="str">
        <f t="shared" si="31"/>
        <v>.SPX</v>
      </c>
      <c r="L499" s="228">
        <v>0.1701</v>
      </c>
      <c r="M499" s="229">
        <v>68.83</v>
      </c>
      <c r="N499" s="228">
        <v>0.2712</v>
      </c>
      <c r="O499" s="228">
        <v>0.13370000000000001</v>
      </c>
      <c r="P499" s="228">
        <v>0.31059999999999999</v>
      </c>
      <c r="Q499" s="230">
        <v>0.1429</v>
      </c>
      <c r="R499" s="231">
        <v>44361</v>
      </c>
      <c r="S499" s="232">
        <v>69.080001831054602</v>
      </c>
      <c r="T499" s="233">
        <v>0.45800000000000002</v>
      </c>
      <c r="U499" s="234">
        <v>42626</v>
      </c>
      <c r="V499" s="232">
        <v>35.317756652832003</v>
      </c>
      <c r="W499" s="235">
        <v>0.34</v>
      </c>
    </row>
    <row r="500" spans="5:23" ht="15.75" customHeight="1">
      <c r="E500" s="374"/>
      <c r="F500" s="222" t="s">
        <v>54</v>
      </c>
      <c r="G500" s="223" t="s">
        <v>1439</v>
      </c>
      <c r="H500" s="224" t="str">
        <f t="shared" si="28"/>
        <v>XLNX</v>
      </c>
      <c r="I500" s="225" t="str">
        <f t="shared" si="29"/>
        <v>XLK</v>
      </c>
      <c r="J500" s="226" t="str">
        <f t="shared" si="30"/>
        <v>半導體</v>
      </c>
      <c r="K500" s="227" t="str">
        <f t="shared" si="31"/>
        <v>.SPX</v>
      </c>
      <c r="L500" s="228">
        <v>0.50549999999999995</v>
      </c>
      <c r="M500" s="229">
        <v>150.97999999999999</v>
      </c>
      <c r="N500" s="228">
        <v>0.61019999999999996</v>
      </c>
      <c r="O500" s="228">
        <v>0.2656</v>
      </c>
      <c r="P500" s="228">
        <v>0.64090000000000003</v>
      </c>
      <c r="Q500" s="230">
        <v>0.27100000000000002</v>
      </c>
      <c r="R500" s="231">
        <v>44144</v>
      </c>
      <c r="S500" s="232">
        <v>130.350006103515</v>
      </c>
      <c r="T500" s="233">
        <v>0.38</v>
      </c>
      <c r="U500" s="234">
        <v>42591</v>
      </c>
      <c r="V500" s="232">
        <v>48.154598236083899</v>
      </c>
      <c r="W500" s="235">
        <v>0.33</v>
      </c>
    </row>
    <row r="501" spans="5:23" ht="15.75" customHeight="1">
      <c r="E501" s="374"/>
      <c r="F501" s="222" t="s">
        <v>280</v>
      </c>
      <c r="G501" s="223" t="s">
        <v>1493</v>
      </c>
      <c r="H501" s="224" t="str">
        <f t="shared" si="28"/>
        <v>XOM</v>
      </c>
      <c r="I501" s="225" t="str">
        <f t="shared" si="29"/>
        <v>XLE</v>
      </c>
      <c r="J501" s="226" t="str">
        <f t="shared" si="30"/>
        <v>油氣一體化</v>
      </c>
      <c r="K501" s="227" t="str">
        <f t="shared" si="31"/>
        <v>.SPX</v>
      </c>
      <c r="L501" s="228">
        <v>0.2732</v>
      </c>
      <c r="M501" s="229">
        <v>57.74</v>
      </c>
      <c r="N501" s="228">
        <v>0.61280000000000001</v>
      </c>
      <c r="O501" s="228">
        <v>0.24429999999999999</v>
      </c>
      <c r="P501" s="228">
        <v>0.50670000000000004</v>
      </c>
      <c r="Q501" s="230">
        <v>0.25090000000000001</v>
      </c>
      <c r="R501" s="231">
        <v>44328</v>
      </c>
      <c r="S501" s="232">
        <v>60.040000915527301</v>
      </c>
      <c r="T501" s="233">
        <v>0.87</v>
      </c>
      <c r="U501" s="234">
        <v>42592</v>
      </c>
      <c r="V501" s="232">
        <v>67.85693359375</v>
      </c>
      <c r="W501" s="235">
        <v>0.75</v>
      </c>
    </row>
    <row r="502" spans="5:23" ht="15.75" customHeight="1">
      <c r="E502" s="374"/>
      <c r="F502" s="222" t="s">
        <v>208</v>
      </c>
      <c r="G502" s="223" t="s">
        <v>1472</v>
      </c>
      <c r="H502" s="224" t="str">
        <f t="shared" si="28"/>
        <v>XRAY</v>
      </c>
      <c r="I502" s="225" t="str">
        <f t="shared" si="29"/>
        <v>XLV</v>
      </c>
      <c r="J502" s="226" t="str">
        <f t="shared" si="30"/>
        <v>醫療器械及用品</v>
      </c>
      <c r="K502" s="227" t="str">
        <f t="shared" si="31"/>
        <v>.SPX</v>
      </c>
      <c r="L502" s="228">
        <v>0.27900000000000003</v>
      </c>
      <c r="M502" s="229">
        <v>59.29</v>
      </c>
      <c r="N502" s="228">
        <v>0.57569999999999999</v>
      </c>
      <c r="O502" s="228">
        <v>0.15820000000000001</v>
      </c>
      <c r="P502" s="228">
        <v>0.51300000000000001</v>
      </c>
      <c r="Q502" s="230">
        <v>0.22519999999999998</v>
      </c>
      <c r="R502" s="231">
        <v>44371</v>
      </c>
      <c r="S502" s="232">
        <v>63.770000457763601</v>
      </c>
      <c r="T502" s="233">
        <v>0.11</v>
      </c>
      <c r="U502" s="234">
        <v>42641</v>
      </c>
      <c r="V502" s="232">
        <v>57.580543518066399</v>
      </c>
      <c r="W502" s="235">
        <v>7.8E-2</v>
      </c>
    </row>
    <row r="503" spans="5:23" ht="15.75" customHeight="1">
      <c r="E503" s="374"/>
      <c r="F503" s="222" t="s">
        <v>326</v>
      </c>
      <c r="G503" s="223" t="s">
        <v>1454</v>
      </c>
      <c r="H503" s="224" t="str">
        <f t="shared" si="28"/>
        <v>XYL</v>
      </c>
      <c r="I503" s="225" t="str">
        <f t="shared" si="29"/>
        <v>XLI</v>
      </c>
      <c r="J503" s="226" t="str">
        <f t="shared" si="30"/>
        <v>特種工業機械</v>
      </c>
      <c r="K503" s="227" t="str">
        <f t="shared" si="31"/>
        <v>.SPX</v>
      </c>
      <c r="L503" s="228">
        <v>0.2031</v>
      </c>
      <c r="M503" s="229">
        <v>127.52</v>
      </c>
      <c r="N503" s="228">
        <v>0.36280000000000001</v>
      </c>
      <c r="O503" s="228">
        <v>0.14399999999999999</v>
      </c>
      <c r="P503" s="228">
        <v>0.45500000000000002</v>
      </c>
      <c r="Q503" s="230">
        <v>0.19</v>
      </c>
      <c r="R503" s="231">
        <v>44342</v>
      </c>
      <c r="S503" s="232">
        <v>116.86000061035099</v>
      </c>
      <c r="T503" s="233">
        <v>0.28000000000000003</v>
      </c>
      <c r="U503" s="234">
        <v>42611</v>
      </c>
      <c r="V503" s="232">
        <v>48.064678192138601</v>
      </c>
      <c r="W503" s="235">
        <v>0.155</v>
      </c>
    </row>
    <row r="504" spans="5:23" ht="15.75" customHeight="1">
      <c r="E504" s="374"/>
      <c r="F504" s="222" t="s">
        <v>140</v>
      </c>
      <c r="G504" s="223" t="s">
        <v>1487</v>
      </c>
      <c r="H504" s="224" t="str">
        <f t="shared" si="28"/>
        <v>YUM</v>
      </c>
      <c r="I504" s="225" t="str">
        <f t="shared" si="29"/>
        <v>XLY</v>
      </c>
      <c r="J504" s="226" t="str">
        <f t="shared" si="30"/>
        <v>飯館</v>
      </c>
      <c r="K504" s="227" t="str">
        <f t="shared" si="31"/>
        <v>.SPX</v>
      </c>
      <c r="L504" s="228">
        <v>0.18179999999999999</v>
      </c>
      <c r="M504" s="229">
        <v>134.31</v>
      </c>
      <c r="N504" s="228">
        <v>0.27579999999999999</v>
      </c>
      <c r="O504" s="228">
        <v>0.12570000000000001</v>
      </c>
      <c r="P504" s="228">
        <v>0.37659999999999999</v>
      </c>
      <c r="Q504" s="230">
        <v>0.1525</v>
      </c>
      <c r="R504" s="231">
        <v>44343</v>
      </c>
      <c r="S504" s="232">
        <v>120.08999633789</v>
      </c>
      <c r="T504" s="233">
        <v>0.5</v>
      </c>
      <c r="U504" s="234">
        <v>42660</v>
      </c>
      <c r="V504" s="232">
        <v>57.610145568847599</v>
      </c>
      <c r="W504" s="235">
        <v>0.366643</v>
      </c>
    </row>
    <row r="505" spans="5:23" ht="15.75" customHeight="1">
      <c r="E505" s="374"/>
      <c r="F505" s="222" t="s">
        <v>195</v>
      </c>
      <c r="G505" s="223" t="s">
        <v>1436</v>
      </c>
      <c r="H505" s="224" t="str">
        <f t="shared" si="28"/>
        <v>ZBH</v>
      </c>
      <c r="I505" s="225" t="str">
        <f t="shared" si="29"/>
        <v>XLV</v>
      </c>
      <c r="J505" s="226" t="str">
        <f t="shared" si="30"/>
        <v>醫療設備</v>
      </c>
      <c r="K505" s="227" t="str">
        <f t="shared" si="31"/>
        <v>.SPX</v>
      </c>
      <c r="L505" s="228">
        <v>0.23849999999999999</v>
      </c>
      <c r="M505" s="229">
        <v>148.41999999999999</v>
      </c>
      <c r="N505" s="228">
        <v>0.44890000000000002</v>
      </c>
      <c r="O505" s="228">
        <v>0.17069999999999999</v>
      </c>
      <c r="P505" s="228">
        <v>0.45450000000000002</v>
      </c>
      <c r="Q505" s="230">
        <v>0.20480000000000001</v>
      </c>
      <c r="R505" s="231">
        <v>44372</v>
      </c>
      <c r="S505" s="232">
        <v>165.850006103515</v>
      </c>
      <c r="T505" s="233">
        <v>0.24</v>
      </c>
      <c r="U505" s="234">
        <v>42634</v>
      </c>
      <c r="V505" s="232">
        <v>122.55434417724599</v>
      </c>
      <c r="W505" s="235">
        <v>0.24</v>
      </c>
    </row>
    <row r="506" spans="5:23" ht="15.75" customHeight="1">
      <c r="E506" s="374"/>
      <c r="F506" s="222" t="s">
        <v>198</v>
      </c>
      <c r="G506" s="223" t="s">
        <v>1490</v>
      </c>
      <c r="H506" s="224" t="str">
        <f t="shared" si="28"/>
        <v>ZBRA</v>
      </c>
      <c r="I506" s="225" t="str">
        <f t="shared" si="29"/>
        <v>XLK</v>
      </c>
      <c r="J506" s="226" t="str">
        <f t="shared" si="30"/>
        <v>通信設備</v>
      </c>
      <c r="K506" s="227" t="str">
        <f t="shared" si="31"/>
        <v>.SPX</v>
      </c>
      <c r="L506" s="228">
        <v>0.26069999999999999</v>
      </c>
      <c r="M506" s="236">
        <v>569.22</v>
      </c>
      <c r="N506" s="228">
        <v>0.4471</v>
      </c>
      <c r="O506" s="228">
        <v>0.182</v>
      </c>
      <c r="P506" s="228">
        <v>0.5071</v>
      </c>
      <c r="Q506" s="228">
        <v>0.23910000000000001</v>
      </c>
      <c r="R506" s="231">
        <v>0</v>
      </c>
      <c r="S506" s="232">
        <v>0</v>
      </c>
      <c r="T506" s="233">
        <v>0</v>
      </c>
      <c r="U506" s="234">
        <v>0</v>
      </c>
      <c r="V506" s="232">
        <v>0</v>
      </c>
      <c r="W506" s="235">
        <v>0</v>
      </c>
    </row>
    <row r="507" spans="5:23" ht="15.75" customHeight="1">
      <c r="E507" s="374"/>
      <c r="F507" s="222" t="s">
        <v>501</v>
      </c>
      <c r="G507" s="223" t="s">
        <v>1482</v>
      </c>
      <c r="H507" s="224" t="str">
        <f t="shared" si="28"/>
        <v>ZION</v>
      </c>
      <c r="I507" s="225" t="str">
        <f t="shared" si="29"/>
        <v>XLF</v>
      </c>
      <c r="J507" s="226" t="str">
        <f t="shared" si="30"/>
        <v>銀行-區域</v>
      </c>
      <c r="K507" s="227" t="str">
        <f t="shared" si="31"/>
        <v>.SPX</v>
      </c>
      <c r="L507" s="228">
        <v>0.31979999999999997</v>
      </c>
      <c r="M507" s="229">
        <v>53.12</v>
      </c>
      <c r="N507" s="228">
        <v>0.86909999999999998</v>
      </c>
      <c r="O507" s="228">
        <v>0.24660000000000001</v>
      </c>
      <c r="P507" s="228">
        <v>0.5091</v>
      </c>
      <c r="Q507" s="230">
        <v>0.27710000000000001</v>
      </c>
      <c r="R507" s="231">
        <v>44328</v>
      </c>
      <c r="S507" s="232">
        <v>57.150001525878899</v>
      </c>
      <c r="T507" s="233">
        <v>0.34</v>
      </c>
      <c r="U507" s="234">
        <v>42598</v>
      </c>
      <c r="V507" s="232">
        <v>25.6832561492919</v>
      </c>
      <c r="W507" s="235">
        <v>0.08</v>
      </c>
    </row>
    <row r="508" spans="5:23" ht="15.75" customHeight="1">
      <c r="E508" s="374"/>
      <c r="F508" s="222" t="s">
        <v>34</v>
      </c>
      <c r="G508" s="223" t="s">
        <v>1492</v>
      </c>
      <c r="H508" s="224" t="str">
        <f t="shared" si="28"/>
        <v>ZTS</v>
      </c>
      <c r="I508" s="225" t="str">
        <f t="shared" si="29"/>
        <v>XLV</v>
      </c>
      <c r="J508" s="226" t="str">
        <f t="shared" si="30"/>
        <v>藥品製造商-專業和通用</v>
      </c>
      <c r="K508" s="227" t="str">
        <f t="shared" si="31"/>
        <v>.SPX</v>
      </c>
      <c r="L508" s="228">
        <v>0.20530000000000001</v>
      </c>
      <c r="M508" s="229">
        <v>203.84</v>
      </c>
      <c r="N508" s="228">
        <v>0.32700000000000001</v>
      </c>
      <c r="O508" s="228">
        <v>0.13569999999999999</v>
      </c>
      <c r="P508" s="228">
        <v>0.39429999999999998</v>
      </c>
      <c r="Q508" s="230">
        <v>0.17679999999999998</v>
      </c>
      <c r="R508" s="231">
        <v>44397</v>
      </c>
      <c r="S508" s="232">
        <v>200.11000061035099</v>
      </c>
      <c r="T508" s="233">
        <v>0.25</v>
      </c>
      <c r="U508" s="234">
        <v>42675</v>
      </c>
      <c r="V508" s="232">
        <v>45.876697540283203</v>
      </c>
      <c r="W508" s="235">
        <v>9.5000000000000001E-2</v>
      </c>
    </row>
    <row r="509" spans="5:23" ht="15.75" customHeight="1">
      <c r="E509" s="374"/>
      <c r="F509" s="237"/>
      <c r="G509" s="238"/>
      <c r="H509" s="224"/>
      <c r="I509" s="225" t="str">
        <f t="shared" si="29"/>
        <v/>
      </c>
      <c r="J509" s="226" t="str">
        <f t="shared" si="30"/>
        <v/>
      </c>
      <c r="K509" s="227" t="str">
        <f t="shared" si="31"/>
        <v/>
      </c>
      <c r="L509" s="228"/>
      <c r="M509" s="229"/>
      <c r="N509" s="228"/>
      <c r="O509" s="228"/>
      <c r="P509" s="228"/>
      <c r="Q509" s="230"/>
      <c r="R509" s="231"/>
      <c r="S509" s="232"/>
      <c r="T509" s="233"/>
      <c r="U509" s="234"/>
      <c r="V509" s="232"/>
      <c r="W509" s="235"/>
    </row>
    <row r="510" spans="5:23" ht="15.75" customHeight="1">
      <c r="E510" s="374"/>
      <c r="F510" s="237"/>
      <c r="G510" s="238"/>
      <c r="H510" s="224" t="str">
        <f>IF(F510="","",F510)</f>
        <v/>
      </c>
      <c r="I510" s="225" t="str">
        <f t="shared" si="29"/>
        <v/>
      </c>
      <c r="J510" s="226" t="str">
        <f t="shared" si="30"/>
        <v/>
      </c>
      <c r="K510" s="227" t="str">
        <f t="shared" si="31"/>
        <v/>
      </c>
      <c r="L510" s="228"/>
      <c r="M510" s="229"/>
      <c r="N510" s="228"/>
      <c r="O510" s="228"/>
      <c r="P510" s="228"/>
      <c r="Q510" s="230"/>
      <c r="R510" s="231"/>
      <c r="S510" s="232"/>
      <c r="T510" s="233"/>
      <c r="U510" s="234"/>
      <c r="V510" s="232"/>
      <c r="W510" s="235"/>
    </row>
    <row r="511" spans="5:23" ht="15.75" customHeight="1">
      <c r="E511" s="374"/>
      <c r="F511" s="237"/>
      <c r="G511" s="238"/>
      <c r="H511" s="224" t="str">
        <f t="shared" ref="H511:H520" si="32">IF(F511="","",F511)</f>
        <v/>
      </c>
      <c r="I511" s="225" t="str">
        <f t="shared" si="29"/>
        <v/>
      </c>
      <c r="J511" s="226" t="str">
        <f t="shared" si="30"/>
        <v/>
      </c>
      <c r="K511" s="227" t="str">
        <f t="shared" si="31"/>
        <v/>
      </c>
      <c r="L511" s="228"/>
      <c r="M511" s="229"/>
      <c r="N511" s="228"/>
      <c r="O511" s="228"/>
      <c r="P511" s="228"/>
      <c r="Q511" s="230"/>
      <c r="R511" s="231"/>
      <c r="S511" s="232"/>
      <c r="T511" s="233"/>
      <c r="U511" s="234"/>
      <c r="V511" s="232"/>
      <c r="W511" s="235"/>
    </row>
    <row r="512" spans="5:23" ht="15.75" customHeight="1">
      <c r="E512" s="374"/>
      <c r="F512" s="237"/>
      <c r="G512" s="238"/>
      <c r="H512" s="224" t="str">
        <f t="shared" si="32"/>
        <v/>
      </c>
      <c r="I512" s="225" t="str">
        <f t="shared" si="29"/>
        <v/>
      </c>
      <c r="J512" s="226" t="str">
        <f t="shared" si="30"/>
        <v/>
      </c>
      <c r="K512" s="227" t="str">
        <f t="shared" si="31"/>
        <v/>
      </c>
      <c r="L512" s="228"/>
      <c r="M512" s="229"/>
      <c r="N512" s="228"/>
      <c r="O512" s="228"/>
      <c r="P512" s="228"/>
      <c r="Q512" s="230"/>
      <c r="R512" s="231"/>
      <c r="S512" s="232"/>
      <c r="T512" s="233"/>
      <c r="U512" s="234"/>
      <c r="V512" s="232"/>
      <c r="W512" s="235"/>
    </row>
    <row r="513" spans="1:34" ht="15.75" customHeight="1">
      <c r="E513" s="374"/>
      <c r="F513" s="237"/>
      <c r="G513" s="238"/>
      <c r="H513" s="224" t="str">
        <f t="shared" si="32"/>
        <v/>
      </c>
      <c r="I513" s="225" t="str">
        <f t="shared" si="29"/>
        <v/>
      </c>
      <c r="J513" s="226" t="str">
        <f t="shared" si="30"/>
        <v/>
      </c>
      <c r="K513" s="227" t="str">
        <f t="shared" si="31"/>
        <v/>
      </c>
      <c r="L513" s="228"/>
      <c r="M513" s="229"/>
      <c r="N513" s="228"/>
      <c r="O513" s="228"/>
      <c r="P513" s="228"/>
      <c r="Q513" s="230"/>
      <c r="R513" s="231"/>
      <c r="S513" s="232"/>
      <c r="T513" s="233"/>
      <c r="U513" s="234"/>
      <c r="V513" s="232"/>
      <c r="W513" s="235"/>
    </row>
    <row r="514" spans="1:34" ht="15.75" customHeight="1">
      <c r="E514" s="374"/>
      <c r="F514" s="237"/>
      <c r="G514" s="238"/>
      <c r="H514" s="224" t="str">
        <f t="shared" si="32"/>
        <v/>
      </c>
      <c r="I514" s="225" t="str">
        <f t="shared" si="29"/>
        <v/>
      </c>
      <c r="J514" s="226" t="str">
        <f t="shared" si="30"/>
        <v/>
      </c>
      <c r="K514" s="227" t="str">
        <f t="shared" si="31"/>
        <v/>
      </c>
      <c r="L514" s="228"/>
      <c r="M514" s="229"/>
      <c r="N514" s="228"/>
      <c r="O514" s="228"/>
      <c r="P514" s="228"/>
      <c r="Q514" s="230"/>
      <c r="R514" s="231"/>
      <c r="S514" s="232"/>
      <c r="T514" s="233"/>
      <c r="U514" s="234"/>
      <c r="V514" s="232"/>
      <c r="W514" s="235"/>
    </row>
    <row r="515" spans="1:34" ht="15.75" customHeight="1">
      <c r="E515" s="374"/>
      <c r="F515" s="237"/>
      <c r="G515" s="238"/>
      <c r="H515" s="224" t="str">
        <f t="shared" si="32"/>
        <v/>
      </c>
      <c r="I515" s="225" t="str">
        <f t="shared" si="29"/>
        <v/>
      </c>
      <c r="J515" s="226" t="str">
        <f t="shared" si="30"/>
        <v/>
      </c>
      <c r="K515" s="227" t="str">
        <f t="shared" si="31"/>
        <v/>
      </c>
      <c r="L515" s="228"/>
      <c r="M515" s="229"/>
      <c r="N515" s="228"/>
      <c r="O515" s="228"/>
      <c r="P515" s="228"/>
      <c r="Q515" s="230"/>
      <c r="R515" s="231"/>
      <c r="S515" s="232"/>
      <c r="T515" s="233"/>
      <c r="U515" s="234"/>
      <c r="V515" s="232"/>
      <c r="W515" s="235"/>
    </row>
    <row r="516" spans="1:34" ht="15.75" customHeight="1">
      <c r="E516" s="374"/>
      <c r="F516" s="237"/>
      <c r="G516" s="238"/>
      <c r="H516" s="224" t="str">
        <f t="shared" si="32"/>
        <v/>
      </c>
      <c r="I516" s="225" t="str">
        <f t="shared" ref="I516:I520" si="33">IFERROR(INDEX($X$3:$AH$3,IF(IFERROR(MATCH(H516,X:X,0),0)&lt;&gt;0,1,IF(IFERROR(MATCH(H516,Y:Y,0),0)&lt;&gt;0,2,IF(IFERROR(MATCH(H516,Z:Z,0),0)&lt;&gt;0,3,IF(IFERROR(MATCH(H516,AA:AA,0),0)&lt;&gt;0,4,IF(IFERROR(MATCH(H516,AB:AB,0),0)&lt;&gt;0,5,IF(IFERROR(MATCH(H516,AC:AC,0),0)&lt;&gt;0,6,IF(IFERROR(MATCH(H516,AD:AD,0),0)&lt;&gt;0,7,IF(IFERROR(MATCH(H516,AE:AE,0),0)&lt;&gt;0,8,IF(IFERROR(MATCH(H516,AF:AF,0),0)&lt;&gt;0,9,IF(IFERROR(MATCH(H516,AG:AG,0),0)&lt;&gt;0,10,IF(IFERROR(MATCH(H516,AH:AH,0),0)&lt;&gt;0,11,"Z")))))))))))),"")</f>
        <v/>
      </c>
      <c r="J516" s="226" t="str">
        <f t="shared" si="30"/>
        <v/>
      </c>
      <c r="K516" s="227" t="str">
        <f t="shared" si="31"/>
        <v/>
      </c>
      <c r="L516" s="228"/>
      <c r="M516" s="229"/>
      <c r="N516" s="228"/>
      <c r="O516" s="228"/>
      <c r="P516" s="228"/>
      <c r="Q516" s="230"/>
      <c r="R516" s="231"/>
      <c r="S516" s="232"/>
      <c r="T516" s="233"/>
      <c r="U516" s="234"/>
      <c r="V516" s="232"/>
      <c r="W516" s="235"/>
    </row>
    <row r="517" spans="1:34" ht="15.75" customHeight="1">
      <c r="E517" s="374"/>
      <c r="F517" s="237"/>
      <c r="G517" s="238"/>
      <c r="H517" s="224" t="str">
        <f t="shared" si="32"/>
        <v/>
      </c>
      <c r="I517" s="225" t="str">
        <f t="shared" si="33"/>
        <v/>
      </c>
      <c r="J517" s="226" t="str">
        <f t="shared" si="30"/>
        <v/>
      </c>
      <c r="K517" s="227" t="str">
        <f>IF(H517="","",".SPX")</f>
        <v/>
      </c>
      <c r="L517" s="228"/>
      <c r="M517" s="229"/>
      <c r="N517" s="228"/>
      <c r="O517" s="228"/>
      <c r="P517" s="228"/>
      <c r="Q517" s="230"/>
      <c r="R517" s="231"/>
      <c r="S517" s="232"/>
      <c r="T517" s="233"/>
      <c r="U517" s="234"/>
      <c r="V517" s="232"/>
      <c r="W517" s="235"/>
    </row>
    <row r="518" spans="1:34" ht="15.75" customHeight="1">
      <c r="E518" s="374"/>
      <c r="F518" s="237"/>
      <c r="G518" s="238"/>
      <c r="H518" s="224" t="str">
        <f t="shared" si="32"/>
        <v/>
      </c>
      <c r="I518" s="225" t="str">
        <f t="shared" si="33"/>
        <v/>
      </c>
      <c r="J518" s="226" t="str">
        <f t="shared" si="30"/>
        <v/>
      </c>
      <c r="K518" s="227" t="str">
        <f>IF(H518="","",".SPX")</f>
        <v/>
      </c>
      <c r="L518" s="228"/>
      <c r="M518" s="229"/>
      <c r="N518" s="228"/>
      <c r="O518" s="228"/>
      <c r="P518" s="228"/>
      <c r="Q518" s="230"/>
      <c r="R518" s="231"/>
      <c r="S518" s="232"/>
      <c r="T518" s="233"/>
      <c r="U518" s="234"/>
      <c r="V518" s="232"/>
      <c r="W518" s="235"/>
    </row>
    <row r="519" spans="1:34" ht="15.75" customHeight="1">
      <c r="E519" s="374"/>
      <c r="F519" s="237"/>
      <c r="G519" s="238"/>
      <c r="H519" s="224" t="str">
        <f t="shared" si="32"/>
        <v/>
      </c>
      <c r="I519" s="225" t="str">
        <f t="shared" si="33"/>
        <v/>
      </c>
      <c r="J519" s="226" t="str">
        <f t="shared" si="30"/>
        <v/>
      </c>
      <c r="K519" s="227" t="str">
        <f>IF(H519="","",".SPX")</f>
        <v/>
      </c>
      <c r="L519" s="228"/>
      <c r="M519" s="229"/>
      <c r="N519" s="228"/>
      <c r="O519" s="228"/>
      <c r="P519" s="228"/>
      <c r="Q519" s="230"/>
      <c r="R519" s="231"/>
      <c r="S519" s="232"/>
      <c r="T519" s="233"/>
      <c r="U519" s="234"/>
      <c r="V519" s="232"/>
      <c r="W519" s="235"/>
    </row>
    <row r="520" spans="1:34" s="297" customFormat="1" ht="15.75" customHeight="1" thickBot="1">
      <c r="A520" s="282"/>
      <c r="B520" s="283"/>
      <c r="C520" s="283"/>
      <c r="D520" s="284"/>
      <c r="E520" s="374"/>
      <c r="F520" s="285"/>
      <c r="G520" s="286"/>
      <c r="H520" s="244" t="str">
        <f t="shared" si="32"/>
        <v/>
      </c>
      <c r="I520" s="245" t="str">
        <f t="shared" si="33"/>
        <v/>
      </c>
      <c r="J520" s="287" t="str">
        <f t="shared" si="30"/>
        <v/>
      </c>
      <c r="K520" s="288" t="str">
        <f>IF(H520="","",".SPX")</f>
        <v/>
      </c>
      <c r="L520" s="289"/>
      <c r="M520" s="290"/>
      <c r="N520" s="291"/>
      <c r="O520" s="292"/>
      <c r="P520" s="290"/>
      <c r="Q520" s="293"/>
      <c r="R520" s="249"/>
      <c r="S520" s="250"/>
      <c r="T520" s="251"/>
      <c r="U520" s="252"/>
      <c r="V520" s="250"/>
      <c r="W520" s="253"/>
      <c r="X520" s="294"/>
      <c r="Y520" s="295"/>
      <c r="Z520" s="295"/>
      <c r="AA520" s="295"/>
      <c r="AB520" s="295"/>
      <c r="AC520" s="295"/>
      <c r="AD520" s="295"/>
      <c r="AE520" s="295"/>
      <c r="AF520" s="295"/>
      <c r="AG520" s="295"/>
      <c r="AH520" s="296"/>
    </row>
    <row r="521" spans="1:34" ht="15.75" customHeight="1">
      <c r="E521" s="374"/>
      <c r="F521" s="256"/>
      <c r="G521" s="257"/>
      <c r="H521" s="258" t="str">
        <f t="shared" ref="H521:K541" si="34">IF(A4="","",A4)</f>
        <v>CRNC</v>
      </c>
      <c r="I521" s="259" t="str">
        <f t="shared" si="34"/>
        <v/>
      </c>
      <c r="J521" s="259" t="str">
        <f t="shared" si="34"/>
        <v/>
      </c>
      <c r="K521" s="260" t="str">
        <f t="shared" si="34"/>
        <v>電動車-JIT</v>
      </c>
      <c r="L521" s="261">
        <v>0.54959999999999998</v>
      </c>
      <c r="M521" s="262">
        <v>108.7</v>
      </c>
      <c r="N521" s="261">
        <v>0.90720000000000001</v>
      </c>
      <c r="O521" s="261">
        <v>0.41020000000000001</v>
      </c>
      <c r="P521" s="261">
        <v>0.91559999999999997</v>
      </c>
      <c r="Q521" s="263">
        <v>0.4919</v>
      </c>
      <c r="R521" s="264">
        <v>0</v>
      </c>
      <c r="S521" s="265">
        <v>0</v>
      </c>
      <c r="T521" s="266">
        <v>0</v>
      </c>
      <c r="U521" s="267">
        <v>0</v>
      </c>
      <c r="V521" s="265">
        <v>0</v>
      </c>
      <c r="W521" s="268">
        <v>0</v>
      </c>
    </row>
    <row r="522" spans="1:34" ht="15.75" customHeight="1">
      <c r="E522" s="374"/>
      <c r="F522" s="239"/>
      <c r="G522" s="240"/>
      <c r="H522" s="224" t="str">
        <f t="shared" si="34"/>
        <v>PUTW</v>
      </c>
      <c r="I522" s="225" t="str">
        <f t="shared" si="34"/>
        <v/>
      </c>
      <c r="J522" s="225" t="str">
        <f t="shared" si="34"/>
        <v/>
      </c>
      <c r="K522" s="241" t="str">
        <f t="shared" si="34"/>
        <v>SP-JIT</v>
      </c>
      <c r="L522" s="228"/>
      <c r="M522" s="229"/>
      <c r="N522" s="228"/>
      <c r="O522" s="228"/>
      <c r="P522" s="228"/>
      <c r="Q522" s="230"/>
      <c r="R522" s="231"/>
      <c r="S522" s="232"/>
      <c r="T522" s="233"/>
      <c r="U522" s="234"/>
      <c r="V522" s="232"/>
      <c r="W522" s="235"/>
    </row>
    <row r="523" spans="1:34" ht="15.75" customHeight="1">
      <c r="E523" s="374"/>
      <c r="F523" s="239"/>
      <c r="G523" s="240"/>
      <c r="H523" s="224" t="str">
        <f t="shared" si="34"/>
        <v>BXMX</v>
      </c>
      <c r="I523" s="225" t="str">
        <f t="shared" si="34"/>
        <v/>
      </c>
      <c r="J523" s="225" t="str">
        <f t="shared" si="34"/>
        <v/>
      </c>
      <c r="K523" s="241" t="str">
        <f t="shared" si="34"/>
        <v>SC-JIT</v>
      </c>
      <c r="L523" s="228"/>
      <c r="M523" s="229"/>
      <c r="N523" s="228"/>
      <c r="O523" s="228"/>
      <c r="P523" s="228"/>
      <c r="Q523" s="230"/>
      <c r="R523" s="231"/>
      <c r="S523" s="232"/>
      <c r="T523" s="233"/>
      <c r="U523" s="234"/>
      <c r="V523" s="232"/>
      <c r="W523" s="235"/>
    </row>
    <row r="524" spans="1:34" ht="15.75" customHeight="1">
      <c r="E524" s="374"/>
      <c r="F524" s="239"/>
      <c r="G524" s="240"/>
      <c r="H524" s="224" t="str">
        <f t="shared" si="34"/>
        <v>ZM</v>
      </c>
      <c r="I524" s="225" t="str">
        <f t="shared" si="34"/>
        <v/>
      </c>
      <c r="J524" s="225" t="str">
        <f t="shared" si="34"/>
        <v/>
      </c>
      <c r="K524" s="241" t="str">
        <f t="shared" si="34"/>
        <v>Livia</v>
      </c>
      <c r="L524" s="228">
        <v>0.45350000000000001</v>
      </c>
      <c r="M524" s="229">
        <v>378.5</v>
      </c>
      <c r="N524" s="228">
        <v>1.2526999999999999</v>
      </c>
      <c r="O524" s="228">
        <v>0.31509999999999999</v>
      </c>
      <c r="P524" s="228">
        <v>0.94779999999999998</v>
      </c>
      <c r="Q524" s="230">
        <v>0.37020000000000003</v>
      </c>
      <c r="R524" s="231">
        <v>0</v>
      </c>
      <c r="S524" s="232">
        <v>0</v>
      </c>
      <c r="T524" s="233">
        <v>0</v>
      </c>
      <c r="U524" s="234">
        <v>0</v>
      </c>
      <c r="V524" s="232">
        <v>0</v>
      </c>
      <c r="W524" s="235">
        <v>0</v>
      </c>
    </row>
    <row r="525" spans="1:34" ht="15.75" customHeight="1">
      <c r="E525" s="374"/>
      <c r="F525" s="239"/>
      <c r="G525" s="240"/>
      <c r="H525" s="224" t="str">
        <f t="shared" si="34"/>
        <v>YOLO</v>
      </c>
      <c r="I525" s="225" t="str">
        <f t="shared" si="34"/>
        <v/>
      </c>
      <c r="J525" s="225" t="str">
        <f t="shared" si="34"/>
        <v/>
      </c>
      <c r="K525" s="241" t="str">
        <f t="shared" si="34"/>
        <v>Livia</v>
      </c>
      <c r="L525" s="228">
        <v>0.38140000000000002</v>
      </c>
      <c r="M525" s="229">
        <v>18.96</v>
      </c>
      <c r="N525" s="228">
        <v>0.78749999999999998</v>
      </c>
      <c r="O525" s="228">
        <v>0.23930000000000001</v>
      </c>
      <c r="P525" s="228">
        <v>1.1721999999999999</v>
      </c>
      <c r="Q525" s="230">
        <v>0.34200000000000003</v>
      </c>
      <c r="R525" s="231">
        <v>44189</v>
      </c>
      <c r="S525" s="232">
        <v>17.659999847412099</v>
      </c>
      <c r="T525" s="233">
        <v>3.6999999999999998E-2</v>
      </c>
      <c r="U525" s="234">
        <v>43733</v>
      </c>
      <c r="V525" s="232">
        <v>14.7273740768432</v>
      </c>
      <c r="W525" s="235">
        <v>0.27600000000000002</v>
      </c>
    </row>
    <row r="526" spans="1:34" ht="15.75" customHeight="1">
      <c r="E526" s="374"/>
      <c r="F526" s="239"/>
      <c r="G526" s="240"/>
      <c r="H526" s="224" t="str">
        <f t="shared" si="34"/>
        <v>TECH</v>
      </c>
      <c r="I526" s="225" t="str">
        <f t="shared" si="34"/>
        <v/>
      </c>
      <c r="J526" s="225" t="str">
        <f t="shared" si="34"/>
        <v/>
      </c>
      <c r="K526" s="241" t="str">
        <f t="shared" si="34"/>
        <v>Livia</v>
      </c>
      <c r="L526" s="228">
        <v>0.33310000000000001</v>
      </c>
      <c r="M526" s="229">
        <v>484.99</v>
      </c>
      <c r="N526" s="228">
        <v>0.53969999999999996</v>
      </c>
      <c r="O526" s="228">
        <v>0.20749999999999999</v>
      </c>
      <c r="P526" s="228">
        <v>0.42109999999999997</v>
      </c>
      <c r="Q526" s="230">
        <v>0.24809999999999999</v>
      </c>
      <c r="R526" s="231">
        <v>44330</v>
      </c>
      <c r="S526" s="232">
        <v>401.36999511718699</v>
      </c>
      <c r="T526" s="233">
        <v>0.32</v>
      </c>
      <c r="U526" s="234">
        <v>42607</v>
      </c>
      <c r="V526" s="232">
        <v>101.417915344238</v>
      </c>
      <c r="W526" s="235">
        <v>0.32</v>
      </c>
    </row>
    <row r="527" spans="1:34" ht="15.75" customHeight="1">
      <c r="E527" s="374"/>
      <c r="F527" s="239"/>
      <c r="G527" s="240"/>
      <c r="H527" s="224" t="str">
        <f t="shared" si="34"/>
        <v>SHOP</v>
      </c>
      <c r="I527" s="225" t="str">
        <f t="shared" si="34"/>
        <v/>
      </c>
      <c r="J527" s="225" t="str">
        <f t="shared" si="34"/>
        <v/>
      </c>
      <c r="K527" s="241" t="str">
        <f t="shared" si="34"/>
        <v>Livia</v>
      </c>
      <c r="L527" s="228">
        <v>0.3906</v>
      </c>
      <c r="M527" s="236">
        <v>1549.12</v>
      </c>
      <c r="N527" s="228">
        <v>0.68530000000000002</v>
      </c>
      <c r="O527" s="228">
        <v>0.2989</v>
      </c>
      <c r="P527" s="228">
        <v>0.6987000000000001</v>
      </c>
      <c r="Q527" s="230">
        <v>0.33840000000000003</v>
      </c>
      <c r="R527" s="231">
        <v>0</v>
      </c>
      <c r="S527" s="232">
        <v>0</v>
      </c>
      <c r="T527" s="233">
        <v>0</v>
      </c>
      <c r="U527" s="234">
        <v>0</v>
      </c>
      <c r="V527" s="232">
        <v>0</v>
      </c>
      <c r="W527" s="235">
        <v>0</v>
      </c>
    </row>
    <row r="528" spans="1:34" ht="15.75" customHeight="1">
      <c r="E528" s="374"/>
      <c r="F528" s="239"/>
      <c r="G528" s="240"/>
      <c r="H528" s="224" t="str">
        <f t="shared" si="34"/>
        <v>ROKU</v>
      </c>
      <c r="I528" s="225" t="str">
        <f t="shared" si="34"/>
        <v/>
      </c>
      <c r="J528" s="225" t="str">
        <f t="shared" si="34"/>
        <v/>
      </c>
      <c r="K528" s="241" t="str">
        <f t="shared" si="34"/>
        <v>Livia</v>
      </c>
      <c r="L528" s="228">
        <v>0.62709999999999999</v>
      </c>
      <c r="M528" s="229">
        <v>429.74</v>
      </c>
      <c r="N528" s="228">
        <v>0.78420000000000001</v>
      </c>
      <c r="O528" s="228">
        <v>0.41649999999999998</v>
      </c>
      <c r="P528" s="228">
        <v>0.83389999999999997</v>
      </c>
      <c r="Q528" s="230">
        <v>0.42219999999999996</v>
      </c>
      <c r="R528" s="231">
        <v>0</v>
      </c>
      <c r="S528" s="232">
        <v>0</v>
      </c>
      <c r="T528" s="233">
        <v>0</v>
      </c>
      <c r="U528" s="234">
        <v>0</v>
      </c>
      <c r="V528" s="232">
        <v>0</v>
      </c>
      <c r="W528" s="235">
        <v>0</v>
      </c>
    </row>
    <row r="529" spans="5:23" ht="15.75" customHeight="1">
      <c r="E529" s="374"/>
      <c r="F529" s="239"/>
      <c r="G529" s="240"/>
      <c r="H529" s="224" t="str">
        <f t="shared" si="34"/>
        <v>RH</v>
      </c>
      <c r="I529" s="225" t="str">
        <f t="shared" si="34"/>
        <v/>
      </c>
      <c r="J529" s="225" t="str">
        <f t="shared" si="34"/>
        <v/>
      </c>
      <c r="K529" s="241" t="str">
        <f t="shared" si="34"/>
        <v>Livia</v>
      </c>
      <c r="L529" s="228">
        <v>0.36659999999999998</v>
      </c>
      <c r="M529" s="229">
        <v>664.67</v>
      </c>
      <c r="N529" s="228">
        <v>0.6774</v>
      </c>
      <c r="O529" s="228">
        <v>0.25269999999999998</v>
      </c>
      <c r="P529" s="228">
        <v>0.82689999999999997</v>
      </c>
      <c r="Q529" s="230">
        <v>0.33500000000000002</v>
      </c>
      <c r="R529" s="231">
        <v>0</v>
      </c>
      <c r="S529" s="232">
        <v>0</v>
      </c>
      <c r="T529" s="233">
        <v>0</v>
      </c>
      <c r="U529" s="234">
        <v>0</v>
      </c>
      <c r="V529" s="232">
        <v>0</v>
      </c>
      <c r="W529" s="235">
        <v>0</v>
      </c>
    </row>
    <row r="530" spans="5:23" ht="15.75" customHeight="1">
      <c r="E530" s="374"/>
      <c r="F530" s="239"/>
      <c r="G530" s="240"/>
      <c r="H530" s="224" t="str">
        <f t="shared" si="34"/>
        <v>PDD</v>
      </c>
      <c r="I530" s="225" t="str">
        <f t="shared" si="34"/>
        <v/>
      </c>
      <c r="J530" s="225" t="str">
        <f t="shared" si="34"/>
        <v/>
      </c>
      <c r="K530" s="241" t="str">
        <f t="shared" si="34"/>
        <v>Livia</v>
      </c>
      <c r="L530" s="228">
        <v>0.66339999999999999</v>
      </c>
      <c r="M530" s="229">
        <v>91.88</v>
      </c>
      <c r="N530" s="228">
        <v>0.996</v>
      </c>
      <c r="O530" s="228">
        <v>0.33410000000000001</v>
      </c>
      <c r="P530" s="228">
        <v>0.84889999999999999</v>
      </c>
      <c r="Q530" s="230">
        <v>0.42930000000000001</v>
      </c>
      <c r="R530" s="231">
        <v>0</v>
      </c>
      <c r="S530" s="232">
        <v>0</v>
      </c>
      <c r="T530" s="233">
        <v>0</v>
      </c>
      <c r="U530" s="234">
        <v>0</v>
      </c>
      <c r="V530" s="232">
        <v>0</v>
      </c>
      <c r="W530" s="235">
        <v>0</v>
      </c>
    </row>
    <row r="531" spans="5:23" ht="15.75" customHeight="1">
      <c r="E531" s="374"/>
      <c r="F531" s="239"/>
      <c r="G531" s="240"/>
      <c r="H531" s="224" t="str">
        <f t="shared" si="34"/>
        <v>NET</v>
      </c>
      <c r="I531" s="225" t="str">
        <f t="shared" si="34"/>
        <v/>
      </c>
      <c r="J531" s="225" t="str">
        <f t="shared" si="34"/>
        <v/>
      </c>
      <c r="K531" s="241" t="str">
        <f t="shared" si="34"/>
        <v>Livia</v>
      </c>
      <c r="L531" s="228">
        <v>0.52170000000000005</v>
      </c>
      <c r="M531" s="229">
        <v>120.01</v>
      </c>
      <c r="N531" s="228">
        <v>0.81659999999999999</v>
      </c>
      <c r="O531" s="228">
        <v>0.26300000000000001</v>
      </c>
      <c r="P531" s="228">
        <v>0.86109999999999998</v>
      </c>
      <c r="Q531" s="230">
        <v>0.41770000000000002</v>
      </c>
      <c r="R531" s="231">
        <v>0</v>
      </c>
      <c r="S531" s="232">
        <v>0</v>
      </c>
      <c r="T531" s="233">
        <v>0</v>
      </c>
      <c r="U531" s="234">
        <v>0</v>
      </c>
      <c r="V531" s="232">
        <v>0</v>
      </c>
      <c r="W531" s="235">
        <v>0</v>
      </c>
    </row>
    <row r="532" spans="5:23" ht="15.75" customHeight="1">
      <c r="E532" s="374"/>
      <c r="F532" s="239"/>
      <c r="G532" s="240"/>
      <c r="H532" s="224" t="str">
        <f t="shared" si="34"/>
        <v>IBIO</v>
      </c>
      <c r="I532" s="225" t="str">
        <f t="shared" si="34"/>
        <v/>
      </c>
      <c r="J532" s="225" t="str">
        <f t="shared" si="34"/>
        <v/>
      </c>
      <c r="K532" s="241" t="str">
        <f t="shared" si="34"/>
        <v>Livia</v>
      </c>
      <c r="L532" s="228">
        <v>1.3602000000000001</v>
      </c>
      <c r="M532" s="229">
        <v>1.2549999999999999</v>
      </c>
      <c r="N532" s="228">
        <v>2.5341</v>
      </c>
      <c r="O532" s="228">
        <v>0.53180000000000005</v>
      </c>
      <c r="P532" s="228">
        <v>3.1777999999999995</v>
      </c>
      <c r="Q532" s="228">
        <v>1.0456000000000001</v>
      </c>
      <c r="R532" s="231">
        <v>43262</v>
      </c>
      <c r="S532" s="232">
        <v>1.33000004291534</v>
      </c>
      <c r="T532" s="233">
        <v>0</v>
      </c>
      <c r="U532" s="234">
        <v>43262</v>
      </c>
      <c r="V532" s="232">
        <v>1.33000004291534</v>
      </c>
      <c r="W532" s="235">
        <v>0</v>
      </c>
    </row>
    <row r="533" spans="5:23" ht="15.75" customHeight="1">
      <c r="E533" s="374"/>
      <c r="F533" s="239"/>
      <c r="G533" s="240"/>
      <c r="H533" s="224" t="str">
        <f t="shared" si="34"/>
        <v>GME</v>
      </c>
      <c r="I533" s="225" t="str">
        <f t="shared" si="34"/>
        <v/>
      </c>
      <c r="J533" s="225" t="str">
        <f t="shared" si="34"/>
        <v/>
      </c>
      <c r="K533" s="241" t="str">
        <f t="shared" si="34"/>
        <v>Livia</v>
      </c>
      <c r="L533" s="228">
        <v>0.94040000000000001</v>
      </c>
      <c r="M533" s="229">
        <v>158.88</v>
      </c>
      <c r="N533" s="228">
        <v>5.9585999999999997</v>
      </c>
      <c r="O533" s="228">
        <v>0.4632</v>
      </c>
      <c r="P533" s="228">
        <v>5.6374000000000004</v>
      </c>
      <c r="Q533" s="228">
        <v>0.90290000000000004</v>
      </c>
      <c r="R533" s="231">
        <v>43538</v>
      </c>
      <c r="S533" s="232">
        <v>10.949999809265099</v>
      </c>
      <c r="T533" s="233">
        <v>0.38</v>
      </c>
      <c r="U533" s="234">
        <v>42620</v>
      </c>
      <c r="V533" s="232">
        <v>22.539718627929599</v>
      </c>
      <c r="W533" s="235">
        <v>0.37</v>
      </c>
    </row>
    <row r="534" spans="5:23" ht="15.75" customHeight="1">
      <c r="E534" s="374"/>
      <c r="F534" s="239"/>
      <c r="G534" s="240"/>
      <c r="H534" s="224" t="str">
        <f t="shared" si="34"/>
        <v>DDOG</v>
      </c>
      <c r="I534" s="225" t="str">
        <f t="shared" si="34"/>
        <v/>
      </c>
      <c r="J534" s="225" t="str">
        <f t="shared" si="34"/>
        <v/>
      </c>
      <c r="K534" s="241" t="str">
        <f t="shared" si="34"/>
        <v>Livia</v>
      </c>
      <c r="L534" s="228">
        <v>0.51349999999999996</v>
      </c>
      <c r="M534" s="229">
        <v>112.88</v>
      </c>
      <c r="N534" s="228">
        <v>0.76839999999999997</v>
      </c>
      <c r="O534" s="228">
        <v>0.2104</v>
      </c>
      <c r="P534" s="228">
        <v>0.82379999999999998</v>
      </c>
      <c r="Q534" s="228">
        <v>0.39329999999999998</v>
      </c>
      <c r="R534" s="231">
        <v>0</v>
      </c>
      <c r="S534" s="232">
        <v>0</v>
      </c>
      <c r="T534" s="233">
        <v>0</v>
      </c>
      <c r="U534" s="234">
        <v>0</v>
      </c>
      <c r="V534" s="232">
        <v>0</v>
      </c>
      <c r="W534" s="235">
        <v>0</v>
      </c>
    </row>
    <row r="535" spans="5:23" ht="15.75" customHeight="1">
      <c r="E535" s="374"/>
      <c r="F535" s="239"/>
      <c r="G535" s="240"/>
      <c r="H535" s="224" t="str">
        <f t="shared" si="34"/>
        <v>AZN</v>
      </c>
      <c r="I535" s="225" t="str">
        <f t="shared" si="34"/>
        <v/>
      </c>
      <c r="J535" s="225" t="str">
        <f t="shared" si="34"/>
        <v/>
      </c>
      <c r="K535" s="241" t="str">
        <f t="shared" si="34"/>
        <v>Livia</v>
      </c>
      <c r="L535" s="228"/>
      <c r="M535" s="229"/>
      <c r="N535" s="228"/>
      <c r="O535" s="228"/>
      <c r="P535" s="228"/>
      <c r="Q535" s="228"/>
      <c r="R535" s="231"/>
      <c r="S535" s="232"/>
      <c r="T535" s="233"/>
      <c r="U535" s="234"/>
      <c r="V535" s="232"/>
      <c r="W535" s="235"/>
    </row>
    <row r="536" spans="5:23" ht="15.75" customHeight="1">
      <c r="E536" s="374"/>
      <c r="F536" s="239"/>
      <c r="G536" s="240"/>
      <c r="H536" s="224" t="str">
        <f t="shared" si="34"/>
        <v>API</v>
      </c>
      <c r="I536" s="225" t="str">
        <f t="shared" si="34"/>
        <v/>
      </c>
      <c r="J536" s="225" t="str">
        <f t="shared" si="34"/>
        <v/>
      </c>
      <c r="K536" s="241" t="str">
        <f t="shared" si="34"/>
        <v>Livia</v>
      </c>
      <c r="L536" s="228"/>
      <c r="M536" s="229"/>
      <c r="N536" s="228"/>
      <c r="O536" s="228"/>
      <c r="P536" s="228"/>
      <c r="Q536" s="228"/>
      <c r="R536" s="231"/>
      <c r="S536" s="232"/>
      <c r="T536" s="233"/>
      <c r="U536" s="234"/>
      <c r="V536" s="232"/>
      <c r="W536" s="235"/>
    </row>
    <row r="537" spans="5:23" ht="15.75" customHeight="1">
      <c r="E537" s="374"/>
      <c r="F537" s="239"/>
      <c r="G537" s="240"/>
      <c r="H537" s="224" t="str">
        <f t="shared" si="34"/>
        <v>AMC</v>
      </c>
      <c r="I537" s="225" t="str">
        <f t="shared" si="34"/>
        <v/>
      </c>
      <c r="J537" s="225" t="str">
        <f t="shared" si="34"/>
        <v/>
      </c>
      <c r="K537" s="241" t="str">
        <f t="shared" si="34"/>
        <v>Livia</v>
      </c>
      <c r="L537" s="228"/>
      <c r="M537" s="229"/>
      <c r="N537" s="228"/>
      <c r="O537" s="228"/>
      <c r="P537" s="228"/>
      <c r="Q537" s="228"/>
      <c r="R537" s="231"/>
      <c r="S537" s="232"/>
      <c r="T537" s="233"/>
      <c r="U537" s="234"/>
      <c r="V537" s="232"/>
      <c r="W537" s="235"/>
    </row>
    <row r="538" spans="5:23" ht="15.75" customHeight="1">
      <c r="E538" s="374"/>
      <c r="F538" s="239"/>
      <c r="G538" s="240"/>
      <c r="H538" s="224" t="str">
        <f t="shared" si="34"/>
        <v>AM</v>
      </c>
      <c r="I538" s="225" t="str">
        <f t="shared" si="34"/>
        <v/>
      </c>
      <c r="J538" s="225" t="str">
        <f t="shared" si="34"/>
        <v/>
      </c>
      <c r="K538" s="241" t="str">
        <f t="shared" si="34"/>
        <v>Livia</v>
      </c>
      <c r="L538" s="228"/>
      <c r="M538" s="229"/>
      <c r="N538" s="228"/>
      <c r="O538" s="228"/>
      <c r="P538" s="228"/>
      <c r="Q538" s="228"/>
      <c r="R538" s="231"/>
      <c r="S538" s="232"/>
      <c r="T538" s="233"/>
      <c r="U538" s="234"/>
      <c r="V538" s="232"/>
      <c r="W538" s="235"/>
    </row>
    <row r="539" spans="5:23" ht="15.75" customHeight="1">
      <c r="E539" s="374"/>
      <c r="F539" s="239"/>
      <c r="G539" s="240"/>
      <c r="H539" s="224" t="str">
        <f t="shared" si="34"/>
        <v>ZNGA</v>
      </c>
      <c r="I539" s="225" t="str">
        <f t="shared" si="34"/>
        <v/>
      </c>
      <c r="J539" s="225" t="str">
        <f t="shared" si="34"/>
        <v>5G</v>
      </c>
      <c r="K539" s="241" t="str">
        <f t="shared" si="34"/>
        <v>JIT</v>
      </c>
      <c r="L539" s="228"/>
      <c r="M539" s="229"/>
      <c r="N539" s="228"/>
      <c r="O539" s="228"/>
      <c r="P539" s="228"/>
      <c r="Q539" s="228"/>
      <c r="R539" s="231"/>
      <c r="S539" s="232"/>
      <c r="T539" s="233"/>
      <c r="U539" s="234"/>
      <c r="V539" s="232"/>
      <c r="W539" s="235"/>
    </row>
    <row r="540" spans="5:23" ht="15.75" customHeight="1">
      <c r="E540" s="374"/>
      <c r="F540" s="239"/>
      <c r="G540" s="240"/>
      <c r="H540" s="224" t="str">
        <f t="shared" si="34"/>
        <v>XONE</v>
      </c>
      <c r="I540" s="225" t="str">
        <f t="shared" si="34"/>
        <v/>
      </c>
      <c r="J540" s="225" t="str">
        <f t="shared" si="34"/>
        <v>工業務聯網</v>
      </c>
      <c r="K540" s="241" t="str">
        <f t="shared" si="34"/>
        <v>JIT</v>
      </c>
      <c r="L540" s="228">
        <v>0.38619999999999999</v>
      </c>
      <c r="M540" s="229">
        <v>21.78</v>
      </c>
      <c r="N540" s="228">
        <v>1.9291</v>
      </c>
      <c r="O540" s="228">
        <v>0.2278</v>
      </c>
      <c r="P540" s="228">
        <v>1.966</v>
      </c>
      <c r="Q540" s="228">
        <v>0.22089999999999999</v>
      </c>
      <c r="R540" s="231">
        <v>0</v>
      </c>
      <c r="S540" s="232">
        <v>0</v>
      </c>
      <c r="T540" s="233">
        <v>0</v>
      </c>
      <c r="U540" s="234">
        <v>0</v>
      </c>
      <c r="V540" s="232">
        <v>0</v>
      </c>
      <c r="W540" s="235">
        <v>0</v>
      </c>
    </row>
    <row r="541" spans="5:23" ht="15.75" customHeight="1">
      <c r="E541" s="374"/>
      <c r="F541" s="239"/>
      <c r="G541" s="240"/>
      <c r="H541" s="224" t="str">
        <f t="shared" si="34"/>
        <v>WKHS</v>
      </c>
      <c r="I541" s="225" t="str">
        <f t="shared" si="34"/>
        <v/>
      </c>
      <c r="J541" s="225" t="str">
        <f t="shared" si="34"/>
        <v>新能源</v>
      </c>
      <c r="K541" s="241" t="str">
        <f t="shared" si="34"/>
        <v>JIT</v>
      </c>
      <c r="L541" s="228">
        <v>1.1168</v>
      </c>
      <c r="M541" s="229">
        <v>11.42</v>
      </c>
      <c r="N541" s="228">
        <v>2.4247000000000001</v>
      </c>
      <c r="O541" s="228">
        <v>0.73309999999999997</v>
      </c>
      <c r="P541" s="228">
        <v>2.3280000000000003</v>
      </c>
      <c r="Q541" s="228">
        <v>0.93469999999999998</v>
      </c>
      <c r="R541" s="231">
        <v>0</v>
      </c>
      <c r="S541" s="232">
        <v>0</v>
      </c>
      <c r="T541" s="233">
        <v>0</v>
      </c>
      <c r="U541" s="234">
        <v>0</v>
      </c>
      <c r="V541" s="232">
        <v>0</v>
      </c>
      <c r="W541" s="235">
        <v>0</v>
      </c>
    </row>
    <row r="542" spans="5:23" ht="15.75" customHeight="1">
      <c r="E542" s="374"/>
      <c r="F542" s="239"/>
      <c r="G542" s="240"/>
      <c r="H542" s="224" t="str">
        <f t="shared" ref="H542:K573" si="35">IF(A25="","",A25)</f>
        <v>VSTM</v>
      </c>
      <c r="I542" s="225" t="str">
        <f t="shared" si="35"/>
        <v/>
      </c>
      <c r="J542" s="225" t="str">
        <f t="shared" si="35"/>
        <v/>
      </c>
      <c r="K542" s="241" t="str">
        <f t="shared" si="35"/>
        <v>JIT</v>
      </c>
      <c r="L542" s="228">
        <v>0.87909999999999999</v>
      </c>
      <c r="M542" s="229">
        <v>3.21</v>
      </c>
      <c r="N542" s="228">
        <v>0.84589999999999999</v>
      </c>
      <c r="O542" s="228">
        <v>0.48549999999999999</v>
      </c>
      <c r="P542" s="228">
        <v>2.0019999999999998</v>
      </c>
      <c r="Q542" s="228">
        <v>0.65200000000000002</v>
      </c>
      <c r="R542" s="231">
        <v>0</v>
      </c>
      <c r="S542" s="232">
        <v>0</v>
      </c>
      <c r="T542" s="233">
        <v>0</v>
      </c>
      <c r="U542" s="234">
        <v>0</v>
      </c>
      <c r="V542" s="232">
        <v>0</v>
      </c>
      <c r="W542" s="235">
        <v>0</v>
      </c>
    </row>
    <row r="543" spans="5:23" ht="15.75" customHeight="1">
      <c r="E543" s="374"/>
      <c r="F543" s="239"/>
      <c r="G543" s="240"/>
      <c r="H543" s="224" t="str">
        <f t="shared" si="35"/>
        <v>VNDA</v>
      </c>
      <c r="I543" s="225" t="str">
        <f t="shared" si="35"/>
        <v/>
      </c>
      <c r="J543" s="225" t="str">
        <f t="shared" si="35"/>
        <v/>
      </c>
      <c r="K543" s="241" t="str">
        <f t="shared" si="35"/>
        <v>JIT</v>
      </c>
      <c r="L543" s="228">
        <v>0.55100000000000005</v>
      </c>
      <c r="M543" s="229">
        <v>17.239999999999998</v>
      </c>
      <c r="N543" s="228">
        <v>0.74390000000000001</v>
      </c>
      <c r="O543" s="228">
        <v>0.24099999999999999</v>
      </c>
      <c r="P543" s="228">
        <v>0.96730000000000005</v>
      </c>
      <c r="Q543" s="228">
        <v>0.39460000000000001</v>
      </c>
      <c r="R543" s="231">
        <v>0</v>
      </c>
      <c r="S543" s="232">
        <v>0</v>
      </c>
      <c r="T543" s="233">
        <v>0</v>
      </c>
      <c r="U543" s="234">
        <v>0</v>
      </c>
      <c r="V543" s="232">
        <v>0</v>
      </c>
      <c r="W543" s="235">
        <v>0</v>
      </c>
    </row>
    <row r="544" spans="5:23" ht="15.75" customHeight="1">
      <c r="E544" s="374"/>
      <c r="F544" s="239"/>
      <c r="G544" s="240"/>
      <c r="H544" s="224" t="str">
        <f t="shared" si="35"/>
        <v>VIVO</v>
      </c>
      <c r="I544" s="225" t="str">
        <f t="shared" si="35"/>
        <v/>
      </c>
      <c r="J544" s="225" t="str">
        <f t="shared" si="35"/>
        <v/>
      </c>
      <c r="K544" s="241" t="str">
        <f t="shared" si="35"/>
        <v>JIT</v>
      </c>
      <c r="L544" s="228">
        <v>0.64270000000000005</v>
      </c>
      <c r="M544" s="229">
        <v>20.91</v>
      </c>
      <c r="N544" s="228">
        <v>0.95950000000000002</v>
      </c>
      <c r="O544" s="228">
        <v>0.39290000000000003</v>
      </c>
      <c r="P544" s="228">
        <v>1.4808000000000001</v>
      </c>
      <c r="Q544" s="228">
        <v>0.61799999999999999</v>
      </c>
      <c r="R544" s="231">
        <v>43497</v>
      </c>
      <c r="S544" s="232">
        <v>15.7399997711181</v>
      </c>
      <c r="T544" s="233">
        <v>0.125</v>
      </c>
      <c r="U544" s="234">
        <v>42586</v>
      </c>
      <c r="V544" s="232">
        <v>17.621330261230401</v>
      </c>
      <c r="W544" s="235">
        <v>0.2</v>
      </c>
    </row>
    <row r="545" spans="5:23" ht="15.75" customHeight="1">
      <c r="E545" s="374"/>
      <c r="F545" s="239"/>
      <c r="G545" s="240"/>
      <c r="H545" s="224" t="str">
        <f t="shared" si="35"/>
        <v>VCRA</v>
      </c>
      <c r="I545" s="225" t="str">
        <f t="shared" si="35"/>
        <v/>
      </c>
      <c r="J545" s="225" t="str">
        <f t="shared" si="35"/>
        <v>EV&amp;人工智慧</v>
      </c>
      <c r="K545" s="241" t="str">
        <f t="shared" si="35"/>
        <v>JIT</v>
      </c>
      <c r="L545" s="228">
        <v>0.4214</v>
      </c>
      <c r="M545" s="229">
        <v>42.65</v>
      </c>
      <c r="N545" s="228">
        <v>0.95640000000000003</v>
      </c>
      <c r="O545" s="228">
        <v>0.18970000000000001</v>
      </c>
      <c r="P545" s="228">
        <v>1.0454999999999999</v>
      </c>
      <c r="Q545" s="228">
        <v>0.34960000000000002</v>
      </c>
      <c r="R545" s="231">
        <v>0</v>
      </c>
      <c r="S545" s="232">
        <v>0</v>
      </c>
      <c r="T545" s="233">
        <v>0</v>
      </c>
      <c r="U545" s="234">
        <v>0</v>
      </c>
      <c r="V545" s="232">
        <v>0</v>
      </c>
      <c r="W545" s="235">
        <v>0</v>
      </c>
    </row>
    <row r="546" spans="5:23" ht="15.75" customHeight="1">
      <c r="E546" s="374"/>
      <c r="F546" s="239"/>
      <c r="G546" s="240"/>
      <c r="H546" s="224" t="str">
        <f t="shared" si="35"/>
        <v>UPWK</v>
      </c>
      <c r="I546" s="225" t="str">
        <f t="shared" si="35"/>
        <v/>
      </c>
      <c r="J546" s="225" t="str">
        <f t="shared" si="35"/>
        <v>商業務聯網</v>
      </c>
      <c r="K546" s="241" t="str">
        <f t="shared" si="35"/>
        <v>JIT</v>
      </c>
      <c r="L546" s="228">
        <v>0.61360000000000003</v>
      </c>
      <c r="M546" s="229">
        <v>52.96</v>
      </c>
      <c r="N546" s="228">
        <v>1.2161999999999999</v>
      </c>
      <c r="O546" s="228">
        <v>0.4113</v>
      </c>
      <c r="P546" s="228">
        <v>1.0724</v>
      </c>
      <c r="Q546" s="228">
        <v>0.5534</v>
      </c>
      <c r="R546" s="231">
        <v>0</v>
      </c>
      <c r="S546" s="232">
        <v>0</v>
      </c>
      <c r="T546" s="233">
        <v>0</v>
      </c>
      <c r="U546" s="234">
        <v>0</v>
      </c>
      <c r="V546" s="232">
        <v>0</v>
      </c>
      <c r="W546" s="235">
        <v>0</v>
      </c>
    </row>
    <row r="547" spans="5:23" ht="15.75" customHeight="1">
      <c r="E547" s="374"/>
      <c r="F547" s="239"/>
      <c r="G547" s="240"/>
      <c r="H547" s="224" t="str">
        <f t="shared" si="35"/>
        <v>ULTA</v>
      </c>
      <c r="I547" s="225" t="str">
        <f t="shared" si="35"/>
        <v/>
      </c>
      <c r="J547" s="225" t="str">
        <f t="shared" si="35"/>
        <v/>
      </c>
      <c r="K547" s="241" t="str">
        <f t="shared" si="35"/>
        <v>JIT</v>
      </c>
      <c r="L547" s="228"/>
      <c r="M547" s="229"/>
      <c r="N547" s="228"/>
      <c r="O547" s="228"/>
      <c r="P547" s="228"/>
      <c r="Q547" s="228"/>
      <c r="R547" s="231"/>
      <c r="S547" s="232"/>
      <c r="T547" s="233"/>
      <c r="U547" s="234"/>
      <c r="V547" s="232"/>
      <c r="W547" s="235"/>
    </row>
    <row r="548" spans="5:23" ht="15.75" customHeight="1">
      <c r="E548" s="374"/>
      <c r="F548" s="239"/>
      <c r="G548" s="240"/>
      <c r="H548" s="224" t="str">
        <f t="shared" si="35"/>
        <v>UBER</v>
      </c>
      <c r="I548" s="225" t="str">
        <f t="shared" si="35"/>
        <v/>
      </c>
      <c r="J548" s="225" t="str">
        <f t="shared" si="35"/>
        <v>千禧代</v>
      </c>
      <c r="K548" s="241" t="str">
        <f t="shared" si="35"/>
        <v>JIT</v>
      </c>
      <c r="L548" s="228">
        <v>0.48209999999999997</v>
      </c>
      <c r="M548" s="229">
        <v>43.87</v>
      </c>
      <c r="N548" s="228">
        <v>0.63019999999999998</v>
      </c>
      <c r="O548" s="228">
        <v>0.27900000000000003</v>
      </c>
      <c r="P548" s="228">
        <v>0.73260000000000003</v>
      </c>
      <c r="Q548" s="228">
        <v>0.37209999999999999</v>
      </c>
      <c r="R548" s="231">
        <v>0</v>
      </c>
      <c r="S548" s="232">
        <v>0</v>
      </c>
      <c r="T548" s="233">
        <v>0</v>
      </c>
      <c r="U548" s="234">
        <v>0</v>
      </c>
      <c r="V548" s="232">
        <v>0</v>
      </c>
      <c r="W548" s="235">
        <v>0</v>
      </c>
    </row>
    <row r="549" spans="5:23" ht="15.75" customHeight="1">
      <c r="E549" s="374"/>
      <c r="F549" s="239"/>
      <c r="G549" s="240"/>
      <c r="H549" s="224" t="str">
        <f t="shared" si="35"/>
        <v>TWLO</v>
      </c>
      <c r="I549" s="225" t="str">
        <f t="shared" si="35"/>
        <v/>
      </c>
      <c r="J549" s="225" t="str">
        <f t="shared" si="35"/>
        <v/>
      </c>
      <c r="K549" s="241" t="str">
        <f t="shared" si="35"/>
        <v>JIT</v>
      </c>
      <c r="L549" s="228">
        <v>0.4168</v>
      </c>
      <c r="M549" s="229">
        <v>382.56</v>
      </c>
      <c r="N549" s="228">
        <v>0.81</v>
      </c>
      <c r="O549" s="228">
        <v>0.34489999999999998</v>
      </c>
      <c r="P549" s="228">
        <v>0.71079999999999999</v>
      </c>
      <c r="Q549" s="228">
        <v>0.39240000000000003</v>
      </c>
      <c r="R549" s="231">
        <v>0</v>
      </c>
      <c r="S549" s="232">
        <v>0</v>
      </c>
      <c r="T549" s="233">
        <v>0</v>
      </c>
      <c r="U549" s="234">
        <v>0</v>
      </c>
      <c r="V549" s="232">
        <v>0</v>
      </c>
      <c r="W549" s="235">
        <v>0</v>
      </c>
    </row>
    <row r="550" spans="5:23" ht="15.75" customHeight="1">
      <c r="E550" s="374"/>
      <c r="F550" s="239"/>
      <c r="G550" s="240"/>
      <c r="H550" s="224" t="str">
        <f t="shared" si="35"/>
        <v>TSM</v>
      </c>
      <c r="I550" s="225" t="str">
        <f t="shared" si="35"/>
        <v/>
      </c>
      <c r="J550" s="225" t="str">
        <f t="shared" si="35"/>
        <v/>
      </c>
      <c r="K550" s="241" t="str">
        <f t="shared" si="35"/>
        <v>JIT</v>
      </c>
      <c r="L550" s="228">
        <v>0.26779999999999998</v>
      </c>
      <c r="M550" s="229">
        <v>120.79</v>
      </c>
      <c r="N550" s="228">
        <v>0.53559999999999997</v>
      </c>
      <c r="O550" s="228">
        <v>0.21879999999999999</v>
      </c>
      <c r="P550" s="228">
        <v>0.51300000000000001</v>
      </c>
      <c r="Q550" s="228">
        <v>0.218</v>
      </c>
      <c r="R550" s="231">
        <v>44455</v>
      </c>
      <c r="S550" s="232">
        <v>120.790000915527</v>
      </c>
      <c r="T550" s="233">
        <v>0.497</v>
      </c>
      <c r="U550" s="234">
        <v>42912</v>
      </c>
      <c r="V550" s="232">
        <v>32.044635772705</v>
      </c>
      <c r="W550" s="235">
        <v>1.159</v>
      </c>
    </row>
    <row r="551" spans="5:23" ht="15.75" customHeight="1">
      <c r="E551" s="374"/>
      <c r="F551" s="239"/>
      <c r="G551" s="240"/>
      <c r="H551" s="224" t="str">
        <f t="shared" si="35"/>
        <v>TSLA</v>
      </c>
      <c r="I551" s="225" t="str">
        <f t="shared" si="35"/>
        <v/>
      </c>
      <c r="J551" s="225" t="str">
        <f t="shared" si="35"/>
        <v>新能源</v>
      </c>
      <c r="K551" s="241" t="str">
        <f t="shared" si="35"/>
        <v>JIT</v>
      </c>
      <c r="L551" s="228"/>
      <c r="M551" s="229"/>
      <c r="N551" s="228"/>
      <c r="O551" s="228"/>
      <c r="P551" s="228"/>
      <c r="Q551" s="228"/>
      <c r="R551" s="231"/>
      <c r="S551" s="232"/>
      <c r="T551" s="233"/>
      <c r="U551" s="234"/>
      <c r="V551" s="232"/>
      <c r="W551" s="235"/>
    </row>
    <row r="552" spans="5:23" ht="15.75" customHeight="1">
      <c r="E552" s="374"/>
      <c r="F552" s="239"/>
      <c r="G552" s="240"/>
      <c r="H552" s="224" t="str">
        <f t="shared" si="35"/>
        <v>TNDM</v>
      </c>
      <c r="I552" s="225" t="str">
        <f t="shared" si="35"/>
        <v/>
      </c>
      <c r="J552" s="225" t="str">
        <f t="shared" si="35"/>
        <v/>
      </c>
      <c r="K552" s="241" t="str">
        <f t="shared" si="35"/>
        <v>JIT</v>
      </c>
      <c r="L552" s="228">
        <v>0.49099999999999999</v>
      </c>
      <c r="M552" s="229">
        <v>106.92</v>
      </c>
      <c r="N552" s="228">
        <v>0.54730000000000001</v>
      </c>
      <c r="O552" s="228">
        <v>0.2346</v>
      </c>
      <c r="P552" s="228">
        <v>0.70609999999999995</v>
      </c>
      <c r="Q552" s="228">
        <v>0.30959999999999999</v>
      </c>
      <c r="R552" s="231">
        <v>43018</v>
      </c>
      <c r="S552" s="232">
        <v>5.3049998283386204</v>
      </c>
      <c r="T552" s="233">
        <v>0</v>
      </c>
      <c r="U552" s="234">
        <v>43018</v>
      </c>
      <c r="V552" s="232">
        <v>5.3049998283386204</v>
      </c>
      <c r="W552" s="235">
        <v>0</v>
      </c>
    </row>
    <row r="553" spans="5:23" ht="15.75" customHeight="1">
      <c r="E553" s="374"/>
      <c r="F553" s="239"/>
      <c r="G553" s="240"/>
      <c r="H553" s="224" t="str">
        <f t="shared" si="35"/>
        <v>TDOC</v>
      </c>
      <c r="I553" s="225" t="str">
        <f t="shared" si="35"/>
        <v/>
      </c>
      <c r="J553" s="225" t="str">
        <f t="shared" si="35"/>
        <v/>
      </c>
      <c r="K553" s="241" t="str">
        <f t="shared" si="35"/>
        <v>JIT</v>
      </c>
      <c r="L553" s="228">
        <v>0.41749999999999998</v>
      </c>
      <c r="M553" s="229">
        <v>151.09</v>
      </c>
      <c r="N553" s="228">
        <v>0.93989999999999996</v>
      </c>
      <c r="O553" s="228">
        <v>0.2757</v>
      </c>
      <c r="P553" s="228">
        <v>0.77510000000000001</v>
      </c>
      <c r="Q553" s="228">
        <v>0.39299999999999996</v>
      </c>
      <c r="R553" s="231">
        <v>0</v>
      </c>
      <c r="S553" s="232">
        <v>0</v>
      </c>
      <c r="T553" s="233">
        <v>0</v>
      </c>
      <c r="U553" s="234">
        <v>0</v>
      </c>
      <c r="V553" s="232">
        <v>0</v>
      </c>
      <c r="W553" s="235">
        <v>0</v>
      </c>
    </row>
    <row r="554" spans="5:23" ht="15.75" customHeight="1">
      <c r="E554" s="374"/>
      <c r="F554" s="239"/>
      <c r="G554" s="240"/>
      <c r="H554" s="224" t="str">
        <f t="shared" si="35"/>
        <v>TCS</v>
      </c>
      <c r="I554" s="225" t="str">
        <f t="shared" si="35"/>
        <v/>
      </c>
      <c r="J554" s="225" t="str">
        <f t="shared" si="35"/>
        <v>千禧代</v>
      </c>
      <c r="K554" s="241" t="str">
        <f t="shared" si="35"/>
        <v>JIT</v>
      </c>
      <c r="L554" s="228">
        <v>0.79090000000000005</v>
      </c>
      <c r="M554" s="229">
        <v>10.75</v>
      </c>
      <c r="N554" s="228">
        <v>1.1512</v>
      </c>
      <c r="O554" s="228">
        <v>0.36899999999999999</v>
      </c>
      <c r="P554" s="228">
        <v>1.7890999999999999</v>
      </c>
      <c r="Q554" s="228">
        <v>0.54679999999999995</v>
      </c>
      <c r="R554" s="231">
        <v>43916</v>
      </c>
      <c r="S554" s="232">
        <v>3.3399999141693102</v>
      </c>
      <c r="T554" s="233">
        <v>0.21</v>
      </c>
      <c r="U554" s="234">
        <v>43916</v>
      </c>
      <c r="V554" s="232">
        <v>3.3399999141693102</v>
      </c>
      <c r="W554" s="235">
        <v>0.21</v>
      </c>
    </row>
    <row r="555" spans="5:23" ht="15.75" customHeight="1">
      <c r="E555" s="374"/>
      <c r="F555" s="239"/>
      <c r="G555" s="240"/>
      <c r="H555" s="224" t="str">
        <f t="shared" si="35"/>
        <v>SWCH</v>
      </c>
      <c r="I555" s="225" t="str">
        <f t="shared" si="35"/>
        <v/>
      </c>
      <c r="J555" s="225" t="str">
        <f t="shared" si="35"/>
        <v>5G</v>
      </c>
      <c r="K555" s="241" t="str">
        <f t="shared" si="35"/>
        <v>JIT</v>
      </c>
      <c r="L555" s="228">
        <v>0.36409999999999998</v>
      </c>
      <c r="M555" s="229">
        <v>20.82</v>
      </c>
      <c r="N555" s="228">
        <v>0.60140000000000005</v>
      </c>
      <c r="O555" s="228">
        <v>0.12859999999999999</v>
      </c>
      <c r="P555" s="228">
        <v>0.54289999999999994</v>
      </c>
      <c r="Q555" s="228">
        <v>0.25129999999999997</v>
      </c>
      <c r="R555" s="231">
        <v>44340</v>
      </c>
      <c r="S555" s="232">
        <v>18.9899997711181</v>
      </c>
      <c r="T555" s="233">
        <v>0.05</v>
      </c>
      <c r="U555" s="234">
        <v>43084</v>
      </c>
      <c r="V555" s="232">
        <v>16.592510223388601</v>
      </c>
      <c r="W555" s="235">
        <v>1.4E-2</v>
      </c>
    </row>
    <row r="556" spans="5:23" ht="15.75" customHeight="1">
      <c r="E556" s="374"/>
      <c r="F556" s="239"/>
      <c r="G556" s="240"/>
      <c r="H556" s="224" t="str">
        <f t="shared" si="35"/>
        <v>STM</v>
      </c>
      <c r="I556" s="225" t="str">
        <f t="shared" si="35"/>
        <v/>
      </c>
      <c r="J556" s="225" t="str">
        <f t="shared" si="35"/>
        <v>商業務聯網</v>
      </c>
      <c r="K556" s="241" t="str">
        <f t="shared" si="35"/>
        <v>JIT</v>
      </c>
      <c r="L556" s="228">
        <v>0.29370000000000002</v>
      </c>
      <c r="M556" s="229">
        <v>41.32</v>
      </c>
      <c r="N556" s="228">
        <v>0.62539999999999996</v>
      </c>
      <c r="O556" s="228">
        <v>0.2341</v>
      </c>
      <c r="P556" s="228">
        <v>0.54630000000000001</v>
      </c>
      <c r="Q556" s="228">
        <v>0.27779999999999999</v>
      </c>
      <c r="R556" s="231">
        <v>44368</v>
      </c>
      <c r="S556" s="232">
        <v>36.110000610351499</v>
      </c>
      <c r="T556" s="233">
        <v>0.06</v>
      </c>
      <c r="U556" s="234">
        <v>42629</v>
      </c>
      <c r="V556" s="232">
        <v>7.2555866241454998</v>
      </c>
      <c r="W556" s="235">
        <v>0.06</v>
      </c>
    </row>
    <row r="557" spans="5:23" ht="15.75" customHeight="1">
      <c r="E557" s="374"/>
      <c r="F557" s="239"/>
      <c r="G557" s="240"/>
      <c r="H557" s="224" t="str">
        <f t="shared" si="35"/>
        <v>SSYS</v>
      </c>
      <c r="I557" s="225" t="str">
        <f t="shared" si="35"/>
        <v/>
      </c>
      <c r="J557" s="225" t="str">
        <f t="shared" si="35"/>
        <v/>
      </c>
      <c r="K557" s="241" t="str">
        <f t="shared" si="35"/>
        <v>JIT</v>
      </c>
      <c r="L557" s="228">
        <v>0.68879999999999997</v>
      </c>
      <c r="M557" s="229">
        <v>19.96</v>
      </c>
      <c r="N557" s="228">
        <v>1.3440000000000001</v>
      </c>
      <c r="O557" s="228">
        <v>0.29809999999999998</v>
      </c>
      <c r="P557" s="228">
        <v>1.1684999999999999</v>
      </c>
      <c r="Q557" s="228">
        <v>0.48009999999999997</v>
      </c>
      <c r="R557" s="231">
        <v>0</v>
      </c>
      <c r="S557" s="232">
        <v>0</v>
      </c>
      <c r="T557" s="233">
        <v>0</v>
      </c>
      <c r="U557" s="234">
        <v>0</v>
      </c>
      <c r="V557" s="232">
        <v>0</v>
      </c>
      <c r="W557" s="235">
        <v>0</v>
      </c>
    </row>
    <row r="558" spans="5:23" ht="15.75" customHeight="1">
      <c r="E558" s="374"/>
      <c r="F558" s="239"/>
      <c r="G558" s="240"/>
      <c r="H558" s="224" t="str">
        <f t="shared" si="35"/>
        <v>SRPT</v>
      </c>
      <c r="I558" s="225" t="str">
        <f t="shared" si="35"/>
        <v/>
      </c>
      <c r="J558" s="225" t="str">
        <f t="shared" si="35"/>
        <v/>
      </c>
      <c r="K558" s="241" t="str">
        <f t="shared" si="35"/>
        <v>JIT</v>
      </c>
      <c r="L558" s="228">
        <v>0.62219999999999998</v>
      </c>
      <c r="M558" s="229">
        <v>69.5</v>
      </c>
      <c r="N558" s="228">
        <v>2.1549</v>
      </c>
      <c r="O558" s="228">
        <v>0.28249999999999997</v>
      </c>
      <c r="P558" s="228">
        <v>1.7574000000000001</v>
      </c>
      <c r="Q558" s="228">
        <v>0.47220000000000001</v>
      </c>
      <c r="R558" s="231">
        <v>0</v>
      </c>
      <c r="S558" s="232">
        <v>0</v>
      </c>
      <c r="T558" s="233">
        <v>0</v>
      </c>
      <c r="U558" s="234">
        <v>0</v>
      </c>
      <c r="V558" s="232">
        <v>0</v>
      </c>
      <c r="W558" s="235">
        <v>0</v>
      </c>
    </row>
    <row r="559" spans="5:23" ht="15.75" customHeight="1">
      <c r="E559" s="374"/>
      <c r="F559" s="239"/>
      <c r="G559" s="240"/>
      <c r="H559" s="224" t="str">
        <f t="shared" si="35"/>
        <v>SQ</v>
      </c>
      <c r="I559" s="225" t="str">
        <f t="shared" si="35"/>
        <v/>
      </c>
      <c r="J559" s="225" t="str">
        <f t="shared" si="35"/>
        <v/>
      </c>
      <c r="K559" s="241" t="str">
        <f t="shared" si="35"/>
        <v>JIT</v>
      </c>
      <c r="L559" s="228">
        <v>0.48249999999999998</v>
      </c>
      <c r="M559" s="229">
        <v>275.61</v>
      </c>
      <c r="N559" s="228">
        <v>0.77280000000000004</v>
      </c>
      <c r="O559" s="228">
        <v>0.3296</v>
      </c>
      <c r="P559" s="228">
        <v>0.74280000000000002</v>
      </c>
      <c r="Q559" s="228">
        <v>0.39159999999999995</v>
      </c>
      <c r="R559" s="231">
        <v>0</v>
      </c>
      <c r="S559" s="232">
        <v>0</v>
      </c>
      <c r="T559" s="233">
        <v>0</v>
      </c>
      <c r="U559" s="234">
        <v>0</v>
      </c>
      <c r="V559" s="232">
        <v>0</v>
      </c>
      <c r="W559" s="235">
        <v>0</v>
      </c>
    </row>
    <row r="560" spans="5:23" ht="15.75" customHeight="1">
      <c r="E560" s="374"/>
      <c r="F560" s="239"/>
      <c r="G560" s="240"/>
      <c r="H560" s="224" t="str">
        <f t="shared" si="35"/>
        <v>SPLK</v>
      </c>
      <c r="I560" s="225" t="str">
        <f t="shared" si="35"/>
        <v/>
      </c>
      <c r="J560" s="225" t="str">
        <f t="shared" si="35"/>
        <v/>
      </c>
      <c r="K560" s="241" t="str">
        <f t="shared" si="35"/>
        <v>JIT</v>
      </c>
      <c r="L560" s="228">
        <v>0.3594</v>
      </c>
      <c r="M560" s="229">
        <v>143.57</v>
      </c>
      <c r="N560" s="228">
        <v>0.86899999999999999</v>
      </c>
      <c r="O560" s="228">
        <v>0.2626</v>
      </c>
      <c r="P560" s="228">
        <v>0.61580000000000001</v>
      </c>
      <c r="Q560" s="228">
        <v>0.31230000000000002</v>
      </c>
      <c r="R560" s="231">
        <v>0</v>
      </c>
      <c r="S560" s="232">
        <v>0</v>
      </c>
      <c r="T560" s="233">
        <v>0</v>
      </c>
      <c r="U560" s="234">
        <v>0</v>
      </c>
      <c r="V560" s="232">
        <v>0</v>
      </c>
      <c r="W560" s="235">
        <v>0</v>
      </c>
    </row>
    <row r="561" spans="5:23" ht="15.75" customHeight="1">
      <c r="E561" s="374"/>
      <c r="F561" s="239"/>
      <c r="G561" s="240"/>
      <c r="H561" s="224" t="str">
        <f t="shared" si="35"/>
        <v>SFIX</v>
      </c>
      <c r="I561" s="225" t="str">
        <f t="shared" si="35"/>
        <v/>
      </c>
      <c r="J561" s="225" t="str">
        <f t="shared" si="35"/>
        <v/>
      </c>
      <c r="K561" s="241" t="str">
        <f t="shared" si="35"/>
        <v>JIT</v>
      </c>
      <c r="L561" s="228">
        <v>0.56059999999999999</v>
      </c>
      <c r="M561" s="229">
        <v>56.07</v>
      </c>
      <c r="N561" s="228">
        <v>1.3231999999999999</v>
      </c>
      <c r="O561" s="228">
        <v>0.45179999999999998</v>
      </c>
      <c r="P561" s="228">
        <v>1.2871000000000001</v>
      </c>
      <c r="Q561" s="228">
        <v>0.50919999999999999</v>
      </c>
      <c r="R561" s="231">
        <v>0</v>
      </c>
      <c r="S561" s="232">
        <v>0</v>
      </c>
      <c r="T561" s="233">
        <v>0</v>
      </c>
      <c r="U561" s="234">
        <v>0</v>
      </c>
      <c r="V561" s="232">
        <v>0</v>
      </c>
      <c r="W561" s="235">
        <v>0</v>
      </c>
    </row>
    <row r="562" spans="5:23" ht="15.75" customHeight="1">
      <c r="E562" s="374"/>
      <c r="F562" s="239"/>
      <c r="G562" s="240"/>
      <c r="H562" s="224" t="str">
        <f t="shared" si="35"/>
        <v>RVLV</v>
      </c>
      <c r="I562" s="225" t="str">
        <f t="shared" si="35"/>
        <v/>
      </c>
      <c r="J562" s="225" t="str">
        <f t="shared" si="35"/>
        <v>千禧代</v>
      </c>
      <c r="K562" s="241" t="str">
        <f t="shared" si="35"/>
        <v>JIT</v>
      </c>
      <c r="L562" s="228">
        <v>0.63080000000000003</v>
      </c>
      <c r="M562" s="229">
        <v>0</v>
      </c>
      <c r="N562" s="228">
        <v>1.0028999999999999</v>
      </c>
      <c r="O562" s="228">
        <v>0.36059999999999998</v>
      </c>
      <c r="P562" s="228">
        <v>1.0527</v>
      </c>
      <c r="Q562" s="228">
        <v>0.53939999999999999</v>
      </c>
      <c r="R562" s="231">
        <v>0</v>
      </c>
      <c r="S562" s="232">
        <v>0</v>
      </c>
      <c r="T562" s="233">
        <v>0</v>
      </c>
      <c r="U562" s="234">
        <v>0</v>
      </c>
      <c r="V562" s="232">
        <v>0</v>
      </c>
      <c r="W562" s="235">
        <v>0</v>
      </c>
    </row>
    <row r="563" spans="5:23" ht="15.75" customHeight="1">
      <c r="E563" s="374"/>
      <c r="F563" s="239"/>
      <c r="G563" s="240"/>
      <c r="H563" s="224" t="str">
        <f t="shared" si="35"/>
        <v>RUN</v>
      </c>
      <c r="I563" s="225" t="str">
        <f t="shared" si="35"/>
        <v/>
      </c>
      <c r="J563" s="225" t="str">
        <f t="shared" si="35"/>
        <v/>
      </c>
      <c r="K563" s="241" t="str">
        <f t="shared" si="35"/>
        <v>JIT</v>
      </c>
      <c r="L563" s="228">
        <v>0.72660000000000002</v>
      </c>
      <c r="M563" s="229">
        <v>52</v>
      </c>
      <c r="N563" s="228">
        <v>1.1691</v>
      </c>
      <c r="O563" s="228">
        <v>0.52049999999999996</v>
      </c>
      <c r="P563" s="228">
        <v>1.0309999999999999</v>
      </c>
      <c r="Q563" s="228">
        <v>0.66280000000000006</v>
      </c>
      <c r="R563" s="231">
        <v>0</v>
      </c>
      <c r="S563" s="232">
        <v>0</v>
      </c>
      <c r="T563" s="233">
        <v>0</v>
      </c>
      <c r="U563" s="234">
        <v>0</v>
      </c>
      <c r="V563" s="232">
        <v>0</v>
      </c>
      <c r="W563" s="235">
        <v>0</v>
      </c>
    </row>
    <row r="564" spans="5:23" ht="15.75" customHeight="1">
      <c r="E564" s="374"/>
      <c r="F564" s="239"/>
      <c r="G564" s="240"/>
      <c r="H564" s="224" t="str">
        <f t="shared" si="35"/>
        <v>QYLD</v>
      </c>
      <c r="I564" s="225" t="str">
        <f t="shared" si="35"/>
        <v/>
      </c>
      <c r="J564" s="225" t="str">
        <f t="shared" si="35"/>
        <v/>
      </c>
      <c r="K564" s="241" t="str">
        <f t="shared" si="35"/>
        <v>JIT</v>
      </c>
      <c r="L564" s="228">
        <v>0.1079</v>
      </c>
      <c r="M564" s="229">
        <v>22.53</v>
      </c>
      <c r="N564" s="228">
        <v>0.26300000000000001</v>
      </c>
      <c r="O564" s="228">
        <v>4.3900000000000002E-2</v>
      </c>
      <c r="P564" s="228">
        <v>0.23329999999999998</v>
      </c>
      <c r="Q564" s="228">
        <v>7.6499999999999999E-2</v>
      </c>
      <c r="R564" s="231">
        <v>44396</v>
      </c>
      <c r="S564" s="232">
        <v>22.030000686645501</v>
      </c>
      <c r="T564" s="233">
        <v>0.223</v>
      </c>
      <c r="U564" s="234">
        <v>42606</v>
      </c>
      <c r="V564" s="232">
        <v>13.2264957427978</v>
      </c>
      <c r="W564" s="235">
        <v>0.13</v>
      </c>
    </row>
    <row r="565" spans="5:23" ht="15.75" customHeight="1">
      <c r="E565" s="374"/>
      <c r="F565" s="239"/>
      <c r="G565" s="240"/>
      <c r="H565" s="224" t="str">
        <f t="shared" si="35"/>
        <v>QRVO</v>
      </c>
      <c r="I565" s="225" t="str">
        <f t="shared" si="35"/>
        <v/>
      </c>
      <c r="J565" s="225" t="str">
        <f t="shared" si="35"/>
        <v>5G</v>
      </c>
      <c r="K565" s="241" t="str">
        <f t="shared" si="35"/>
        <v>JIT</v>
      </c>
      <c r="L565" s="228"/>
      <c r="M565" s="229"/>
      <c r="N565" s="228"/>
      <c r="O565" s="228"/>
      <c r="P565" s="228"/>
      <c r="Q565" s="228"/>
      <c r="R565" s="231"/>
      <c r="S565" s="232"/>
      <c r="T565" s="233"/>
      <c r="U565" s="234"/>
      <c r="V565" s="232"/>
      <c r="W565" s="235"/>
    </row>
    <row r="566" spans="5:23" ht="15.75" customHeight="1">
      <c r="E566" s="374"/>
      <c r="F566" s="239"/>
      <c r="G566" s="240"/>
      <c r="H566" s="224" t="str">
        <f t="shared" si="35"/>
        <v>QQQ</v>
      </c>
      <c r="I566" s="225" t="str">
        <f t="shared" si="35"/>
        <v/>
      </c>
      <c r="J566" s="225" t="str">
        <f t="shared" si="35"/>
        <v/>
      </c>
      <c r="K566" s="241" t="str">
        <f t="shared" si="35"/>
        <v>JIT</v>
      </c>
      <c r="L566" s="228">
        <v>0.1716</v>
      </c>
      <c r="M566" s="229">
        <v>365.7</v>
      </c>
      <c r="N566" s="228">
        <v>0.34710000000000002</v>
      </c>
      <c r="O566" s="228">
        <v>9.9299999999999999E-2</v>
      </c>
      <c r="P566" s="228">
        <v>0.40039999999999998</v>
      </c>
      <c r="Q566" s="228">
        <v>0.1457</v>
      </c>
      <c r="R566" s="231">
        <v>44368</v>
      </c>
      <c r="S566" s="232">
        <v>344.35998535156199</v>
      </c>
      <c r="T566" s="233">
        <v>0.39700000000000002</v>
      </c>
      <c r="U566" s="234">
        <v>42629</v>
      </c>
      <c r="V566" s="232">
        <v>113.058235168457</v>
      </c>
      <c r="W566" s="235">
        <v>0.29399999999999998</v>
      </c>
    </row>
    <row r="567" spans="5:23" ht="15.75" customHeight="1">
      <c r="E567" s="374"/>
      <c r="F567" s="239"/>
      <c r="G567" s="240"/>
      <c r="H567" s="224" t="str">
        <f t="shared" si="35"/>
        <v>QLYS</v>
      </c>
      <c r="I567" s="225" t="str">
        <f t="shared" si="35"/>
        <v/>
      </c>
      <c r="J567" s="225" t="str">
        <f t="shared" si="35"/>
        <v>5G</v>
      </c>
      <c r="K567" s="241" t="str">
        <f t="shared" si="35"/>
        <v>JIT</v>
      </c>
      <c r="L567" s="228">
        <v>0.43340000000000001</v>
      </c>
      <c r="M567" s="229">
        <v>103.12</v>
      </c>
      <c r="N567" s="228">
        <v>0.76780000000000004</v>
      </c>
      <c r="O567" s="228">
        <v>0.21659999999999999</v>
      </c>
      <c r="P567" s="228">
        <v>0.67180000000000006</v>
      </c>
      <c r="Q567" s="228">
        <v>0.33689999999999998</v>
      </c>
      <c r="R567" s="231">
        <v>0</v>
      </c>
      <c r="S567" s="232">
        <v>0</v>
      </c>
      <c r="T567" s="233">
        <v>0</v>
      </c>
      <c r="U567" s="234">
        <v>0</v>
      </c>
      <c r="V567" s="232">
        <v>0</v>
      </c>
      <c r="W567" s="235">
        <v>0</v>
      </c>
    </row>
    <row r="568" spans="5:23" ht="15.75" customHeight="1">
      <c r="E568" s="374"/>
      <c r="F568" s="239"/>
      <c r="G568" s="240"/>
      <c r="H568" s="224" t="str">
        <f t="shared" si="35"/>
        <v>PYPL</v>
      </c>
      <c r="I568" s="225" t="str">
        <f t="shared" si="35"/>
        <v/>
      </c>
      <c r="J568" s="225" t="str">
        <f t="shared" si="35"/>
        <v/>
      </c>
      <c r="K568" s="241" t="str">
        <f t="shared" si="35"/>
        <v>JIT</v>
      </c>
      <c r="L568" s="228"/>
      <c r="M568" s="229"/>
      <c r="N568" s="228"/>
      <c r="O568" s="228"/>
      <c r="P568" s="228"/>
      <c r="Q568" s="228"/>
      <c r="R568" s="231"/>
      <c r="S568" s="232"/>
      <c r="T568" s="233"/>
      <c r="U568" s="234"/>
      <c r="V568" s="232"/>
      <c r="W568" s="235"/>
    </row>
    <row r="569" spans="5:23" ht="15.75" customHeight="1">
      <c r="E569" s="374"/>
      <c r="F569" s="239"/>
      <c r="G569" s="240"/>
      <c r="H569" s="224" t="str">
        <f t="shared" si="35"/>
        <v>PRLB</v>
      </c>
      <c r="I569" s="225" t="str">
        <f t="shared" si="35"/>
        <v/>
      </c>
      <c r="J569" s="225" t="str">
        <f t="shared" si="35"/>
        <v>工業務聯網</v>
      </c>
      <c r="K569" s="241" t="str">
        <f t="shared" si="35"/>
        <v>JIT</v>
      </c>
      <c r="L569" s="228">
        <v>0.4733</v>
      </c>
      <c r="M569" s="229">
        <v>78.64</v>
      </c>
      <c r="N569" s="228">
        <v>0.97070000000000001</v>
      </c>
      <c r="O569" s="228">
        <v>0.30509999999999998</v>
      </c>
      <c r="P569" s="228">
        <v>1.2975999999999999</v>
      </c>
      <c r="Q569" s="228">
        <v>0.38780000000000003</v>
      </c>
      <c r="R569" s="231">
        <v>0</v>
      </c>
      <c r="S569" s="232">
        <v>0</v>
      </c>
      <c r="T569" s="233">
        <v>0</v>
      </c>
      <c r="U569" s="234">
        <v>0</v>
      </c>
      <c r="V569" s="232">
        <v>0</v>
      </c>
      <c r="W569" s="235">
        <v>0</v>
      </c>
    </row>
    <row r="570" spans="5:23" ht="15.75" customHeight="1">
      <c r="E570" s="374"/>
      <c r="F570" s="239"/>
      <c r="G570" s="240"/>
      <c r="H570" s="224" t="str">
        <f t="shared" si="35"/>
        <v>PHR</v>
      </c>
      <c r="I570" s="225" t="str">
        <f t="shared" si="35"/>
        <v/>
      </c>
      <c r="J570" s="225" t="str">
        <f t="shared" si="35"/>
        <v>商業務聯網</v>
      </c>
      <c r="K570" s="241" t="str">
        <f t="shared" si="35"/>
        <v>JIT</v>
      </c>
      <c r="L570" s="228">
        <v>0.50770000000000004</v>
      </c>
      <c r="M570" s="229">
        <v>68</v>
      </c>
      <c r="N570" s="228">
        <v>0.66859999999999997</v>
      </c>
      <c r="O570" s="228">
        <v>0.2908</v>
      </c>
      <c r="P570" s="228">
        <v>1.0579000000000001</v>
      </c>
      <c r="Q570" s="228">
        <v>0.39419999999999999</v>
      </c>
      <c r="R570" s="231">
        <v>0</v>
      </c>
      <c r="S570" s="232">
        <v>0</v>
      </c>
      <c r="T570" s="233">
        <v>0</v>
      </c>
      <c r="U570" s="234">
        <v>0</v>
      </c>
      <c r="V570" s="232">
        <v>0</v>
      </c>
      <c r="W570" s="235">
        <v>0</v>
      </c>
    </row>
    <row r="571" spans="5:23" ht="15.75" customHeight="1">
      <c r="E571" s="374"/>
      <c r="F571" s="239"/>
      <c r="G571" s="240"/>
      <c r="H571" s="224" t="str">
        <f t="shared" si="35"/>
        <v>PBP</v>
      </c>
      <c r="I571" s="225" t="str">
        <f t="shared" si="35"/>
        <v/>
      </c>
      <c r="J571" s="225" t="str">
        <f t="shared" si="35"/>
        <v/>
      </c>
      <c r="K571" s="241" t="str">
        <f t="shared" si="35"/>
        <v>JIT</v>
      </c>
      <c r="L571" s="228"/>
      <c r="M571" s="229"/>
      <c r="N571" s="228"/>
      <c r="O571" s="228"/>
      <c r="P571" s="228"/>
      <c r="Q571" s="228"/>
      <c r="R571" s="231"/>
      <c r="S571" s="232"/>
      <c r="T571" s="233"/>
      <c r="U571" s="234"/>
      <c r="V571" s="232"/>
      <c r="W571" s="235"/>
    </row>
    <row r="572" spans="5:23" ht="15.75" customHeight="1">
      <c r="E572" s="374"/>
      <c r="F572" s="239"/>
      <c r="G572" s="240"/>
      <c r="H572" s="224" t="str">
        <f t="shared" si="35"/>
        <v>PACB</v>
      </c>
      <c r="I572" s="225" t="str">
        <f t="shared" si="35"/>
        <v/>
      </c>
      <c r="J572" s="225" t="str">
        <f t="shared" si="35"/>
        <v>精密科技</v>
      </c>
      <c r="K572" s="241" t="str">
        <f t="shared" si="35"/>
        <v>JIT</v>
      </c>
      <c r="L572" s="228">
        <v>0.73740000000000006</v>
      </c>
      <c r="M572" s="229">
        <v>31.48</v>
      </c>
      <c r="N572" s="228">
        <v>1.2716000000000001</v>
      </c>
      <c r="O572" s="228">
        <v>0.45850000000000002</v>
      </c>
      <c r="P572" s="228">
        <v>1.3371999999999999</v>
      </c>
      <c r="Q572" s="228">
        <v>0.5575</v>
      </c>
      <c r="R572" s="231">
        <v>0</v>
      </c>
      <c r="S572" s="232">
        <v>0</v>
      </c>
      <c r="T572" s="233">
        <v>0</v>
      </c>
      <c r="U572" s="234">
        <v>0</v>
      </c>
      <c r="V572" s="232">
        <v>0</v>
      </c>
      <c r="W572" s="235">
        <v>0</v>
      </c>
    </row>
    <row r="573" spans="5:23" ht="15.75" customHeight="1">
      <c r="E573" s="374"/>
      <c r="F573" s="239"/>
      <c r="G573" s="240"/>
      <c r="H573" s="224" t="str">
        <f t="shared" si="35"/>
        <v>NTNX</v>
      </c>
      <c r="I573" s="225" t="str">
        <f t="shared" si="35"/>
        <v/>
      </c>
      <c r="J573" s="225" t="str">
        <f t="shared" si="35"/>
        <v/>
      </c>
      <c r="K573" s="241" t="str">
        <f t="shared" si="35"/>
        <v>JIT</v>
      </c>
      <c r="L573" s="228">
        <v>0.51990000000000003</v>
      </c>
      <c r="M573" s="229">
        <v>36.15</v>
      </c>
      <c r="N573" s="228">
        <v>0.89870000000000005</v>
      </c>
      <c r="O573" s="228">
        <v>0.32019999999999998</v>
      </c>
      <c r="P573" s="228">
        <v>0.90439999999999998</v>
      </c>
      <c r="Q573" s="228">
        <v>0.37680000000000002</v>
      </c>
      <c r="R573" s="231">
        <v>0</v>
      </c>
      <c r="S573" s="232">
        <v>0</v>
      </c>
      <c r="T573" s="233">
        <v>0</v>
      </c>
      <c r="U573" s="234">
        <v>0</v>
      </c>
      <c r="V573" s="232">
        <v>0</v>
      </c>
      <c r="W573" s="235">
        <v>0</v>
      </c>
    </row>
    <row r="574" spans="5:23" ht="15.75" customHeight="1">
      <c r="E574" s="374"/>
      <c r="F574" s="239"/>
      <c r="G574" s="240"/>
      <c r="H574" s="224" t="str">
        <f t="shared" ref="H574:K590" si="36">IF(A57="","",A57)</f>
        <v>NTAP</v>
      </c>
      <c r="I574" s="225" t="str">
        <f t="shared" si="36"/>
        <v/>
      </c>
      <c r="J574" s="225" t="str">
        <f t="shared" si="36"/>
        <v/>
      </c>
      <c r="K574" s="241" t="str">
        <f t="shared" si="36"/>
        <v>JIT</v>
      </c>
      <c r="L574" s="228"/>
      <c r="M574" s="229"/>
      <c r="N574" s="228"/>
      <c r="O574" s="228"/>
      <c r="P574" s="228"/>
      <c r="Q574" s="228"/>
      <c r="R574" s="231"/>
      <c r="S574" s="232"/>
      <c r="T574" s="233"/>
      <c r="U574" s="234"/>
      <c r="V574" s="232"/>
      <c r="W574" s="235"/>
    </row>
    <row r="575" spans="5:23" ht="15.75" customHeight="1">
      <c r="E575" s="374"/>
      <c r="F575" s="239"/>
      <c r="G575" s="240"/>
      <c r="H575" s="224" t="str">
        <f t="shared" si="36"/>
        <v>NRG</v>
      </c>
      <c r="I575" s="225" t="str">
        <f t="shared" si="36"/>
        <v/>
      </c>
      <c r="J575" s="225" t="str">
        <f t="shared" si="36"/>
        <v/>
      </c>
      <c r="K575" s="241" t="str">
        <f t="shared" si="36"/>
        <v>JIT</v>
      </c>
      <c r="L575" s="228"/>
      <c r="M575" s="229"/>
      <c r="N575" s="228"/>
      <c r="O575" s="228"/>
      <c r="P575" s="228"/>
      <c r="Q575" s="228"/>
      <c r="R575" s="231"/>
      <c r="S575" s="232"/>
      <c r="T575" s="233"/>
      <c r="U575" s="234"/>
      <c r="V575" s="232"/>
      <c r="W575" s="235"/>
    </row>
    <row r="576" spans="5:23" ht="15.75" customHeight="1">
      <c r="E576" s="374"/>
      <c r="F576" s="239"/>
      <c r="G576" s="240"/>
      <c r="H576" s="224" t="str">
        <f t="shared" si="36"/>
        <v>NOK</v>
      </c>
      <c r="I576" s="225" t="str">
        <f t="shared" si="36"/>
        <v/>
      </c>
      <c r="J576" s="225" t="str">
        <f t="shared" si="36"/>
        <v>5G</v>
      </c>
      <c r="K576" s="241" t="str">
        <f t="shared" si="36"/>
        <v>JIT</v>
      </c>
      <c r="L576" s="228">
        <v>0.40920000000000001</v>
      </c>
      <c r="M576" s="229">
        <v>6.13</v>
      </c>
      <c r="N576" s="228">
        <v>1.5165999999999999</v>
      </c>
      <c r="O576" s="228">
        <v>0.25059999999999999</v>
      </c>
      <c r="P576" s="228">
        <v>3.9216000000000002</v>
      </c>
      <c r="Q576" s="228">
        <v>0.36259999999999998</v>
      </c>
      <c r="R576" s="231">
        <v>43675</v>
      </c>
      <c r="S576" s="232">
        <v>5.6500000953674299</v>
      </c>
      <c r="T576" s="233">
        <v>5.6000000000000001E-2</v>
      </c>
      <c r="U576" s="234">
        <v>42879</v>
      </c>
      <c r="V576" s="232">
        <v>6.0105795860290501</v>
      </c>
      <c r="W576" s="235">
        <v>0.182</v>
      </c>
    </row>
    <row r="577" spans="5:23" ht="15.75" customHeight="1">
      <c r="E577" s="374"/>
      <c r="F577" s="239"/>
      <c r="G577" s="240"/>
      <c r="H577" s="224" t="str">
        <f t="shared" si="36"/>
        <v>NEWR</v>
      </c>
      <c r="I577" s="225" t="str">
        <f t="shared" si="36"/>
        <v/>
      </c>
      <c r="J577" s="225" t="str">
        <f t="shared" si="36"/>
        <v/>
      </c>
      <c r="K577" s="241" t="str">
        <f t="shared" si="36"/>
        <v>JIT</v>
      </c>
      <c r="L577" s="228">
        <v>0.60640000000000005</v>
      </c>
      <c r="M577" s="229">
        <v>69</v>
      </c>
      <c r="N577" s="228">
        <v>0.91120000000000001</v>
      </c>
      <c r="O577" s="228">
        <v>0.22439999999999999</v>
      </c>
      <c r="P577" s="228">
        <v>0.95709999999999995</v>
      </c>
      <c r="Q577" s="228">
        <v>0.37459999999999999</v>
      </c>
      <c r="R577" s="231">
        <v>0</v>
      </c>
      <c r="S577" s="232">
        <v>0</v>
      </c>
      <c r="T577" s="233">
        <v>0</v>
      </c>
      <c r="U577" s="234">
        <v>0</v>
      </c>
      <c r="V577" s="232">
        <v>0</v>
      </c>
      <c r="W577" s="235">
        <v>0</v>
      </c>
    </row>
    <row r="578" spans="5:23" ht="15.75" customHeight="1">
      <c r="E578" s="374"/>
      <c r="F578" s="239"/>
      <c r="G578" s="240"/>
      <c r="H578" s="224" t="str">
        <f t="shared" si="36"/>
        <v>MTLS</v>
      </c>
      <c r="I578" s="225" t="str">
        <f t="shared" si="36"/>
        <v/>
      </c>
      <c r="J578" s="225" t="str">
        <f t="shared" si="36"/>
        <v>工業務聯網</v>
      </c>
      <c r="K578" s="241" t="str">
        <f t="shared" si="36"/>
        <v>JIT</v>
      </c>
      <c r="L578" s="228">
        <v>0.78390000000000004</v>
      </c>
      <c r="M578" s="229">
        <v>22.44</v>
      </c>
      <c r="N578" s="228">
        <v>1.4312</v>
      </c>
      <c r="O578" s="228">
        <v>0.51419999999999999</v>
      </c>
      <c r="P578" s="228">
        <v>1.5002000000000002</v>
      </c>
      <c r="Q578" s="228">
        <v>0.69709999999999994</v>
      </c>
      <c r="R578" s="231">
        <v>0</v>
      </c>
      <c r="S578" s="232">
        <v>0</v>
      </c>
      <c r="T578" s="233">
        <v>0</v>
      </c>
      <c r="U578" s="234">
        <v>0</v>
      </c>
      <c r="V578" s="232">
        <v>0</v>
      </c>
      <c r="W578" s="235">
        <v>0</v>
      </c>
    </row>
    <row r="579" spans="5:23" ht="15.75" customHeight="1">
      <c r="E579" s="374"/>
      <c r="F579" s="239"/>
      <c r="G579" s="240"/>
      <c r="H579" s="224" t="str">
        <f t="shared" si="36"/>
        <v>MSFT</v>
      </c>
      <c r="I579" s="225" t="str">
        <f t="shared" si="36"/>
        <v/>
      </c>
      <c r="J579" s="225" t="str">
        <f t="shared" si="36"/>
        <v/>
      </c>
      <c r="K579" s="241" t="str">
        <f t="shared" si="36"/>
        <v>JIT</v>
      </c>
      <c r="L579" s="228"/>
      <c r="M579" s="229"/>
      <c r="N579" s="228"/>
      <c r="O579" s="228"/>
      <c r="P579" s="228"/>
      <c r="Q579" s="228"/>
      <c r="R579" s="231"/>
      <c r="S579" s="232"/>
      <c r="T579" s="233"/>
      <c r="U579" s="234"/>
      <c r="V579" s="232"/>
      <c r="W579" s="235"/>
    </row>
    <row r="580" spans="5:23" ht="15.75" customHeight="1">
      <c r="E580" s="374"/>
      <c r="F580" s="239"/>
      <c r="G580" s="240"/>
      <c r="H580" s="224" t="str">
        <f t="shared" si="36"/>
        <v>MCHP</v>
      </c>
      <c r="I580" s="225" t="str">
        <f t="shared" si="36"/>
        <v/>
      </c>
      <c r="J580" s="225" t="str">
        <f t="shared" si="36"/>
        <v>太空</v>
      </c>
      <c r="K580" s="241" t="str">
        <f t="shared" si="36"/>
        <v>JIT</v>
      </c>
      <c r="L580" s="228"/>
      <c r="M580" s="229"/>
      <c r="N580" s="228"/>
      <c r="O580" s="228"/>
      <c r="P580" s="228"/>
      <c r="Q580" s="228"/>
      <c r="R580" s="231"/>
      <c r="S580" s="232"/>
      <c r="T580" s="233"/>
      <c r="U580" s="234"/>
      <c r="V580" s="232"/>
      <c r="W580" s="235"/>
    </row>
    <row r="581" spans="5:23" ht="15.75" customHeight="1">
      <c r="E581" s="374"/>
      <c r="F581" s="239"/>
      <c r="G581" s="240"/>
      <c r="H581" s="224" t="str">
        <f t="shared" si="36"/>
        <v>LULU</v>
      </c>
      <c r="I581" s="225" t="str">
        <f t="shared" si="36"/>
        <v/>
      </c>
      <c r="J581" s="225" t="str">
        <f t="shared" si="36"/>
        <v>千禧代</v>
      </c>
      <c r="K581" s="241" t="str">
        <f t="shared" si="36"/>
        <v>JIT</v>
      </c>
      <c r="L581" s="228">
        <v>0.2903</v>
      </c>
      <c r="M581" s="229">
        <v>405.42</v>
      </c>
      <c r="N581" s="228">
        <v>0.4647</v>
      </c>
      <c r="O581" s="228">
        <v>0.1903</v>
      </c>
      <c r="P581" s="228">
        <v>0.63039999999999996</v>
      </c>
      <c r="Q581" s="228">
        <v>0.23559999999999998</v>
      </c>
      <c r="R581" s="231">
        <v>0</v>
      </c>
      <c r="S581" s="232">
        <v>0</v>
      </c>
      <c r="T581" s="233">
        <v>0</v>
      </c>
      <c r="U581" s="234">
        <v>0</v>
      </c>
      <c r="V581" s="232">
        <v>0</v>
      </c>
      <c r="W581" s="235">
        <v>0</v>
      </c>
    </row>
    <row r="582" spans="5:23" ht="15.75" customHeight="1">
      <c r="E582" s="374"/>
      <c r="F582" s="239"/>
      <c r="G582" s="240"/>
      <c r="H582" s="224" t="str">
        <f t="shared" si="36"/>
        <v>LOXO</v>
      </c>
      <c r="I582" s="225" t="str">
        <f t="shared" si="36"/>
        <v/>
      </c>
      <c r="J582" s="225" t="str">
        <f t="shared" si="36"/>
        <v/>
      </c>
      <c r="K582" s="241" t="str">
        <f t="shared" si="36"/>
        <v>JIT</v>
      </c>
      <c r="L582" s="228"/>
      <c r="M582" s="229"/>
      <c r="N582" s="228"/>
      <c r="O582" s="228"/>
      <c r="P582" s="228"/>
      <c r="Q582" s="228"/>
      <c r="R582" s="231">
        <v>0</v>
      </c>
      <c r="S582" s="232">
        <v>0</v>
      </c>
      <c r="T582" s="233">
        <v>0</v>
      </c>
      <c r="U582" s="234">
        <v>0</v>
      </c>
      <c r="V582" s="232">
        <v>0</v>
      </c>
      <c r="W582" s="235">
        <v>0</v>
      </c>
    </row>
    <row r="583" spans="5:23" ht="15.75" customHeight="1">
      <c r="E583" s="374"/>
      <c r="F583" s="239"/>
      <c r="G583" s="240"/>
      <c r="H583" s="224" t="str">
        <f t="shared" si="36"/>
        <v>LOVE</v>
      </c>
      <c r="I583" s="225" t="str">
        <f t="shared" si="36"/>
        <v/>
      </c>
      <c r="J583" s="225" t="str">
        <f t="shared" si="36"/>
        <v>千禧代</v>
      </c>
      <c r="K583" s="241" t="str">
        <f t="shared" si="36"/>
        <v>JIT</v>
      </c>
      <c r="L583" s="228">
        <v>0.74280000000000002</v>
      </c>
      <c r="M583" s="229">
        <v>60.99</v>
      </c>
      <c r="N583" s="228">
        <v>0.9597</v>
      </c>
      <c r="O583" s="228">
        <v>0.50700000000000001</v>
      </c>
      <c r="P583" s="228">
        <v>1.2893999999999999</v>
      </c>
      <c r="Q583" s="228">
        <v>0.63919999999999999</v>
      </c>
      <c r="R583" s="231">
        <v>0</v>
      </c>
      <c r="S583" s="232">
        <v>0</v>
      </c>
      <c r="T583" s="233">
        <v>0</v>
      </c>
      <c r="U583" s="234">
        <v>0</v>
      </c>
      <c r="V583" s="232">
        <v>0</v>
      </c>
      <c r="W583" s="235">
        <v>0</v>
      </c>
    </row>
    <row r="584" spans="5:23" ht="15.75" customHeight="1">
      <c r="E584" s="374"/>
      <c r="F584" s="239"/>
      <c r="G584" s="240"/>
      <c r="H584" s="224" t="str">
        <f t="shared" si="36"/>
        <v>LOGI</v>
      </c>
      <c r="I584" s="225" t="str">
        <f t="shared" si="36"/>
        <v/>
      </c>
      <c r="J584" s="225" t="str">
        <f t="shared" si="36"/>
        <v/>
      </c>
      <c r="K584" s="241" t="str">
        <f t="shared" si="36"/>
        <v>JIT</v>
      </c>
      <c r="L584" s="228">
        <v>0.29949999999999999</v>
      </c>
      <c r="M584" s="229">
        <v>108.49</v>
      </c>
      <c r="N584" s="228">
        <v>0.85650000000000004</v>
      </c>
      <c r="O584" s="228">
        <v>0.2283</v>
      </c>
      <c r="P584" s="228">
        <v>0.50509999999999999</v>
      </c>
      <c r="Q584" s="228">
        <v>0.28170000000000001</v>
      </c>
      <c r="R584" s="231">
        <v>44092</v>
      </c>
      <c r="S584" s="232">
        <v>70.580001831054602</v>
      </c>
      <c r="T584" s="233">
        <v>0.874</v>
      </c>
      <c r="U584" s="234">
        <v>42636</v>
      </c>
      <c r="V584" s="232">
        <v>20.573827743530199</v>
      </c>
      <c r="W584" s="235">
        <v>0.57399999999999995</v>
      </c>
    </row>
    <row r="585" spans="5:23" ht="15.75" customHeight="1">
      <c r="E585" s="374"/>
      <c r="F585" s="239"/>
      <c r="G585" s="240"/>
      <c r="H585" s="224" t="str">
        <f t="shared" si="36"/>
        <v>KLIC</v>
      </c>
      <c r="I585" s="225" t="str">
        <f t="shared" si="36"/>
        <v/>
      </c>
      <c r="J585" s="225" t="str">
        <f t="shared" si="36"/>
        <v/>
      </c>
      <c r="K585" s="241" t="str">
        <f t="shared" si="36"/>
        <v>JIT</v>
      </c>
      <c r="L585" s="228">
        <v>0.52739999999999998</v>
      </c>
      <c r="M585" s="229">
        <v>55</v>
      </c>
      <c r="N585" s="228">
        <v>0.70399999999999996</v>
      </c>
      <c r="O585" s="228">
        <v>0.26850000000000002</v>
      </c>
      <c r="P585" s="228">
        <v>0.55969999999999998</v>
      </c>
      <c r="Q585" s="228">
        <v>0.36030000000000001</v>
      </c>
      <c r="R585" s="231">
        <v>44370</v>
      </c>
      <c r="S585" s="232">
        <v>55.5</v>
      </c>
      <c r="T585" s="233">
        <v>0.14000000000000001</v>
      </c>
      <c r="U585" s="234">
        <v>43278</v>
      </c>
      <c r="V585" s="232">
        <v>22.064231872558501</v>
      </c>
      <c r="W585" s="235">
        <v>0.12</v>
      </c>
    </row>
    <row r="586" spans="5:23" ht="15.75" customHeight="1">
      <c r="E586" s="374"/>
      <c r="F586" s="239"/>
      <c r="G586" s="240"/>
      <c r="H586" s="224" t="str">
        <f t="shared" si="36"/>
        <v>KLAC</v>
      </c>
      <c r="I586" s="225" t="str">
        <f t="shared" si="36"/>
        <v/>
      </c>
      <c r="J586" s="225" t="str">
        <f t="shared" si="36"/>
        <v/>
      </c>
      <c r="K586" s="241" t="str">
        <f t="shared" si="36"/>
        <v>JIT</v>
      </c>
      <c r="L586" s="228"/>
      <c r="M586" s="229"/>
      <c r="N586" s="228"/>
      <c r="O586" s="228"/>
      <c r="P586" s="228"/>
      <c r="Q586" s="228"/>
      <c r="R586" s="231"/>
      <c r="S586" s="232"/>
      <c r="T586" s="233"/>
      <c r="U586" s="234"/>
      <c r="V586" s="232"/>
      <c r="W586" s="235"/>
    </row>
    <row r="587" spans="5:23" ht="15.75" customHeight="1">
      <c r="E587" s="374"/>
      <c r="F587" s="239"/>
      <c r="G587" s="240"/>
      <c r="H587" s="224" t="str">
        <f t="shared" si="36"/>
        <v>KKR</v>
      </c>
      <c r="I587" s="225" t="str">
        <f t="shared" si="36"/>
        <v/>
      </c>
      <c r="J587" s="225" t="str">
        <f t="shared" si="36"/>
        <v/>
      </c>
      <c r="K587" s="241" t="str">
        <f t="shared" si="36"/>
        <v>JIT</v>
      </c>
      <c r="L587" s="228">
        <v>0.27229999999999999</v>
      </c>
      <c r="M587" s="229">
        <v>63.76</v>
      </c>
      <c r="N587" s="228">
        <v>0.43020000000000003</v>
      </c>
      <c r="O587" s="228">
        <v>0.16769999999999999</v>
      </c>
      <c r="P587" s="228">
        <v>0.42749999999999999</v>
      </c>
      <c r="Q587" s="228">
        <v>0.21190000000000001</v>
      </c>
      <c r="R587" s="231">
        <v>44330</v>
      </c>
      <c r="S587" s="232">
        <v>56.139999389648402</v>
      </c>
      <c r="T587" s="233">
        <v>0.14499999999999999</v>
      </c>
      <c r="U587" s="234">
        <v>42585</v>
      </c>
      <c r="V587" s="232">
        <v>12.707404136657701</v>
      </c>
      <c r="W587" s="235">
        <v>0.16</v>
      </c>
    </row>
    <row r="588" spans="5:23" ht="15.75" customHeight="1">
      <c r="E588" s="374"/>
      <c r="F588" s="239"/>
      <c r="G588" s="240"/>
      <c r="H588" s="224" t="str">
        <f t="shared" si="36"/>
        <v>KEYS</v>
      </c>
      <c r="I588" s="225" t="str">
        <f t="shared" si="36"/>
        <v/>
      </c>
      <c r="J588" s="225" t="str">
        <f t="shared" si="36"/>
        <v/>
      </c>
      <c r="K588" s="241" t="str">
        <f t="shared" si="36"/>
        <v>JIT</v>
      </c>
      <c r="L588" s="228"/>
      <c r="M588" s="229"/>
      <c r="N588" s="228"/>
      <c r="O588" s="228"/>
      <c r="P588" s="228"/>
      <c r="Q588" s="228"/>
      <c r="R588" s="231"/>
      <c r="S588" s="232"/>
      <c r="T588" s="233"/>
      <c r="U588" s="234"/>
      <c r="V588" s="232"/>
      <c r="W588" s="235"/>
    </row>
    <row r="589" spans="5:23" ht="15.75" customHeight="1">
      <c r="E589" s="374"/>
      <c r="F589" s="239"/>
      <c r="G589" s="240"/>
      <c r="H589" s="224" t="str">
        <f t="shared" si="36"/>
        <v>ITRI</v>
      </c>
      <c r="I589" s="225" t="str">
        <f t="shared" si="36"/>
        <v/>
      </c>
      <c r="J589" s="225" t="str">
        <f t="shared" si="36"/>
        <v>新能源</v>
      </c>
      <c r="K589" s="241" t="str">
        <f t="shared" si="36"/>
        <v>JIT</v>
      </c>
      <c r="L589" s="228">
        <v>0.44540000000000002</v>
      </c>
      <c r="M589" s="229">
        <v>97.9</v>
      </c>
      <c r="N589" s="228">
        <v>0.82220000000000004</v>
      </c>
      <c r="O589" s="228">
        <v>0.24349999999999999</v>
      </c>
      <c r="P589" s="228">
        <v>0.61729999999999996</v>
      </c>
      <c r="Q589" s="228">
        <v>0.2873</v>
      </c>
      <c r="R589" s="231">
        <v>0</v>
      </c>
      <c r="S589" s="232">
        <v>0</v>
      </c>
      <c r="T589" s="233">
        <v>0</v>
      </c>
      <c r="U589" s="234">
        <v>0</v>
      </c>
      <c r="V589" s="232">
        <v>0</v>
      </c>
      <c r="W589" s="235">
        <v>0</v>
      </c>
    </row>
    <row r="590" spans="5:23" ht="15.75" customHeight="1">
      <c r="E590" s="374"/>
      <c r="F590" s="239"/>
      <c r="G590" s="240"/>
      <c r="H590" s="224" t="str">
        <f t="shared" si="36"/>
        <v>IRTC</v>
      </c>
      <c r="I590" s="225" t="str">
        <f t="shared" si="36"/>
        <v/>
      </c>
      <c r="J590" s="225" t="str">
        <f t="shared" si="36"/>
        <v/>
      </c>
      <c r="K590" s="241" t="str">
        <f t="shared" si="36"/>
        <v>JIT</v>
      </c>
      <c r="L590" s="228">
        <v>0.79869999999999997</v>
      </c>
      <c r="M590" s="229">
        <v>51.43</v>
      </c>
      <c r="N590" s="228">
        <v>1.6068</v>
      </c>
      <c r="O590" s="228">
        <v>0.35649999999999998</v>
      </c>
      <c r="P590" s="228">
        <v>1.6900999999999999</v>
      </c>
      <c r="Q590" s="228">
        <v>0.56769999999999998</v>
      </c>
      <c r="R590" s="231">
        <v>0</v>
      </c>
      <c r="S590" s="232">
        <v>0</v>
      </c>
      <c r="T590" s="233">
        <v>0</v>
      </c>
      <c r="U590" s="234">
        <v>0</v>
      </c>
      <c r="V590" s="232">
        <v>0</v>
      </c>
      <c r="W590" s="235">
        <v>0</v>
      </c>
    </row>
    <row r="591" spans="5:23" ht="15.75" customHeight="1">
      <c r="E591" s="374"/>
      <c r="F591" s="239"/>
      <c r="G591" s="240"/>
      <c r="H591" s="224" t="str">
        <f t="shared" ref="H591:K654" si="37">IF(A74="","",A74)</f>
        <v>IPGP</v>
      </c>
      <c r="I591" s="225" t="str">
        <f t="shared" si="37"/>
        <v/>
      </c>
      <c r="J591" s="225" t="str">
        <f t="shared" si="37"/>
        <v>EV&amp;人工智慧</v>
      </c>
      <c r="K591" s="241" t="str">
        <f t="shared" si="37"/>
        <v>JIT</v>
      </c>
      <c r="L591" s="228"/>
      <c r="M591" s="229"/>
      <c r="N591" s="228"/>
      <c r="O591" s="228"/>
      <c r="P591" s="228"/>
      <c r="Q591" s="228"/>
      <c r="R591" s="231"/>
      <c r="S591" s="232"/>
      <c r="T591" s="233"/>
      <c r="U591" s="234"/>
      <c r="V591" s="232"/>
      <c r="W591" s="235"/>
    </row>
    <row r="592" spans="5:23" ht="15.75" customHeight="1">
      <c r="E592" s="374"/>
      <c r="F592" s="239"/>
      <c r="G592" s="240"/>
      <c r="H592" s="224" t="str">
        <f t="shared" si="37"/>
        <v>ILMN</v>
      </c>
      <c r="I592" s="225" t="str">
        <f t="shared" si="37"/>
        <v/>
      </c>
      <c r="J592" s="225" t="str">
        <f t="shared" si="37"/>
        <v>EV&amp;人工智慧</v>
      </c>
      <c r="K592" s="241" t="str">
        <f t="shared" si="37"/>
        <v>JIT</v>
      </c>
      <c r="L592" s="228"/>
      <c r="M592" s="229"/>
      <c r="N592" s="228"/>
      <c r="O592" s="228"/>
      <c r="P592" s="228"/>
      <c r="Q592" s="228"/>
      <c r="R592" s="231"/>
      <c r="S592" s="232"/>
      <c r="T592" s="233"/>
      <c r="U592" s="234"/>
      <c r="V592" s="232"/>
      <c r="W592" s="235"/>
    </row>
    <row r="593" spans="5:23" ht="15.75" customHeight="1">
      <c r="E593" s="374"/>
      <c r="F593" s="239"/>
      <c r="G593" s="240"/>
      <c r="H593" s="224" t="str">
        <f t="shared" si="37"/>
        <v>ICPT</v>
      </c>
      <c r="I593" s="225" t="str">
        <f t="shared" si="37"/>
        <v/>
      </c>
      <c r="J593" s="225" t="str">
        <f t="shared" si="37"/>
        <v/>
      </c>
      <c r="K593" s="241" t="str">
        <f t="shared" si="37"/>
        <v>JIT</v>
      </c>
      <c r="L593" s="228">
        <v>0.94099999999999995</v>
      </c>
      <c r="M593" s="229">
        <v>17.25</v>
      </c>
      <c r="N593" s="228">
        <v>1.5479000000000001</v>
      </c>
      <c r="O593" s="228">
        <v>0.42470000000000002</v>
      </c>
      <c r="P593" s="228">
        <v>1.3593999999999999</v>
      </c>
      <c r="Q593" s="228">
        <v>0.66709999999999992</v>
      </c>
      <c r="R593" s="231">
        <v>0</v>
      </c>
      <c r="S593" s="232">
        <v>0</v>
      </c>
      <c r="T593" s="233">
        <v>0</v>
      </c>
      <c r="U593" s="234">
        <v>0</v>
      </c>
      <c r="V593" s="232">
        <v>0</v>
      </c>
      <c r="W593" s="235">
        <v>0</v>
      </c>
    </row>
    <row r="594" spans="5:23" ht="15.75" customHeight="1">
      <c r="E594" s="374"/>
      <c r="F594" s="239"/>
      <c r="G594" s="240"/>
      <c r="H594" s="224" t="str">
        <f t="shared" si="37"/>
        <v>HSY</v>
      </c>
      <c r="I594" s="225" t="str">
        <f t="shared" si="37"/>
        <v/>
      </c>
      <c r="J594" s="225" t="str">
        <f t="shared" si="37"/>
        <v/>
      </c>
      <c r="K594" s="241" t="str">
        <f t="shared" si="37"/>
        <v>JIT</v>
      </c>
      <c r="L594" s="228"/>
      <c r="M594" s="229"/>
      <c r="N594" s="228"/>
      <c r="O594" s="228"/>
      <c r="P594" s="228"/>
      <c r="Q594" s="228"/>
      <c r="R594" s="231"/>
      <c r="S594" s="232"/>
      <c r="T594" s="233"/>
      <c r="U594" s="234"/>
      <c r="V594" s="232"/>
      <c r="W594" s="235"/>
    </row>
    <row r="595" spans="5:23" ht="15.75" customHeight="1">
      <c r="E595" s="374"/>
      <c r="F595" s="239"/>
      <c r="G595" s="240"/>
      <c r="H595" s="224" t="str">
        <f t="shared" si="37"/>
        <v>HIMS</v>
      </c>
      <c r="I595" s="225" t="str">
        <f t="shared" si="37"/>
        <v/>
      </c>
      <c r="J595" s="225" t="str">
        <f t="shared" si="37"/>
        <v>其它</v>
      </c>
      <c r="K595" s="241" t="str">
        <f t="shared" si="37"/>
        <v>JIT</v>
      </c>
      <c r="L595" s="228">
        <v>0.90200000000000002</v>
      </c>
      <c r="M595" s="229">
        <v>8.61</v>
      </c>
      <c r="N595" s="228">
        <v>1.3929</v>
      </c>
      <c r="O595" s="228">
        <v>7.7100000000000002E-2</v>
      </c>
      <c r="P595" s="228">
        <v>1.5697999999999999</v>
      </c>
      <c r="Q595" s="228">
        <v>0.60809999999999997</v>
      </c>
      <c r="R595" s="231">
        <v>0</v>
      </c>
      <c r="S595" s="232">
        <v>0</v>
      </c>
      <c r="T595" s="233">
        <v>0</v>
      </c>
      <c r="U595" s="234">
        <v>0</v>
      </c>
      <c r="V595" s="232">
        <v>0</v>
      </c>
      <c r="W595" s="235">
        <v>0</v>
      </c>
    </row>
    <row r="596" spans="5:23" ht="15.75" customHeight="1">
      <c r="E596" s="374"/>
      <c r="F596" s="239"/>
      <c r="G596" s="240"/>
      <c r="H596" s="224" t="str">
        <f t="shared" si="37"/>
        <v>HEXO</v>
      </c>
      <c r="I596" s="225" t="str">
        <f t="shared" si="37"/>
        <v/>
      </c>
      <c r="J596" s="225" t="str">
        <f t="shared" si="37"/>
        <v>新副經濟</v>
      </c>
      <c r="K596" s="241" t="str">
        <f t="shared" si="37"/>
        <v>JIT</v>
      </c>
      <c r="L596" s="228">
        <v>0.7389</v>
      </c>
      <c r="M596" s="229">
        <v>4</v>
      </c>
      <c r="N596" s="228">
        <v>4.2385000000000002</v>
      </c>
      <c r="O596" s="228">
        <v>0.39350000000000002</v>
      </c>
      <c r="P596" s="228">
        <v>2.4832000000000001</v>
      </c>
      <c r="Q596" s="228">
        <v>0.65900000000000003</v>
      </c>
      <c r="R596" s="231">
        <v>44188</v>
      </c>
      <c r="S596" s="232">
        <v>4.2300000190734801</v>
      </c>
      <c r="T596" s="233">
        <v>0</v>
      </c>
      <c r="U596" s="234">
        <v>44188</v>
      </c>
      <c r="V596" s="232">
        <v>4.2300000190734801</v>
      </c>
      <c r="W596" s="235">
        <v>0</v>
      </c>
    </row>
    <row r="597" spans="5:23" ht="15.75" customHeight="1">
      <c r="E597" s="374"/>
      <c r="F597" s="239"/>
      <c r="G597" s="240"/>
      <c r="H597" s="224" t="str">
        <f t="shared" si="37"/>
        <v>HALO</v>
      </c>
      <c r="I597" s="225" t="str">
        <f t="shared" si="37"/>
        <v/>
      </c>
      <c r="J597" s="225" t="str">
        <f t="shared" si="37"/>
        <v>精密科技</v>
      </c>
      <c r="K597" s="241" t="str">
        <f t="shared" si="37"/>
        <v>JIT</v>
      </c>
      <c r="L597" s="228">
        <v>0.39489999999999997</v>
      </c>
      <c r="M597" s="229">
        <v>42.05</v>
      </c>
      <c r="N597" s="228">
        <v>0.66449999999999998</v>
      </c>
      <c r="O597" s="228">
        <v>0.21759999999999999</v>
      </c>
      <c r="P597" s="228">
        <v>0.74419999999999997</v>
      </c>
      <c r="Q597" s="228">
        <v>0.3528</v>
      </c>
      <c r="R597" s="231">
        <v>0</v>
      </c>
      <c r="S597" s="232">
        <v>0</v>
      </c>
      <c r="T597" s="233">
        <v>0</v>
      </c>
      <c r="U597" s="234">
        <v>0</v>
      </c>
      <c r="V597" s="232">
        <v>0</v>
      </c>
      <c r="W597" s="235">
        <v>0</v>
      </c>
    </row>
    <row r="598" spans="5:23" ht="15.75" customHeight="1">
      <c r="E598" s="374"/>
      <c r="F598" s="239"/>
      <c r="G598" s="240"/>
      <c r="H598" s="224" t="str">
        <f t="shared" si="37"/>
        <v>GRMN</v>
      </c>
      <c r="I598" s="225" t="str">
        <f t="shared" si="37"/>
        <v/>
      </c>
      <c r="J598" s="225" t="str">
        <f t="shared" si="37"/>
        <v>太空</v>
      </c>
      <c r="K598" s="241" t="str">
        <f t="shared" si="37"/>
        <v>JIT</v>
      </c>
      <c r="L598" s="228"/>
      <c r="M598" s="229"/>
      <c r="N598" s="228"/>
      <c r="O598" s="228"/>
      <c r="P598" s="228"/>
      <c r="Q598" s="228"/>
      <c r="R598" s="231"/>
      <c r="S598" s="232"/>
      <c r="T598" s="233"/>
      <c r="U598" s="234"/>
      <c r="V598" s="232"/>
      <c r="W598" s="235"/>
    </row>
    <row r="599" spans="5:23" ht="15.75" customHeight="1">
      <c r="E599" s="374"/>
      <c r="F599" s="239"/>
      <c r="G599" s="240"/>
      <c r="H599" s="224" t="str">
        <f t="shared" si="37"/>
        <v>GDS</v>
      </c>
      <c r="I599" s="225" t="str">
        <f t="shared" si="37"/>
        <v/>
      </c>
      <c r="J599" s="225" t="str">
        <f t="shared" si="37"/>
        <v/>
      </c>
      <c r="K599" s="241" t="str">
        <f t="shared" si="37"/>
        <v>JIT</v>
      </c>
      <c r="L599" s="228">
        <v>0.68200000000000005</v>
      </c>
      <c r="M599" s="229">
        <v>59.52</v>
      </c>
      <c r="N599" s="228">
        <v>0.81340000000000001</v>
      </c>
      <c r="O599" s="228">
        <v>0.29749999999999999</v>
      </c>
      <c r="P599" s="228">
        <v>0.84040000000000004</v>
      </c>
      <c r="Q599" s="228">
        <v>0.38539999999999996</v>
      </c>
      <c r="R599" s="231">
        <v>0</v>
      </c>
      <c r="S599" s="232">
        <v>0</v>
      </c>
      <c r="T599" s="233">
        <v>0</v>
      </c>
      <c r="U599" s="234">
        <v>0</v>
      </c>
      <c r="V599" s="232">
        <v>0</v>
      </c>
      <c r="W599" s="235">
        <v>0</v>
      </c>
    </row>
    <row r="600" spans="5:23" ht="15.75" customHeight="1">
      <c r="E600" s="374"/>
      <c r="F600" s="239"/>
      <c r="G600" s="240"/>
      <c r="H600" s="224" t="str">
        <f t="shared" si="37"/>
        <v>FTNT</v>
      </c>
      <c r="I600" s="225" t="str">
        <f t="shared" si="37"/>
        <v/>
      </c>
      <c r="J600" s="225" t="str">
        <f t="shared" si="37"/>
        <v/>
      </c>
      <c r="K600" s="241" t="str">
        <f t="shared" si="37"/>
        <v>JIT</v>
      </c>
      <c r="L600" s="228"/>
      <c r="M600" s="229"/>
      <c r="N600" s="228"/>
      <c r="O600" s="228"/>
      <c r="P600" s="228"/>
      <c r="Q600" s="228"/>
      <c r="R600" s="231"/>
      <c r="S600" s="232"/>
      <c r="T600" s="233"/>
      <c r="U600" s="234"/>
      <c r="V600" s="232"/>
      <c r="W600" s="235"/>
    </row>
    <row r="601" spans="5:23" ht="15.75" customHeight="1">
      <c r="E601" s="374"/>
      <c r="F601" s="239"/>
      <c r="G601" s="240"/>
      <c r="H601" s="224" t="str">
        <f t="shared" si="37"/>
        <v>FSLY</v>
      </c>
      <c r="I601" s="225" t="str">
        <f t="shared" si="37"/>
        <v/>
      </c>
      <c r="J601" s="225" t="str">
        <f t="shared" si="37"/>
        <v>商業務聯網</v>
      </c>
      <c r="K601" s="241" t="str">
        <f t="shared" si="37"/>
        <v>JIT</v>
      </c>
      <c r="L601" s="228">
        <v>0.75419999999999998</v>
      </c>
      <c r="M601" s="229">
        <v>48.74</v>
      </c>
      <c r="N601" s="228">
        <v>1.3156000000000001</v>
      </c>
      <c r="O601" s="228">
        <v>0.41849999999999998</v>
      </c>
      <c r="P601" s="228">
        <v>1.1909999999999998</v>
      </c>
      <c r="Q601" s="228">
        <v>0.58579999999999999</v>
      </c>
      <c r="R601" s="231">
        <v>0</v>
      </c>
      <c r="S601" s="232">
        <v>0</v>
      </c>
      <c r="T601" s="233">
        <v>0</v>
      </c>
      <c r="U601" s="234">
        <v>0</v>
      </c>
      <c r="V601" s="232">
        <v>0</v>
      </c>
      <c r="W601" s="235">
        <v>0</v>
      </c>
    </row>
    <row r="602" spans="5:23" ht="15.75" customHeight="1">
      <c r="E602" s="374"/>
      <c r="F602" s="239"/>
      <c r="G602" s="240"/>
      <c r="H602" s="224" t="str">
        <f t="shared" si="37"/>
        <v>FSLR</v>
      </c>
      <c r="I602" s="225" t="str">
        <f t="shared" si="37"/>
        <v/>
      </c>
      <c r="J602" s="225" t="str">
        <f t="shared" si="37"/>
        <v/>
      </c>
      <c r="K602" s="241" t="str">
        <f t="shared" si="37"/>
        <v>JIT</v>
      </c>
      <c r="L602" s="228">
        <v>0.37759999999999999</v>
      </c>
      <c r="M602" s="229">
        <v>87.58</v>
      </c>
      <c r="N602" s="228">
        <v>0.71779999999999999</v>
      </c>
      <c r="O602" s="228">
        <v>0.31759999999999999</v>
      </c>
      <c r="P602" s="228">
        <v>0.73620000000000008</v>
      </c>
      <c r="Q602" s="228">
        <v>0.34979999999999994</v>
      </c>
      <c r="R602" s="231">
        <v>0</v>
      </c>
      <c r="S602" s="232">
        <v>0</v>
      </c>
      <c r="T602" s="233">
        <v>0</v>
      </c>
      <c r="U602" s="234">
        <v>0</v>
      </c>
      <c r="V602" s="232">
        <v>0</v>
      </c>
      <c r="W602" s="235">
        <v>0</v>
      </c>
    </row>
    <row r="603" spans="5:23" ht="15.75" customHeight="1">
      <c r="E603" s="374"/>
      <c r="F603" s="239"/>
      <c r="G603" s="240"/>
      <c r="H603" s="224" t="str">
        <f t="shared" si="37"/>
        <v>FLIR</v>
      </c>
      <c r="I603" s="225" t="str">
        <f t="shared" si="37"/>
        <v/>
      </c>
      <c r="J603" s="225" t="str">
        <f t="shared" si="37"/>
        <v>EV&amp;人工智慧</v>
      </c>
      <c r="K603" s="241" t="str">
        <f t="shared" si="37"/>
        <v>JIT</v>
      </c>
      <c r="L603" s="228"/>
      <c r="M603" s="229"/>
      <c r="N603" s="228"/>
      <c r="O603" s="228"/>
      <c r="P603" s="228"/>
      <c r="Q603" s="228"/>
      <c r="R603" s="231">
        <v>0</v>
      </c>
      <c r="S603" s="232">
        <v>0</v>
      </c>
      <c r="T603" s="233">
        <v>0</v>
      </c>
      <c r="U603" s="234">
        <v>0</v>
      </c>
      <c r="V603" s="232">
        <v>0</v>
      </c>
      <c r="W603" s="235">
        <v>0</v>
      </c>
    </row>
    <row r="604" spans="5:23" ht="15.75" customHeight="1">
      <c r="E604" s="374"/>
      <c r="F604" s="239"/>
      <c r="G604" s="240"/>
      <c r="H604" s="224" t="str">
        <f t="shared" si="37"/>
        <v>FLGT</v>
      </c>
      <c r="I604" s="225" t="str">
        <f t="shared" si="37"/>
        <v/>
      </c>
      <c r="J604" s="225" t="str">
        <f t="shared" si="37"/>
        <v>精密科技</v>
      </c>
      <c r="K604" s="241" t="str">
        <f t="shared" si="37"/>
        <v>JIT</v>
      </c>
      <c r="L604" s="228">
        <v>0.82820000000000005</v>
      </c>
      <c r="M604" s="229">
        <v>92.19</v>
      </c>
      <c r="N604" s="228">
        <v>1.8069999999999999</v>
      </c>
      <c r="O604" s="228">
        <v>0.55330000000000001</v>
      </c>
      <c r="P604" s="228">
        <v>1.4861000000000002</v>
      </c>
      <c r="Q604" s="228">
        <v>0.60009999999999997</v>
      </c>
      <c r="R604" s="231">
        <v>0</v>
      </c>
      <c r="S604" s="232">
        <v>0</v>
      </c>
      <c r="T604" s="233">
        <v>0</v>
      </c>
      <c r="U604" s="234">
        <v>0</v>
      </c>
      <c r="V604" s="232">
        <v>0</v>
      </c>
      <c r="W604" s="235">
        <v>0</v>
      </c>
    </row>
    <row r="605" spans="5:23" ht="15.75" customHeight="1">
      <c r="E605" s="374"/>
      <c r="F605" s="239"/>
      <c r="G605" s="240"/>
      <c r="H605" s="224" t="str">
        <f t="shared" si="37"/>
        <v>FIVN</v>
      </c>
      <c r="I605" s="225" t="str">
        <f t="shared" si="37"/>
        <v/>
      </c>
      <c r="J605" s="225" t="str">
        <f t="shared" si="37"/>
        <v/>
      </c>
      <c r="K605" s="241" t="str">
        <f t="shared" si="37"/>
        <v>JIT</v>
      </c>
      <c r="L605" s="228">
        <v>0.44779999999999998</v>
      </c>
      <c r="M605" s="229">
        <v>201</v>
      </c>
      <c r="N605" s="228">
        <v>0.70379999999999998</v>
      </c>
      <c r="O605" s="228">
        <v>0.26279999999999998</v>
      </c>
      <c r="P605" s="228">
        <v>0.63380000000000003</v>
      </c>
      <c r="Q605" s="228">
        <v>0.33659999999999995</v>
      </c>
      <c r="R605" s="231">
        <v>0</v>
      </c>
      <c r="S605" s="232">
        <v>0</v>
      </c>
      <c r="T605" s="233">
        <v>0</v>
      </c>
      <c r="U605" s="234">
        <v>0</v>
      </c>
      <c r="V605" s="232">
        <v>0</v>
      </c>
      <c r="W605" s="235">
        <v>0</v>
      </c>
    </row>
    <row r="606" spans="5:23" ht="15.75" customHeight="1">
      <c r="E606" s="374"/>
      <c r="F606" s="239"/>
      <c r="G606" s="240"/>
      <c r="H606" s="224" t="str">
        <f t="shared" si="37"/>
        <v>FB</v>
      </c>
      <c r="I606" s="225" t="str">
        <f t="shared" si="37"/>
        <v/>
      </c>
      <c r="J606" s="225" t="str">
        <f t="shared" si="37"/>
        <v/>
      </c>
      <c r="K606" s="241" t="str">
        <f t="shared" si="37"/>
        <v>JIT</v>
      </c>
      <c r="L606" s="228"/>
      <c r="M606" s="229"/>
      <c r="N606" s="228"/>
      <c r="O606" s="228"/>
      <c r="P606" s="228"/>
      <c r="Q606" s="228"/>
      <c r="R606" s="231"/>
      <c r="S606" s="232"/>
      <c r="T606" s="233"/>
      <c r="U606" s="234"/>
      <c r="V606" s="232"/>
      <c r="W606" s="235"/>
    </row>
    <row r="607" spans="5:23" ht="15.75" customHeight="1">
      <c r="E607" s="374"/>
      <c r="F607" s="239"/>
      <c r="G607" s="240"/>
      <c r="H607" s="224" t="str">
        <f t="shared" si="37"/>
        <v>EXAS</v>
      </c>
      <c r="I607" s="225" t="str">
        <f t="shared" si="37"/>
        <v/>
      </c>
      <c r="J607" s="225" t="str">
        <f t="shared" si="37"/>
        <v/>
      </c>
      <c r="K607" s="241" t="str">
        <f t="shared" si="37"/>
        <v>JIT</v>
      </c>
      <c r="L607" s="228">
        <v>0.48309999999999997</v>
      </c>
      <c r="M607" s="229">
        <v>109.58</v>
      </c>
      <c r="N607" s="228">
        <v>1.0154000000000001</v>
      </c>
      <c r="O607" s="228">
        <v>0.3105</v>
      </c>
      <c r="P607" s="228">
        <v>0.6724</v>
      </c>
      <c r="Q607" s="228">
        <v>0.41299999999999998</v>
      </c>
      <c r="R607" s="231">
        <v>0</v>
      </c>
      <c r="S607" s="232">
        <v>0</v>
      </c>
      <c r="T607" s="233">
        <v>0</v>
      </c>
      <c r="U607" s="234">
        <v>0</v>
      </c>
      <c r="V607" s="232">
        <v>0</v>
      </c>
      <c r="W607" s="235">
        <v>0</v>
      </c>
    </row>
    <row r="608" spans="5:23" ht="15.75" customHeight="1">
      <c r="E608" s="374"/>
      <c r="F608" s="239"/>
      <c r="G608" s="240"/>
      <c r="H608" s="224" t="str">
        <f t="shared" si="37"/>
        <v>ETSY</v>
      </c>
      <c r="I608" s="225" t="str">
        <f t="shared" si="37"/>
        <v/>
      </c>
      <c r="J608" s="225" t="str">
        <f t="shared" si="37"/>
        <v/>
      </c>
      <c r="K608" s="241" t="str">
        <f t="shared" si="37"/>
        <v>JIT</v>
      </c>
      <c r="L608" s="228"/>
      <c r="M608" s="229"/>
      <c r="N608" s="228"/>
      <c r="O608" s="228"/>
      <c r="P608" s="228"/>
      <c r="Q608" s="228"/>
      <c r="R608" s="231"/>
      <c r="S608" s="232"/>
      <c r="T608" s="233"/>
      <c r="U608" s="234"/>
      <c r="V608" s="232"/>
      <c r="W608" s="235"/>
    </row>
    <row r="609" spans="5:23" ht="15.75" customHeight="1">
      <c r="E609" s="374"/>
      <c r="F609" s="239"/>
      <c r="G609" s="240"/>
      <c r="H609" s="224" t="str">
        <f t="shared" si="37"/>
        <v>ESRX</v>
      </c>
      <c r="I609" s="225" t="str">
        <f t="shared" si="37"/>
        <v/>
      </c>
      <c r="J609" s="225" t="str">
        <f t="shared" si="37"/>
        <v/>
      </c>
      <c r="K609" s="241" t="str">
        <f t="shared" si="37"/>
        <v>JIT</v>
      </c>
      <c r="L609" s="228"/>
      <c r="M609" s="229"/>
      <c r="N609" s="228"/>
      <c r="O609" s="228"/>
      <c r="P609" s="228"/>
      <c r="Q609" s="228"/>
      <c r="R609" s="231">
        <v>0</v>
      </c>
      <c r="S609" s="232">
        <v>0</v>
      </c>
      <c r="T609" s="233">
        <v>0</v>
      </c>
      <c r="U609" s="234">
        <v>0</v>
      </c>
      <c r="V609" s="232">
        <v>0</v>
      </c>
      <c r="W609" s="235">
        <v>0</v>
      </c>
    </row>
    <row r="610" spans="5:23" ht="15.75" customHeight="1">
      <c r="E610" s="374"/>
      <c r="F610" s="239"/>
      <c r="G610" s="240"/>
      <c r="H610" s="224" t="str">
        <f t="shared" si="37"/>
        <v>ERIC</v>
      </c>
      <c r="I610" s="225" t="str">
        <f t="shared" si="37"/>
        <v/>
      </c>
      <c r="J610" s="225" t="str">
        <f t="shared" si="37"/>
        <v>5G</v>
      </c>
      <c r="K610" s="241" t="str">
        <f t="shared" si="37"/>
        <v>JIT</v>
      </c>
      <c r="L610" s="228">
        <v>0.23880000000000001</v>
      </c>
      <c r="M610" s="229">
        <v>11.64</v>
      </c>
      <c r="N610" s="228">
        <v>0.52410000000000001</v>
      </c>
      <c r="O610" s="228">
        <v>0.17530000000000001</v>
      </c>
      <c r="P610" s="228">
        <v>1.0014000000000001</v>
      </c>
      <c r="Q610" s="228">
        <v>0.22600000000000001</v>
      </c>
      <c r="R610" s="231">
        <v>44286</v>
      </c>
      <c r="S610" s="232">
        <v>13.189999580383301</v>
      </c>
      <c r="T610" s="233">
        <v>0.121</v>
      </c>
      <c r="U610" s="234">
        <v>42824</v>
      </c>
      <c r="V610" s="232">
        <v>6.1874532699584899</v>
      </c>
      <c r="W610" s="235">
        <v>0.112</v>
      </c>
    </row>
    <row r="611" spans="5:23" ht="15.75" customHeight="1">
      <c r="E611" s="374"/>
      <c r="F611" s="239"/>
      <c r="G611" s="240"/>
      <c r="H611" s="224" t="str">
        <f t="shared" si="37"/>
        <v>ENTG</v>
      </c>
      <c r="I611" s="225" t="str">
        <f t="shared" si="37"/>
        <v/>
      </c>
      <c r="J611" s="225" t="str">
        <f t="shared" si="37"/>
        <v>新能源</v>
      </c>
      <c r="K611" s="241" t="str">
        <f t="shared" si="37"/>
        <v>JIT</v>
      </c>
      <c r="L611" s="228">
        <v>0.3241</v>
      </c>
      <c r="M611" s="229">
        <v>121.91</v>
      </c>
      <c r="N611" s="228">
        <v>0.6179</v>
      </c>
      <c r="O611" s="228">
        <v>0.24149999999999999</v>
      </c>
      <c r="P611" s="228">
        <v>0.53689999999999993</v>
      </c>
      <c r="Q611" s="228">
        <v>0.3019</v>
      </c>
      <c r="R611" s="231">
        <v>44404</v>
      </c>
      <c r="S611" s="232">
        <v>116.44000244140599</v>
      </c>
      <c r="T611" s="233">
        <v>0.08</v>
      </c>
      <c r="U611" s="234">
        <v>43039</v>
      </c>
      <c r="V611" s="232">
        <v>31.987260818481399</v>
      </c>
      <c r="W611" s="235">
        <v>7.0000000000000007E-2</v>
      </c>
    </row>
    <row r="612" spans="5:23" ht="15.75" customHeight="1">
      <c r="E612" s="374"/>
      <c r="F612" s="239"/>
      <c r="G612" s="240"/>
      <c r="H612" s="224" t="str">
        <f t="shared" si="37"/>
        <v>ENSG</v>
      </c>
      <c r="I612" s="225" t="str">
        <f t="shared" si="37"/>
        <v/>
      </c>
      <c r="J612" s="225" t="str">
        <f t="shared" si="37"/>
        <v>精密科技</v>
      </c>
      <c r="K612" s="241" t="str">
        <f t="shared" si="37"/>
        <v>JIT</v>
      </c>
      <c r="L612" s="228">
        <v>0.32669999999999999</v>
      </c>
      <c r="M612" s="229">
        <v>85.21</v>
      </c>
      <c r="N612" s="228">
        <v>0.57950000000000002</v>
      </c>
      <c r="O612" s="228">
        <v>0.1885</v>
      </c>
      <c r="P612" s="228">
        <v>0.76480000000000004</v>
      </c>
      <c r="Q612" s="228">
        <v>0.28610000000000002</v>
      </c>
      <c r="R612" s="231">
        <v>44376</v>
      </c>
      <c r="S612" s="232">
        <v>88.129997253417898</v>
      </c>
      <c r="T612" s="233">
        <v>5.2999999999999999E-2</v>
      </c>
      <c r="U612" s="234">
        <v>42641</v>
      </c>
      <c r="V612" s="232">
        <v>18.956640243530199</v>
      </c>
      <c r="W612" s="235">
        <v>3.7418E-2</v>
      </c>
    </row>
    <row r="613" spans="5:23" ht="15.75" customHeight="1">
      <c r="E613" s="374"/>
      <c r="F613" s="239"/>
      <c r="G613" s="240"/>
      <c r="H613" s="224" t="str">
        <f t="shared" si="37"/>
        <v>ENPH</v>
      </c>
      <c r="I613" s="225" t="str">
        <f t="shared" si="37"/>
        <v/>
      </c>
      <c r="J613" s="225" t="str">
        <f t="shared" si="37"/>
        <v/>
      </c>
      <c r="K613" s="241" t="str">
        <f t="shared" si="37"/>
        <v>JIT</v>
      </c>
      <c r="L613" s="228"/>
      <c r="M613" s="229"/>
      <c r="N613" s="228"/>
      <c r="O613" s="228"/>
      <c r="P613" s="228"/>
      <c r="Q613" s="228"/>
      <c r="R613" s="231"/>
      <c r="S613" s="232"/>
      <c r="T613" s="233"/>
      <c r="U613" s="234"/>
      <c r="V613" s="232"/>
      <c r="W613" s="235"/>
    </row>
    <row r="614" spans="5:23" ht="15.75" customHeight="1">
      <c r="E614" s="374"/>
      <c r="F614" s="239"/>
      <c r="G614" s="240"/>
      <c r="H614" s="224" t="str">
        <f t="shared" si="37"/>
        <v>EMR</v>
      </c>
      <c r="I614" s="225" t="str">
        <f t="shared" si="37"/>
        <v/>
      </c>
      <c r="J614" s="225" t="str">
        <f t="shared" si="37"/>
        <v/>
      </c>
      <c r="K614" s="241" t="str">
        <f t="shared" si="37"/>
        <v>JIT</v>
      </c>
      <c r="L614" s="228"/>
      <c r="M614" s="229"/>
      <c r="N614" s="228"/>
      <c r="O614" s="228"/>
      <c r="P614" s="228"/>
      <c r="Q614" s="228"/>
      <c r="R614" s="231"/>
      <c r="S614" s="232"/>
      <c r="T614" s="233"/>
      <c r="U614" s="234"/>
      <c r="V614" s="232"/>
      <c r="W614" s="235"/>
    </row>
    <row r="615" spans="5:23" ht="15.75" customHeight="1">
      <c r="E615" s="374"/>
      <c r="F615" s="239"/>
      <c r="G615" s="240"/>
      <c r="H615" s="224" t="str">
        <f t="shared" si="37"/>
        <v>DUK</v>
      </c>
      <c r="I615" s="225" t="str">
        <f t="shared" si="37"/>
        <v/>
      </c>
      <c r="J615" s="225" t="str">
        <f t="shared" si="37"/>
        <v/>
      </c>
      <c r="K615" s="241" t="str">
        <f t="shared" si="37"/>
        <v>JIT</v>
      </c>
      <c r="L615" s="228"/>
      <c r="M615" s="229"/>
      <c r="N615" s="228"/>
      <c r="O615" s="228"/>
      <c r="P615" s="228"/>
      <c r="Q615" s="228"/>
      <c r="R615" s="231"/>
      <c r="S615" s="232"/>
      <c r="T615" s="233"/>
      <c r="U615" s="234"/>
      <c r="V615" s="232"/>
      <c r="W615" s="235"/>
    </row>
    <row r="616" spans="5:23" ht="15.75" customHeight="1">
      <c r="E616" s="374"/>
      <c r="F616" s="239"/>
      <c r="G616" s="240"/>
      <c r="H616" s="224" t="str">
        <f t="shared" si="37"/>
        <v>DHR</v>
      </c>
      <c r="I616" s="225" t="str">
        <f t="shared" si="37"/>
        <v/>
      </c>
      <c r="J616" s="225" t="str">
        <f t="shared" si="37"/>
        <v/>
      </c>
      <c r="K616" s="241" t="str">
        <f t="shared" si="37"/>
        <v>JIT</v>
      </c>
      <c r="L616" s="228"/>
      <c r="M616" s="229"/>
      <c r="N616" s="228"/>
      <c r="O616" s="228"/>
      <c r="P616" s="228"/>
      <c r="Q616" s="228"/>
      <c r="R616" s="231"/>
      <c r="S616" s="232"/>
      <c r="T616" s="233"/>
      <c r="U616" s="234"/>
      <c r="V616" s="232"/>
      <c r="W616" s="235"/>
    </row>
    <row r="617" spans="5:23" ht="15.75" customHeight="1">
      <c r="E617" s="374"/>
      <c r="F617" s="239"/>
      <c r="G617" s="240"/>
      <c r="H617" s="224" t="str">
        <f t="shared" si="37"/>
        <v>DDD</v>
      </c>
      <c r="I617" s="225" t="str">
        <f t="shared" si="37"/>
        <v/>
      </c>
      <c r="J617" s="225" t="str">
        <f t="shared" si="37"/>
        <v>工業務聯網</v>
      </c>
      <c r="K617" s="241" t="str">
        <f t="shared" si="37"/>
        <v>JIT</v>
      </c>
      <c r="L617" s="228">
        <v>0.6331</v>
      </c>
      <c r="M617" s="229">
        <v>30.63</v>
      </c>
      <c r="N617" s="228">
        <v>2.4973000000000001</v>
      </c>
      <c r="O617" s="228">
        <v>0.38469999999999999</v>
      </c>
      <c r="P617" s="228">
        <v>1.8213999999999999</v>
      </c>
      <c r="Q617" s="228">
        <v>0.60470000000000002</v>
      </c>
      <c r="R617" s="231">
        <v>0</v>
      </c>
      <c r="S617" s="232">
        <v>0</v>
      </c>
      <c r="T617" s="233">
        <v>0</v>
      </c>
      <c r="U617" s="234">
        <v>0</v>
      </c>
      <c r="V617" s="232">
        <v>0</v>
      </c>
      <c r="W617" s="235">
        <v>0</v>
      </c>
    </row>
    <row r="618" spans="5:23" ht="15.75" customHeight="1">
      <c r="E618" s="374"/>
      <c r="F618" s="239"/>
      <c r="G618" s="240"/>
      <c r="H618" s="224" t="str">
        <f t="shared" si="37"/>
        <v>DBA</v>
      </c>
      <c r="I618" s="225" t="str">
        <f t="shared" si="37"/>
        <v/>
      </c>
      <c r="J618" s="225" t="str">
        <f t="shared" si="37"/>
        <v/>
      </c>
      <c r="K618" s="241" t="str">
        <f t="shared" si="37"/>
        <v>JIT</v>
      </c>
      <c r="L618" s="228"/>
      <c r="M618" s="229"/>
      <c r="N618" s="228"/>
      <c r="O618" s="228"/>
      <c r="P618" s="228"/>
      <c r="Q618" s="228"/>
      <c r="R618" s="231"/>
      <c r="S618" s="232"/>
      <c r="T618" s="233"/>
      <c r="U618" s="234"/>
      <c r="V618" s="232"/>
      <c r="W618" s="235"/>
    </row>
    <row r="619" spans="5:23" ht="15.75" customHeight="1">
      <c r="E619" s="374"/>
      <c r="F619" s="239"/>
      <c r="G619" s="240"/>
      <c r="H619" s="224" t="str">
        <f t="shared" si="37"/>
        <v>DATA</v>
      </c>
      <c r="I619" s="225" t="str">
        <f t="shared" si="37"/>
        <v/>
      </c>
      <c r="J619" s="225" t="str">
        <f t="shared" si="37"/>
        <v/>
      </c>
      <c r="K619" s="241" t="str">
        <f t="shared" si="37"/>
        <v>JIT</v>
      </c>
      <c r="L619" s="228"/>
      <c r="M619" s="229"/>
      <c r="N619" s="228"/>
      <c r="O619" s="228"/>
      <c r="P619" s="228"/>
      <c r="Q619" s="228"/>
      <c r="R619" s="231">
        <v>0</v>
      </c>
      <c r="S619" s="232">
        <v>0</v>
      </c>
      <c r="T619" s="233">
        <v>0</v>
      </c>
      <c r="U619" s="234">
        <v>0</v>
      </c>
      <c r="V619" s="232">
        <v>0</v>
      </c>
      <c r="W619" s="235">
        <v>0</v>
      </c>
    </row>
    <row r="620" spans="5:23" ht="15.75" customHeight="1">
      <c r="E620" s="374"/>
      <c r="F620" s="239"/>
      <c r="G620" s="240"/>
      <c r="H620" s="224" t="str">
        <f t="shared" si="37"/>
        <v>CVNA</v>
      </c>
      <c r="I620" s="225" t="str">
        <f t="shared" si="37"/>
        <v/>
      </c>
      <c r="J620" s="225" t="str">
        <f t="shared" si="37"/>
        <v/>
      </c>
      <c r="K620" s="241" t="str">
        <f t="shared" si="37"/>
        <v>JIT</v>
      </c>
      <c r="L620" s="228">
        <v>0.54490000000000005</v>
      </c>
      <c r="M620" s="229">
        <v>336.05</v>
      </c>
      <c r="N620" s="228">
        <v>1.0404</v>
      </c>
      <c r="O620" s="228">
        <v>0.28320000000000001</v>
      </c>
      <c r="P620" s="228">
        <v>1.0170000000000001</v>
      </c>
      <c r="Q620" s="228">
        <v>0.43579999999999997</v>
      </c>
      <c r="R620" s="231">
        <v>0</v>
      </c>
      <c r="S620" s="232">
        <v>0</v>
      </c>
      <c r="T620" s="233">
        <v>0</v>
      </c>
      <c r="U620" s="234">
        <v>0</v>
      </c>
      <c r="V620" s="232">
        <v>0</v>
      </c>
      <c r="W620" s="235">
        <v>0</v>
      </c>
    </row>
    <row r="621" spans="5:23" ht="15.75" customHeight="1">
      <c r="E621" s="374"/>
      <c r="F621" s="239"/>
      <c r="G621" s="240"/>
      <c r="H621" s="224" t="str">
        <f t="shared" si="37"/>
        <v>CTAS</v>
      </c>
      <c r="I621" s="225" t="str">
        <f t="shared" si="37"/>
        <v/>
      </c>
      <c r="J621" s="225" t="str">
        <f t="shared" si="37"/>
        <v/>
      </c>
      <c r="K621" s="241" t="str">
        <f t="shared" si="37"/>
        <v>JIT</v>
      </c>
      <c r="L621" s="228"/>
      <c r="M621" s="229"/>
      <c r="N621" s="228"/>
      <c r="O621" s="228"/>
      <c r="P621" s="228"/>
      <c r="Q621" s="228"/>
      <c r="R621" s="231"/>
      <c r="S621" s="232"/>
      <c r="T621" s="233"/>
      <c r="U621" s="234"/>
      <c r="V621" s="232"/>
      <c r="W621" s="235"/>
    </row>
    <row r="622" spans="5:23" ht="12.75">
      <c r="E622" s="374"/>
      <c r="F622" s="239"/>
      <c r="G622" s="240"/>
      <c r="H622" s="224" t="str">
        <f t="shared" si="37"/>
        <v>CROX</v>
      </c>
      <c r="I622" s="225" t="str">
        <f t="shared" si="37"/>
        <v/>
      </c>
      <c r="J622" s="225" t="str">
        <f t="shared" si="37"/>
        <v/>
      </c>
      <c r="K622" s="241" t="str">
        <f t="shared" si="37"/>
        <v>JIT</v>
      </c>
      <c r="L622" s="228">
        <v>0.4214</v>
      </c>
      <c r="M622" s="229">
        <v>137.06</v>
      </c>
      <c r="N622" s="228">
        <v>0.6603</v>
      </c>
      <c r="O622" s="228">
        <v>0.28189999999999998</v>
      </c>
      <c r="P622" s="228">
        <v>0.75519999999999998</v>
      </c>
      <c r="Q622" s="228">
        <v>0.40310000000000001</v>
      </c>
      <c r="R622" s="231">
        <v>0</v>
      </c>
      <c r="S622" s="232">
        <v>0</v>
      </c>
      <c r="T622" s="233">
        <v>0</v>
      </c>
      <c r="U622" s="234">
        <v>0</v>
      </c>
      <c r="V622" s="232">
        <v>0</v>
      </c>
      <c r="W622" s="235">
        <v>0</v>
      </c>
    </row>
    <row r="623" spans="5:23" ht="12.75">
      <c r="E623" s="374"/>
      <c r="F623" s="239"/>
      <c r="G623" s="240"/>
      <c r="H623" s="224" t="str">
        <f t="shared" si="37"/>
        <v>CRON</v>
      </c>
      <c r="I623" s="225" t="str">
        <f t="shared" si="37"/>
        <v/>
      </c>
      <c r="J623" s="225" t="str">
        <f t="shared" si="37"/>
        <v>新副經濟</v>
      </c>
      <c r="K623" s="241" t="str">
        <f t="shared" si="37"/>
        <v>JIT</v>
      </c>
      <c r="L623" s="228">
        <v>0.66539999999999999</v>
      </c>
      <c r="M623" s="229">
        <v>7.45</v>
      </c>
      <c r="N623" s="228">
        <v>1.1698999999999999</v>
      </c>
      <c r="O623" s="228">
        <v>0.33650000000000002</v>
      </c>
      <c r="P623" s="228">
        <v>1.5268000000000002</v>
      </c>
      <c r="Q623" s="228">
        <v>0.47979999999999995</v>
      </c>
      <c r="R623" s="231">
        <v>0</v>
      </c>
      <c r="S623" s="232">
        <v>0</v>
      </c>
      <c r="T623" s="233">
        <v>0</v>
      </c>
      <c r="U623" s="234">
        <v>0</v>
      </c>
      <c r="V623" s="232">
        <v>0</v>
      </c>
      <c r="W623" s="235">
        <v>0</v>
      </c>
    </row>
    <row r="624" spans="5:23" ht="12.75">
      <c r="E624" s="374"/>
      <c r="F624" s="239"/>
      <c r="G624" s="240"/>
      <c r="H624" s="224" t="str">
        <f t="shared" si="37"/>
        <v>CPRI</v>
      </c>
      <c r="I624" s="225" t="str">
        <f t="shared" si="37"/>
        <v/>
      </c>
      <c r="J624" s="225" t="str">
        <f t="shared" si="37"/>
        <v/>
      </c>
      <c r="K624" s="241" t="str">
        <f t="shared" si="37"/>
        <v>JIT</v>
      </c>
      <c r="L624" s="228">
        <v>0.41639999999999999</v>
      </c>
      <c r="M624" s="229">
        <v>57.34</v>
      </c>
      <c r="N624" s="228">
        <v>0.77629999999999999</v>
      </c>
      <c r="O624" s="228">
        <v>0.35870000000000002</v>
      </c>
      <c r="P624" s="228">
        <v>0.99480000000000002</v>
      </c>
      <c r="Q624" s="228">
        <v>0.40149999999999997</v>
      </c>
      <c r="R624" s="231">
        <v>0</v>
      </c>
      <c r="S624" s="232">
        <v>0</v>
      </c>
      <c r="T624" s="233">
        <v>0</v>
      </c>
      <c r="U624" s="234">
        <v>0</v>
      </c>
      <c r="V624" s="232">
        <v>0</v>
      </c>
      <c r="W624" s="235">
        <v>0</v>
      </c>
    </row>
    <row r="625" spans="5:23" ht="12.75">
      <c r="E625" s="374"/>
      <c r="F625" s="239"/>
      <c r="G625" s="240"/>
      <c r="H625" s="224" t="str">
        <f t="shared" si="37"/>
        <v>COT</v>
      </c>
      <c r="I625" s="225" t="str">
        <f t="shared" si="37"/>
        <v/>
      </c>
      <c r="J625" s="225" t="str">
        <f t="shared" si="37"/>
        <v/>
      </c>
      <c r="K625" s="241" t="str">
        <f t="shared" si="37"/>
        <v>JIT</v>
      </c>
      <c r="L625" s="228"/>
      <c r="M625" s="229"/>
      <c r="N625" s="228"/>
      <c r="O625" s="228"/>
      <c r="P625" s="228"/>
      <c r="Q625" s="228"/>
      <c r="R625" s="231">
        <v>0</v>
      </c>
      <c r="S625" s="232">
        <v>0</v>
      </c>
      <c r="T625" s="233">
        <v>0</v>
      </c>
      <c r="U625" s="234">
        <v>0</v>
      </c>
      <c r="V625" s="232">
        <v>0</v>
      </c>
      <c r="W625" s="235">
        <v>0</v>
      </c>
    </row>
    <row r="626" spans="5:23" ht="12.75">
      <c r="E626" s="374"/>
      <c r="F626" s="239"/>
      <c r="G626" s="240"/>
      <c r="H626" s="224" t="str">
        <f t="shared" si="37"/>
        <v>COF</v>
      </c>
      <c r="I626" s="225" t="str">
        <f t="shared" si="37"/>
        <v/>
      </c>
      <c r="J626" s="225" t="str">
        <f t="shared" si="37"/>
        <v/>
      </c>
      <c r="K626" s="241" t="str">
        <f t="shared" si="37"/>
        <v>JIT</v>
      </c>
      <c r="L626" s="228"/>
      <c r="M626" s="229"/>
      <c r="N626" s="228"/>
      <c r="O626" s="228"/>
      <c r="P626" s="228"/>
      <c r="Q626" s="228"/>
      <c r="R626" s="231"/>
      <c r="S626" s="232"/>
      <c r="T626" s="233"/>
      <c r="U626" s="234"/>
      <c r="V626" s="232"/>
      <c r="W626" s="235"/>
    </row>
    <row r="627" spans="5:23" ht="12.75">
      <c r="E627" s="374"/>
      <c r="F627" s="239"/>
      <c r="G627" s="240"/>
      <c r="H627" s="224" t="str">
        <f t="shared" si="37"/>
        <v>CMCSA</v>
      </c>
      <c r="I627" s="225" t="str">
        <f t="shared" si="37"/>
        <v/>
      </c>
      <c r="J627" s="225" t="str">
        <f t="shared" si="37"/>
        <v/>
      </c>
      <c r="K627" s="241" t="str">
        <f t="shared" si="37"/>
        <v>JIT</v>
      </c>
      <c r="L627" s="228"/>
      <c r="M627" s="229"/>
      <c r="N627" s="228"/>
      <c r="O627" s="228"/>
      <c r="P627" s="228"/>
      <c r="Q627" s="228"/>
      <c r="R627" s="231"/>
      <c r="S627" s="232"/>
      <c r="T627" s="233"/>
      <c r="U627" s="234"/>
      <c r="V627" s="232"/>
      <c r="W627" s="235"/>
    </row>
    <row r="628" spans="5:23" ht="12.75">
      <c r="E628" s="374"/>
      <c r="F628" s="239"/>
      <c r="G628" s="240"/>
      <c r="H628" s="224" t="str">
        <f t="shared" si="37"/>
        <v>CLDR</v>
      </c>
      <c r="I628" s="225" t="str">
        <f t="shared" si="37"/>
        <v/>
      </c>
      <c r="J628" s="225" t="str">
        <f t="shared" si="37"/>
        <v/>
      </c>
      <c r="K628" s="241" t="str">
        <f t="shared" si="37"/>
        <v>JIT</v>
      </c>
      <c r="L628" s="228">
        <v>7.0599999999999996E-2</v>
      </c>
      <c r="M628" s="229">
        <v>15.86</v>
      </c>
      <c r="N628" s="228">
        <v>0.7006</v>
      </c>
      <c r="O628" s="228">
        <v>7.1199999999999999E-2</v>
      </c>
      <c r="P628" s="228">
        <v>1.4046000000000001</v>
      </c>
      <c r="Q628" s="228">
        <v>5.6900000000000006E-2</v>
      </c>
      <c r="R628" s="231">
        <v>0</v>
      </c>
      <c r="S628" s="232">
        <v>0</v>
      </c>
      <c r="T628" s="233">
        <v>0</v>
      </c>
      <c r="U628" s="234">
        <v>0</v>
      </c>
      <c r="V628" s="232">
        <v>0</v>
      </c>
      <c r="W628" s="235">
        <v>0</v>
      </c>
    </row>
    <row r="629" spans="5:23" ht="12.75">
      <c r="E629" s="374"/>
      <c r="F629" s="239"/>
      <c r="G629" s="240"/>
      <c r="H629" s="224" t="str">
        <f t="shared" si="37"/>
        <v>CERN</v>
      </c>
      <c r="I629" s="225" t="str">
        <f t="shared" si="37"/>
        <v/>
      </c>
      <c r="J629" s="225" t="str">
        <f t="shared" si="37"/>
        <v/>
      </c>
      <c r="K629" s="241" t="str">
        <f t="shared" si="37"/>
        <v>JIT</v>
      </c>
      <c r="L629" s="228"/>
      <c r="M629" s="229"/>
      <c r="N629" s="228"/>
      <c r="O629" s="228"/>
      <c r="P629" s="228"/>
      <c r="Q629" s="228"/>
      <c r="R629" s="231"/>
      <c r="S629" s="232"/>
      <c r="T629" s="233"/>
      <c r="U629" s="234"/>
      <c r="V629" s="232"/>
      <c r="W629" s="235"/>
    </row>
    <row r="630" spans="5:23" ht="12.75">
      <c r="E630" s="374"/>
      <c r="F630" s="239"/>
      <c r="G630" s="240"/>
      <c r="H630" s="224" t="str">
        <f t="shared" si="37"/>
        <v>CCS</v>
      </c>
      <c r="I630" s="225" t="str">
        <f t="shared" si="37"/>
        <v/>
      </c>
      <c r="J630" s="225" t="str">
        <f t="shared" si="37"/>
        <v/>
      </c>
      <c r="K630" s="241" t="str">
        <f t="shared" si="37"/>
        <v>JIT</v>
      </c>
      <c r="L630" s="228">
        <v>0.45240000000000002</v>
      </c>
      <c r="M630" s="229">
        <v>71.38</v>
      </c>
      <c r="N630" s="228">
        <v>0.76870000000000005</v>
      </c>
      <c r="O630" s="228">
        <v>0.36259999999999998</v>
      </c>
      <c r="P630" s="228">
        <v>0.74639999999999995</v>
      </c>
      <c r="Q630" s="228">
        <v>0.42280000000000001</v>
      </c>
      <c r="R630" s="231">
        <v>44348</v>
      </c>
      <c r="S630" s="232">
        <v>81.830001831054602</v>
      </c>
      <c r="T630" s="233">
        <v>0.15</v>
      </c>
      <c r="U630" s="234">
        <v>44348</v>
      </c>
      <c r="V630" s="232">
        <v>81.830001831054602</v>
      </c>
      <c r="W630" s="235">
        <v>0.15</v>
      </c>
    </row>
    <row r="631" spans="5:23" ht="12.75">
      <c r="E631" s="374"/>
      <c r="F631" s="239"/>
      <c r="G631" s="240"/>
      <c r="H631" s="224" t="str">
        <f t="shared" si="37"/>
        <v>CALX</v>
      </c>
      <c r="I631" s="225" t="str">
        <f t="shared" si="37"/>
        <v/>
      </c>
      <c r="J631" s="225" t="str">
        <f t="shared" si="37"/>
        <v/>
      </c>
      <c r="K631" s="241" t="str">
        <f t="shared" si="37"/>
        <v>JIT</v>
      </c>
      <c r="L631" s="228">
        <v>0.53839999999999999</v>
      </c>
      <c r="M631" s="229">
        <v>45.74</v>
      </c>
      <c r="N631" s="228">
        <v>0.91290000000000004</v>
      </c>
      <c r="O631" s="228">
        <v>0.36080000000000001</v>
      </c>
      <c r="P631" s="228">
        <v>0.98959999999999992</v>
      </c>
      <c r="Q631" s="228">
        <v>0.49680000000000002</v>
      </c>
      <c r="R631" s="231">
        <v>0</v>
      </c>
      <c r="S631" s="232">
        <v>0</v>
      </c>
      <c r="T631" s="233">
        <v>0</v>
      </c>
      <c r="U631" s="234">
        <v>0</v>
      </c>
      <c r="V631" s="232">
        <v>0</v>
      </c>
      <c r="W631" s="235">
        <v>0</v>
      </c>
    </row>
    <row r="632" spans="5:23" ht="12.75">
      <c r="E632" s="374"/>
      <c r="F632" s="239"/>
      <c r="G632" s="240"/>
      <c r="H632" s="224" t="str">
        <f t="shared" si="37"/>
        <v>BX</v>
      </c>
      <c r="I632" s="225" t="str">
        <f t="shared" si="37"/>
        <v/>
      </c>
      <c r="J632" s="225" t="str">
        <f t="shared" si="37"/>
        <v/>
      </c>
      <c r="K632" s="241" t="str">
        <f t="shared" si="37"/>
        <v>JIT</v>
      </c>
      <c r="L632" s="228">
        <v>0.25530000000000003</v>
      </c>
      <c r="M632" s="229">
        <v>115.67</v>
      </c>
      <c r="N632" s="228">
        <v>0.35199999999999998</v>
      </c>
      <c r="O632" s="228">
        <v>0.14599999999999999</v>
      </c>
      <c r="P632" s="228">
        <v>0.40110000000000001</v>
      </c>
      <c r="Q632" s="228">
        <v>0.21109999999999998</v>
      </c>
      <c r="R632" s="231">
        <v>44407</v>
      </c>
      <c r="S632" s="232">
        <v>115.26999664306599</v>
      </c>
      <c r="T632" s="233">
        <v>0.7</v>
      </c>
      <c r="U632" s="234">
        <v>42677</v>
      </c>
      <c r="V632" s="232">
        <v>18.526954650878899</v>
      </c>
      <c r="W632" s="235">
        <v>0.41</v>
      </c>
    </row>
    <row r="633" spans="5:23" ht="12.75">
      <c r="E633" s="374"/>
      <c r="F633" s="239"/>
      <c r="G633" s="240"/>
      <c r="H633" s="224" t="str">
        <f t="shared" si="37"/>
        <v>BOOT</v>
      </c>
      <c r="I633" s="225" t="str">
        <f t="shared" si="37"/>
        <v/>
      </c>
      <c r="J633" s="225" t="str">
        <f t="shared" si="37"/>
        <v/>
      </c>
      <c r="K633" s="241" t="str">
        <f t="shared" si="37"/>
        <v>JIT</v>
      </c>
      <c r="L633" s="228">
        <v>0.56579999999999997</v>
      </c>
      <c r="M633" s="229">
        <v>85.88</v>
      </c>
      <c r="N633" s="228">
        <v>0.84160000000000001</v>
      </c>
      <c r="O633" s="228">
        <v>0.33939999999999998</v>
      </c>
      <c r="P633" s="228">
        <v>0.97870000000000001</v>
      </c>
      <c r="Q633" s="228">
        <v>0.44340000000000002</v>
      </c>
      <c r="R633" s="231">
        <v>0</v>
      </c>
      <c r="S633" s="232">
        <v>0</v>
      </c>
      <c r="T633" s="233">
        <v>0</v>
      </c>
      <c r="U633" s="234">
        <v>0</v>
      </c>
      <c r="V633" s="232">
        <v>0</v>
      </c>
      <c r="W633" s="235">
        <v>0</v>
      </c>
    </row>
    <row r="634" spans="5:23" ht="12.75">
      <c r="E634" s="374"/>
      <c r="F634" s="239"/>
      <c r="G634" s="240"/>
      <c r="H634" s="224" t="str">
        <f t="shared" si="37"/>
        <v>BBBY</v>
      </c>
      <c r="I634" s="225" t="str">
        <f t="shared" si="37"/>
        <v/>
      </c>
      <c r="J634" s="225" t="str">
        <f t="shared" si="37"/>
        <v/>
      </c>
      <c r="K634" s="241" t="str">
        <f t="shared" si="37"/>
        <v>JIT</v>
      </c>
      <c r="L634" s="228"/>
      <c r="M634" s="229"/>
      <c r="N634" s="228"/>
      <c r="O634" s="228"/>
      <c r="P634" s="228"/>
      <c r="Q634" s="228"/>
      <c r="R634" s="231"/>
      <c r="S634" s="232"/>
      <c r="T634" s="233"/>
      <c r="U634" s="234"/>
      <c r="V634" s="232"/>
      <c r="W634" s="235"/>
    </row>
    <row r="635" spans="5:23" ht="12.75">
      <c r="E635" s="374"/>
      <c r="F635" s="239"/>
      <c r="G635" s="240"/>
      <c r="H635" s="224" t="str">
        <f t="shared" si="37"/>
        <v>ATHM</v>
      </c>
      <c r="I635" s="225" t="str">
        <f t="shared" si="37"/>
        <v/>
      </c>
      <c r="J635" s="225" t="str">
        <f t="shared" si="37"/>
        <v/>
      </c>
      <c r="K635" s="241" t="str">
        <f t="shared" si="37"/>
        <v>JIT</v>
      </c>
      <c r="L635" s="228"/>
      <c r="M635" s="229"/>
      <c r="N635" s="228"/>
      <c r="O635" s="228"/>
      <c r="P635" s="228"/>
      <c r="Q635" s="228"/>
      <c r="R635" s="231"/>
      <c r="S635" s="232"/>
      <c r="T635" s="233"/>
      <c r="U635" s="234"/>
      <c r="V635" s="232"/>
      <c r="W635" s="235"/>
    </row>
    <row r="636" spans="5:23" ht="12.75">
      <c r="E636" s="374"/>
      <c r="F636" s="239"/>
      <c r="G636" s="240"/>
      <c r="H636" s="224" t="str">
        <f t="shared" si="37"/>
        <v>ARWR</v>
      </c>
      <c r="I636" s="225" t="str">
        <f t="shared" si="37"/>
        <v/>
      </c>
      <c r="J636" s="225" t="str">
        <f t="shared" si="37"/>
        <v/>
      </c>
      <c r="K636" s="241" t="str">
        <f t="shared" si="37"/>
        <v>JIT</v>
      </c>
      <c r="L636" s="228"/>
      <c r="M636" s="229"/>
      <c r="N636" s="228"/>
      <c r="O636" s="228"/>
      <c r="P636" s="228"/>
      <c r="Q636" s="228"/>
      <c r="R636" s="231"/>
      <c r="S636" s="232"/>
      <c r="T636" s="233"/>
      <c r="U636" s="234"/>
      <c r="V636" s="232"/>
      <c r="W636" s="235"/>
    </row>
    <row r="637" spans="5:23" ht="12.75">
      <c r="E637" s="374"/>
      <c r="F637" s="239"/>
      <c r="G637" s="240"/>
      <c r="H637" s="224" t="str">
        <f t="shared" si="37"/>
        <v>ARNC</v>
      </c>
      <c r="I637" s="225" t="str">
        <f t="shared" si="37"/>
        <v/>
      </c>
      <c r="J637" s="225" t="str">
        <f t="shared" si="37"/>
        <v/>
      </c>
      <c r="K637" s="241" t="str">
        <f t="shared" si="37"/>
        <v>JIT</v>
      </c>
      <c r="L637" s="228"/>
      <c r="M637" s="229"/>
      <c r="N637" s="228"/>
      <c r="O637" s="228"/>
      <c r="P637" s="228"/>
      <c r="Q637" s="228"/>
      <c r="R637" s="231"/>
      <c r="S637" s="232"/>
      <c r="T637" s="233"/>
      <c r="U637" s="234"/>
      <c r="V637" s="232"/>
      <c r="W637" s="235"/>
    </row>
    <row r="638" spans="5:23" ht="12.75">
      <c r="E638" s="374"/>
      <c r="F638" s="239"/>
      <c r="G638" s="240"/>
      <c r="H638" s="224" t="str">
        <f t="shared" si="37"/>
        <v>APTV</v>
      </c>
      <c r="I638" s="225" t="str">
        <f t="shared" si="37"/>
        <v/>
      </c>
      <c r="J638" s="225" t="str">
        <f t="shared" si="37"/>
        <v/>
      </c>
      <c r="K638" s="241" t="str">
        <f t="shared" si="37"/>
        <v>JIT</v>
      </c>
      <c r="L638" s="228"/>
      <c r="M638" s="229"/>
      <c r="N638" s="228"/>
      <c r="O638" s="228"/>
      <c r="P638" s="228"/>
      <c r="Q638" s="228"/>
      <c r="R638" s="231"/>
      <c r="S638" s="232"/>
      <c r="T638" s="233"/>
      <c r="U638" s="234"/>
      <c r="V638" s="232"/>
      <c r="W638" s="235"/>
    </row>
    <row r="639" spans="5:23" ht="12.75">
      <c r="E639" s="374"/>
      <c r="F639" s="239"/>
      <c r="G639" s="240"/>
      <c r="H639" s="224" t="str">
        <f t="shared" si="37"/>
        <v>APPS</v>
      </c>
      <c r="I639" s="225" t="str">
        <f t="shared" si="37"/>
        <v/>
      </c>
      <c r="J639" s="225" t="str">
        <f t="shared" si="37"/>
        <v/>
      </c>
      <c r="K639" s="241" t="str">
        <f t="shared" si="37"/>
        <v>JIT</v>
      </c>
      <c r="L639" s="228"/>
      <c r="M639" s="229"/>
      <c r="N639" s="228"/>
      <c r="O639" s="228"/>
      <c r="P639" s="228"/>
      <c r="Q639" s="228"/>
      <c r="R639" s="231"/>
      <c r="S639" s="232"/>
      <c r="T639" s="233"/>
      <c r="U639" s="234"/>
      <c r="V639" s="232"/>
      <c r="W639" s="235"/>
    </row>
    <row r="640" spans="5:23" ht="12.75">
      <c r="E640" s="374"/>
      <c r="F640" s="239"/>
      <c r="G640" s="240"/>
      <c r="H640" s="224" t="str">
        <f t="shared" si="37"/>
        <v>AMD</v>
      </c>
      <c r="I640" s="225" t="str">
        <f t="shared" si="37"/>
        <v/>
      </c>
      <c r="J640" s="225" t="str">
        <f t="shared" si="37"/>
        <v/>
      </c>
      <c r="K640" s="241" t="str">
        <f t="shared" si="37"/>
        <v>JIT</v>
      </c>
      <c r="L640" s="228"/>
      <c r="M640" s="229"/>
      <c r="N640" s="228"/>
      <c r="O640" s="228"/>
      <c r="P640" s="228"/>
      <c r="Q640" s="228"/>
      <c r="R640" s="231"/>
      <c r="S640" s="232"/>
      <c r="T640" s="233"/>
      <c r="U640" s="234"/>
      <c r="V640" s="232"/>
      <c r="W640" s="235"/>
    </row>
    <row r="641" spans="5:23" ht="12.75">
      <c r="E641" s="374"/>
      <c r="F641" s="239"/>
      <c r="G641" s="240"/>
      <c r="H641" s="224" t="str">
        <f t="shared" si="37"/>
        <v>AMAT</v>
      </c>
      <c r="I641" s="225" t="str">
        <f t="shared" si="37"/>
        <v/>
      </c>
      <c r="J641" s="225" t="str">
        <f t="shared" si="37"/>
        <v/>
      </c>
      <c r="K641" s="241" t="str">
        <f t="shared" si="37"/>
        <v>JIT</v>
      </c>
      <c r="L641" s="228"/>
      <c r="M641" s="229"/>
      <c r="N641" s="228"/>
      <c r="O641" s="228"/>
      <c r="P641" s="228"/>
      <c r="Q641" s="228"/>
      <c r="R641" s="231"/>
      <c r="S641" s="232"/>
      <c r="T641" s="233"/>
      <c r="U641" s="234"/>
      <c r="V641" s="232"/>
      <c r="W641" s="235"/>
    </row>
    <row r="642" spans="5:23" ht="12.75">
      <c r="E642" s="374"/>
      <c r="F642" s="239"/>
      <c r="G642" s="240"/>
      <c r="H642" s="224" t="str">
        <f t="shared" si="37"/>
        <v>AEO</v>
      </c>
      <c r="I642" s="225" t="str">
        <f t="shared" si="37"/>
        <v/>
      </c>
      <c r="J642" s="225" t="str">
        <f t="shared" si="37"/>
        <v>千禧</v>
      </c>
      <c r="K642" s="241" t="str">
        <f t="shared" si="37"/>
        <v>JIT</v>
      </c>
      <c r="L642" s="228"/>
      <c r="M642" s="229"/>
      <c r="N642" s="228"/>
      <c r="O642" s="228"/>
      <c r="P642" s="228"/>
      <c r="Q642" s="228"/>
      <c r="R642" s="231"/>
      <c r="S642" s="232"/>
      <c r="T642" s="233"/>
      <c r="U642" s="234"/>
      <c r="V642" s="232"/>
      <c r="W642" s="235"/>
    </row>
    <row r="643" spans="5:23" ht="12.75">
      <c r="E643" s="374"/>
      <c r="F643" s="239"/>
      <c r="G643" s="240"/>
      <c r="H643" s="224" t="str">
        <f t="shared" si="37"/>
        <v>ABT</v>
      </c>
      <c r="I643" s="225" t="str">
        <f t="shared" si="37"/>
        <v/>
      </c>
      <c r="J643" s="225" t="str">
        <f t="shared" si="37"/>
        <v/>
      </c>
      <c r="K643" s="241" t="str">
        <f t="shared" si="37"/>
        <v>JIT</v>
      </c>
      <c r="L643" s="228"/>
      <c r="M643" s="229"/>
      <c r="N643" s="228"/>
      <c r="O643" s="228"/>
      <c r="P643" s="228"/>
      <c r="Q643" s="228"/>
      <c r="R643" s="231"/>
      <c r="S643" s="232"/>
      <c r="T643" s="233"/>
      <c r="U643" s="234"/>
      <c r="V643" s="232"/>
      <c r="W643" s="235"/>
    </row>
    <row r="644" spans="5:23" ht="12.75">
      <c r="E644" s="374"/>
      <c r="F644" s="239"/>
      <c r="G644" s="240"/>
      <c r="H644" s="224" t="str">
        <f t="shared" si="37"/>
        <v>SRNE</v>
      </c>
      <c r="I644" s="225" t="str">
        <f t="shared" si="37"/>
        <v/>
      </c>
      <c r="J644" s="225" t="str">
        <f t="shared" si="37"/>
        <v>疫苗</v>
      </c>
      <c r="K644" s="241" t="str">
        <f t="shared" si="37"/>
        <v>Jason</v>
      </c>
      <c r="L644" s="228">
        <v>0.82010000000000005</v>
      </c>
      <c r="M644" s="229">
        <v>0</v>
      </c>
      <c r="N644" s="228">
        <v>1.7398</v>
      </c>
      <c r="O644" s="228">
        <v>0.42670000000000002</v>
      </c>
      <c r="P644" s="228">
        <v>2.3372000000000002</v>
      </c>
      <c r="Q644" s="228">
        <v>0.69469999999999998</v>
      </c>
      <c r="R644" s="231">
        <v>0</v>
      </c>
      <c r="S644" s="232">
        <v>0</v>
      </c>
      <c r="T644" s="233">
        <v>0</v>
      </c>
      <c r="U644" s="234">
        <v>0</v>
      </c>
      <c r="V644" s="232">
        <v>0</v>
      </c>
      <c r="W644" s="235">
        <v>0</v>
      </c>
    </row>
    <row r="645" spans="5:23" ht="12.75">
      <c r="E645" s="374"/>
      <c r="F645" s="239"/>
      <c r="G645" s="240"/>
      <c r="H645" s="224" t="str">
        <f t="shared" si="37"/>
        <v>SENS</v>
      </c>
      <c r="I645" s="225" t="str">
        <f t="shared" si="37"/>
        <v/>
      </c>
      <c r="J645" s="225" t="str">
        <f t="shared" si="37"/>
        <v>精密醫學</v>
      </c>
      <c r="K645" s="241" t="str">
        <f t="shared" si="37"/>
        <v>Jason</v>
      </c>
      <c r="L645" s="228">
        <v>1.0523</v>
      </c>
      <c r="M645" s="229">
        <v>3.82</v>
      </c>
      <c r="N645" s="228">
        <v>2.6665000000000001</v>
      </c>
      <c r="O645" s="228">
        <v>0.3569</v>
      </c>
      <c r="P645" s="228">
        <v>2.9449000000000001</v>
      </c>
      <c r="Q645" s="228">
        <v>0.85129999999999995</v>
      </c>
      <c r="R645" s="231">
        <v>0</v>
      </c>
      <c r="S645" s="232">
        <v>0</v>
      </c>
      <c r="T645" s="233">
        <v>0</v>
      </c>
      <c r="U645" s="234">
        <v>0</v>
      </c>
      <c r="V645" s="232">
        <v>0</v>
      </c>
      <c r="W645" s="235">
        <v>0</v>
      </c>
    </row>
    <row r="646" spans="5:23" ht="12.75">
      <c r="E646" s="374"/>
      <c r="F646" s="239"/>
      <c r="G646" s="240"/>
      <c r="H646" s="224" t="str">
        <f t="shared" si="37"/>
        <v>PENN</v>
      </c>
      <c r="I646" s="225" t="str">
        <f t="shared" si="37"/>
        <v/>
      </c>
      <c r="J646" s="225" t="str">
        <f t="shared" si="37"/>
        <v/>
      </c>
      <c r="K646" s="241" t="str">
        <f t="shared" si="37"/>
        <v>Jason</v>
      </c>
      <c r="L646" s="228"/>
      <c r="M646" s="229"/>
      <c r="N646" s="228"/>
      <c r="O646" s="228"/>
      <c r="P646" s="228"/>
      <c r="Q646" s="228"/>
      <c r="R646" s="231"/>
      <c r="S646" s="232"/>
      <c r="T646" s="233"/>
      <c r="U646" s="234"/>
      <c r="V646" s="232"/>
      <c r="W646" s="235"/>
    </row>
    <row r="647" spans="5:23" ht="12.75">
      <c r="E647" s="374"/>
      <c r="F647" s="239"/>
      <c r="G647" s="240"/>
      <c r="H647" s="224" t="str">
        <f t="shared" si="37"/>
        <v>NIO</v>
      </c>
      <c r="I647" s="225" t="str">
        <f t="shared" si="37"/>
        <v/>
      </c>
      <c r="J647" s="225" t="str">
        <f t="shared" si="37"/>
        <v>新能源</v>
      </c>
      <c r="K647" s="241" t="str">
        <f t="shared" si="37"/>
        <v>Jason</v>
      </c>
      <c r="L647" s="228">
        <v>0.63990000000000002</v>
      </c>
      <c r="M647" s="229">
        <v>0</v>
      </c>
      <c r="N647" s="228">
        <v>1.0441</v>
      </c>
      <c r="O647" s="228">
        <v>0.4073</v>
      </c>
      <c r="P647" s="228">
        <v>1.1679999999999999</v>
      </c>
      <c r="Q647" s="228">
        <v>0.48859999999999998</v>
      </c>
      <c r="R647" s="231">
        <v>0</v>
      </c>
      <c r="S647" s="232">
        <v>0</v>
      </c>
      <c r="T647" s="233">
        <v>0</v>
      </c>
      <c r="U647" s="234">
        <v>0</v>
      </c>
      <c r="V647" s="232">
        <v>0</v>
      </c>
      <c r="W647" s="235">
        <v>0</v>
      </c>
    </row>
    <row r="648" spans="5:23" ht="12.75">
      <c r="E648" s="374"/>
      <c r="F648" s="239"/>
      <c r="G648" s="240"/>
      <c r="H648" s="224" t="str">
        <f t="shared" si="37"/>
        <v>MRNA</v>
      </c>
      <c r="I648" s="225" t="str">
        <f t="shared" si="37"/>
        <v/>
      </c>
      <c r="J648" s="225" t="str">
        <f t="shared" si="37"/>
        <v/>
      </c>
      <c r="K648" s="241" t="str">
        <f t="shared" si="37"/>
        <v>Jason</v>
      </c>
      <c r="L648" s="228"/>
      <c r="M648" s="229"/>
      <c r="N648" s="228"/>
      <c r="O648" s="228"/>
      <c r="P648" s="228"/>
      <c r="Q648" s="228"/>
      <c r="R648" s="231"/>
      <c r="S648" s="232"/>
      <c r="T648" s="233"/>
      <c r="U648" s="234"/>
      <c r="V648" s="232"/>
      <c r="W648" s="235"/>
    </row>
    <row r="649" spans="5:23" ht="12.75">
      <c r="E649" s="374"/>
      <c r="F649" s="239"/>
      <c r="G649" s="240"/>
      <c r="H649" s="224" t="str">
        <f t="shared" si="37"/>
        <v>JMIA</v>
      </c>
      <c r="I649" s="225" t="str">
        <f t="shared" si="37"/>
        <v/>
      </c>
      <c r="J649" s="225" t="str">
        <f t="shared" si="37"/>
        <v/>
      </c>
      <c r="K649" s="241" t="str">
        <f t="shared" si="37"/>
        <v>Jason</v>
      </c>
      <c r="L649" s="228">
        <v>0.83509999999999995</v>
      </c>
      <c r="M649" s="229">
        <v>0</v>
      </c>
      <c r="N649" s="228">
        <v>1.5157</v>
      </c>
      <c r="O649" s="228">
        <v>0.4995</v>
      </c>
      <c r="P649" s="228">
        <v>1.6569999999999998</v>
      </c>
      <c r="Q649" s="228">
        <v>0.68980000000000008</v>
      </c>
      <c r="R649" s="231">
        <v>0</v>
      </c>
      <c r="S649" s="232">
        <v>0</v>
      </c>
      <c r="T649" s="233">
        <v>0</v>
      </c>
      <c r="U649" s="234">
        <v>0</v>
      </c>
      <c r="V649" s="232">
        <v>0</v>
      </c>
      <c r="W649" s="235">
        <v>0</v>
      </c>
    </row>
    <row r="650" spans="5:23" ht="12.75">
      <c r="E650" s="374"/>
      <c r="F650" s="239"/>
      <c r="G650" s="240"/>
      <c r="H650" s="224" t="str">
        <f t="shared" si="37"/>
        <v>JD</v>
      </c>
      <c r="I650" s="225" t="str">
        <f t="shared" si="37"/>
        <v/>
      </c>
      <c r="J650" s="225" t="str">
        <f t="shared" si="37"/>
        <v/>
      </c>
      <c r="K650" s="241" t="str">
        <f t="shared" si="37"/>
        <v>Jason</v>
      </c>
      <c r="L650" s="228">
        <v>0.4173</v>
      </c>
      <c r="M650" s="229">
        <v>77.17</v>
      </c>
      <c r="N650" s="228">
        <v>0.64939999999999998</v>
      </c>
      <c r="O650" s="228">
        <v>0.26100000000000001</v>
      </c>
      <c r="P650" s="228">
        <v>0.62350000000000005</v>
      </c>
      <c r="Q650" s="228">
        <v>0.29909999999999998</v>
      </c>
      <c r="R650" s="231">
        <v>0</v>
      </c>
      <c r="S650" s="232">
        <v>0</v>
      </c>
      <c r="T650" s="233">
        <v>0</v>
      </c>
      <c r="U650" s="234">
        <v>0</v>
      </c>
      <c r="V650" s="232">
        <v>0</v>
      </c>
      <c r="W650" s="235">
        <v>0</v>
      </c>
    </row>
    <row r="651" spans="5:23" ht="12.75">
      <c r="E651" s="374"/>
      <c r="F651" s="239"/>
      <c r="G651" s="240"/>
      <c r="H651" s="224" t="str">
        <f t="shared" si="37"/>
        <v>BYND</v>
      </c>
      <c r="I651" s="225" t="str">
        <f t="shared" si="37"/>
        <v/>
      </c>
      <c r="J651" s="225" t="str">
        <f t="shared" si="37"/>
        <v/>
      </c>
      <c r="K651" s="241" t="str">
        <f t="shared" si="37"/>
        <v>Jason</v>
      </c>
      <c r="L651" s="228">
        <v>0.61850000000000005</v>
      </c>
      <c r="M651" s="229">
        <v>125.02</v>
      </c>
      <c r="N651" s="228">
        <v>0.87419999999999998</v>
      </c>
      <c r="O651" s="228">
        <v>0.3075</v>
      </c>
      <c r="P651" s="228">
        <v>0.98299999999999998</v>
      </c>
      <c r="Q651" s="228">
        <v>0.43159999999999998</v>
      </c>
      <c r="R651" s="231">
        <v>0</v>
      </c>
      <c r="S651" s="232">
        <v>0</v>
      </c>
      <c r="T651" s="233">
        <v>0</v>
      </c>
      <c r="U651" s="234">
        <v>0</v>
      </c>
      <c r="V651" s="232">
        <v>0</v>
      </c>
      <c r="W651" s="235">
        <v>0</v>
      </c>
    </row>
    <row r="652" spans="5:23" ht="12.75">
      <c r="E652" s="374"/>
      <c r="F652" s="239"/>
      <c r="G652" s="240"/>
      <c r="H652" s="224" t="str">
        <f t="shared" si="37"/>
        <v>BABA</v>
      </c>
      <c r="I652" s="225" t="str">
        <f t="shared" si="37"/>
        <v/>
      </c>
      <c r="J652" s="225" t="str">
        <f t="shared" si="37"/>
        <v>商業物聯網</v>
      </c>
      <c r="K652" s="241" t="str">
        <f t="shared" si="37"/>
        <v>Jason</v>
      </c>
      <c r="L652" s="228">
        <v>0.4602</v>
      </c>
      <c r="M652" s="229">
        <v>156.26</v>
      </c>
      <c r="N652" s="228">
        <v>0.64639999999999997</v>
      </c>
      <c r="O652" s="228">
        <v>0.22140000000000001</v>
      </c>
      <c r="P652" s="228">
        <v>0.66409999999999991</v>
      </c>
      <c r="Q652" s="228">
        <v>0.23649999999999999</v>
      </c>
      <c r="R652" s="231">
        <v>0</v>
      </c>
      <c r="S652" s="232">
        <v>0</v>
      </c>
      <c r="T652" s="233">
        <v>0</v>
      </c>
      <c r="U652" s="234">
        <v>0</v>
      </c>
      <c r="V652" s="232">
        <v>0</v>
      </c>
      <c r="W652" s="235">
        <v>0</v>
      </c>
    </row>
    <row r="653" spans="5:23" ht="12.75">
      <c r="E653" s="374"/>
      <c r="F653" s="239"/>
      <c r="G653" s="240"/>
      <c r="H653" s="224" t="str">
        <f t="shared" si="37"/>
        <v>PTON</v>
      </c>
      <c r="I653" s="225" t="str">
        <f t="shared" si="37"/>
        <v/>
      </c>
      <c r="J653" s="225" t="str">
        <f t="shared" si="37"/>
        <v/>
      </c>
      <c r="K653" s="241" t="str">
        <f t="shared" si="37"/>
        <v>Galloway</v>
      </c>
      <c r="L653" s="228">
        <v>0.5222</v>
      </c>
      <c r="M653" s="229">
        <v>104.92</v>
      </c>
      <c r="N653" s="228">
        <v>0.92190000000000005</v>
      </c>
      <c r="O653" s="228">
        <v>0.45390000000000003</v>
      </c>
      <c r="P653" s="228">
        <v>0.93569999999999998</v>
      </c>
      <c r="Q653" s="228">
        <v>0.4919</v>
      </c>
      <c r="R653" s="231">
        <v>0</v>
      </c>
      <c r="S653" s="232">
        <v>0</v>
      </c>
      <c r="T653" s="233">
        <v>0</v>
      </c>
      <c r="U653" s="234">
        <v>0</v>
      </c>
      <c r="V653" s="232">
        <v>0</v>
      </c>
      <c r="W653" s="235">
        <v>0</v>
      </c>
    </row>
    <row r="654" spans="5:23" ht="12.75">
      <c r="E654" s="374"/>
      <c r="F654" s="239"/>
      <c r="G654" s="240"/>
      <c r="H654" s="224" t="str">
        <f t="shared" si="37"/>
        <v>LMND</v>
      </c>
      <c r="I654" s="225" t="str">
        <f t="shared" si="37"/>
        <v/>
      </c>
      <c r="J654" s="225" t="str">
        <f t="shared" si="37"/>
        <v/>
      </c>
      <c r="K654" s="241" t="str">
        <f t="shared" ref="K654:K717" si="38">IF(D137="","",D137)</f>
        <v>Galloway</v>
      </c>
      <c r="L654" s="228">
        <v>0.60140000000000005</v>
      </c>
      <c r="M654" s="229">
        <v>72.28</v>
      </c>
      <c r="N654" s="228">
        <v>1.4472</v>
      </c>
      <c r="O654" s="228">
        <v>0.51590000000000003</v>
      </c>
      <c r="P654" s="228">
        <v>1.5411000000000001</v>
      </c>
      <c r="Q654" s="228">
        <v>0.5615</v>
      </c>
      <c r="R654" s="231">
        <v>0</v>
      </c>
      <c r="S654" s="232">
        <v>0</v>
      </c>
      <c r="T654" s="233">
        <v>0</v>
      </c>
      <c r="U654" s="234">
        <v>0</v>
      </c>
      <c r="V654" s="232">
        <v>0</v>
      </c>
      <c r="W654" s="235">
        <v>0</v>
      </c>
    </row>
    <row r="655" spans="5:23" ht="12.75">
      <c r="E655" s="374"/>
      <c r="F655" s="239"/>
      <c r="G655" s="240"/>
      <c r="H655" s="224" t="str">
        <f t="shared" ref="H655:K718" si="39">IF(A138="","",A138)</f>
        <v>ABNB</v>
      </c>
      <c r="I655" s="225" t="str">
        <f t="shared" si="39"/>
        <v/>
      </c>
      <c r="J655" s="225" t="str">
        <f t="shared" si="39"/>
        <v/>
      </c>
      <c r="K655" s="241" t="str">
        <f t="shared" si="38"/>
        <v>Galloway</v>
      </c>
      <c r="L655" s="228"/>
      <c r="M655" s="229"/>
      <c r="N655" s="228"/>
      <c r="O655" s="228"/>
      <c r="P655" s="228"/>
      <c r="Q655" s="228"/>
      <c r="R655" s="231"/>
      <c r="S655" s="232"/>
      <c r="T655" s="233"/>
      <c r="U655" s="234"/>
      <c r="V655" s="232"/>
      <c r="W655" s="235"/>
    </row>
    <row r="656" spans="5:23" ht="12.75">
      <c r="E656" s="374"/>
      <c r="F656" s="239"/>
      <c r="G656" s="240"/>
      <c r="H656" s="224" t="str">
        <f t="shared" si="39"/>
        <v>XSW</v>
      </c>
      <c r="I656" s="225" t="str">
        <f t="shared" si="39"/>
        <v/>
      </c>
      <c r="J656" s="225" t="str">
        <f t="shared" si="39"/>
        <v/>
      </c>
      <c r="K656" s="241" t="str">
        <f t="shared" si="38"/>
        <v>ETF-成長股</v>
      </c>
      <c r="L656" s="228"/>
      <c r="M656" s="229"/>
      <c r="N656" s="228"/>
      <c r="O656" s="228"/>
      <c r="P656" s="228"/>
      <c r="Q656" s="228"/>
      <c r="R656" s="231"/>
      <c r="S656" s="232"/>
      <c r="T656" s="233"/>
      <c r="U656" s="234"/>
      <c r="V656" s="232"/>
      <c r="W656" s="235"/>
    </row>
    <row r="657" spans="5:23" ht="12.75">
      <c r="E657" s="374"/>
      <c r="F657" s="239"/>
      <c r="G657" s="240"/>
      <c r="H657" s="224" t="str">
        <f t="shared" si="39"/>
        <v>UNG</v>
      </c>
      <c r="I657" s="225" t="str">
        <f t="shared" si="39"/>
        <v/>
      </c>
      <c r="J657" s="225" t="str">
        <f t="shared" si="39"/>
        <v/>
      </c>
      <c r="K657" s="241" t="str">
        <f t="shared" si="38"/>
        <v>ETF-成長股</v>
      </c>
      <c r="L657" s="228"/>
      <c r="M657" s="229"/>
      <c r="N657" s="228"/>
      <c r="O657" s="228"/>
      <c r="P657" s="228"/>
      <c r="Q657" s="228"/>
      <c r="R657" s="231"/>
      <c r="S657" s="232"/>
      <c r="T657" s="233"/>
      <c r="U657" s="234"/>
      <c r="V657" s="232"/>
      <c r="W657" s="235"/>
    </row>
    <row r="658" spans="5:23" ht="12.75">
      <c r="E658" s="374"/>
      <c r="F658" s="239"/>
      <c r="G658" s="240"/>
      <c r="H658" s="224" t="str">
        <f t="shared" si="39"/>
        <v>TLT</v>
      </c>
      <c r="I658" s="225" t="str">
        <f t="shared" si="39"/>
        <v/>
      </c>
      <c r="J658" s="225" t="str">
        <f t="shared" si="39"/>
        <v/>
      </c>
      <c r="K658" s="241" t="str">
        <f t="shared" si="38"/>
        <v>ETF-成長股</v>
      </c>
      <c r="L658" s="228"/>
      <c r="M658" s="229"/>
      <c r="N658" s="228"/>
      <c r="O658" s="228"/>
      <c r="P658" s="228"/>
      <c r="Q658" s="228"/>
      <c r="R658" s="231"/>
      <c r="S658" s="232"/>
      <c r="T658" s="233"/>
      <c r="U658" s="234"/>
      <c r="V658" s="232"/>
      <c r="W658" s="235"/>
    </row>
    <row r="659" spans="5:23" ht="12.75">
      <c r="E659" s="374"/>
      <c r="F659" s="239"/>
      <c r="G659" s="240"/>
      <c r="H659" s="224" t="str">
        <f t="shared" si="39"/>
        <v>RYT</v>
      </c>
      <c r="I659" s="225" t="str">
        <f t="shared" si="39"/>
        <v/>
      </c>
      <c r="J659" s="225" t="str">
        <f t="shared" si="39"/>
        <v/>
      </c>
      <c r="K659" s="241" t="str">
        <f t="shared" si="38"/>
        <v>ETF-成長股</v>
      </c>
      <c r="L659" s="228"/>
      <c r="M659" s="229"/>
      <c r="N659" s="228"/>
      <c r="O659" s="228"/>
      <c r="P659" s="228"/>
      <c r="Q659" s="228"/>
      <c r="R659" s="231"/>
      <c r="S659" s="232"/>
      <c r="T659" s="233"/>
      <c r="U659" s="234"/>
      <c r="V659" s="232"/>
      <c r="W659" s="235"/>
    </row>
    <row r="660" spans="5:23" ht="12.75">
      <c r="E660" s="374"/>
      <c r="F660" s="239"/>
      <c r="G660" s="240"/>
      <c r="H660" s="224" t="str">
        <f t="shared" si="39"/>
        <v>ROBO</v>
      </c>
      <c r="I660" s="225" t="str">
        <f t="shared" si="39"/>
        <v/>
      </c>
      <c r="J660" s="225" t="str">
        <f t="shared" si="39"/>
        <v/>
      </c>
      <c r="K660" s="241" t="str">
        <f t="shared" si="38"/>
        <v>ETF-成長股</v>
      </c>
      <c r="L660" s="228"/>
      <c r="M660" s="229"/>
      <c r="N660" s="228"/>
      <c r="O660" s="228"/>
      <c r="P660" s="228"/>
      <c r="Q660" s="228"/>
      <c r="R660" s="231"/>
      <c r="S660" s="232"/>
      <c r="T660" s="233"/>
      <c r="U660" s="234"/>
      <c r="V660" s="232"/>
      <c r="W660" s="235"/>
    </row>
    <row r="661" spans="5:23" ht="12.75">
      <c r="E661" s="374"/>
      <c r="F661" s="239"/>
      <c r="G661" s="240"/>
      <c r="H661" s="224" t="str">
        <f t="shared" si="39"/>
        <v>PRNT</v>
      </c>
      <c r="I661" s="225" t="str">
        <f t="shared" si="39"/>
        <v/>
      </c>
      <c r="J661" s="225" t="str">
        <f t="shared" si="39"/>
        <v/>
      </c>
      <c r="K661" s="241" t="str">
        <f t="shared" si="38"/>
        <v>ETF-成長股</v>
      </c>
      <c r="L661" s="228"/>
      <c r="M661" s="229"/>
      <c r="N661" s="228"/>
      <c r="O661" s="228"/>
      <c r="P661" s="228"/>
      <c r="Q661" s="228"/>
      <c r="R661" s="231"/>
      <c r="S661" s="232"/>
      <c r="T661" s="233"/>
      <c r="U661" s="234"/>
      <c r="V661" s="232"/>
      <c r="W661" s="235"/>
    </row>
    <row r="662" spans="5:23" ht="12.75">
      <c r="E662" s="374"/>
      <c r="F662" s="239"/>
      <c r="G662" s="240"/>
      <c r="H662" s="224" t="str">
        <f t="shared" si="39"/>
        <v>NOBL</v>
      </c>
      <c r="I662" s="225" t="str">
        <f t="shared" si="39"/>
        <v/>
      </c>
      <c r="J662" s="225" t="str">
        <f t="shared" si="39"/>
        <v/>
      </c>
      <c r="K662" s="241" t="str">
        <f t="shared" si="38"/>
        <v>ETF-成長股</v>
      </c>
      <c r="L662" s="228"/>
      <c r="M662" s="229"/>
      <c r="N662" s="228"/>
      <c r="O662" s="228"/>
      <c r="P662" s="228"/>
      <c r="Q662" s="228"/>
      <c r="R662" s="231"/>
      <c r="S662" s="232"/>
      <c r="T662" s="233"/>
      <c r="U662" s="234"/>
      <c r="V662" s="232"/>
      <c r="W662" s="235"/>
    </row>
    <row r="663" spans="5:23" ht="12.75">
      <c r="E663" s="374"/>
      <c r="F663" s="239"/>
      <c r="G663" s="240"/>
      <c r="H663" s="224" t="str">
        <f t="shared" si="39"/>
        <v>MJ</v>
      </c>
      <c r="I663" s="225" t="str">
        <f t="shared" si="39"/>
        <v/>
      </c>
      <c r="J663" s="225" t="str">
        <f t="shared" si="39"/>
        <v/>
      </c>
      <c r="K663" s="241" t="str">
        <f t="shared" si="38"/>
        <v>ETF-成長股</v>
      </c>
      <c r="L663" s="228"/>
      <c r="M663" s="229"/>
      <c r="N663" s="228"/>
      <c r="O663" s="228"/>
      <c r="P663" s="228"/>
      <c r="Q663" s="228"/>
      <c r="R663" s="231"/>
      <c r="S663" s="232"/>
      <c r="T663" s="233"/>
      <c r="U663" s="234"/>
      <c r="V663" s="232"/>
      <c r="W663" s="235"/>
    </row>
    <row r="664" spans="5:23" ht="12.75">
      <c r="E664" s="374"/>
      <c r="F664" s="239"/>
      <c r="G664" s="240"/>
      <c r="H664" s="224" t="str">
        <f t="shared" si="39"/>
        <v>MILN</v>
      </c>
      <c r="I664" s="225" t="str">
        <f t="shared" si="39"/>
        <v/>
      </c>
      <c r="J664" s="225" t="str">
        <f t="shared" si="39"/>
        <v/>
      </c>
      <c r="K664" s="241" t="str">
        <f t="shared" si="38"/>
        <v>ETF-成長股</v>
      </c>
      <c r="L664" s="228"/>
      <c r="M664" s="229"/>
      <c r="N664" s="228"/>
      <c r="O664" s="228"/>
      <c r="P664" s="228"/>
      <c r="Q664" s="228"/>
      <c r="R664" s="231"/>
      <c r="S664" s="232"/>
      <c r="T664" s="233"/>
      <c r="U664" s="234"/>
      <c r="V664" s="232"/>
      <c r="W664" s="235"/>
    </row>
    <row r="665" spans="5:23" ht="12.75">
      <c r="E665" s="374"/>
      <c r="F665" s="239"/>
      <c r="G665" s="240"/>
      <c r="H665" s="224" t="str">
        <f t="shared" si="39"/>
        <v>IHI</v>
      </c>
      <c r="I665" s="225" t="str">
        <f t="shared" si="39"/>
        <v/>
      </c>
      <c r="J665" s="225" t="str">
        <f t="shared" si="39"/>
        <v/>
      </c>
      <c r="K665" s="241" t="str">
        <f t="shared" si="38"/>
        <v>ETF-成長股</v>
      </c>
      <c r="L665" s="228"/>
      <c r="M665" s="229"/>
      <c r="N665" s="228"/>
      <c r="O665" s="228"/>
      <c r="P665" s="228"/>
      <c r="Q665" s="228"/>
      <c r="R665" s="231"/>
      <c r="S665" s="232"/>
      <c r="T665" s="233"/>
      <c r="U665" s="234"/>
      <c r="V665" s="232"/>
      <c r="W665" s="235"/>
    </row>
    <row r="666" spans="5:23" ht="12.75">
      <c r="E666" s="374"/>
      <c r="F666" s="239"/>
      <c r="G666" s="240"/>
      <c r="H666" s="224" t="str">
        <f t="shared" si="39"/>
        <v>GLD</v>
      </c>
      <c r="I666" s="225" t="str">
        <f t="shared" si="39"/>
        <v/>
      </c>
      <c r="J666" s="225" t="str">
        <f t="shared" si="39"/>
        <v/>
      </c>
      <c r="K666" s="241" t="str">
        <f t="shared" si="38"/>
        <v>ETF-成長股</v>
      </c>
      <c r="L666" s="228"/>
      <c r="M666" s="229"/>
      <c r="N666" s="228"/>
      <c r="O666" s="228"/>
      <c r="P666" s="228"/>
      <c r="Q666" s="228"/>
      <c r="R666" s="231"/>
      <c r="S666" s="232"/>
      <c r="T666" s="233"/>
      <c r="U666" s="234"/>
      <c r="V666" s="232"/>
      <c r="W666" s="235"/>
    </row>
    <row r="667" spans="5:23" ht="12.75">
      <c r="E667" s="374"/>
      <c r="F667" s="239"/>
      <c r="G667" s="240"/>
      <c r="H667" s="224" t="str">
        <f>IF(A150="","",A150)</f>
        <v>GBTC</v>
      </c>
      <c r="I667" s="225" t="str">
        <f t="shared" si="39"/>
        <v/>
      </c>
      <c r="J667" s="225" t="str">
        <f t="shared" si="39"/>
        <v>新副經濟</v>
      </c>
      <c r="K667" s="241" t="str">
        <f t="shared" si="38"/>
        <v>ETF-成長股</v>
      </c>
      <c r="L667" s="228"/>
      <c r="M667" s="229"/>
      <c r="N667" s="228"/>
      <c r="O667" s="228"/>
      <c r="P667" s="228"/>
      <c r="Q667" s="228"/>
      <c r="R667" s="231"/>
      <c r="S667" s="232"/>
      <c r="T667" s="233"/>
      <c r="U667" s="234"/>
      <c r="V667" s="232"/>
      <c r="W667" s="235"/>
    </row>
    <row r="668" spans="5:23" ht="12.75">
      <c r="E668" s="374"/>
      <c r="F668" s="239"/>
      <c r="G668" s="240"/>
      <c r="H668" s="224" t="str">
        <f t="shared" si="39"/>
        <v>FTEC</v>
      </c>
      <c r="I668" s="225" t="str">
        <f t="shared" si="39"/>
        <v/>
      </c>
      <c r="J668" s="225" t="str">
        <f t="shared" si="39"/>
        <v/>
      </c>
      <c r="K668" s="241" t="str">
        <f t="shared" si="38"/>
        <v>ETF-成長股</v>
      </c>
      <c r="L668" s="228"/>
      <c r="M668" s="229"/>
      <c r="N668" s="228"/>
      <c r="O668" s="228"/>
      <c r="P668" s="228"/>
      <c r="Q668" s="228"/>
      <c r="R668" s="231"/>
      <c r="S668" s="232"/>
      <c r="T668" s="233"/>
      <c r="U668" s="234"/>
      <c r="V668" s="232"/>
      <c r="W668" s="235"/>
    </row>
    <row r="669" spans="5:23" ht="12.75">
      <c r="E669" s="374"/>
      <c r="F669" s="239"/>
      <c r="G669" s="240"/>
      <c r="H669" s="224" t="str">
        <f t="shared" si="39"/>
        <v>ESPO</v>
      </c>
      <c r="I669" s="225" t="str">
        <f t="shared" si="39"/>
        <v/>
      </c>
      <c r="J669" s="225" t="str">
        <f t="shared" si="39"/>
        <v/>
      </c>
      <c r="K669" s="241" t="str">
        <f t="shared" si="38"/>
        <v>ETF-成長股</v>
      </c>
      <c r="L669" s="228"/>
      <c r="M669" s="229"/>
      <c r="N669" s="228"/>
      <c r="O669" s="228"/>
      <c r="P669" s="228"/>
      <c r="Q669" s="228"/>
      <c r="R669" s="231"/>
      <c r="S669" s="232"/>
      <c r="T669" s="233"/>
      <c r="U669" s="234"/>
      <c r="V669" s="232"/>
      <c r="W669" s="235"/>
    </row>
    <row r="670" spans="5:23" ht="12.75">
      <c r="E670" s="374"/>
      <c r="F670" s="239"/>
      <c r="G670" s="240"/>
      <c r="H670" s="224" t="str">
        <f t="shared" si="39"/>
        <v>ELS</v>
      </c>
      <c r="I670" s="225" t="str">
        <f t="shared" si="39"/>
        <v/>
      </c>
      <c r="J670" s="225" t="str">
        <f t="shared" si="39"/>
        <v/>
      </c>
      <c r="K670" s="241" t="str">
        <f t="shared" si="38"/>
        <v>ETF-成長股</v>
      </c>
      <c r="L670" s="228"/>
      <c r="M670" s="229"/>
      <c r="N670" s="228"/>
      <c r="O670" s="228"/>
      <c r="P670" s="228"/>
      <c r="Q670" s="228"/>
      <c r="R670" s="231"/>
      <c r="S670" s="232"/>
      <c r="T670" s="233"/>
      <c r="U670" s="234"/>
      <c r="V670" s="232"/>
      <c r="W670" s="235"/>
    </row>
    <row r="671" spans="5:23" ht="12.75">
      <c r="E671" s="374"/>
      <c r="F671" s="239"/>
      <c r="G671" s="240"/>
      <c r="H671" s="224" t="str">
        <f t="shared" si="39"/>
        <v>CODI</v>
      </c>
      <c r="I671" s="225" t="str">
        <f t="shared" si="39"/>
        <v/>
      </c>
      <c r="J671" s="225" t="str">
        <f t="shared" si="39"/>
        <v/>
      </c>
      <c r="K671" s="241" t="str">
        <f t="shared" si="38"/>
        <v>ETF-成長股</v>
      </c>
      <c r="L671" s="228"/>
      <c r="M671" s="229"/>
      <c r="N671" s="228"/>
      <c r="O671" s="228"/>
      <c r="P671" s="228"/>
      <c r="Q671" s="228"/>
      <c r="R671" s="231"/>
      <c r="S671" s="232"/>
      <c r="T671" s="233"/>
      <c r="U671" s="234"/>
      <c r="V671" s="232"/>
      <c r="W671" s="235"/>
    </row>
    <row r="672" spans="5:23" ht="12.75">
      <c r="E672" s="374"/>
      <c r="F672" s="239"/>
      <c r="G672" s="240"/>
      <c r="H672" s="224" t="str">
        <f t="shared" si="39"/>
        <v>CLOU</v>
      </c>
      <c r="I672" s="225" t="str">
        <f t="shared" si="39"/>
        <v/>
      </c>
      <c r="J672" s="225" t="str">
        <f t="shared" si="39"/>
        <v/>
      </c>
      <c r="K672" s="241" t="str">
        <f t="shared" si="38"/>
        <v>ETF-成長股</v>
      </c>
      <c r="L672" s="228"/>
      <c r="M672" s="229"/>
      <c r="N672" s="228"/>
      <c r="O672" s="228"/>
      <c r="P672" s="228"/>
      <c r="Q672" s="228"/>
      <c r="R672" s="231"/>
      <c r="S672" s="232"/>
      <c r="T672" s="233"/>
      <c r="U672" s="234"/>
      <c r="V672" s="232"/>
      <c r="W672" s="235"/>
    </row>
    <row r="673" spans="5:23" ht="12.75">
      <c r="E673" s="374"/>
      <c r="F673" s="239"/>
      <c r="G673" s="240"/>
      <c r="H673" s="224" t="str">
        <f t="shared" si="39"/>
        <v>BOTZ</v>
      </c>
      <c r="I673" s="225" t="str">
        <f t="shared" si="39"/>
        <v/>
      </c>
      <c r="J673" s="225" t="str">
        <f t="shared" si="39"/>
        <v/>
      </c>
      <c r="K673" s="241" t="str">
        <f t="shared" si="38"/>
        <v>ETF-成長股</v>
      </c>
      <c r="L673" s="228"/>
      <c r="M673" s="229"/>
      <c r="N673" s="228"/>
      <c r="O673" s="228"/>
      <c r="P673" s="228"/>
      <c r="Q673" s="228"/>
      <c r="R673" s="231"/>
      <c r="S673" s="232"/>
      <c r="T673" s="233"/>
      <c r="U673" s="234"/>
      <c r="V673" s="232"/>
      <c r="W673" s="235"/>
    </row>
    <row r="674" spans="5:23" ht="12.75">
      <c r="E674" s="374"/>
      <c r="F674" s="239"/>
      <c r="G674" s="240"/>
      <c r="H674" s="224" t="str">
        <f t="shared" si="39"/>
        <v>BLOK</v>
      </c>
      <c r="I674" s="225" t="str">
        <f t="shared" si="39"/>
        <v/>
      </c>
      <c r="J674" s="225" t="str">
        <f t="shared" si="39"/>
        <v/>
      </c>
      <c r="K674" s="241" t="str">
        <f t="shared" si="38"/>
        <v>ETF-成長股</v>
      </c>
      <c r="L674" s="228"/>
      <c r="M674" s="229"/>
      <c r="N674" s="228"/>
      <c r="O674" s="228"/>
      <c r="P674" s="228"/>
      <c r="Q674" s="228"/>
      <c r="R674" s="231"/>
      <c r="S674" s="232"/>
      <c r="T674" s="233"/>
      <c r="U674" s="234"/>
      <c r="V674" s="232"/>
      <c r="W674" s="235"/>
    </row>
    <row r="675" spans="5:23" ht="12.75">
      <c r="E675" s="374"/>
      <c r="F675" s="239"/>
      <c r="G675" s="240"/>
      <c r="H675" s="224" t="str">
        <f t="shared" si="39"/>
        <v>BLCN</v>
      </c>
      <c r="I675" s="225" t="str">
        <f t="shared" si="39"/>
        <v/>
      </c>
      <c r="J675" s="225" t="str">
        <f t="shared" si="39"/>
        <v/>
      </c>
      <c r="K675" s="241" t="str">
        <f t="shared" si="38"/>
        <v>ETF-成長股</v>
      </c>
      <c r="L675" s="228"/>
      <c r="M675" s="229"/>
      <c r="N675" s="228"/>
      <c r="O675" s="228"/>
      <c r="P675" s="228"/>
      <c r="Q675" s="228"/>
      <c r="R675" s="231"/>
      <c r="S675" s="232"/>
      <c r="T675" s="233"/>
      <c r="U675" s="234"/>
      <c r="V675" s="232"/>
      <c r="W675" s="235"/>
    </row>
    <row r="676" spans="5:23" ht="12.75">
      <c r="E676" s="374"/>
      <c r="F676" s="239"/>
      <c r="G676" s="240"/>
      <c r="H676" s="224" t="str">
        <f t="shared" si="39"/>
        <v>ARKX</v>
      </c>
      <c r="I676" s="225" t="str">
        <f t="shared" si="39"/>
        <v/>
      </c>
      <c r="J676" s="225" t="str">
        <f t="shared" si="39"/>
        <v/>
      </c>
      <c r="K676" s="241" t="str">
        <f t="shared" si="38"/>
        <v>ETF-成長股</v>
      </c>
      <c r="L676" s="228"/>
      <c r="M676" s="229"/>
      <c r="N676" s="228"/>
      <c r="O676" s="228"/>
      <c r="P676" s="228"/>
      <c r="Q676" s="228"/>
      <c r="R676" s="231"/>
      <c r="S676" s="232"/>
      <c r="T676" s="233"/>
      <c r="U676" s="234"/>
      <c r="V676" s="232"/>
      <c r="W676" s="235"/>
    </row>
    <row r="677" spans="5:23" ht="12.75">
      <c r="E677" s="374"/>
      <c r="F677" s="239"/>
      <c r="G677" s="240"/>
      <c r="H677" s="224" t="str">
        <f t="shared" si="39"/>
        <v>ARKW</v>
      </c>
      <c r="I677" s="225" t="str">
        <f t="shared" si="39"/>
        <v/>
      </c>
      <c r="J677" s="225" t="str">
        <f t="shared" si="39"/>
        <v/>
      </c>
      <c r="K677" s="241" t="str">
        <f t="shared" si="38"/>
        <v>ETF-成長股</v>
      </c>
      <c r="L677" s="228"/>
      <c r="M677" s="229"/>
      <c r="N677" s="228"/>
      <c r="O677" s="228"/>
      <c r="P677" s="228"/>
      <c r="Q677" s="228"/>
      <c r="R677" s="231"/>
      <c r="S677" s="232"/>
      <c r="T677" s="233"/>
      <c r="U677" s="234"/>
      <c r="V677" s="232"/>
      <c r="W677" s="235"/>
    </row>
    <row r="678" spans="5:23" ht="12.75">
      <c r="E678" s="374"/>
      <c r="F678" s="239"/>
      <c r="G678" s="240"/>
      <c r="H678" s="224" t="str">
        <f t="shared" si="39"/>
        <v>ARKQ</v>
      </c>
      <c r="I678" s="225" t="str">
        <f t="shared" si="39"/>
        <v/>
      </c>
      <c r="J678" s="225" t="str">
        <f t="shared" si="39"/>
        <v/>
      </c>
      <c r="K678" s="241" t="str">
        <f t="shared" si="38"/>
        <v>ETF-成長股</v>
      </c>
      <c r="L678" s="228"/>
      <c r="M678" s="229"/>
      <c r="N678" s="228"/>
      <c r="O678" s="228"/>
      <c r="P678" s="228"/>
      <c r="Q678" s="228"/>
      <c r="R678" s="231"/>
      <c r="S678" s="232"/>
      <c r="T678" s="233"/>
      <c r="U678" s="234"/>
      <c r="V678" s="232"/>
      <c r="W678" s="235"/>
    </row>
    <row r="679" spans="5:23" ht="12.75">
      <c r="E679" s="374"/>
      <c r="F679" s="239"/>
      <c r="G679" s="240"/>
      <c r="H679" s="224" t="str">
        <f t="shared" si="39"/>
        <v>ARKK</v>
      </c>
      <c r="I679" s="225" t="str">
        <f t="shared" si="39"/>
        <v/>
      </c>
      <c r="J679" s="225" t="str">
        <f t="shared" si="39"/>
        <v/>
      </c>
      <c r="K679" s="241" t="str">
        <f t="shared" si="38"/>
        <v>ETF-成長股</v>
      </c>
      <c r="L679" s="228"/>
      <c r="M679" s="229"/>
      <c r="N679" s="228"/>
      <c r="O679" s="228"/>
      <c r="P679" s="228"/>
      <c r="Q679" s="228"/>
      <c r="R679" s="231"/>
      <c r="S679" s="232"/>
      <c r="T679" s="233"/>
      <c r="U679" s="234"/>
      <c r="V679" s="232"/>
      <c r="W679" s="235"/>
    </row>
    <row r="680" spans="5:23" ht="12.75">
      <c r="E680" s="374"/>
      <c r="F680" s="239"/>
      <c r="G680" s="240"/>
      <c r="H680" s="224" t="str">
        <f t="shared" si="39"/>
        <v>ARKG</v>
      </c>
      <c r="I680" s="225" t="str">
        <f t="shared" si="39"/>
        <v/>
      </c>
      <c r="J680" s="225" t="str">
        <f t="shared" si="39"/>
        <v/>
      </c>
      <c r="K680" s="241" t="str">
        <f t="shared" si="38"/>
        <v>ETF-成長股</v>
      </c>
      <c r="L680" s="228"/>
      <c r="M680" s="229"/>
      <c r="N680" s="228"/>
      <c r="O680" s="228"/>
      <c r="P680" s="228"/>
      <c r="Q680" s="228"/>
      <c r="R680" s="231"/>
      <c r="S680" s="232"/>
      <c r="T680" s="233"/>
      <c r="U680" s="234"/>
      <c r="V680" s="232"/>
      <c r="W680" s="235"/>
    </row>
    <row r="681" spans="5:23" ht="12.75">
      <c r="E681" s="374"/>
      <c r="F681" s="239"/>
      <c r="G681" s="240"/>
      <c r="H681" s="224" t="str">
        <f t="shared" si="39"/>
        <v>ARKF</v>
      </c>
      <c r="I681" s="225" t="str">
        <f t="shared" si="39"/>
        <v/>
      </c>
      <c r="J681" s="225" t="str">
        <f t="shared" si="39"/>
        <v/>
      </c>
      <c r="K681" s="241" t="str">
        <f t="shared" si="38"/>
        <v>ETF-成長股</v>
      </c>
      <c r="L681" s="228"/>
      <c r="M681" s="229"/>
      <c r="N681" s="228"/>
      <c r="O681" s="228"/>
      <c r="P681" s="228"/>
      <c r="Q681" s="228"/>
      <c r="R681" s="231"/>
      <c r="S681" s="232"/>
      <c r="T681" s="233"/>
      <c r="U681" s="234"/>
      <c r="V681" s="232"/>
      <c r="W681" s="235"/>
    </row>
    <row r="682" spans="5:23" ht="12.75">
      <c r="E682" s="374"/>
      <c r="F682" s="239"/>
      <c r="G682" s="240"/>
      <c r="H682" s="224" t="str">
        <f t="shared" si="39"/>
        <v>ACES</v>
      </c>
      <c r="I682" s="225" t="str">
        <f t="shared" si="39"/>
        <v/>
      </c>
      <c r="J682" s="225" t="str">
        <f t="shared" si="39"/>
        <v/>
      </c>
      <c r="K682" s="241" t="str">
        <f t="shared" si="38"/>
        <v>ETF-成長股</v>
      </c>
      <c r="L682" s="228"/>
      <c r="M682" s="229"/>
      <c r="N682" s="228"/>
      <c r="O682" s="228"/>
      <c r="P682" s="228"/>
      <c r="Q682" s="228"/>
      <c r="R682" s="231"/>
      <c r="S682" s="232"/>
      <c r="T682" s="233"/>
      <c r="U682" s="234"/>
      <c r="V682" s="232"/>
      <c r="W682" s="235"/>
    </row>
    <row r="683" spans="5:23" ht="12.75">
      <c r="E683" s="374"/>
      <c r="F683" s="239"/>
      <c r="G683" s="240"/>
      <c r="H683" s="224" t="str">
        <f t="shared" si="39"/>
        <v>PLTR</v>
      </c>
      <c r="I683" s="225" t="str">
        <f t="shared" si="39"/>
        <v/>
      </c>
      <c r="J683" s="225" t="str">
        <f t="shared" si="39"/>
        <v>商業物聯網</v>
      </c>
      <c r="K683" s="241" t="str">
        <f t="shared" si="38"/>
        <v>ARK</v>
      </c>
      <c r="L683" s="228">
        <v>0.47249999999999998</v>
      </c>
      <c r="M683" s="229">
        <v>0</v>
      </c>
      <c r="N683" s="228">
        <v>1.3032999999999999</v>
      </c>
      <c r="O683" s="228">
        <v>0.30780000000000002</v>
      </c>
      <c r="P683" s="228">
        <v>1.7368999999999999</v>
      </c>
      <c r="Q683" s="228">
        <v>0.41389999999999999</v>
      </c>
      <c r="R683" s="231">
        <v>0</v>
      </c>
      <c r="S683" s="232">
        <v>0</v>
      </c>
      <c r="T683" s="233">
        <v>0</v>
      </c>
      <c r="U683" s="234">
        <v>0</v>
      </c>
      <c r="V683" s="232">
        <v>0</v>
      </c>
      <c r="W683" s="235">
        <v>0</v>
      </c>
    </row>
    <row r="684" spans="5:23" ht="12.75">
      <c r="E684" s="374"/>
      <c r="F684" s="239"/>
      <c r="G684" s="240"/>
      <c r="H684" s="224" t="str">
        <f t="shared" si="39"/>
        <v>SONO</v>
      </c>
      <c r="I684" s="225" t="str">
        <f t="shared" si="39"/>
        <v/>
      </c>
      <c r="J684" s="225" t="str">
        <f t="shared" si="39"/>
        <v/>
      </c>
      <c r="K684" s="241" t="str">
        <f t="shared" si="38"/>
        <v>Jason</v>
      </c>
      <c r="L684" s="228">
        <v>0.4718</v>
      </c>
      <c r="M684" s="229">
        <v>0</v>
      </c>
      <c r="N684" s="228">
        <v>0.88070000000000004</v>
      </c>
      <c r="O684" s="228">
        <v>0.27050000000000002</v>
      </c>
      <c r="P684" s="228">
        <v>0.8751000000000001</v>
      </c>
      <c r="Q684" s="228">
        <v>0.39250000000000002</v>
      </c>
      <c r="R684" s="231">
        <v>0</v>
      </c>
      <c r="S684" s="232">
        <v>0</v>
      </c>
      <c r="T684" s="233">
        <v>0</v>
      </c>
      <c r="U684" s="234">
        <v>0</v>
      </c>
      <c r="V684" s="232">
        <v>0</v>
      </c>
      <c r="W684" s="235">
        <v>0</v>
      </c>
    </row>
    <row r="685" spans="5:23" ht="12.75">
      <c r="E685" s="374"/>
      <c r="F685" s="239"/>
      <c r="G685" s="240"/>
      <c r="H685" s="224" t="str">
        <f t="shared" si="39"/>
        <v>ADBE</v>
      </c>
      <c r="I685" s="225" t="str">
        <f t="shared" si="39"/>
        <v/>
      </c>
      <c r="J685" s="225" t="str">
        <f t="shared" si="39"/>
        <v/>
      </c>
      <c r="K685" s="241" t="str">
        <f t="shared" si="38"/>
        <v>JIT</v>
      </c>
      <c r="L685" s="228"/>
      <c r="M685" s="229"/>
      <c r="N685" s="228"/>
      <c r="O685" s="228"/>
      <c r="P685" s="228"/>
      <c r="Q685" s="228"/>
      <c r="R685" s="231"/>
      <c r="S685" s="232"/>
      <c r="T685" s="233"/>
      <c r="U685" s="234"/>
      <c r="V685" s="232"/>
      <c r="W685" s="235"/>
    </row>
    <row r="686" spans="5:23" ht="12.75">
      <c r="E686" s="374"/>
      <c r="F686" s="239"/>
      <c r="G686" s="240"/>
      <c r="H686" s="224" t="str">
        <f>IF(A169="","",A169)</f>
        <v>NVDA</v>
      </c>
      <c r="I686" s="225" t="str">
        <f t="shared" si="39"/>
        <v/>
      </c>
      <c r="J686" s="225" t="str">
        <f t="shared" si="39"/>
        <v/>
      </c>
      <c r="K686" s="241" t="str">
        <f t="shared" si="38"/>
        <v>JIT</v>
      </c>
      <c r="L686" s="228"/>
      <c r="M686" s="229"/>
      <c r="N686" s="228"/>
      <c r="O686" s="228"/>
      <c r="P686" s="228"/>
      <c r="Q686" s="228"/>
      <c r="R686" s="231"/>
      <c r="S686" s="232"/>
      <c r="T686" s="233"/>
      <c r="U686" s="234"/>
      <c r="V686" s="232"/>
      <c r="W686" s="235"/>
    </row>
    <row r="687" spans="5:23" ht="12.75">
      <c r="E687" s="374"/>
      <c r="F687" s="239"/>
      <c r="G687" s="240"/>
      <c r="H687" s="224" t="str">
        <f t="shared" si="39"/>
        <v>WDC</v>
      </c>
      <c r="I687" s="225" t="str">
        <f t="shared" si="39"/>
        <v/>
      </c>
      <c r="J687" s="225" t="str">
        <f t="shared" si="39"/>
        <v/>
      </c>
      <c r="K687" s="241" t="str">
        <f t="shared" si="38"/>
        <v>JIT</v>
      </c>
      <c r="L687" s="228"/>
      <c r="M687" s="229"/>
      <c r="N687" s="228"/>
      <c r="O687" s="228"/>
      <c r="P687" s="228"/>
      <c r="Q687" s="228"/>
      <c r="R687" s="231"/>
      <c r="S687" s="232"/>
      <c r="T687" s="233"/>
      <c r="U687" s="234"/>
      <c r="V687" s="232"/>
      <c r="W687" s="235"/>
    </row>
    <row r="688" spans="5:23" ht="12.75">
      <c r="E688" s="374"/>
      <c r="F688" s="239"/>
      <c r="G688" s="240"/>
      <c r="H688" s="224" t="str">
        <f t="shared" si="39"/>
        <v>SEDG</v>
      </c>
      <c r="I688" s="225" t="str">
        <f t="shared" si="39"/>
        <v/>
      </c>
      <c r="J688" s="225" t="str">
        <f t="shared" si="39"/>
        <v/>
      </c>
      <c r="K688" s="241" t="str">
        <f t="shared" si="38"/>
        <v>JIT</v>
      </c>
      <c r="L688" s="228">
        <v>0.65600000000000003</v>
      </c>
      <c r="M688" s="229">
        <v>259.33</v>
      </c>
      <c r="N688" s="228">
        <v>1.1112</v>
      </c>
      <c r="O688" s="228">
        <v>0.38740000000000002</v>
      </c>
      <c r="P688" s="228">
        <v>0.91500000000000004</v>
      </c>
      <c r="Q688" s="228">
        <v>0.45990000000000003</v>
      </c>
      <c r="R688" s="231">
        <v>0</v>
      </c>
      <c r="S688" s="232">
        <v>0</v>
      </c>
      <c r="T688" s="233">
        <v>0</v>
      </c>
      <c r="U688" s="234">
        <v>0</v>
      </c>
      <c r="V688" s="232">
        <v>0</v>
      </c>
      <c r="W688" s="235">
        <v>0</v>
      </c>
    </row>
    <row r="689" spans="5:23" ht="12.75">
      <c r="E689" s="374"/>
      <c r="F689" s="239"/>
      <c r="G689" s="240"/>
      <c r="H689" s="224" t="str">
        <f t="shared" si="39"/>
        <v>CSCO</v>
      </c>
      <c r="I689" s="225" t="str">
        <f t="shared" si="39"/>
        <v/>
      </c>
      <c r="J689" s="225" t="str">
        <f t="shared" si="39"/>
        <v/>
      </c>
      <c r="K689" s="241" t="str">
        <f t="shared" si="38"/>
        <v>JIT</v>
      </c>
      <c r="L689" s="228"/>
      <c r="M689" s="229"/>
      <c r="N689" s="228"/>
      <c r="O689" s="228"/>
      <c r="P689" s="228"/>
      <c r="Q689" s="228"/>
      <c r="R689" s="231"/>
      <c r="S689" s="232"/>
      <c r="T689" s="233"/>
      <c r="U689" s="234"/>
      <c r="V689" s="232"/>
      <c r="W689" s="235"/>
    </row>
    <row r="690" spans="5:23" ht="12.75">
      <c r="E690" s="374"/>
      <c r="F690" s="239"/>
      <c r="G690" s="240"/>
      <c r="H690" s="224" t="str">
        <f t="shared" si="39"/>
        <v>PFE</v>
      </c>
      <c r="I690" s="225" t="str">
        <f t="shared" si="39"/>
        <v/>
      </c>
      <c r="J690" s="225" t="str">
        <f t="shared" si="39"/>
        <v/>
      </c>
      <c r="K690" s="241" t="str">
        <f t="shared" si="38"/>
        <v>JIT</v>
      </c>
      <c r="L690" s="228"/>
      <c r="M690" s="229"/>
      <c r="N690" s="228"/>
      <c r="O690" s="228"/>
      <c r="P690" s="228"/>
      <c r="Q690" s="228"/>
      <c r="R690" s="231"/>
      <c r="S690" s="232"/>
      <c r="T690" s="233"/>
      <c r="U690" s="234"/>
      <c r="V690" s="232"/>
      <c r="W690" s="235"/>
    </row>
    <row r="691" spans="5:23" ht="12.75">
      <c r="E691" s="374"/>
      <c r="F691" s="239"/>
      <c r="G691" s="240"/>
      <c r="H691" s="224" t="str">
        <f t="shared" si="39"/>
        <v>NEO</v>
      </c>
      <c r="I691" s="225" t="str">
        <f t="shared" si="39"/>
        <v/>
      </c>
      <c r="J691" s="225" t="str">
        <f t="shared" si="39"/>
        <v/>
      </c>
      <c r="K691" s="241" t="str">
        <f t="shared" si="38"/>
        <v>JIT</v>
      </c>
      <c r="L691" s="228">
        <v>0.45050000000000001</v>
      </c>
      <c r="M691" s="229">
        <v>46.26</v>
      </c>
      <c r="N691" s="228">
        <v>0.6472</v>
      </c>
      <c r="O691" s="228">
        <v>0.18329999999999999</v>
      </c>
      <c r="P691" s="228">
        <v>0.66720000000000002</v>
      </c>
      <c r="Q691" s="228">
        <v>0.38829999999999998</v>
      </c>
      <c r="R691" s="231">
        <v>0</v>
      </c>
      <c r="S691" s="232">
        <v>0</v>
      </c>
      <c r="T691" s="233">
        <v>0</v>
      </c>
      <c r="U691" s="234">
        <v>0</v>
      </c>
      <c r="V691" s="232">
        <v>0</v>
      </c>
      <c r="W691" s="235">
        <v>0</v>
      </c>
    </row>
    <row r="692" spans="5:23" ht="12.75">
      <c r="E692" s="374"/>
      <c r="F692" s="239"/>
      <c r="G692" s="240"/>
      <c r="H692" s="224" t="str">
        <f>IF(A175="","",A175)</f>
        <v>INTC</v>
      </c>
      <c r="I692" s="225" t="str">
        <f t="shared" si="39"/>
        <v/>
      </c>
      <c r="J692" s="225" t="str">
        <f t="shared" si="39"/>
        <v/>
      </c>
      <c r="K692" s="241" t="str">
        <f t="shared" si="38"/>
        <v>JIT</v>
      </c>
      <c r="L692" s="228"/>
      <c r="M692" s="229"/>
      <c r="N692" s="228"/>
      <c r="O692" s="228"/>
      <c r="P692" s="228"/>
      <c r="Q692" s="228"/>
      <c r="R692" s="231"/>
      <c r="S692" s="232"/>
      <c r="T692" s="233"/>
      <c r="U692" s="234"/>
      <c r="V692" s="232"/>
      <c r="W692" s="235"/>
    </row>
    <row r="693" spans="5:23" ht="12.75">
      <c r="E693" s="374"/>
      <c r="F693" s="239"/>
      <c r="G693" s="240"/>
      <c r="H693" s="224" t="str">
        <f t="shared" si="39"/>
        <v>VZ</v>
      </c>
      <c r="I693" s="225" t="str">
        <f t="shared" si="39"/>
        <v/>
      </c>
      <c r="J693" s="225" t="str">
        <f t="shared" si="39"/>
        <v/>
      </c>
      <c r="K693" s="241" t="str">
        <f t="shared" si="38"/>
        <v>JIT</v>
      </c>
      <c r="L693" s="228"/>
      <c r="M693" s="229"/>
      <c r="N693" s="228"/>
      <c r="O693" s="228"/>
      <c r="P693" s="228"/>
      <c r="Q693" s="228"/>
      <c r="R693" s="231"/>
      <c r="S693" s="232"/>
      <c r="T693" s="233"/>
      <c r="U693" s="234"/>
      <c r="V693" s="232"/>
      <c r="W693" s="235"/>
    </row>
    <row r="694" spans="5:23" ht="12.75">
      <c r="E694" s="374"/>
      <c r="F694" s="239"/>
      <c r="G694" s="240"/>
      <c r="H694" s="224" t="str">
        <f t="shared" si="39"/>
        <v>APAM</v>
      </c>
      <c r="I694" s="225" t="str">
        <f t="shared" si="39"/>
        <v/>
      </c>
      <c r="J694" s="225" t="str">
        <f t="shared" si="39"/>
        <v/>
      </c>
      <c r="K694" s="241" t="str">
        <f t="shared" si="38"/>
        <v>JIT</v>
      </c>
      <c r="L694" s="228">
        <v>0.37319999999999998</v>
      </c>
      <c r="M694" s="229">
        <v>48.79</v>
      </c>
      <c r="N694" s="228">
        <v>0.51590000000000003</v>
      </c>
      <c r="O694" s="228">
        <v>0.26850000000000002</v>
      </c>
      <c r="P694" s="228">
        <v>0.60670000000000002</v>
      </c>
      <c r="Q694" s="228">
        <v>0.2404</v>
      </c>
      <c r="R694" s="231">
        <v>44329</v>
      </c>
      <c r="S694" s="232">
        <v>51.009998321533203</v>
      </c>
      <c r="T694" s="233">
        <v>0.88</v>
      </c>
      <c r="U694" s="234">
        <v>42597</v>
      </c>
      <c r="V694" s="232">
        <v>16.9306316375732</v>
      </c>
      <c r="W694" s="235">
        <v>0.6</v>
      </c>
    </row>
    <row r="695" spans="5:23" ht="12.75">
      <c r="E695" s="374"/>
      <c r="F695" s="239"/>
      <c r="G695" s="240"/>
      <c r="H695" s="224" t="str">
        <f t="shared" si="39"/>
        <v>PINS</v>
      </c>
      <c r="I695" s="225" t="str">
        <f t="shared" si="39"/>
        <v/>
      </c>
      <c r="J695" s="225" t="str">
        <f t="shared" si="39"/>
        <v/>
      </c>
      <c r="K695" s="241" t="str">
        <f t="shared" si="38"/>
        <v>ERIC</v>
      </c>
      <c r="L695" s="228"/>
      <c r="M695" s="229"/>
      <c r="N695" s="228"/>
      <c r="O695" s="228"/>
      <c r="P695" s="228"/>
      <c r="Q695" s="228"/>
      <c r="R695" s="231"/>
      <c r="S695" s="232"/>
      <c r="T695" s="233"/>
      <c r="U695" s="234"/>
      <c r="V695" s="232"/>
      <c r="W695" s="235"/>
    </row>
    <row r="696" spans="5:23" ht="12.75">
      <c r="E696" s="374"/>
      <c r="F696" s="239"/>
      <c r="G696" s="240"/>
      <c r="H696" s="224" t="str">
        <f t="shared" si="39"/>
        <v>MU</v>
      </c>
      <c r="I696" s="225" t="str">
        <f t="shared" si="39"/>
        <v/>
      </c>
      <c r="J696" s="225" t="str">
        <f t="shared" si="39"/>
        <v/>
      </c>
      <c r="K696" s="241" t="str">
        <f t="shared" si="38"/>
        <v>ERIC</v>
      </c>
      <c r="L696" s="228"/>
      <c r="M696" s="229"/>
      <c r="N696" s="228"/>
      <c r="O696" s="228"/>
      <c r="P696" s="228"/>
      <c r="Q696" s="228"/>
      <c r="R696" s="231"/>
      <c r="S696" s="232"/>
      <c r="T696" s="233"/>
      <c r="U696" s="234"/>
      <c r="V696" s="232"/>
      <c r="W696" s="235"/>
    </row>
    <row r="697" spans="5:23" ht="12.75">
      <c r="E697" s="374"/>
      <c r="F697" s="239"/>
      <c r="G697" s="240"/>
      <c r="H697" s="224" t="str">
        <f t="shared" si="39"/>
        <v>MO</v>
      </c>
      <c r="I697" s="225" t="str">
        <f t="shared" si="39"/>
        <v/>
      </c>
      <c r="J697" s="225" t="str">
        <f t="shared" si="39"/>
        <v/>
      </c>
      <c r="K697" s="241" t="str">
        <f t="shared" si="38"/>
        <v>ERIC</v>
      </c>
      <c r="L697" s="228"/>
      <c r="M697" s="229"/>
      <c r="N697" s="228"/>
      <c r="O697" s="228"/>
      <c r="P697" s="228"/>
      <c r="Q697" s="228"/>
      <c r="R697" s="231"/>
      <c r="S697" s="232"/>
      <c r="T697" s="233"/>
      <c r="U697" s="234"/>
      <c r="V697" s="232"/>
      <c r="W697" s="235"/>
    </row>
    <row r="698" spans="5:23" ht="12.75">
      <c r="E698" s="374"/>
      <c r="F698" s="239"/>
      <c r="G698" s="240"/>
      <c r="H698" s="224" t="str">
        <f t="shared" si="39"/>
        <v>DOCU</v>
      </c>
      <c r="I698" s="225" t="str">
        <f t="shared" si="39"/>
        <v/>
      </c>
      <c r="J698" s="225" t="str">
        <f t="shared" si="39"/>
        <v/>
      </c>
      <c r="K698" s="241" t="str">
        <f t="shared" si="38"/>
        <v>ERIC</v>
      </c>
      <c r="L698" s="228"/>
      <c r="M698" s="229"/>
      <c r="N698" s="228"/>
      <c r="O698" s="228"/>
      <c r="P698" s="228"/>
      <c r="Q698" s="228"/>
      <c r="R698" s="231"/>
      <c r="S698" s="232"/>
      <c r="T698" s="233"/>
      <c r="U698" s="234"/>
      <c r="V698" s="232"/>
      <c r="W698" s="235"/>
    </row>
    <row r="699" spans="5:23" ht="12.75">
      <c r="E699" s="374"/>
      <c r="F699" s="239"/>
      <c r="G699" s="240"/>
      <c r="H699" s="224" t="str">
        <f t="shared" si="39"/>
        <v>CL</v>
      </c>
      <c r="I699" s="225" t="str">
        <f t="shared" si="39"/>
        <v/>
      </c>
      <c r="J699" s="225" t="str">
        <f t="shared" si="39"/>
        <v/>
      </c>
      <c r="K699" s="241" t="str">
        <f t="shared" si="38"/>
        <v>ERIC</v>
      </c>
      <c r="L699" s="228"/>
      <c r="M699" s="229"/>
      <c r="N699" s="228"/>
      <c r="O699" s="228"/>
      <c r="P699" s="228"/>
      <c r="Q699" s="228"/>
      <c r="R699" s="231"/>
      <c r="S699" s="232"/>
      <c r="T699" s="233"/>
      <c r="U699" s="234"/>
      <c r="V699" s="232"/>
      <c r="W699" s="235"/>
    </row>
    <row r="700" spans="5:23" ht="12.75">
      <c r="E700" s="374"/>
      <c r="F700" s="239"/>
      <c r="G700" s="240"/>
      <c r="H700" s="224" t="str">
        <f>IF(A183="","",A183)</f>
        <v>AKTS</v>
      </c>
      <c r="I700" s="225" t="str">
        <f t="shared" si="39"/>
        <v/>
      </c>
      <c r="J700" s="225" t="str">
        <f t="shared" si="39"/>
        <v/>
      </c>
      <c r="K700" s="241" t="str">
        <f t="shared" si="38"/>
        <v>ERIC</v>
      </c>
      <c r="L700" s="228"/>
      <c r="M700" s="229"/>
      <c r="N700" s="228"/>
      <c r="O700" s="228"/>
      <c r="P700" s="228"/>
      <c r="Q700" s="228"/>
      <c r="R700" s="231"/>
      <c r="S700" s="232"/>
      <c r="T700" s="233"/>
      <c r="U700" s="234"/>
      <c r="V700" s="232"/>
      <c r="W700" s="235"/>
    </row>
    <row r="701" spans="5:23" ht="12.75">
      <c r="E701" s="374"/>
      <c r="F701" s="239"/>
      <c r="G701" s="240"/>
      <c r="H701" s="224" t="str">
        <f>IF(A184="","",A184)</f>
        <v>TWTR</v>
      </c>
      <c r="I701" s="225" t="str">
        <f t="shared" si="39"/>
        <v/>
      </c>
      <c r="J701" s="225" t="str">
        <f t="shared" si="39"/>
        <v/>
      </c>
      <c r="K701" s="241" t="str">
        <f t="shared" si="38"/>
        <v>ERIC</v>
      </c>
      <c r="L701" s="228"/>
      <c r="M701" s="229"/>
      <c r="N701" s="228"/>
      <c r="O701" s="228"/>
      <c r="P701" s="228"/>
      <c r="Q701" s="228"/>
      <c r="R701" s="231"/>
      <c r="S701" s="232"/>
      <c r="T701" s="233"/>
      <c r="U701" s="234"/>
      <c r="V701" s="232"/>
      <c r="W701" s="235"/>
    </row>
    <row r="702" spans="5:23" ht="12.75">
      <c r="E702" s="374"/>
      <c r="F702" s="239"/>
      <c r="G702" s="240"/>
      <c r="H702" s="224" t="str">
        <f t="shared" si="39"/>
        <v>TGT</v>
      </c>
      <c r="I702" s="225" t="str">
        <f t="shared" si="39"/>
        <v/>
      </c>
      <c r="J702" s="225" t="str">
        <f t="shared" si="39"/>
        <v/>
      </c>
      <c r="K702" s="241" t="str">
        <f t="shared" si="38"/>
        <v>ERIC</v>
      </c>
      <c r="L702" s="228"/>
      <c r="M702" s="229"/>
      <c r="N702" s="228"/>
      <c r="O702" s="228"/>
      <c r="P702" s="228"/>
      <c r="Q702" s="228"/>
      <c r="R702" s="231"/>
      <c r="S702" s="232"/>
      <c r="T702" s="233"/>
      <c r="U702" s="234"/>
      <c r="V702" s="232"/>
      <c r="W702" s="235"/>
    </row>
    <row r="703" spans="5:23" ht="12.75">
      <c r="E703" s="374"/>
      <c r="F703" s="239"/>
      <c r="G703" s="240"/>
      <c r="H703" s="224" t="str">
        <f t="shared" si="39"/>
        <v>ORCL</v>
      </c>
      <c r="I703" s="225" t="str">
        <f t="shared" si="39"/>
        <v/>
      </c>
      <c r="J703" s="225" t="str">
        <f t="shared" si="39"/>
        <v/>
      </c>
      <c r="K703" s="241" t="str">
        <f t="shared" si="38"/>
        <v>ERIC</v>
      </c>
      <c r="L703" s="228"/>
      <c r="M703" s="229"/>
      <c r="N703" s="228"/>
      <c r="O703" s="228"/>
      <c r="P703" s="228"/>
      <c r="Q703" s="228"/>
      <c r="R703" s="231"/>
      <c r="S703" s="232"/>
      <c r="T703" s="233"/>
      <c r="U703" s="234"/>
      <c r="V703" s="232"/>
      <c r="W703" s="235"/>
    </row>
    <row r="704" spans="5:23" ht="12.75">
      <c r="E704" s="374"/>
      <c r="F704" s="239"/>
      <c r="G704" s="240"/>
      <c r="H704" s="224" t="str">
        <f t="shared" si="39"/>
        <v>NEM</v>
      </c>
      <c r="I704" s="225" t="str">
        <f t="shared" si="39"/>
        <v/>
      </c>
      <c r="J704" s="225" t="str">
        <f t="shared" si="39"/>
        <v/>
      </c>
      <c r="K704" s="241" t="str">
        <f t="shared" si="38"/>
        <v>ERIC</v>
      </c>
      <c r="L704" s="228"/>
      <c r="M704" s="229"/>
      <c r="N704" s="228"/>
      <c r="O704" s="228"/>
      <c r="P704" s="228"/>
      <c r="Q704" s="228"/>
      <c r="R704" s="231"/>
      <c r="S704" s="232"/>
      <c r="T704" s="233"/>
      <c r="U704" s="234"/>
      <c r="V704" s="232"/>
      <c r="W704" s="235"/>
    </row>
    <row r="705" spans="5:23" ht="12.75">
      <c r="E705" s="374"/>
      <c r="F705" s="239"/>
      <c r="G705" s="240"/>
      <c r="H705" s="224" t="str">
        <f t="shared" si="39"/>
        <v>NEE</v>
      </c>
      <c r="I705" s="225" t="str">
        <f t="shared" si="39"/>
        <v/>
      </c>
      <c r="J705" s="225" t="str">
        <f t="shared" si="39"/>
        <v/>
      </c>
      <c r="K705" s="241" t="str">
        <f t="shared" si="38"/>
        <v>ERIC</v>
      </c>
      <c r="L705" s="228"/>
      <c r="M705" s="229"/>
      <c r="N705" s="228"/>
      <c r="O705" s="228"/>
      <c r="P705" s="228"/>
      <c r="Q705" s="228"/>
      <c r="R705" s="231"/>
      <c r="S705" s="232"/>
      <c r="T705" s="233"/>
      <c r="U705" s="234"/>
      <c r="V705" s="232"/>
      <c r="W705" s="235"/>
    </row>
    <row r="706" spans="5:23" ht="12.75">
      <c r="E706" s="374"/>
      <c r="F706" s="239"/>
      <c r="G706" s="240"/>
      <c r="H706" s="224" t="str">
        <f t="shared" si="39"/>
        <v>QCOM</v>
      </c>
      <c r="I706" s="225" t="str">
        <f t="shared" si="39"/>
        <v/>
      </c>
      <c r="J706" s="225" t="str">
        <f t="shared" si="39"/>
        <v/>
      </c>
      <c r="K706" s="241" t="str">
        <f t="shared" si="38"/>
        <v>Jason</v>
      </c>
      <c r="L706" s="228"/>
      <c r="M706" s="229"/>
      <c r="N706" s="228"/>
      <c r="O706" s="228"/>
      <c r="P706" s="228"/>
      <c r="Q706" s="228"/>
      <c r="R706" s="231"/>
      <c r="S706" s="232"/>
      <c r="T706" s="233"/>
      <c r="U706" s="234"/>
      <c r="V706" s="232"/>
      <c r="W706" s="235"/>
    </row>
    <row r="707" spans="5:23" ht="12.75">
      <c r="E707" s="374"/>
      <c r="F707" s="239"/>
      <c r="G707" s="240"/>
      <c r="H707" s="224" t="str">
        <f t="shared" si="39"/>
        <v>ASML</v>
      </c>
      <c r="I707" s="225" t="str">
        <f t="shared" si="39"/>
        <v/>
      </c>
      <c r="J707" s="225" t="str">
        <f t="shared" si="39"/>
        <v/>
      </c>
      <c r="K707" s="241" t="str">
        <f t="shared" si="38"/>
        <v>乘風破浪</v>
      </c>
      <c r="L707" s="228">
        <v>0.28710000000000002</v>
      </c>
      <c r="M707" s="229">
        <v>773.06</v>
      </c>
      <c r="N707" s="228">
        <v>0.57979999999999998</v>
      </c>
      <c r="O707" s="228">
        <v>0.2218</v>
      </c>
      <c r="P707" s="228">
        <v>0.46110000000000001</v>
      </c>
      <c r="Q707" s="228">
        <v>0.25590000000000002</v>
      </c>
      <c r="R707" s="231">
        <v>44319</v>
      </c>
      <c r="S707" s="232">
        <v>654.42999267578102</v>
      </c>
      <c r="T707" s="233">
        <v>1.8859999999999999</v>
      </c>
      <c r="U707" s="234">
        <v>42853</v>
      </c>
      <c r="V707" s="232">
        <v>127.108116149902</v>
      </c>
      <c r="W707" s="235">
        <v>1.3069999999999999</v>
      </c>
    </row>
    <row r="708" spans="5:23" ht="12.75">
      <c r="E708" s="374"/>
      <c r="F708" s="239"/>
      <c r="G708" s="240"/>
      <c r="H708" s="224" t="str">
        <f t="shared" si="39"/>
        <v>UPS</v>
      </c>
      <c r="I708" s="225" t="str">
        <f t="shared" si="39"/>
        <v/>
      </c>
      <c r="J708" s="225" t="str">
        <f t="shared" si="39"/>
        <v/>
      </c>
      <c r="K708" s="241" t="str">
        <f t="shared" si="38"/>
        <v>乘風破浪</v>
      </c>
      <c r="L708" s="228"/>
      <c r="M708" s="229"/>
      <c r="N708" s="228"/>
      <c r="O708" s="228"/>
      <c r="P708" s="228"/>
      <c r="Q708" s="228"/>
      <c r="R708" s="231"/>
      <c r="S708" s="232"/>
      <c r="T708" s="233"/>
      <c r="U708" s="234"/>
      <c r="V708" s="232"/>
      <c r="W708" s="235"/>
    </row>
    <row r="709" spans="5:23" ht="12.75">
      <c r="E709" s="374"/>
      <c r="F709" s="239"/>
      <c r="G709" s="240"/>
      <c r="H709" s="224" t="str">
        <f t="shared" si="39"/>
        <v>NOVN</v>
      </c>
      <c r="I709" s="225" t="str">
        <f t="shared" si="39"/>
        <v/>
      </c>
      <c r="J709" s="225" t="str">
        <f t="shared" si="39"/>
        <v/>
      </c>
      <c r="K709" s="241" t="str">
        <f t="shared" si="38"/>
        <v>展</v>
      </c>
      <c r="L709" s="228">
        <v>0.97260000000000002</v>
      </c>
      <c r="M709" s="229">
        <v>8.4499999999999993</v>
      </c>
      <c r="N709" s="228">
        <v>2.4390000000000001</v>
      </c>
      <c r="O709" s="228">
        <v>0.48180000000000001</v>
      </c>
      <c r="P709" s="228">
        <v>1.4394999999999998</v>
      </c>
      <c r="Q709" s="228">
        <v>0.97260000000000002</v>
      </c>
      <c r="R709" s="231">
        <v>44342</v>
      </c>
      <c r="S709" s="232">
        <v>9.1899995803833008</v>
      </c>
      <c r="T709" s="233">
        <v>0</v>
      </c>
      <c r="U709" s="234">
        <v>44342</v>
      </c>
      <c r="V709" s="232">
        <v>9.1899995803833008</v>
      </c>
      <c r="W709" s="235">
        <v>0</v>
      </c>
    </row>
    <row r="710" spans="5:23" ht="12.75">
      <c r="E710" s="374"/>
      <c r="F710" s="239"/>
      <c r="G710" s="240"/>
      <c r="H710" s="224" t="str">
        <f t="shared" si="39"/>
        <v>CHEK</v>
      </c>
      <c r="I710" s="225" t="str">
        <f t="shared" si="39"/>
        <v/>
      </c>
      <c r="J710" s="225" t="str">
        <f t="shared" si="39"/>
        <v/>
      </c>
      <c r="K710" s="241" t="str">
        <f t="shared" si="38"/>
        <v>展</v>
      </c>
      <c r="L710" s="228"/>
      <c r="M710" s="229"/>
      <c r="N710" s="228"/>
      <c r="O710" s="228"/>
      <c r="P710" s="228"/>
      <c r="Q710" s="228"/>
      <c r="R710" s="231"/>
      <c r="S710" s="232"/>
      <c r="T710" s="233"/>
      <c r="U710" s="234"/>
      <c r="V710" s="232"/>
      <c r="W710" s="235"/>
    </row>
    <row r="711" spans="5:23" ht="12.75">
      <c r="E711" s="374"/>
      <c r="F711" s="239"/>
      <c r="G711" s="240"/>
      <c r="H711" s="224" t="str">
        <f t="shared" si="39"/>
        <v>NSPR</v>
      </c>
      <c r="I711" s="225" t="str">
        <f t="shared" si="39"/>
        <v/>
      </c>
      <c r="J711" s="225" t="str">
        <f t="shared" si="39"/>
        <v/>
      </c>
      <c r="K711" s="241" t="str">
        <f t="shared" si="38"/>
        <v>展</v>
      </c>
      <c r="L711" s="228">
        <v>1.8871</v>
      </c>
      <c r="M711" s="229">
        <v>4.6900000000000004</v>
      </c>
      <c r="N711" s="228">
        <v>7.827</v>
      </c>
      <c r="O711" s="228">
        <v>0.45600000000000002</v>
      </c>
      <c r="P711" s="228">
        <v>1.8871</v>
      </c>
      <c r="Q711" s="228">
        <v>0.93889999999999996</v>
      </c>
      <c r="R711" s="231">
        <v>44313</v>
      </c>
      <c r="S711" s="232">
        <v>6.92000007629394</v>
      </c>
      <c r="T711" s="233">
        <v>0</v>
      </c>
      <c r="U711" s="234">
        <v>42653</v>
      </c>
      <c r="V711" s="232">
        <v>1665</v>
      </c>
      <c r="W711" s="235">
        <v>0</v>
      </c>
    </row>
    <row r="712" spans="5:23" ht="12.75">
      <c r="E712" s="374"/>
      <c r="F712" s="239"/>
      <c r="G712" s="240"/>
      <c r="H712" s="224" t="str">
        <f t="shared" si="39"/>
        <v>SABR</v>
      </c>
      <c r="I712" s="225" t="str">
        <f t="shared" si="39"/>
        <v/>
      </c>
      <c r="J712" s="225" t="str">
        <f t="shared" si="39"/>
        <v/>
      </c>
      <c r="K712" s="241" t="str">
        <f t="shared" si="38"/>
        <v>ARK</v>
      </c>
      <c r="L712" s="228">
        <v>0.49199999999999999</v>
      </c>
      <c r="M712" s="229">
        <v>11.22</v>
      </c>
      <c r="N712" s="228">
        <v>1.2858000000000001</v>
      </c>
      <c r="O712" s="228">
        <v>0.39090000000000003</v>
      </c>
      <c r="P712" s="228">
        <v>1.0744</v>
      </c>
      <c r="Q712" s="228">
        <v>0.44049999999999995</v>
      </c>
      <c r="R712" s="231">
        <v>43909</v>
      </c>
      <c r="S712" s="232">
        <v>3.8199999332427899</v>
      </c>
      <c r="T712" s="233">
        <v>0.14000000000000001</v>
      </c>
      <c r="U712" s="234">
        <v>42632</v>
      </c>
      <c r="V712" s="232">
        <v>24.158504486083899</v>
      </c>
      <c r="W712" s="235">
        <v>0.13</v>
      </c>
    </row>
    <row r="713" spans="5:23" ht="12.75">
      <c r="E713" s="374"/>
      <c r="F713" s="239"/>
      <c r="G713" s="240"/>
      <c r="H713" s="224" t="str">
        <f t="shared" si="39"/>
        <v>AVGO</v>
      </c>
      <c r="I713" s="225" t="str">
        <f t="shared" si="39"/>
        <v/>
      </c>
      <c r="J713" s="225" t="str">
        <f t="shared" si="39"/>
        <v/>
      </c>
      <c r="K713" s="241" t="str">
        <f t="shared" si="38"/>
        <v>乘風破浪</v>
      </c>
      <c r="L713" s="228"/>
      <c r="M713" s="229"/>
      <c r="N713" s="228"/>
      <c r="O713" s="228"/>
      <c r="P713" s="228"/>
      <c r="Q713" s="228"/>
      <c r="R713" s="231"/>
      <c r="S713" s="232"/>
      <c r="T713" s="233"/>
      <c r="U713" s="234"/>
      <c r="V713" s="232"/>
      <c r="W713" s="235"/>
    </row>
    <row r="714" spans="5:23" ht="12.75">
      <c r="E714" s="374"/>
      <c r="F714" s="239"/>
      <c r="G714" s="240"/>
      <c r="H714" s="224" t="str">
        <f t="shared" si="39"/>
        <v>QCIBX</v>
      </c>
      <c r="I714" s="225" t="str">
        <f t="shared" si="39"/>
        <v/>
      </c>
      <c r="J714" s="225" t="str">
        <f t="shared" si="39"/>
        <v/>
      </c>
      <c r="K714" s="241" t="str">
        <f t="shared" si="38"/>
        <v>打錯代碼</v>
      </c>
      <c r="L714" s="228"/>
      <c r="M714" s="229"/>
      <c r="N714" s="228"/>
      <c r="O714" s="228"/>
      <c r="P714" s="228"/>
      <c r="Q714" s="228"/>
      <c r="R714" s="231"/>
      <c r="S714" s="232"/>
      <c r="T714" s="233"/>
      <c r="U714" s="234"/>
      <c r="V714" s="232"/>
      <c r="W714" s="235"/>
    </row>
    <row r="715" spans="5:23" ht="12.75">
      <c r="E715" s="374"/>
      <c r="F715" s="239"/>
      <c r="G715" s="240"/>
      <c r="H715" s="224" t="str">
        <f t="shared" si="39"/>
        <v>U</v>
      </c>
      <c r="I715" s="225" t="str">
        <f t="shared" si="39"/>
        <v/>
      </c>
      <c r="J715" s="225" t="str">
        <f t="shared" si="39"/>
        <v/>
      </c>
      <c r="K715" s="241" t="str">
        <f t="shared" si="38"/>
        <v>Reina</v>
      </c>
      <c r="L715" s="228">
        <v>0.44779999999999998</v>
      </c>
      <c r="M715" s="229">
        <v>134.44</v>
      </c>
      <c r="N715" s="228">
        <v>1.0458000000000001</v>
      </c>
      <c r="O715" s="228">
        <v>0.3584</v>
      </c>
      <c r="P715" s="228">
        <v>1.2121999999999999</v>
      </c>
      <c r="Q715" s="228">
        <v>0.4229</v>
      </c>
      <c r="R715" s="231">
        <v>0</v>
      </c>
      <c r="S715" s="232">
        <v>0</v>
      </c>
      <c r="T715" s="233">
        <v>0</v>
      </c>
      <c r="U715" s="234">
        <v>0</v>
      </c>
      <c r="V715" s="232">
        <v>0</v>
      </c>
      <c r="W715" s="235">
        <v>0</v>
      </c>
    </row>
    <row r="716" spans="5:23" ht="12.75">
      <c r="E716" s="374"/>
      <c r="F716" s="239"/>
      <c r="G716" s="240"/>
      <c r="H716" s="224" t="str">
        <f t="shared" si="39"/>
        <v>FCEL</v>
      </c>
      <c r="I716" s="225" t="str">
        <f t="shared" si="39"/>
        <v/>
      </c>
      <c r="J716" s="225" t="str">
        <f t="shared" si="39"/>
        <v/>
      </c>
      <c r="K716" s="241" t="str">
        <f t="shared" si="38"/>
        <v/>
      </c>
      <c r="L716" s="228">
        <v>1.0114000000000001</v>
      </c>
      <c r="M716" s="229">
        <v>0</v>
      </c>
      <c r="N716" s="228">
        <v>2.0608</v>
      </c>
      <c r="O716" s="228">
        <v>0.45340000000000003</v>
      </c>
      <c r="P716" s="228">
        <v>1.6947999999999999</v>
      </c>
      <c r="Q716" s="228">
        <v>0.82090000000000007</v>
      </c>
      <c r="R716" s="231">
        <v>43594</v>
      </c>
      <c r="S716" s="232">
        <v>1.6399999856948799</v>
      </c>
      <c r="T716" s="233">
        <v>0</v>
      </c>
      <c r="U716" s="234">
        <v>43594</v>
      </c>
      <c r="V716" s="232">
        <v>1.6399999856948799</v>
      </c>
      <c r="W716" s="235">
        <v>0</v>
      </c>
    </row>
    <row r="717" spans="5:23" ht="12.75">
      <c r="E717" s="374"/>
      <c r="F717" s="239"/>
      <c r="G717" s="240"/>
      <c r="H717" s="224" t="str">
        <f t="shared" si="39"/>
        <v/>
      </c>
      <c r="I717" s="225" t="str">
        <f t="shared" si="39"/>
        <v/>
      </c>
      <c r="J717" s="225" t="str">
        <f t="shared" si="39"/>
        <v/>
      </c>
      <c r="K717" s="241" t="str">
        <f t="shared" si="38"/>
        <v/>
      </c>
      <c r="L717" s="228"/>
      <c r="M717" s="229"/>
      <c r="N717" s="228"/>
      <c r="O717" s="228"/>
      <c r="P717" s="228"/>
      <c r="Q717" s="228"/>
      <c r="R717" s="231"/>
      <c r="S717" s="232"/>
      <c r="T717" s="233"/>
      <c r="U717" s="234"/>
      <c r="V717" s="232"/>
      <c r="W717" s="235"/>
    </row>
    <row r="718" spans="5:23" ht="12.75">
      <c r="E718" s="374"/>
      <c r="F718" s="239"/>
      <c r="G718" s="240"/>
      <c r="H718" s="224" t="str">
        <f t="shared" si="39"/>
        <v/>
      </c>
      <c r="I718" s="225" t="str">
        <f t="shared" si="39"/>
        <v/>
      </c>
      <c r="J718" s="225" t="str">
        <f t="shared" si="39"/>
        <v/>
      </c>
      <c r="K718" s="241" t="str">
        <f t="shared" si="39"/>
        <v/>
      </c>
      <c r="L718" s="228"/>
      <c r="M718" s="229"/>
      <c r="N718" s="228"/>
      <c r="O718" s="228"/>
      <c r="P718" s="228"/>
      <c r="Q718" s="228"/>
      <c r="R718" s="231"/>
      <c r="S718" s="232"/>
      <c r="T718" s="233"/>
      <c r="U718" s="234"/>
      <c r="V718" s="232"/>
      <c r="W718" s="235"/>
    </row>
    <row r="719" spans="5:23" ht="12.75">
      <c r="E719" s="374"/>
      <c r="F719" s="239"/>
      <c r="G719" s="240"/>
      <c r="H719" s="224" t="str">
        <f t="shared" ref="H719:K782" si="40">IF(A202="","",A202)</f>
        <v/>
      </c>
      <c r="I719" s="225" t="str">
        <f t="shared" si="40"/>
        <v/>
      </c>
      <c r="J719" s="225" t="str">
        <f t="shared" si="40"/>
        <v/>
      </c>
      <c r="K719" s="241" t="str">
        <f t="shared" si="40"/>
        <v/>
      </c>
      <c r="L719" s="228"/>
      <c r="M719" s="229"/>
      <c r="N719" s="228"/>
      <c r="O719" s="228"/>
      <c r="P719" s="228"/>
      <c r="Q719" s="228"/>
      <c r="R719" s="231"/>
      <c r="S719" s="232"/>
      <c r="T719" s="233"/>
      <c r="U719" s="234"/>
      <c r="V719" s="232"/>
      <c r="W719" s="235"/>
    </row>
    <row r="720" spans="5:23" ht="12.75">
      <c r="E720" s="374"/>
      <c r="F720" s="239"/>
      <c r="G720" s="240"/>
      <c r="H720" s="224" t="str">
        <f t="shared" si="40"/>
        <v/>
      </c>
      <c r="I720" s="225" t="str">
        <f t="shared" si="40"/>
        <v/>
      </c>
      <c r="J720" s="225" t="str">
        <f t="shared" si="40"/>
        <v/>
      </c>
      <c r="K720" s="241" t="str">
        <f t="shared" si="40"/>
        <v/>
      </c>
      <c r="L720" s="228"/>
      <c r="M720" s="229"/>
      <c r="N720" s="228"/>
      <c r="O720" s="228"/>
      <c r="P720" s="228"/>
      <c r="Q720" s="228"/>
      <c r="R720" s="231"/>
      <c r="S720" s="232"/>
      <c r="T720" s="233"/>
      <c r="U720" s="234"/>
      <c r="V720" s="232"/>
      <c r="W720" s="235"/>
    </row>
    <row r="721" spans="5:23" ht="12.75">
      <c r="E721" s="374"/>
      <c r="F721" s="239"/>
      <c r="G721" s="240"/>
      <c r="H721" s="224" t="str">
        <f t="shared" si="40"/>
        <v/>
      </c>
      <c r="I721" s="225" t="str">
        <f t="shared" si="40"/>
        <v/>
      </c>
      <c r="J721" s="225" t="str">
        <f t="shared" si="40"/>
        <v/>
      </c>
      <c r="K721" s="241" t="str">
        <f t="shared" si="40"/>
        <v/>
      </c>
      <c r="L721" s="228"/>
      <c r="M721" s="229"/>
      <c r="N721" s="228"/>
      <c r="O721" s="228"/>
      <c r="P721" s="228"/>
      <c r="Q721" s="228"/>
      <c r="R721" s="231"/>
      <c r="S721" s="232"/>
      <c r="T721" s="233"/>
      <c r="U721" s="234"/>
      <c r="V721" s="232"/>
      <c r="W721" s="235"/>
    </row>
    <row r="722" spans="5:23" ht="12.75">
      <c r="E722" s="374"/>
      <c r="F722" s="239"/>
      <c r="G722" s="240"/>
      <c r="H722" s="224" t="str">
        <f t="shared" si="40"/>
        <v/>
      </c>
      <c r="I722" s="225" t="str">
        <f t="shared" si="40"/>
        <v/>
      </c>
      <c r="J722" s="225" t="str">
        <f t="shared" si="40"/>
        <v/>
      </c>
      <c r="K722" s="241" t="str">
        <f t="shared" si="40"/>
        <v/>
      </c>
      <c r="L722" s="228"/>
      <c r="M722" s="229"/>
      <c r="N722" s="228"/>
      <c r="O722" s="228"/>
      <c r="P722" s="228"/>
      <c r="Q722" s="228"/>
      <c r="R722" s="231"/>
      <c r="S722" s="232"/>
      <c r="T722" s="233"/>
      <c r="U722" s="234"/>
      <c r="V722" s="232"/>
      <c r="W722" s="235"/>
    </row>
    <row r="723" spans="5:23" ht="12.75">
      <c r="E723" s="374"/>
      <c r="F723" s="239"/>
      <c r="G723" s="240"/>
      <c r="H723" s="224" t="str">
        <f t="shared" si="40"/>
        <v/>
      </c>
      <c r="I723" s="225" t="str">
        <f t="shared" si="40"/>
        <v/>
      </c>
      <c r="J723" s="225" t="str">
        <f t="shared" si="40"/>
        <v/>
      </c>
      <c r="K723" s="241" t="str">
        <f t="shared" si="40"/>
        <v/>
      </c>
      <c r="L723" s="228"/>
      <c r="M723" s="229"/>
      <c r="N723" s="228"/>
      <c r="O723" s="228"/>
      <c r="P723" s="228"/>
      <c r="Q723" s="228"/>
      <c r="R723" s="231"/>
      <c r="S723" s="232"/>
      <c r="T723" s="233"/>
      <c r="U723" s="234"/>
      <c r="V723" s="232"/>
      <c r="W723" s="235"/>
    </row>
    <row r="724" spans="5:23" ht="12.75">
      <c r="E724" s="374"/>
      <c r="F724" s="239"/>
      <c r="G724" s="240"/>
      <c r="H724" s="224" t="str">
        <f t="shared" si="40"/>
        <v/>
      </c>
      <c r="I724" s="225" t="str">
        <f t="shared" si="40"/>
        <v/>
      </c>
      <c r="J724" s="225" t="str">
        <f t="shared" si="40"/>
        <v/>
      </c>
      <c r="K724" s="241" t="str">
        <f t="shared" si="40"/>
        <v/>
      </c>
      <c r="L724" s="228"/>
      <c r="M724" s="229"/>
      <c r="N724" s="228"/>
      <c r="O724" s="228"/>
      <c r="P724" s="228"/>
      <c r="Q724" s="228"/>
      <c r="R724" s="231"/>
      <c r="S724" s="232"/>
      <c r="T724" s="233"/>
      <c r="U724" s="234"/>
      <c r="V724" s="232"/>
      <c r="W724" s="235"/>
    </row>
    <row r="725" spans="5:23" ht="12.75">
      <c r="E725" s="374"/>
      <c r="F725" s="239"/>
      <c r="G725" s="240"/>
      <c r="H725" s="224" t="str">
        <f t="shared" si="40"/>
        <v/>
      </c>
      <c r="I725" s="225" t="str">
        <f t="shared" si="40"/>
        <v/>
      </c>
      <c r="J725" s="225" t="str">
        <f t="shared" si="40"/>
        <v/>
      </c>
      <c r="K725" s="241" t="str">
        <f t="shared" si="40"/>
        <v/>
      </c>
      <c r="L725" s="228"/>
      <c r="M725" s="229"/>
      <c r="N725" s="228"/>
      <c r="O725" s="228"/>
      <c r="P725" s="228"/>
      <c r="Q725" s="228"/>
      <c r="R725" s="231"/>
      <c r="S725" s="232"/>
      <c r="T725" s="233"/>
      <c r="U725" s="234"/>
      <c r="V725" s="232"/>
      <c r="W725" s="235"/>
    </row>
    <row r="726" spans="5:23" ht="12.75">
      <c r="E726" s="374"/>
      <c r="F726" s="239"/>
      <c r="G726" s="240"/>
      <c r="H726" s="224" t="str">
        <f t="shared" si="40"/>
        <v/>
      </c>
      <c r="I726" s="225" t="str">
        <f t="shared" si="40"/>
        <v/>
      </c>
      <c r="J726" s="225" t="str">
        <f t="shared" si="40"/>
        <v/>
      </c>
      <c r="K726" s="241" t="str">
        <f t="shared" si="40"/>
        <v/>
      </c>
      <c r="L726" s="228"/>
      <c r="M726" s="229"/>
      <c r="N726" s="228"/>
      <c r="O726" s="228"/>
      <c r="P726" s="228"/>
      <c r="Q726" s="228"/>
      <c r="R726" s="231"/>
      <c r="S726" s="232"/>
      <c r="T726" s="233"/>
      <c r="U726" s="234"/>
      <c r="V726" s="232"/>
      <c r="W726" s="235"/>
    </row>
    <row r="727" spans="5:23" ht="12.75">
      <c r="E727" s="374"/>
      <c r="F727" s="239"/>
      <c r="G727" s="240"/>
      <c r="H727" s="224" t="str">
        <f t="shared" si="40"/>
        <v/>
      </c>
      <c r="I727" s="225" t="str">
        <f t="shared" si="40"/>
        <v/>
      </c>
      <c r="J727" s="225" t="str">
        <f t="shared" si="40"/>
        <v/>
      </c>
      <c r="K727" s="241" t="str">
        <f t="shared" si="40"/>
        <v/>
      </c>
      <c r="L727" s="228"/>
      <c r="M727" s="229"/>
      <c r="N727" s="228"/>
      <c r="O727" s="228"/>
      <c r="P727" s="228"/>
      <c r="Q727" s="228"/>
      <c r="R727" s="231"/>
      <c r="S727" s="232"/>
      <c r="T727" s="233"/>
      <c r="U727" s="234"/>
      <c r="V727" s="232"/>
      <c r="W727" s="235"/>
    </row>
    <row r="728" spans="5:23" ht="12.75">
      <c r="E728" s="374"/>
      <c r="F728" s="239"/>
      <c r="G728" s="240"/>
      <c r="H728" s="224" t="str">
        <f t="shared" si="40"/>
        <v/>
      </c>
      <c r="I728" s="225" t="str">
        <f t="shared" si="40"/>
        <v/>
      </c>
      <c r="J728" s="225" t="str">
        <f t="shared" si="40"/>
        <v/>
      </c>
      <c r="K728" s="241" t="str">
        <f t="shared" si="40"/>
        <v/>
      </c>
      <c r="L728" s="228"/>
      <c r="M728" s="229"/>
      <c r="N728" s="228"/>
      <c r="O728" s="228"/>
      <c r="P728" s="228"/>
      <c r="Q728" s="228"/>
      <c r="R728" s="231"/>
      <c r="S728" s="232"/>
      <c r="T728" s="233"/>
      <c r="U728" s="234"/>
      <c r="V728" s="232"/>
      <c r="W728" s="235"/>
    </row>
    <row r="729" spans="5:23" ht="12.75">
      <c r="E729" s="374"/>
      <c r="F729" s="239"/>
      <c r="G729" s="240"/>
      <c r="H729" s="224" t="str">
        <f t="shared" si="40"/>
        <v/>
      </c>
      <c r="I729" s="225" t="str">
        <f t="shared" si="40"/>
        <v/>
      </c>
      <c r="J729" s="225" t="str">
        <f t="shared" si="40"/>
        <v/>
      </c>
      <c r="K729" s="241" t="str">
        <f t="shared" si="40"/>
        <v/>
      </c>
      <c r="L729" s="228"/>
      <c r="M729" s="229"/>
      <c r="N729" s="228"/>
      <c r="O729" s="228"/>
      <c r="P729" s="228"/>
      <c r="Q729" s="228"/>
      <c r="R729" s="231"/>
      <c r="S729" s="232"/>
      <c r="T729" s="233"/>
      <c r="U729" s="234"/>
      <c r="V729" s="232"/>
      <c r="W729" s="235"/>
    </row>
    <row r="730" spans="5:23" ht="12.75">
      <c r="E730" s="374"/>
      <c r="F730" s="239"/>
      <c r="G730" s="240"/>
      <c r="H730" s="224" t="str">
        <f t="shared" si="40"/>
        <v/>
      </c>
      <c r="I730" s="225" t="str">
        <f t="shared" si="40"/>
        <v/>
      </c>
      <c r="J730" s="225" t="str">
        <f t="shared" si="40"/>
        <v/>
      </c>
      <c r="K730" s="241" t="str">
        <f t="shared" si="40"/>
        <v/>
      </c>
      <c r="L730" s="228"/>
      <c r="M730" s="229"/>
      <c r="N730" s="228"/>
      <c r="O730" s="228"/>
      <c r="P730" s="228"/>
      <c r="Q730" s="228"/>
      <c r="R730" s="231"/>
      <c r="S730" s="232"/>
      <c r="T730" s="233"/>
      <c r="U730" s="234"/>
      <c r="V730" s="232"/>
      <c r="W730" s="235"/>
    </row>
    <row r="731" spans="5:23" ht="12.75">
      <c r="E731" s="374"/>
      <c r="F731" s="239"/>
      <c r="G731" s="240"/>
      <c r="H731" s="224" t="str">
        <f t="shared" si="40"/>
        <v/>
      </c>
      <c r="I731" s="225" t="str">
        <f t="shared" si="40"/>
        <v/>
      </c>
      <c r="J731" s="225" t="str">
        <f t="shared" si="40"/>
        <v/>
      </c>
      <c r="K731" s="241" t="str">
        <f t="shared" si="40"/>
        <v/>
      </c>
      <c r="L731" s="228"/>
      <c r="M731" s="229"/>
      <c r="N731" s="228"/>
      <c r="O731" s="228"/>
      <c r="P731" s="228"/>
      <c r="Q731" s="228"/>
      <c r="R731" s="231"/>
      <c r="S731" s="232"/>
      <c r="T731" s="233"/>
      <c r="U731" s="234"/>
      <c r="V731" s="232"/>
      <c r="W731" s="235"/>
    </row>
    <row r="732" spans="5:23" ht="12.75">
      <c r="E732" s="374"/>
      <c r="F732" s="239"/>
      <c r="G732" s="240"/>
      <c r="H732" s="224" t="str">
        <f t="shared" si="40"/>
        <v/>
      </c>
      <c r="I732" s="225" t="str">
        <f t="shared" si="40"/>
        <v/>
      </c>
      <c r="J732" s="225" t="str">
        <f t="shared" si="40"/>
        <v/>
      </c>
      <c r="K732" s="241" t="str">
        <f t="shared" si="40"/>
        <v/>
      </c>
      <c r="L732" s="228"/>
      <c r="M732" s="229"/>
      <c r="N732" s="228"/>
      <c r="O732" s="228"/>
      <c r="P732" s="228"/>
      <c r="Q732" s="228"/>
      <c r="R732" s="231"/>
      <c r="S732" s="232"/>
      <c r="T732" s="233"/>
      <c r="U732" s="234"/>
      <c r="V732" s="232"/>
      <c r="W732" s="235"/>
    </row>
    <row r="733" spans="5:23" ht="12.75">
      <c r="E733" s="374"/>
      <c r="F733" s="239"/>
      <c r="G733" s="240"/>
      <c r="H733" s="224" t="str">
        <f t="shared" si="40"/>
        <v/>
      </c>
      <c r="I733" s="225" t="str">
        <f t="shared" si="40"/>
        <v/>
      </c>
      <c r="J733" s="225" t="str">
        <f t="shared" si="40"/>
        <v/>
      </c>
      <c r="K733" s="241" t="str">
        <f t="shared" si="40"/>
        <v/>
      </c>
      <c r="L733" s="228"/>
      <c r="M733" s="229"/>
      <c r="N733" s="228"/>
      <c r="O733" s="228"/>
      <c r="P733" s="228"/>
      <c r="Q733" s="228"/>
      <c r="R733" s="231"/>
      <c r="S733" s="232"/>
      <c r="T733" s="233"/>
      <c r="U733" s="234"/>
      <c r="V733" s="232"/>
      <c r="W733" s="235"/>
    </row>
    <row r="734" spans="5:23" ht="12.75">
      <c r="E734" s="374"/>
      <c r="F734" s="239"/>
      <c r="G734" s="240"/>
      <c r="H734" s="224" t="str">
        <f t="shared" si="40"/>
        <v/>
      </c>
      <c r="I734" s="225" t="str">
        <f t="shared" si="40"/>
        <v/>
      </c>
      <c r="J734" s="225" t="str">
        <f t="shared" si="40"/>
        <v/>
      </c>
      <c r="K734" s="241" t="str">
        <f t="shared" si="40"/>
        <v/>
      </c>
      <c r="L734" s="228"/>
      <c r="M734" s="229"/>
      <c r="N734" s="228"/>
      <c r="O734" s="228"/>
      <c r="P734" s="228"/>
      <c r="Q734" s="228"/>
      <c r="R734" s="231"/>
      <c r="S734" s="232"/>
      <c r="T734" s="233"/>
      <c r="U734" s="234"/>
      <c r="V734" s="232"/>
      <c r="W734" s="235"/>
    </row>
    <row r="735" spans="5:23" ht="12.75">
      <c r="E735" s="374"/>
      <c r="F735" s="239"/>
      <c r="G735" s="240"/>
      <c r="H735" s="224" t="str">
        <f t="shared" si="40"/>
        <v/>
      </c>
      <c r="I735" s="225" t="str">
        <f t="shared" si="40"/>
        <v/>
      </c>
      <c r="J735" s="225" t="str">
        <f t="shared" si="40"/>
        <v/>
      </c>
      <c r="K735" s="241" t="str">
        <f t="shared" si="40"/>
        <v/>
      </c>
      <c r="L735" s="228"/>
      <c r="M735" s="229"/>
      <c r="N735" s="228"/>
      <c r="O735" s="228"/>
      <c r="P735" s="228"/>
      <c r="Q735" s="228"/>
      <c r="R735" s="231"/>
      <c r="S735" s="232"/>
      <c r="T735" s="233"/>
      <c r="U735" s="234"/>
      <c r="V735" s="232"/>
      <c r="W735" s="235"/>
    </row>
    <row r="736" spans="5:23" ht="12.75">
      <c r="E736" s="374"/>
      <c r="F736" s="239"/>
      <c r="G736" s="240"/>
      <c r="H736" s="224" t="str">
        <f t="shared" si="40"/>
        <v/>
      </c>
      <c r="I736" s="225" t="str">
        <f t="shared" si="40"/>
        <v/>
      </c>
      <c r="J736" s="225" t="str">
        <f t="shared" si="40"/>
        <v/>
      </c>
      <c r="K736" s="241" t="str">
        <f t="shared" si="40"/>
        <v/>
      </c>
      <c r="L736" s="228"/>
      <c r="M736" s="229"/>
      <c r="N736" s="228"/>
      <c r="O736" s="228"/>
      <c r="P736" s="228"/>
      <c r="Q736" s="228"/>
      <c r="R736" s="231"/>
      <c r="S736" s="232"/>
      <c r="T736" s="233"/>
      <c r="U736" s="234"/>
      <c r="V736" s="232"/>
      <c r="W736" s="235"/>
    </row>
    <row r="737" spans="5:23" ht="12.75">
      <c r="E737" s="374"/>
      <c r="F737" s="239"/>
      <c r="G737" s="240"/>
      <c r="H737" s="224" t="str">
        <f t="shared" si="40"/>
        <v/>
      </c>
      <c r="I737" s="225" t="str">
        <f t="shared" si="40"/>
        <v/>
      </c>
      <c r="J737" s="225" t="str">
        <f t="shared" si="40"/>
        <v/>
      </c>
      <c r="K737" s="241" t="str">
        <f t="shared" si="40"/>
        <v/>
      </c>
      <c r="L737" s="228"/>
      <c r="M737" s="229"/>
      <c r="N737" s="228"/>
      <c r="O737" s="228"/>
      <c r="P737" s="228"/>
      <c r="Q737" s="228"/>
      <c r="R737" s="231"/>
      <c r="S737" s="232"/>
      <c r="T737" s="233"/>
      <c r="U737" s="234"/>
      <c r="V737" s="232"/>
      <c r="W737" s="235"/>
    </row>
    <row r="738" spans="5:23" ht="12.75">
      <c r="E738" s="374"/>
      <c r="F738" s="239"/>
      <c r="G738" s="240"/>
      <c r="H738" s="224" t="str">
        <f t="shared" si="40"/>
        <v/>
      </c>
      <c r="I738" s="225" t="str">
        <f t="shared" si="40"/>
        <v/>
      </c>
      <c r="J738" s="225" t="str">
        <f t="shared" si="40"/>
        <v/>
      </c>
      <c r="K738" s="241" t="str">
        <f t="shared" si="40"/>
        <v/>
      </c>
      <c r="L738" s="228"/>
      <c r="M738" s="229"/>
      <c r="N738" s="228"/>
      <c r="O738" s="228"/>
      <c r="P738" s="228"/>
      <c r="Q738" s="228"/>
      <c r="R738" s="231"/>
      <c r="S738" s="232"/>
      <c r="T738" s="233"/>
      <c r="U738" s="234"/>
      <c r="V738" s="232"/>
      <c r="W738" s="235"/>
    </row>
    <row r="739" spans="5:23" ht="12.75">
      <c r="E739" s="374"/>
      <c r="F739" s="239"/>
      <c r="G739" s="240"/>
      <c r="H739" s="224" t="str">
        <f t="shared" si="40"/>
        <v/>
      </c>
      <c r="I739" s="225" t="str">
        <f t="shared" si="40"/>
        <v/>
      </c>
      <c r="J739" s="225" t="str">
        <f t="shared" si="40"/>
        <v/>
      </c>
      <c r="K739" s="241" t="str">
        <f t="shared" si="40"/>
        <v/>
      </c>
      <c r="L739" s="228"/>
      <c r="M739" s="229"/>
      <c r="N739" s="228"/>
      <c r="O739" s="228"/>
      <c r="P739" s="228"/>
      <c r="Q739" s="228"/>
      <c r="R739" s="231"/>
      <c r="S739" s="232"/>
      <c r="T739" s="233"/>
      <c r="U739" s="234"/>
      <c r="V739" s="232"/>
      <c r="W739" s="235"/>
    </row>
    <row r="740" spans="5:23" ht="12.75">
      <c r="E740" s="374"/>
      <c r="F740" s="239"/>
      <c r="G740" s="240"/>
      <c r="H740" s="224" t="str">
        <f t="shared" si="40"/>
        <v/>
      </c>
      <c r="I740" s="225" t="str">
        <f t="shared" si="40"/>
        <v/>
      </c>
      <c r="J740" s="225" t="str">
        <f t="shared" si="40"/>
        <v/>
      </c>
      <c r="K740" s="241" t="str">
        <f t="shared" si="40"/>
        <v/>
      </c>
      <c r="L740" s="228"/>
      <c r="M740" s="229"/>
      <c r="N740" s="228"/>
      <c r="O740" s="228"/>
      <c r="P740" s="228"/>
      <c r="Q740" s="228"/>
      <c r="R740" s="231"/>
      <c r="S740" s="232"/>
      <c r="T740" s="233"/>
      <c r="U740" s="234"/>
      <c r="V740" s="232"/>
      <c r="W740" s="235"/>
    </row>
    <row r="741" spans="5:23" ht="12.75">
      <c r="E741" s="374"/>
      <c r="F741" s="239"/>
      <c r="G741" s="240"/>
      <c r="H741" s="224" t="str">
        <f t="shared" si="40"/>
        <v/>
      </c>
      <c r="I741" s="225" t="str">
        <f t="shared" si="40"/>
        <v/>
      </c>
      <c r="J741" s="225" t="str">
        <f t="shared" si="40"/>
        <v/>
      </c>
      <c r="K741" s="241" t="str">
        <f t="shared" si="40"/>
        <v/>
      </c>
      <c r="L741" s="228"/>
      <c r="M741" s="229"/>
      <c r="N741" s="228"/>
      <c r="O741" s="228"/>
      <c r="P741" s="228"/>
      <c r="Q741" s="228"/>
      <c r="R741" s="231"/>
      <c r="S741" s="232"/>
      <c r="T741" s="233"/>
      <c r="U741" s="234"/>
      <c r="V741" s="232"/>
      <c r="W741" s="235"/>
    </row>
    <row r="742" spans="5:23" ht="12.75">
      <c r="E742" s="374"/>
      <c r="F742" s="239"/>
      <c r="G742" s="240"/>
      <c r="H742" s="224" t="str">
        <f t="shared" si="40"/>
        <v/>
      </c>
      <c r="I742" s="225" t="str">
        <f t="shared" si="40"/>
        <v/>
      </c>
      <c r="J742" s="225" t="str">
        <f t="shared" si="40"/>
        <v/>
      </c>
      <c r="K742" s="241" t="str">
        <f t="shared" si="40"/>
        <v/>
      </c>
      <c r="L742" s="228"/>
      <c r="M742" s="229"/>
      <c r="N742" s="228"/>
      <c r="O742" s="228"/>
      <c r="P742" s="228"/>
      <c r="Q742" s="228"/>
      <c r="R742" s="231"/>
      <c r="S742" s="232"/>
      <c r="T742" s="233"/>
      <c r="U742" s="234"/>
      <c r="V742" s="232"/>
      <c r="W742" s="235"/>
    </row>
    <row r="743" spans="5:23" ht="12.75">
      <c r="E743" s="374"/>
      <c r="F743" s="239"/>
      <c r="G743" s="240"/>
      <c r="H743" s="224" t="str">
        <f t="shared" si="40"/>
        <v/>
      </c>
      <c r="I743" s="225" t="str">
        <f t="shared" si="40"/>
        <v/>
      </c>
      <c r="J743" s="225" t="str">
        <f t="shared" si="40"/>
        <v/>
      </c>
      <c r="K743" s="241" t="str">
        <f t="shared" si="40"/>
        <v/>
      </c>
      <c r="L743" s="228"/>
      <c r="M743" s="229"/>
      <c r="N743" s="228"/>
      <c r="O743" s="228"/>
      <c r="P743" s="228"/>
      <c r="Q743" s="228"/>
      <c r="R743" s="231"/>
      <c r="S743" s="232"/>
      <c r="T743" s="233"/>
      <c r="U743" s="234"/>
      <c r="V743" s="232"/>
      <c r="W743" s="235"/>
    </row>
    <row r="744" spans="5:23" ht="12.75">
      <c r="E744" s="374"/>
      <c r="F744" s="239"/>
      <c r="G744" s="240"/>
      <c r="H744" s="224" t="str">
        <f t="shared" si="40"/>
        <v/>
      </c>
      <c r="I744" s="225" t="str">
        <f t="shared" si="40"/>
        <v/>
      </c>
      <c r="J744" s="225" t="str">
        <f t="shared" si="40"/>
        <v/>
      </c>
      <c r="K744" s="241" t="str">
        <f t="shared" si="40"/>
        <v/>
      </c>
      <c r="L744" s="228"/>
      <c r="M744" s="229"/>
      <c r="N744" s="228"/>
      <c r="O744" s="228"/>
      <c r="P744" s="228"/>
      <c r="Q744" s="228"/>
      <c r="R744" s="231"/>
      <c r="S744" s="232"/>
      <c r="T744" s="233"/>
      <c r="U744" s="234"/>
      <c r="V744" s="232"/>
      <c r="W744" s="235"/>
    </row>
    <row r="745" spans="5:23" ht="12.75">
      <c r="E745" s="374"/>
      <c r="F745" s="239"/>
      <c r="G745" s="240"/>
      <c r="H745" s="224" t="str">
        <f t="shared" si="40"/>
        <v/>
      </c>
      <c r="I745" s="225" t="str">
        <f t="shared" si="40"/>
        <v/>
      </c>
      <c r="J745" s="225" t="str">
        <f t="shared" si="40"/>
        <v/>
      </c>
      <c r="K745" s="241" t="str">
        <f t="shared" si="40"/>
        <v/>
      </c>
      <c r="L745" s="228"/>
      <c r="M745" s="229"/>
      <c r="N745" s="228"/>
      <c r="O745" s="228"/>
      <c r="P745" s="228"/>
      <c r="Q745" s="228"/>
      <c r="R745" s="231"/>
      <c r="S745" s="232"/>
      <c r="T745" s="233"/>
      <c r="U745" s="234"/>
      <c r="V745" s="232"/>
      <c r="W745" s="235"/>
    </row>
    <row r="746" spans="5:23" ht="12.75">
      <c r="E746" s="374"/>
      <c r="F746" s="239"/>
      <c r="G746" s="240"/>
      <c r="H746" s="224" t="str">
        <f t="shared" si="40"/>
        <v/>
      </c>
      <c r="I746" s="225" t="str">
        <f t="shared" si="40"/>
        <v/>
      </c>
      <c r="J746" s="225" t="str">
        <f t="shared" si="40"/>
        <v/>
      </c>
      <c r="K746" s="241" t="str">
        <f t="shared" si="40"/>
        <v/>
      </c>
      <c r="L746" s="228"/>
      <c r="M746" s="229"/>
      <c r="N746" s="228"/>
      <c r="O746" s="228"/>
      <c r="P746" s="228"/>
      <c r="Q746" s="228"/>
      <c r="R746" s="231"/>
      <c r="S746" s="232"/>
      <c r="T746" s="233"/>
      <c r="U746" s="234"/>
      <c r="V746" s="232"/>
      <c r="W746" s="235"/>
    </row>
    <row r="747" spans="5:23" ht="12.75">
      <c r="E747" s="374"/>
      <c r="F747" s="239"/>
      <c r="G747" s="240"/>
      <c r="H747" s="224" t="str">
        <f t="shared" si="40"/>
        <v/>
      </c>
      <c r="I747" s="225" t="str">
        <f t="shared" si="40"/>
        <v/>
      </c>
      <c r="J747" s="225" t="str">
        <f t="shared" si="40"/>
        <v/>
      </c>
      <c r="K747" s="241" t="str">
        <f t="shared" si="40"/>
        <v/>
      </c>
      <c r="L747" s="228"/>
      <c r="M747" s="229"/>
      <c r="N747" s="228"/>
      <c r="O747" s="228"/>
      <c r="P747" s="228"/>
      <c r="Q747" s="228"/>
      <c r="R747" s="231"/>
      <c r="S747" s="232"/>
      <c r="T747" s="233"/>
      <c r="U747" s="234"/>
      <c r="V747" s="232"/>
      <c r="W747" s="235"/>
    </row>
    <row r="748" spans="5:23" ht="12.75">
      <c r="E748" s="374"/>
      <c r="F748" s="239"/>
      <c r="G748" s="240"/>
      <c r="H748" s="224" t="str">
        <f t="shared" si="40"/>
        <v/>
      </c>
      <c r="I748" s="225" t="str">
        <f t="shared" si="40"/>
        <v/>
      </c>
      <c r="J748" s="225" t="str">
        <f t="shared" si="40"/>
        <v/>
      </c>
      <c r="K748" s="241" t="str">
        <f t="shared" si="40"/>
        <v/>
      </c>
      <c r="L748" s="228"/>
      <c r="M748" s="229"/>
      <c r="N748" s="228"/>
      <c r="O748" s="228"/>
      <c r="P748" s="228"/>
      <c r="Q748" s="228"/>
      <c r="R748" s="231"/>
      <c r="S748" s="232"/>
      <c r="T748" s="233"/>
      <c r="U748" s="234"/>
      <c r="V748" s="232"/>
      <c r="W748" s="235"/>
    </row>
    <row r="749" spans="5:23" ht="12.75">
      <c r="E749" s="374"/>
      <c r="F749" s="239"/>
      <c r="G749" s="240"/>
      <c r="H749" s="224" t="str">
        <f t="shared" si="40"/>
        <v/>
      </c>
      <c r="I749" s="225" t="str">
        <f t="shared" si="40"/>
        <v/>
      </c>
      <c r="J749" s="225" t="str">
        <f t="shared" si="40"/>
        <v/>
      </c>
      <c r="K749" s="241" t="str">
        <f t="shared" si="40"/>
        <v/>
      </c>
      <c r="L749" s="228"/>
      <c r="M749" s="229"/>
      <c r="N749" s="228"/>
      <c r="O749" s="228"/>
      <c r="P749" s="228"/>
      <c r="Q749" s="228"/>
      <c r="R749" s="231"/>
      <c r="S749" s="232"/>
      <c r="T749" s="233"/>
      <c r="U749" s="234"/>
      <c r="V749" s="232"/>
      <c r="W749" s="235"/>
    </row>
    <row r="750" spans="5:23" ht="12.75">
      <c r="E750" s="374"/>
      <c r="F750" s="239"/>
      <c r="G750" s="240"/>
      <c r="H750" s="224" t="str">
        <f t="shared" si="40"/>
        <v/>
      </c>
      <c r="I750" s="225" t="str">
        <f t="shared" si="40"/>
        <v/>
      </c>
      <c r="J750" s="225" t="str">
        <f t="shared" si="40"/>
        <v/>
      </c>
      <c r="K750" s="241" t="str">
        <f t="shared" si="40"/>
        <v/>
      </c>
      <c r="L750" s="228"/>
      <c r="M750" s="229"/>
      <c r="N750" s="228"/>
      <c r="O750" s="228"/>
      <c r="P750" s="228"/>
      <c r="Q750" s="228"/>
      <c r="R750" s="231"/>
      <c r="S750" s="232"/>
      <c r="T750" s="233"/>
      <c r="U750" s="234"/>
      <c r="V750" s="232"/>
      <c r="W750" s="235"/>
    </row>
    <row r="751" spans="5:23" ht="12.75">
      <c r="E751" s="374"/>
      <c r="F751" s="239"/>
      <c r="G751" s="240"/>
      <c r="H751" s="224" t="str">
        <f t="shared" si="40"/>
        <v/>
      </c>
      <c r="I751" s="225" t="str">
        <f t="shared" si="40"/>
        <v/>
      </c>
      <c r="J751" s="225" t="str">
        <f t="shared" si="40"/>
        <v/>
      </c>
      <c r="K751" s="241" t="str">
        <f t="shared" si="40"/>
        <v/>
      </c>
      <c r="L751" s="228"/>
      <c r="M751" s="229"/>
      <c r="N751" s="228"/>
      <c r="O751" s="228"/>
      <c r="P751" s="228"/>
      <c r="Q751" s="228"/>
      <c r="R751" s="231"/>
      <c r="S751" s="232"/>
      <c r="T751" s="233"/>
      <c r="U751" s="234"/>
      <c r="V751" s="232"/>
      <c r="W751" s="235"/>
    </row>
    <row r="752" spans="5:23" ht="12.75">
      <c r="E752" s="374"/>
      <c r="F752" s="239"/>
      <c r="G752" s="240"/>
      <c r="H752" s="224" t="str">
        <f t="shared" si="40"/>
        <v/>
      </c>
      <c r="I752" s="225" t="str">
        <f t="shared" si="40"/>
        <v/>
      </c>
      <c r="J752" s="225" t="str">
        <f t="shared" si="40"/>
        <v/>
      </c>
      <c r="K752" s="241" t="str">
        <f t="shared" si="40"/>
        <v/>
      </c>
      <c r="L752" s="228"/>
      <c r="M752" s="229"/>
      <c r="N752" s="228"/>
      <c r="O752" s="228"/>
      <c r="P752" s="228"/>
      <c r="Q752" s="228"/>
      <c r="R752" s="231"/>
      <c r="S752" s="232"/>
      <c r="T752" s="233"/>
      <c r="U752" s="234"/>
      <c r="V752" s="232"/>
      <c r="W752" s="235"/>
    </row>
    <row r="753" spans="5:23" ht="12.75">
      <c r="E753" s="374"/>
      <c r="F753" s="239"/>
      <c r="G753" s="240"/>
      <c r="H753" s="224" t="str">
        <f t="shared" si="40"/>
        <v/>
      </c>
      <c r="I753" s="225" t="str">
        <f t="shared" si="40"/>
        <v/>
      </c>
      <c r="J753" s="225" t="str">
        <f t="shared" si="40"/>
        <v/>
      </c>
      <c r="K753" s="241" t="str">
        <f t="shared" si="40"/>
        <v/>
      </c>
      <c r="L753" s="228"/>
      <c r="M753" s="229"/>
      <c r="N753" s="228"/>
      <c r="O753" s="228"/>
      <c r="P753" s="228"/>
      <c r="Q753" s="228"/>
      <c r="R753" s="231"/>
      <c r="S753" s="232"/>
      <c r="T753" s="233"/>
      <c r="U753" s="234"/>
      <c r="V753" s="232"/>
      <c r="W753" s="235"/>
    </row>
    <row r="754" spans="5:23" ht="12.75">
      <c r="E754" s="374"/>
      <c r="F754" s="239"/>
      <c r="G754" s="240"/>
      <c r="H754" s="224" t="str">
        <f t="shared" si="40"/>
        <v/>
      </c>
      <c r="I754" s="225" t="str">
        <f t="shared" si="40"/>
        <v/>
      </c>
      <c r="J754" s="225" t="str">
        <f t="shared" si="40"/>
        <v/>
      </c>
      <c r="K754" s="241" t="str">
        <f t="shared" si="40"/>
        <v/>
      </c>
      <c r="L754" s="228"/>
      <c r="M754" s="229"/>
      <c r="N754" s="228"/>
      <c r="O754" s="228"/>
      <c r="P754" s="228"/>
      <c r="Q754" s="228"/>
      <c r="R754" s="231"/>
      <c r="S754" s="232"/>
      <c r="T754" s="233"/>
      <c r="U754" s="234"/>
      <c r="V754" s="232"/>
      <c r="W754" s="235"/>
    </row>
    <row r="755" spans="5:23" ht="12.75">
      <c r="E755" s="374"/>
      <c r="F755" s="239"/>
      <c r="G755" s="240"/>
      <c r="H755" s="224" t="str">
        <f t="shared" si="40"/>
        <v/>
      </c>
      <c r="I755" s="225" t="str">
        <f t="shared" si="40"/>
        <v/>
      </c>
      <c r="J755" s="225" t="str">
        <f t="shared" si="40"/>
        <v/>
      </c>
      <c r="K755" s="241" t="str">
        <f t="shared" si="40"/>
        <v/>
      </c>
      <c r="L755" s="228"/>
      <c r="M755" s="229"/>
      <c r="N755" s="228"/>
      <c r="O755" s="228"/>
      <c r="P755" s="228"/>
      <c r="Q755" s="228"/>
      <c r="R755" s="231"/>
      <c r="S755" s="232"/>
      <c r="T755" s="233"/>
      <c r="U755" s="234"/>
      <c r="V755" s="232"/>
      <c r="W755" s="235"/>
    </row>
    <row r="756" spans="5:23" ht="12.75">
      <c r="E756" s="374"/>
      <c r="F756" s="239"/>
      <c r="G756" s="240"/>
      <c r="H756" s="224" t="str">
        <f t="shared" si="40"/>
        <v/>
      </c>
      <c r="I756" s="225" t="str">
        <f t="shared" si="40"/>
        <v/>
      </c>
      <c r="J756" s="225" t="str">
        <f t="shared" si="40"/>
        <v/>
      </c>
      <c r="K756" s="241" t="str">
        <f t="shared" si="40"/>
        <v/>
      </c>
      <c r="L756" s="228"/>
      <c r="M756" s="229"/>
      <c r="N756" s="228"/>
      <c r="O756" s="228"/>
      <c r="P756" s="228"/>
      <c r="Q756" s="228"/>
      <c r="R756" s="231"/>
      <c r="S756" s="232"/>
      <c r="T756" s="233"/>
      <c r="U756" s="234"/>
      <c r="V756" s="232"/>
      <c r="W756" s="235"/>
    </row>
    <row r="757" spans="5:23" ht="12.75">
      <c r="E757" s="374"/>
      <c r="F757" s="239"/>
      <c r="G757" s="240"/>
      <c r="H757" s="224" t="str">
        <f t="shared" si="40"/>
        <v/>
      </c>
      <c r="I757" s="225" t="str">
        <f t="shared" si="40"/>
        <v/>
      </c>
      <c r="J757" s="225" t="str">
        <f t="shared" si="40"/>
        <v/>
      </c>
      <c r="K757" s="241" t="str">
        <f t="shared" si="40"/>
        <v/>
      </c>
      <c r="L757" s="228"/>
      <c r="M757" s="229"/>
      <c r="N757" s="228"/>
      <c r="O757" s="228"/>
      <c r="P757" s="228"/>
      <c r="Q757" s="228"/>
      <c r="R757" s="231"/>
      <c r="S757" s="232"/>
      <c r="T757" s="233"/>
      <c r="U757" s="234"/>
      <c r="V757" s="232"/>
      <c r="W757" s="235"/>
    </row>
    <row r="758" spans="5:23" ht="12.75">
      <c r="E758" s="374"/>
      <c r="F758" s="239"/>
      <c r="G758" s="240"/>
      <c r="H758" s="224" t="str">
        <f t="shared" si="40"/>
        <v/>
      </c>
      <c r="I758" s="225" t="str">
        <f t="shared" si="40"/>
        <v/>
      </c>
      <c r="J758" s="225" t="str">
        <f t="shared" si="40"/>
        <v/>
      </c>
      <c r="K758" s="241" t="str">
        <f t="shared" si="40"/>
        <v/>
      </c>
      <c r="L758" s="228"/>
      <c r="M758" s="229"/>
      <c r="N758" s="228"/>
      <c r="O758" s="228"/>
      <c r="P758" s="228"/>
      <c r="Q758" s="228"/>
      <c r="R758" s="231"/>
      <c r="S758" s="232"/>
      <c r="T758" s="233"/>
      <c r="U758" s="234"/>
      <c r="V758" s="232"/>
      <c r="W758" s="235"/>
    </row>
    <row r="759" spans="5:23" ht="12.75">
      <c r="E759" s="374"/>
      <c r="F759" s="239"/>
      <c r="G759" s="240"/>
      <c r="H759" s="224" t="str">
        <f t="shared" si="40"/>
        <v/>
      </c>
      <c r="I759" s="225" t="str">
        <f t="shared" si="40"/>
        <v/>
      </c>
      <c r="J759" s="225" t="str">
        <f t="shared" si="40"/>
        <v/>
      </c>
      <c r="K759" s="241" t="str">
        <f t="shared" si="40"/>
        <v/>
      </c>
      <c r="L759" s="228"/>
      <c r="M759" s="229"/>
      <c r="N759" s="228"/>
      <c r="O759" s="228"/>
      <c r="P759" s="228"/>
      <c r="Q759" s="228"/>
      <c r="R759" s="231"/>
      <c r="S759" s="232"/>
      <c r="T759" s="233"/>
      <c r="U759" s="234"/>
      <c r="V759" s="232"/>
      <c r="W759" s="235"/>
    </row>
    <row r="760" spans="5:23" ht="12.75">
      <c r="E760" s="374"/>
      <c r="F760" s="239"/>
      <c r="G760" s="240"/>
      <c r="H760" s="224" t="str">
        <f t="shared" si="40"/>
        <v/>
      </c>
      <c r="I760" s="225" t="str">
        <f t="shared" si="40"/>
        <v/>
      </c>
      <c r="J760" s="225" t="str">
        <f t="shared" si="40"/>
        <v/>
      </c>
      <c r="K760" s="241" t="str">
        <f t="shared" si="40"/>
        <v/>
      </c>
      <c r="L760" s="228"/>
      <c r="M760" s="229"/>
      <c r="N760" s="228"/>
      <c r="O760" s="228"/>
      <c r="P760" s="228"/>
      <c r="Q760" s="228"/>
      <c r="R760" s="231"/>
      <c r="S760" s="232"/>
      <c r="T760" s="233"/>
      <c r="U760" s="234"/>
      <c r="V760" s="232"/>
      <c r="W760" s="235"/>
    </row>
    <row r="761" spans="5:23" ht="12.75">
      <c r="E761" s="374"/>
      <c r="F761" s="239"/>
      <c r="G761" s="240"/>
      <c r="H761" s="224" t="str">
        <f t="shared" si="40"/>
        <v/>
      </c>
      <c r="I761" s="225" t="str">
        <f t="shared" si="40"/>
        <v/>
      </c>
      <c r="J761" s="225" t="str">
        <f t="shared" si="40"/>
        <v/>
      </c>
      <c r="K761" s="241" t="str">
        <f t="shared" si="40"/>
        <v/>
      </c>
      <c r="L761" s="228"/>
      <c r="M761" s="229"/>
      <c r="N761" s="228"/>
      <c r="O761" s="228"/>
      <c r="P761" s="228"/>
      <c r="Q761" s="228"/>
      <c r="R761" s="231"/>
      <c r="S761" s="232"/>
      <c r="T761" s="233"/>
      <c r="U761" s="234"/>
      <c r="V761" s="232"/>
      <c r="W761" s="235"/>
    </row>
    <row r="762" spans="5:23" ht="12.75">
      <c r="E762" s="374"/>
      <c r="F762" s="239"/>
      <c r="G762" s="240"/>
      <c r="H762" s="224" t="str">
        <f t="shared" si="40"/>
        <v/>
      </c>
      <c r="I762" s="225" t="str">
        <f t="shared" si="40"/>
        <v/>
      </c>
      <c r="J762" s="225" t="str">
        <f t="shared" si="40"/>
        <v/>
      </c>
      <c r="K762" s="241" t="str">
        <f t="shared" si="40"/>
        <v/>
      </c>
      <c r="L762" s="228"/>
      <c r="M762" s="229"/>
      <c r="N762" s="228"/>
      <c r="O762" s="228"/>
      <c r="P762" s="228"/>
      <c r="Q762" s="228"/>
      <c r="R762" s="231"/>
      <c r="S762" s="232"/>
      <c r="T762" s="233"/>
      <c r="U762" s="234"/>
      <c r="V762" s="232"/>
      <c r="W762" s="235"/>
    </row>
    <row r="763" spans="5:23" ht="12.75">
      <c r="E763" s="374"/>
      <c r="F763" s="239"/>
      <c r="G763" s="240"/>
      <c r="H763" s="224" t="str">
        <f t="shared" si="40"/>
        <v/>
      </c>
      <c r="I763" s="225" t="str">
        <f t="shared" si="40"/>
        <v/>
      </c>
      <c r="J763" s="225" t="str">
        <f t="shared" si="40"/>
        <v/>
      </c>
      <c r="K763" s="241" t="str">
        <f t="shared" si="40"/>
        <v/>
      </c>
      <c r="L763" s="228"/>
      <c r="M763" s="229"/>
      <c r="N763" s="228"/>
      <c r="O763" s="228"/>
      <c r="P763" s="228"/>
      <c r="Q763" s="228"/>
      <c r="R763" s="231"/>
      <c r="S763" s="232"/>
      <c r="T763" s="233"/>
      <c r="U763" s="234"/>
      <c r="V763" s="232"/>
      <c r="W763" s="235"/>
    </row>
    <row r="764" spans="5:23" ht="12.75">
      <c r="E764" s="374"/>
      <c r="F764" s="239"/>
      <c r="G764" s="240"/>
      <c r="H764" s="224" t="str">
        <f t="shared" si="40"/>
        <v/>
      </c>
      <c r="I764" s="225" t="str">
        <f t="shared" si="40"/>
        <v/>
      </c>
      <c r="J764" s="225" t="str">
        <f t="shared" si="40"/>
        <v/>
      </c>
      <c r="K764" s="241" t="str">
        <f t="shared" si="40"/>
        <v/>
      </c>
      <c r="L764" s="228"/>
      <c r="M764" s="229"/>
      <c r="N764" s="228"/>
      <c r="O764" s="228"/>
      <c r="P764" s="228"/>
      <c r="Q764" s="228"/>
      <c r="R764" s="231"/>
      <c r="S764" s="232"/>
      <c r="T764" s="233"/>
      <c r="U764" s="234"/>
      <c r="V764" s="232"/>
      <c r="W764" s="235"/>
    </row>
    <row r="765" spans="5:23" ht="12.75">
      <c r="E765" s="374"/>
      <c r="F765" s="239"/>
      <c r="G765" s="240"/>
      <c r="H765" s="224" t="str">
        <f t="shared" si="40"/>
        <v/>
      </c>
      <c r="I765" s="225" t="str">
        <f t="shared" si="40"/>
        <v/>
      </c>
      <c r="J765" s="225" t="str">
        <f t="shared" si="40"/>
        <v/>
      </c>
      <c r="K765" s="241" t="str">
        <f t="shared" si="40"/>
        <v/>
      </c>
      <c r="L765" s="228"/>
      <c r="M765" s="229"/>
      <c r="N765" s="228"/>
      <c r="O765" s="228"/>
      <c r="P765" s="228"/>
      <c r="Q765" s="228"/>
      <c r="R765" s="231"/>
      <c r="S765" s="232"/>
      <c r="T765" s="233"/>
      <c r="U765" s="234"/>
      <c r="V765" s="232"/>
      <c r="W765" s="235"/>
    </row>
    <row r="766" spans="5:23" ht="12.75">
      <c r="E766" s="374"/>
      <c r="F766" s="239"/>
      <c r="G766" s="240"/>
      <c r="H766" s="224" t="str">
        <f t="shared" si="40"/>
        <v/>
      </c>
      <c r="I766" s="225" t="str">
        <f t="shared" si="40"/>
        <v/>
      </c>
      <c r="J766" s="225" t="str">
        <f t="shared" si="40"/>
        <v/>
      </c>
      <c r="K766" s="241" t="str">
        <f t="shared" si="40"/>
        <v/>
      </c>
      <c r="L766" s="228"/>
      <c r="M766" s="229"/>
      <c r="N766" s="228"/>
      <c r="O766" s="228"/>
      <c r="P766" s="228"/>
      <c r="Q766" s="228"/>
      <c r="R766" s="231"/>
      <c r="S766" s="232"/>
      <c r="T766" s="233"/>
      <c r="U766" s="234"/>
      <c r="V766" s="232"/>
      <c r="W766" s="235"/>
    </row>
    <row r="767" spans="5:23" ht="12.75">
      <c r="E767" s="374"/>
      <c r="F767" s="239"/>
      <c r="G767" s="240"/>
      <c r="H767" s="224" t="str">
        <f t="shared" si="40"/>
        <v/>
      </c>
      <c r="I767" s="225" t="str">
        <f t="shared" si="40"/>
        <v/>
      </c>
      <c r="J767" s="225" t="str">
        <f t="shared" si="40"/>
        <v/>
      </c>
      <c r="K767" s="241" t="str">
        <f t="shared" si="40"/>
        <v/>
      </c>
      <c r="L767" s="228"/>
      <c r="M767" s="229"/>
      <c r="N767" s="228"/>
      <c r="O767" s="228"/>
      <c r="P767" s="228"/>
      <c r="Q767" s="228"/>
      <c r="R767" s="231"/>
      <c r="S767" s="232"/>
      <c r="T767" s="233"/>
      <c r="U767" s="234"/>
      <c r="V767" s="232"/>
      <c r="W767" s="235"/>
    </row>
    <row r="768" spans="5:23" ht="12.75">
      <c r="E768" s="374"/>
      <c r="F768" s="239"/>
      <c r="G768" s="240"/>
      <c r="H768" s="224" t="str">
        <f t="shared" si="40"/>
        <v/>
      </c>
      <c r="I768" s="225" t="str">
        <f t="shared" si="40"/>
        <v/>
      </c>
      <c r="J768" s="225" t="str">
        <f t="shared" si="40"/>
        <v/>
      </c>
      <c r="K768" s="241" t="str">
        <f t="shared" si="40"/>
        <v/>
      </c>
      <c r="L768" s="228"/>
      <c r="M768" s="229"/>
      <c r="N768" s="228"/>
      <c r="O768" s="228"/>
      <c r="P768" s="228"/>
      <c r="Q768" s="228"/>
      <c r="R768" s="231"/>
      <c r="S768" s="232"/>
      <c r="T768" s="233"/>
      <c r="U768" s="234"/>
      <c r="V768" s="232"/>
      <c r="W768" s="235"/>
    </row>
    <row r="769" spans="5:23" ht="12.75">
      <c r="E769" s="374"/>
      <c r="F769" s="239"/>
      <c r="G769" s="240"/>
      <c r="H769" s="224" t="str">
        <f t="shared" si="40"/>
        <v/>
      </c>
      <c r="I769" s="225" t="str">
        <f t="shared" si="40"/>
        <v/>
      </c>
      <c r="J769" s="225" t="str">
        <f t="shared" si="40"/>
        <v/>
      </c>
      <c r="K769" s="241" t="str">
        <f t="shared" si="40"/>
        <v/>
      </c>
      <c r="L769" s="228"/>
      <c r="M769" s="229"/>
      <c r="N769" s="228"/>
      <c r="O769" s="228"/>
      <c r="P769" s="228"/>
      <c r="Q769" s="228"/>
      <c r="R769" s="231"/>
      <c r="S769" s="232"/>
      <c r="T769" s="233"/>
      <c r="U769" s="234"/>
      <c r="V769" s="232"/>
      <c r="W769" s="235"/>
    </row>
    <row r="770" spans="5:23" ht="12.75">
      <c r="E770" s="374"/>
      <c r="F770" s="239"/>
      <c r="G770" s="240"/>
      <c r="H770" s="224" t="str">
        <f t="shared" si="40"/>
        <v/>
      </c>
      <c r="I770" s="225" t="str">
        <f t="shared" si="40"/>
        <v/>
      </c>
      <c r="J770" s="225" t="str">
        <f t="shared" si="40"/>
        <v/>
      </c>
      <c r="K770" s="241" t="str">
        <f t="shared" si="40"/>
        <v/>
      </c>
      <c r="L770" s="228"/>
      <c r="M770" s="229"/>
      <c r="N770" s="228"/>
      <c r="O770" s="228"/>
      <c r="P770" s="228"/>
      <c r="Q770" s="228"/>
      <c r="R770" s="231"/>
      <c r="S770" s="232"/>
      <c r="T770" s="233"/>
      <c r="U770" s="234"/>
      <c r="V770" s="232"/>
      <c r="W770" s="235"/>
    </row>
    <row r="771" spans="5:23" ht="12.75">
      <c r="E771" s="374"/>
      <c r="F771" s="239"/>
      <c r="G771" s="240"/>
      <c r="H771" s="224" t="str">
        <f t="shared" si="40"/>
        <v/>
      </c>
      <c r="I771" s="225" t="str">
        <f t="shared" si="40"/>
        <v/>
      </c>
      <c r="J771" s="225" t="str">
        <f t="shared" si="40"/>
        <v/>
      </c>
      <c r="K771" s="241" t="str">
        <f t="shared" si="40"/>
        <v/>
      </c>
      <c r="L771" s="228"/>
      <c r="M771" s="229"/>
      <c r="N771" s="228"/>
      <c r="O771" s="228"/>
      <c r="P771" s="228"/>
      <c r="Q771" s="228"/>
      <c r="R771" s="231"/>
      <c r="S771" s="232"/>
      <c r="T771" s="233"/>
      <c r="U771" s="234"/>
      <c r="V771" s="232"/>
      <c r="W771" s="235"/>
    </row>
    <row r="772" spans="5:23" ht="12.75">
      <c r="E772" s="374"/>
      <c r="F772" s="239"/>
      <c r="G772" s="240"/>
      <c r="H772" s="224" t="str">
        <f t="shared" si="40"/>
        <v/>
      </c>
      <c r="I772" s="225" t="str">
        <f t="shared" si="40"/>
        <v/>
      </c>
      <c r="J772" s="225" t="str">
        <f t="shared" si="40"/>
        <v/>
      </c>
      <c r="K772" s="241" t="str">
        <f t="shared" si="40"/>
        <v/>
      </c>
      <c r="L772" s="228"/>
      <c r="M772" s="229"/>
      <c r="N772" s="228"/>
      <c r="O772" s="228"/>
      <c r="P772" s="228"/>
      <c r="Q772" s="228"/>
      <c r="R772" s="231"/>
      <c r="S772" s="232"/>
      <c r="T772" s="233"/>
      <c r="U772" s="234"/>
      <c r="V772" s="232"/>
      <c r="W772" s="235"/>
    </row>
    <row r="773" spans="5:23" ht="12.75">
      <c r="E773" s="374"/>
      <c r="F773" s="239"/>
      <c r="G773" s="240"/>
      <c r="H773" s="224" t="str">
        <f t="shared" si="40"/>
        <v/>
      </c>
      <c r="I773" s="225" t="str">
        <f t="shared" si="40"/>
        <v/>
      </c>
      <c r="J773" s="225" t="str">
        <f t="shared" si="40"/>
        <v/>
      </c>
      <c r="K773" s="241" t="str">
        <f t="shared" si="40"/>
        <v/>
      </c>
      <c r="L773" s="228"/>
      <c r="M773" s="229"/>
      <c r="N773" s="228"/>
      <c r="O773" s="228"/>
      <c r="P773" s="228"/>
      <c r="Q773" s="228"/>
      <c r="R773" s="231"/>
      <c r="S773" s="232"/>
      <c r="T773" s="233"/>
      <c r="U773" s="234"/>
      <c r="V773" s="232"/>
      <c r="W773" s="235"/>
    </row>
    <row r="774" spans="5:23" ht="12.75">
      <c r="E774" s="374"/>
      <c r="F774" s="239"/>
      <c r="G774" s="240"/>
      <c r="H774" s="224" t="str">
        <f t="shared" si="40"/>
        <v/>
      </c>
      <c r="I774" s="225" t="str">
        <f t="shared" si="40"/>
        <v/>
      </c>
      <c r="J774" s="225" t="str">
        <f t="shared" si="40"/>
        <v/>
      </c>
      <c r="K774" s="241" t="str">
        <f t="shared" si="40"/>
        <v/>
      </c>
      <c r="L774" s="228"/>
      <c r="M774" s="229"/>
      <c r="N774" s="228"/>
      <c r="O774" s="228"/>
      <c r="P774" s="228"/>
      <c r="Q774" s="228"/>
      <c r="R774" s="231"/>
      <c r="S774" s="232"/>
      <c r="T774" s="233"/>
      <c r="U774" s="234"/>
      <c r="V774" s="232"/>
      <c r="W774" s="235"/>
    </row>
    <row r="775" spans="5:23" ht="12.75">
      <c r="E775" s="374"/>
      <c r="F775" s="239"/>
      <c r="G775" s="240"/>
      <c r="H775" s="224" t="str">
        <f t="shared" si="40"/>
        <v/>
      </c>
      <c r="I775" s="225" t="str">
        <f t="shared" si="40"/>
        <v/>
      </c>
      <c r="J775" s="225" t="str">
        <f t="shared" si="40"/>
        <v/>
      </c>
      <c r="K775" s="241" t="str">
        <f t="shared" si="40"/>
        <v/>
      </c>
      <c r="L775" s="228"/>
      <c r="M775" s="229"/>
      <c r="N775" s="228"/>
      <c r="O775" s="228"/>
      <c r="P775" s="228"/>
      <c r="Q775" s="228"/>
      <c r="R775" s="231"/>
      <c r="S775" s="232"/>
      <c r="T775" s="233"/>
      <c r="U775" s="234"/>
      <c r="V775" s="232"/>
      <c r="W775" s="235"/>
    </row>
    <row r="776" spans="5:23" ht="12.75">
      <c r="E776" s="374"/>
      <c r="F776" s="239"/>
      <c r="G776" s="240"/>
      <c r="H776" s="224" t="str">
        <f t="shared" si="40"/>
        <v/>
      </c>
      <c r="I776" s="225" t="str">
        <f t="shared" si="40"/>
        <v/>
      </c>
      <c r="J776" s="225" t="str">
        <f t="shared" si="40"/>
        <v/>
      </c>
      <c r="K776" s="241" t="str">
        <f t="shared" si="40"/>
        <v/>
      </c>
      <c r="L776" s="228"/>
      <c r="M776" s="229"/>
      <c r="N776" s="228"/>
      <c r="O776" s="228"/>
      <c r="P776" s="228"/>
      <c r="Q776" s="228"/>
      <c r="R776" s="231"/>
      <c r="S776" s="232"/>
      <c r="T776" s="233"/>
      <c r="U776" s="234"/>
      <c r="V776" s="232"/>
      <c r="W776" s="235"/>
    </row>
    <row r="777" spans="5:23" ht="12.75">
      <c r="E777" s="374"/>
      <c r="F777" s="239"/>
      <c r="G777" s="240"/>
      <c r="H777" s="224" t="str">
        <f t="shared" si="40"/>
        <v/>
      </c>
      <c r="I777" s="225" t="str">
        <f t="shared" si="40"/>
        <v/>
      </c>
      <c r="J777" s="225" t="str">
        <f t="shared" si="40"/>
        <v/>
      </c>
      <c r="K777" s="241" t="str">
        <f t="shared" si="40"/>
        <v/>
      </c>
      <c r="L777" s="228"/>
      <c r="M777" s="229"/>
      <c r="N777" s="228"/>
      <c r="O777" s="228"/>
      <c r="P777" s="228"/>
      <c r="Q777" s="228"/>
      <c r="R777" s="231"/>
      <c r="S777" s="232"/>
      <c r="T777" s="233"/>
      <c r="U777" s="234"/>
      <c r="V777" s="232"/>
      <c r="W777" s="235"/>
    </row>
    <row r="778" spans="5:23" ht="12.75">
      <c r="E778" s="374"/>
      <c r="F778" s="239"/>
      <c r="G778" s="240"/>
      <c r="H778" s="224" t="str">
        <f t="shared" si="40"/>
        <v/>
      </c>
      <c r="I778" s="225" t="str">
        <f t="shared" si="40"/>
        <v/>
      </c>
      <c r="J778" s="225" t="str">
        <f t="shared" si="40"/>
        <v/>
      </c>
      <c r="K778" s="241" t="str">
        <f t="shared" si="40"/>
        <v/>
      </c>
      <c r="L778" s="228"/>
      <c r="M778" s="229"/>
      <c r="N778" s="228"/>
      <c r="O778" s="228"/>
      <c r="P778" s="228"/>
      <c r="Q778" s="228"/>
      <c r="R778" s="231"/>
      <c r="S778" s="232"/>
      <c r="T778" s="233"/>
      <c r="U778" s="234"/>
      <c r="V778" s="232"/>
      <c r="W778" s="235"/>
    </row>
    <row r="779" spans="5:23" ht="12.75">
      <c r="E779" s="374"/>
      <c r="F779" s="239"/>
      <c r="G779" s="240"/>
      <c r="H779" s="224" t="str">
        <f t="shared" si="40"/>
        <v/>
      </c>
      <c r="I779" s="225" t="str">
        <f t="shared" si="40"/>
        <v/>
      </c>
      <c r="J779" s="225" t="str">
        <f t="shared" si="40"/>
        <v/>
      </c>
      <c r="K779" s="241" t="str">
        <f t="shared" si="40"/>
        <v/>
      </c>
      <c r="L779" s="228"/>
      <c r="M779" s="229"/>
      <c r="N779" s="228"/>
      <c r="O779" s="228"/>
      <c r="P779" s="228"/>
      <c r="Q779" s="228"/>
      <c r="R779" s="231"/>
      <c r="S779" s="232"/>
      <c r="T779" s="233"/>
      <c r="U779" s="234"/>
      <c r="V779" s="232"/>
      <c r="W779" s="235"/>
    </row>
    <row r="780" spans="5:23" ht="12.75">
      <c r="E780" s="374"/>
      <c r="F780" s="239"/>
      <c r="G780" s="240"/>
      <c r="H780" s="224" t="str">
        <f t="shared" si="40"/>
        <v/>
      </c>
      <c r="I780" s="225" t="str">
        <f t="shared" si="40"/>
        <v/>
      </c>
      <c r="J780" s="225" t="str">
        <f t="shared" si="40"/>
        <v/>
      </c>
      <c r="K780" s="241" t="str">
        <f t="shared" si="40"/>
        <v/>
      </c>
      <c r="L780" s="228"/>
      <c r="M780" s="229"/>
      <c r="N780" s="228"/>
      <c r="O780" s="228"/>
      <c r="P780" s="228"/>
      <c r="Q780" s="228"/>
      <c r="R780" s="231"/>
      <c r="S780" s="232"/>
      <c r="T780" s="233"/>
      <c r="U780" s="234"/>
      <c r="V780" s="232"/>
      <c r="W780" s="235"/>
    </row>
    <row r="781" spans="5:23" ht="12.75">
      <c r="E781" s="374"/>
      <c r="F781" s="239"/>
      <c r="G781" s="240"/>
      <c r="H781" s="224" t="str">
        <f t="shared" si="40"/>
        <v/>
      </c>
      <c r="I781" s="225" t="str">
        <f t="shared" si="40"/>
        <v/>
      </c>
      <c r="J781" s="225" t="str">
        <f t="shared" si="40"/>
        <v/>
      </c>
      <c r="K781" s="241" t="str">
        <f t="shared" si="40"/>
        <v/>
      </c>
      <c r="L781" s="228"/>
      <c r="M781" s="229"/>
      <c r="N781" s="228"/>
      <c r="O781" s="228"/>
      <c r="P781" s="228"/>
      <c r="Q781" s="228"/>
      <c r="R781" s="231"/>
      <c r="S781" s="232"/>
      <c r="T781" s="233"/>
      <c r="U781" s="234"/>
      <c r="V781" s="232"/>
      <c r="W781" s="235"/>
    </row>
    <row r="782" spans="5:23" ht="12.75">
      <c r="E782" s="374"/>
      <c r="F782" s="239"/>
      <c r="G782" s="240"/>
      <c r="H782" s="224" t="str">
        <f t="shared" si="40"/>
        <v/>
      </c>
      <c r="I782" s="225" t="str">
        <f t="shared" si="40"/>
        <v/>
      </c>
      <c r="J782" s="225" t="str">
        <f t="shared" si="40"/>
        <v/>
      </c>
      <c r="K782" s="241" t="str">
        <f t="shared" ref="K782:K845" si="41">IF(D265="","",D265)</f>
        <v/>
      </c>
      <c r="L782" s="228"/>
      <c r="M782" s="229"/>
      <c r="N782" s="228"/>
      <c r="O782" s="228"/>
      <c r="P782" s="228"/>
      <c r="Q782" s="228"/>
      <c r="R782" s="231"/>
      <c r="S782" s="232"/>
      <c r="T782" s="233"/>
      <c r="U782" s="234"/>
      <c r="V782" s="232"/>
      <c r="W782" s="235"/>
    </row>
    <row r="783" spans="5:23" ht="12.75">
      <c r="E783" s="374"/>
      <c r="F783" s="239"/>
      <c r="G783" s="240"/>
      <c r="H783" s="224" t="str">
        <f t="shared" ref="H783:K846" si="42">IF(A266="","",A266)</f>
        <v/>
      </c>
      <c r="I783" s="225" t="str">
        <f t="shared" si="42"/>
        <v/>
      </c>
      <c r="J783" s="225" t="str">
        <f t="shared" si="42"/>
        <v/>
      </c>
      <c r="K783" s="241" t="str">
        <f t="shared" si="41"/>
        <v/>
      </c>
      <c r="L783" s="228"/>
      <c r="M783" s="229"/>
      <c r="N783" s="228"/>
      <c r="O783" s="228"/>
      <c r="P783" s="228"/>
      <c r="Q783" s="228"/>
      <c r="R783" s="231"/>
      <c r="S783" s="232"/>
      <c r="T783" s="233"/>
      <c r="U783" s="234"/>
      <c r="V783" s="232"/>
      <c r="W783" s="235"/>
    </row>
    <row r="784" spans="5:23" ht="12.75">
      <c r="E784" s="374"/>
      <c r="F784" s="239"/>
      <c r="G784" s="240"/>
      <c r="H784" s="224" t="str">
        <f t="shared" si="42"/>
        <v/>
      </c>
      <c r="I784" s="225" t="str">
        <f t="shared" si="42"/>
        <v/>
      </c>
      <c r="J784" s="225" t="str">
        <f t="shared" si="42"/>
        <v/>
      </c>
      <c r="K784" s="241" t="str">
        <f t="shared" si="41"/>
        <v/>
      </c>
      <c r="L784" s="228"/>
      <c r="M784" s="229"/>
      <c r="N784" s="228"/>
      <c r="O784" s="228"/>
      <c r="P784" s="228"/>
      <c r="Q784" s="228"/>
      <c r="R784" s="231"/>
      <c r="S784" s="232"/>
      <c r="T784" s="233"/>
      <c r="U784" s="234"/>
      <c r="V784" s="232"/>
      <c r="W784" s="235"/>
    </row>
    <row r="785" spans="5:23" ht="12.75">
      <c r="E785" s="374"/>
      <c r="F785" s="239"/>
      <c r="G785" s="240"/>
      <c r="H785" s="224" t="str">
        <f t="shared" si="42"/>
        <v/>
      </c>
      <c r="I785" s="225" t="str">
        <f t="shared" si="42"/>
        <v/>
      </c>
      <c r="J785" s="225" t="str">
        <f t="shared" si="42"/>
        <v/>
      </c>
      <c r="K785" s="241" t="str">
        <f t="shared" si="41"/>
        <v/>
      </c>
      <c r="L785" s="228"/>
      <c r="M785" s="229"/>
      <c r="N785" s="228"/>
      <c r="O785" s="228"/>
      <c r="P785" s="228"/>
      <c r="Q785" s="228"/>
      <c r="R785" s="231"/>
      <c r="S785" s="232"/>
      <c r="T785" s="233"/>
      <c r="U785" s="234"/>
      <c r="V785" s="232"/>
      <c r="W785" s="235"/>
    </row>
    <row r="786" spans="5:23" ht="12.75">
      <c r="E786" s="374"/>
      <c r="F786" s="239"/>
      <c r="G786" s="240"/>
      <c r="H786" s="224" t="str">
        <f t="shared" si="42"/>
        <v/>
      </c>
      <c r="I786" s="225" t="str">
        <f t="shared" si="42"/>
        <v/>
      </c>
      <c r="J786" s="225" t="str">
        <f t="shared" si="42"/>
        <v/>
      </c>
      <c r="K786" s="241" t="str">
        <f t="shared" si="41"/>
        <v/>
      </c>
      <c r="L786" s="228"/>
      <c r="M786" s="229"/>
      <c r="N786" s="228"/>
      <c r="O786" s="228"/>
      <c r="P786" s="228"/>
      <c r="Q786" s="228"/>
      <c r="R786" s="231"/>
      <c r="S786" s="232"/>
      <c r="T786" s="233"/>
      <c r="U786" s="234"/>
      <c r="V786" s="232"/>
      <c r="W786" s="235"/>
    </row>
    <row r="787" spans="5:23" ht="12.75">
      <c r="E787" s="374"/>
      <c r="F787" s="239"/>
      <c r="G787" s="240"/>
      <c r="H787" s="224" t="str">
        <f t="shared" si="42"/>
        <v/>
      </c>
      <c r="I787" s="225" t="str">
        <f t="shared" si="42"/>
        <v/>
      </c>
      <c r="J787" s="225" t="str">
        <f t="shared" si="42"/>
        <v/>
      </c>
      <c r="K787" s="241" t="str">
        <f t="shared" si="41"/>
        <v/>
      </c>
      <c r="L787" s="228"/>
      <c r="M787" s="229"/>
      <c r="N787" s="228"/>
      <c r="O787" s="228"/>
      <c r="P787" s="228"/>
      <c r="Q787" s="228"/>
      <c r="R787" s="231"/>
      <c r="S787" s="232"/>
      <c r="T787" s="233"/>
      <c r="U787" s="234"/>
      <c r="V787" s="232"/>
      <c r="W787" s="235"/>
    </row>
    <row r="788" spans="5:23" ht="12.75">
      <c r="E788" s="374"/>
      <c r="F788" s="239"/>
      <c r="G788" s="240"/>
      <c r="H788" s="224" t="str">
        <f t="shared" si="42"/>
        <v/>
      </c>
      <c r="I788" s="225" t="str">
        <f t="shared" si="42"/>
        <v/>
      </c>
      <c r="J788" s="225" t="str">
        <f t="shared" si="42"/>
        <v/>
      </c>
      <c r="K788" s="241" t="str">
        <f t="shared" si="41"/>
        <v/>
      </c>
      <c r="L788" s="228"/>
      <c r="M788" s="229"/>
      <c r="N788" s="228"/>
      <c r="O788" s="228"/>
      <c r="P788" s="228"/>
      <c r="Q788" s="228"/>
      <c r="R788" s="231"/>
      <c r="S788" s="232"/>
      <c r="T788" s="233"/>
      <c r="U788" s="234"/>
      <c r="V788" s="232"/>
      <c r="W788" s="235"/>
    </row>
    <row r="789" spans="5:23" ht="12.75">
      <c r="E789" s="374"/>
      <c r="F789" s="239"/>
      <c r="G789" s="240"/>
      <c r="H789" s="224" t="str">
        <f t="shared" si="42"/>
        <v/>
      </c>
      <c r="I789" s="225" t="str">
        <f t="shared" si="42"/>
        <v/>
      </c>
      <c r="J789" s="225" t="str">
        <f t="shared" si="42"/>
        <v/>
      </c>
      <c r="K789" s="241" t="str">
        <f t="shared" si="41"/>
        <v/>
      </c>
      <c r="L789" s="228"/>
      <c r="M789" s="229"/>
      <c r="N789" s="228"/>
      <c r="O789" s="228"/>
      <c r="P789" s="228"/>
      <c r="Q789" s="228"/>
      <c r="R789" s="231"/>
      <c r="S789" s="232"/>
      <c r="T789" s="233"/>
      <c r="U789" s="234"/>
      <c r="V789" s="232"/>
      <c r="W789" s="235"/>
    </row>
    <row r="790" spans="5:23" ht="12.75">
      <c r="E790" s="374"/>
      <c r="F790" s="239"/>
      <c r="G790" s="240"/>
      <c r="H790" s="224" t="str">
        <f t="shared" si="42"/>
        <v/>
      </c>
      <c r="I790" s="225" t="str">
        <f t="shared" si="42"/>
        <v/>
      </c>
      <c r="J790" s="225" t="str">
        <f t="shared" si="42"/>
        <v/>
      </c>
      <c r="K790" s="241" t="str">
        <f t="shared" si="41"/>
        <v/>
      </c>
      <c r="L790" s="228"/>
      <c r="M790" s="229"/>
      <c r="N790" s="228"/>
      <c r="O790" s="228"/>
      <c r="P790" s="228"/>
      <c r="Q790" s="228"/>
      <c r="R790" s="231"/>
      <c r="S790" s="232"/>
      <c r="T790" s="233"/>
      <c r="U790" s="234"/>
      <c r="V790" s="232"/>
      <c r="W790" s="235"/>
    </row>
    <row r="791" spans="5:23" ht="12.75">
      <c r="E791" s="374"/>
      <c r="F791" s="239"/>
      <c r="G791" s="240"/>
      <c r="H791" s="224" t="str">
        <f t="shared" si="42"/>
        <v/>
      </c>
      <c r="I791" s="225" t="str">
        <f t="shared" si="42"/>
        <v/>
      </c>
      <c r="J791" s="225" t="str">
        <f t="shared" si="42"/>
        <v/>
      </c>
      <c r="K791" s="241" t="str">
        <f t="shared" si="41"/>
        <v/>
      </c>
      <c r="L791" s="228"/>
      <c r="M791" s="229"/>
      <c r="N791" s="228"/>
      <c r="O791" s="228"/>
      <c r="P791" s="228"/>
      <c r="Q791" s="228"/>
      <c r="R791" s="231"/>
      <c r="S791" s="232"/>
      <c r="T791" s="233"/>
      <c r="U791" s="234"/>
      <c r="V791" s="232"/>
      <c r="W791" s="235"/>
    </row>
    <row r="792" spans="5:23" ht="12.75">
      <c r="E792" s="374"/>
      <c r="F792" s="239"/>
      <c r="G792" s="240"/>
      <c r="H792" s="224" t="str">
        <f t="shared" si="42"/>
        <v/>
      </c>
      <c r="I792" s="225" t="str">
        <f t="shared" si="42"/>
        <v/>
      </c>
      <c r="J792" s="225" t="str">
        <f t="shared" si="42"/>
        <v/>
      </c>
      <c r="K792" s="241" t="str">
        <f t="shared" si="41"/>
        <v/>
      </c>
      <c r="L792" s="228"/>
      <c r="M792" s="229"/>
      <c r="N792" s="228"/>
      <c r="O792" s="228"/>
      <c r="P792" s="228"/>
      <c r="Q792" s="228"/>
      <c r="R792" s="231"/>
      <c r="S792" s="232"/>
      <c r="T792" s="233"/>
      <c r="U792" s="234"/>
      <c r="V792" s="232"/>
      <c r="W792" s="235"/>
    </row>
    <row r="793" spans="5:23" ht="12.75">
      <c r="E793" s="374"/>
      <c r="F793" s="239"/>
      <c r="G793" s="240"/>
      <c r="H793" s="224" t="str">
        <f t="shared" si="42"/>
        <v/>
      </c>
      <c r="I793" s="225" t="str">
        <f t="shared" si="42"/>
        <v/>
      </c>
      <c r="J793" s="225" t="str">
        <f t="shared" si="42"/>
        <v/>
      </c>
      <c r="K793" s="241" t="str">
        <f t="shared" si="41"/>
        <v/>
      </c>
      <c r="L793" s="228"/>
      <c r="M793" s="229"/>
      <c r="N793" s="228"/>
      <c r="O793" s="228"/>
      <c r="P793" s="228"/>
      <c r="Q793" s="228"/>
      <c r="R793" s="231"/>
      <c r="S793" s="232"/>
      <c r="T793" s="233"/>
      <c r="U793" s="234"/>
      <c r="V793" s="232"/>
      <c r="W793" s="235"/>
    </row>
    <row r="794" spans="5:23" ht="12.75">
      <c r="E794" s="374"/>
      <c r="F794" s="239"/>
      <c r="G794" s="240"/>
      <c r="H794" s="224" t="str">
        <f t="shared" si="42"/>
        <v/>
      </c>
      <c r="I794" s="225" t="str">
        <f t="shared" si="42"/>
        <v/>
      </c>
      <c r="J794" s="225" t="str">
        <f t="shared" si="42"/>
        <v/>
      </c>
      <c r="K794" s="241" t="str">
        <f t="shared" si="41"/>
        <v/>
      </c>
      <c r="L794" s="228"/>
      <c r="M794" s="229"/>
      <c r="N794" s="228"/>
      <c r="O794" s="228"/>
      <c r="P794" s="228"/>
      <c r="Q794" s="228"/>
      <c r="R794" s="231"/>
      <c r="S794" s="232"/>
      <c r="T794" s="233"/>
      <c r="U794" s="234"/>
      <c r="V794" s="232"/>
      <c r="W794" s="235"/>
    </row>
    <row r="795" spans="5:23" ht="12.75">
      <c r="E795" s="374"/>
      <c r="F795" s="239"/>
      <c r="G795" s="240"/>
      <c r="H795" s="224" t="str">
        <f t="shared" si="42"/>
        <v/>
      </c>
      <c r="I795" s="225" t="str">
        <f t="shared" si="42"/>
        <v/>
      </c>
      <c r="J795" s="225" t="str">
        <f t="shared" si="42"/>
        <v/>
      </c>
      <c r="K795" s="241" t="str">
        <f t="shared" si="41"/>
        <v/>
      </c>
      <c r="L795" s="228"/>
      <c r="M795" s="229"/>
      <c r="N795" s="228"/>
      <c r="O795" s="228"/>
      <c r="P795" s="228"/>
      <c r="Q795" s="228"/>
      <c r="R795" s="231"/>
      <c r="S795" s="232"/>
      <c r="T795" s="233"/>
      <c r="U795" s="234"/>
      <c r="V795" s="232"/>
      <c r="W795" s="235"/>
    </row>
    <row r="796" spans="5:23" ht="12.75">
      <c r="E796" s="374"/>
      <c r="F796" s="239"/>
      <c r="G796" s="240"/>
      <c r="H796" s="224" t="str">
        <f t="shared" si="42"/>
        <v/>
      </c>
      <c r="I796" s="225" t="str">
        <f t="shared" si="42"/>
        <v/>
      </c>
      <c r="J796" s="225" t="str">
        <f t="shared" si="42"/>
        <v/>
      </c>
      <c r="K796" s="241" t="str">
        <f t="shared" si="41"/>
        <v/>
      </c>
      <c r="L796" s="228"/>
      <c r="M796" s="229"/>
      <c r="N796" s="228"/>
      <c r="O796" s="228"/>
      <c r="P796" s="228"/>
      <c r="Q796" s="228"/>
      <c r="R796" s="231"/>
      <c r="S796" s="232"/>
      <c r="T796" s="233"/>
      <c r="U796" s="234"/>
      <c r="V796" s="232"/>
      <c r="W796" s="235"/>
    </row>
    <row r="797" spans="5:23" ht="12.75">
      <c r="E797" s="374"/>
      <c r="F797" s="239"/>
      <c r="G797" s="240"/>
      <c r="H797" s="224" t="str">
        <f t="shared" si="42"/>
        <v/>
      </c>
      <c r="I797" s="225" t="str">
        <f t="shared" si="42"/>
        <v/>
      </c>
      <c r="J797" s="225" t="str">
        <f t="shared" si="42"/>
        <v/>
      </c>
      <c r="K797" s="241" t="str">
        <f t="shared" si="41"/>
        <v/>
      </c>
      <c r="L797" s="228"/>
      <c r="M797" s="229"/>
      <c r="N797" s="228"/>
      <c r="O797" s="228"/>
      <c r="P797" s="228"/>
      <c r="Q797" s="228"/>
      <c r="R797" s="231"/>
      <c r="S797" s="232"/>
      <c r="T797" s="233"/>
      <c r="U797" s="234"/>
      <c r="V797" s="232"/>
      <c r="W797" s="235"/>
    </row>
    <row r="798" spans="5:23" ht="12.75">
      <c r="E798" s="374"/>
      <c r="F798" s="239"/>
      <c r="G798" s="240"/>
      <c r="H798" s="224" t="str">
        <f t="shared" si="42"/>
        <v/>
      </c>
      <c r="I798" s="225" t="str">
        <f t="shared" si="42"/>
        <v/>
      </c>
      <c r="J798" s="225" t="str">
        <f t="shared" si="42"/>
        <v/>
      </c>
      <c r="K798" s="241" t="str">
        <f t="shared" si="41"/>
        <v/>
      </c>
      <c r="L798" s="228"/>
      <c r="M798" s="229"/>
      <c r="N798" s="228"/>
      <c r="O798" s="228"/>
      <c r="P798" s="228"/>
      <c r="Q798" s="228"/>
      <c r="R798" s="231"/>
      <c r="S798" s="232"/>
      <c r="T798" s="233"/>
      <c r="U798" s="234"/>
      <c r="V798" s="232"/>
      <c r="W798" s="235"/>
    </row>
    <row r="799" spans="5:23" ht="12.75">
      <c r="E799" s="374"/>
      <c r="F799" s="239"/>
      <c r="G799" s="240"/>
      <c r="H799" s="224" t="str">
        <f t="shared" si="42"/>
        <v/>
      </c>
      <c r="I799" s="225" t="str">
        <f t="shared" si="42"/>
        <v/>
      </c>
      <c r="J799" s="225" t="str">
        <f t="shared" si="42"/>
        <v/>
      </c>
      <c r="K799" s="241" t="str">
        <f t="shared" si="41"/>
        <v/>
      </c>
      <c r="L799" s="228"/>
      <c r="M799" s="229"/>
      <c r="N799" s="228"/>
      <c r="O799" s="228"/>
      <c r="P799" s="228"/>
      <c r="Q799" s="228"/>
      <c r="R799" s="231"/>
      <c r="S799" s="232"/>
      <c r="T799" s="233"/>
      <c r="U799" s="234"/>
      <c r="V799" s="232"/>
      <c r="W799" s="235"/>
    </row>
    <row r="800" spans="5:23" ht="12.75">
      <c r="E800" s="374"/>
      <c r="F800" s="239"/>
      <c r="G800" s="240"/>
      <c r="H800" s="224" t="str">
        <f t="shared" si="42"/>
        <v/>
      </c>
      <c r="I800" s="225" t="str">
        <f t="shared" si="42"/>
        <v/>
      </c>
      <c r="J800" s="225" t="str">
        <f t="shared" si="42"/>
        <v/>
      </c>
      <c r="K800" s="241" t="str">
        <f t="shared" si="41"/>
        <v/>
      </c>
      <c r="L800" s="228"/>
      <c r="M800" s="229"/>
      <c r="N800" s="228"/>
      <c r="O800" s="228"/>
      <c r="P800" s="228"/>
      <c r="Q800" s="228"/>
      <c r="R800" s="231"/>
      <c r="S800" s="232"/>
      <c r="T800" s="233"/>
      <c r="U800" s="234"/>
      <c r="V800" s="232"/>
      <c r="W800" s="235"/>
    </row>
    <row r="801" spans="5:23" ht="12.75">
      <c r="E801" s="374"/>
      <c r="F801" s="239"/>
      <c r="G801" s="240"/>
      <c r="H801" s="224" t="str">
        <f t="shared" si="42"/>
        <v/>
      </c>
      <c r="I801" s="225" t="str">
        <f t="shared" si="42"/>
        <v/>
      </c>
      <c r="J801" s="225" t="str">
        <f t="shared" si="42"/>
        <v/>
      </c>
      <c r="K801" s="241" t="str">
        <f t="shared" si="41"/>
        <v/>
      </c>
      <c r="L801" s="228"/>
      <c r="M801" s="229"/>
      <c r="N801" s="228"/>
      <c r="O801" s="228"/>
      <c r="P801" s="228"/>
      <c r="Q801" s="228"/>
      <c r="R801" s="231"/>
      <c r="S801" s="232"/>
      <c r="T801" s="233"/>
      <c r="U801" s="234"/>
      <c r="V801" s="232"/>
      <c r="W801" s="235"/>
    </row>
    <row r="802" spans="5:23" ht="12.75">
      <c r="E802" s="374"/>
      <c r="F802" s="239"/>
      <c r="G802" s="240"/>
      <c r="H802" s="224" t="str">
        <f t="shared" si="42"/>
        <v/>
      </c>
      <c r="I802" s="225" t="str">
        <f t="shared" si="42"/>
        <v/>
      </c>
      <c r="J802" s="225" t="str">
        <f t="shared" si="42"/>
        <v/>
      </c>
      <c r="K802" s="241" t="str">
        <f t="shared" si="41"/>
        <v/>
      </c>
      <c r="L802" s="228"/>
      <c r="M802" s="229"/>
      <c r="N802" s="228"/>
      <c r="O802" s="228"/>
      <c r="P802" s="228"/>
      <c r="Q802" s="228"/>
      <c r="R802" s="231"/>
      <c r="S802" s="232"/>
      <c r="T802" s="233"/>
      <c r="U802" s="234"/>
      <c r="V802" s="232"/>
      <c r="W802" s="235"/>
    </row>
    <row r="803" spans="5:23" ht="12.75">
      <c r="E803" s="374"/>
      <c r="F803" s="239"/>
      <c r="G803" s="240"/>
      <c r="H803" s="224" t="str">
        <f t="shared" si="42"/>
        <v/>
      </c>
      <c r="I803" s="225" t="str">
        <f t="shared" si="42"/>
        <v/>
      </c>
      <c r="J803" s="225" t="str">
        <f t="shared" si="42"/>
        <v/>
      </c>
      <c r="K803" s="241" t="str">
        <f t="shared" si="41"/>
        <v/>
      </c>
      <c r="L803" s="228"/>
      <c r="M803" s="229"/>
      <c r="N803" s="228"/>
      <c r="O803" s="228"/>
      <c r="P803" s="228"/>
      <c r="Q803" s="228"/>
      <c r="R803" s="231"/>
      <c r="S803" s="232"/>
      <c r="T803" s="233"/>
      <c r="U803" s="234"/>
      <c r="V803" s="232"/>
      <c r="W803" s="235"/>
    </row>
    <row r="804" spans="5:23" ht="12.75">
      <c r="E804" s="374"/>
      <c r="F804" s="239"/>
      <c r="G804" s="240"/>
      <c r="H804" s="224" t="str">
        <f t="shared" si="42"/>
        <v/>
      </c>
      <c r="I804" s="225" t="str">
        <f t="shared" si="42"/>
        <v/>
      </c>
      <c r="J804" s="225" t="str">
        <f t="shared" si="42"/>
        <v/>
      </c>
      <c r="K804" s="241" t="str">
        <f t="shared" si="41"/>
        <v/>
      </c>
      <c r="L804" s="228"/>
      <c r="M804" s="229"/>
      <c r="N804" s="228"/>
      <c r="O804" s="228"/>
      <c r="P804" s="228"/>
      <c r="Q804" s="228"/>
      <c r="R804" s="231"/>
      <c r="S804" s="232"/>
      <c r="T804" s="233"/>
      <c r="U804" s="234"/>
      <c r="V804" s="232"/>
      <c r="W804" s="235"/>
    </row>
    <row r="805" spans="5:23" ht="12.75">
      <c r="E805" s="374"/>
      <c r="F805" s="239"/>
      <c r="G805" s="240"/>
      <c r="H805" s="224" t="str">
        <f t="shared" si="42"/>
        <v/>
      </c>
      <c r="I805" s="225" t="str">
        <f t="shared" si="42"/>
        <v/>
      </c>
      <c r="J805" s="225" t="str">
        <f t="shared" si="42"/>
        <v/>
      </c>
      <c r="K805" s="241" t="str">
        <f t="shared" si="41"/>
        <v/>
      </c>
      <c r="L805" s="228"/>
      <c r="M805" s="229"/>
      <c r="N805" s="228"/>
      <c r="O805" s="228"/>
      <c r="P805" s="228"/>
      <c r="Q805" s="228"/>
      <c r="R805" s="231"/>
      <c r="S805" s="232"/>
      <c r="T805" s="233"/>
      <c r="U805" s="234"/>
      <c r="V805" s="232"/>
      <c r="W805" s="235"/>
    </row>
    <row r="806" spans="5:23" ht="12.75">
      <c r="E806" s="374"/>
      <c r="F806" s="239"/>
      <c r="G806" s="240"/>
      <c r="H806" s="224" t="str">
        <f t="shared" si="42"/>
        <v/>
      </c>
      <c r="I806" s="225" t="str">
        <f t="shared" si="42"/>
        <v/>
      </c>
      <c r="J806" s="225" t="str">
        <f t="shared" si="42"/>
        <v/>
      </c>
      <c r="K806" s="241" t="str">
        <f t="shared" si="41"/>
        <v/>
      </c>
      <c r="L806" s="228"/>
      <c r="M806" s="229"/>
      <c r="N806" s="228"/>
      <c r="O806" s="228"/>
      <c r="P806" s="228"/>
      <c r="Q806" s="228"/>
      <c r="R806" s="231"/>
      <c r="S806" s="232"/>
      <c r="T806" s="233"/>
      <c r="U806" s="234"/>
      <c r="V806" s="232"/>
      <c r="W806" s="235"/>
    </row>
    <row r="807" spans="5:23" ht="12.75">
      <c r="E807" s="374"/>
      <c r="F807" s="239"/>
      <c r="G807" s="240"/>
      <c r="H807" s="224" t="str">
        <f t="shared" si="42"/>
        <v/>
      </c>
      <c r="I807" s="225" t="str">
        <f t="shared" si="42"/>
        <v/>
      </c>
      <c r="J807" s="225" t="str">
        <f t="shared" si="42"/>
        <v/>
      </c>
      <c r="K807" s="241" t="str">
        <f t="shared" si="41"/>
        <v/>
      </c>
      <c r="L807" s="228"/>
      <c r="M807" s="229"/>
      <c r="N807" s="228"/>
      <c r="O807" s="228"/>
      <c r="P807" s="228"/>
      <c r="Q807" s="228"/>
      <c r="R807" s="231"/>
      <c r="S807" s="232"/>
      <c r="T807" s="233"/>
      <c r="U807" s="234"/>
      <c r="V807" s="232"/>
      <c r="W807" s="235"/>
    </row>
    <row r="808" spans="5:23" ht="12.75">
      <c r="E808" s="374"/>
      <c r="F808" s="239"/>
      <c r="G808" s="240"/>
      <c r="H808" s="224" t="str">
        <f t="shared" si="42"/>
        <v/>
      </c>
      <c r="I808" s="225" t="str">
        <f t="shared" si="42"/>
        <v/>
      </c>
      <c r="J808" s="225" t="str">
        <f t="shared" si="42"/>
        <v/>
      </c>
      <c r="K808" s="241" t="str">
        <f t="shared" si="41"/>
        <v/>
      </c>
      <c r="L808" s="228"/>
      <c r="M808" s="229"/>
      <c r="N808" s="228"/>
      <c r="O808" s="228"/>
      <c r="P808" s="228"/>
      <c r="Q808" s="228"/>
      <c r="R808" s="231"/>
      <c r="S808" s="232"/>
      <c r="T808" s="233"/>
      <c r="U808" s="234"/>
      <c r="V808" s="232"/>
      <c r="W808" s="235"/>
    </row>
    <row r="809" spans="5:23" ht="12.75">
      <c r="E809" s="374"/>
      <c r="F809" s="239"/>
      <c r="G809" s="240"/>
      <c r="H809" s="224" t="str">
        <f t="shared" si="42"/>
        <v/>
      </c>
      <c r="I809" s="225" t="str">
        <f t="shared" si="42"/>
        <v/>
      </c>
      <c r="J809" s="225" t="str">
        <f t="shared" si="42"/>
        <v/>
      </c>
      <c r="K809" s="241" t="str">
        <f t="shared" si="41"/>
        <v/>
      </c>
      <c r="L809" s="228"/>
      <c r="M809" s="229"/>
      <c r="N809" s="228"/>
      <c r="O809" s="228"/>
      <c r="P809" s="228"/>
      <c r="Q809" s="228"/>
      <c r="R809" s="231"/>
      <c r="S809" s="232"/>
      <c r="T809" s="233"/>
      <c r="U809" s="234"/>
      <c r="V809" s="232"/>
      <c r="W809" s="235"/>
    </row>
    <row r="810" spans="5:23" ht="12.75">
      <c r="E810" s="374"/>
      <c r="F810" s="239"/>
      <c r="G810" s="240"/>
      <c r="H810" s="224" t="str">
        <f t="shared" si="42"/>
        <v/>
      </c>
      <c r="I810" s="225" t="str">
        <f t="shared" si="42"/>
        <v/>
      </c>
      <c r="J810" s="225" t="str">
        <f t="shared" si="42"/>
        <v/>
      </c>
      <c r="K810" s="241" t="str">
        <f t="shared" si="41"/>
        <v/>
      </c>
      <c r="L810" s="228"/>
      <c r="M810" s="229"/>
      <c r="N810" s="228"/>
      <c r="O810" s="228"/>
      <c r="P810" s="228"/>
      <c r="Q810" s="228"/>
      <c r="R810" s="231"/>
      <c r="S810" s="232"/>
      <c r="T810" s="233"/>
      <c r="U810" s="234"/>
      <c r="V810" s="232"/>
      <c r="W810" s="235"/>
    </row>
    <row r="811" spans="5:23" ht="12.75">
      <c r="E811" s="374"/>
      <c r="F811" s="239"/>
      <c r="G811" s="240"/>
      <c r="H811" s="224" t="str">
        <f t="shared" si="42"/>
        <v/>
      </c>
      <c r="I811" s="225" t="str">
        <f t="shared" si="42"/>
        <v/>
      </c>
      <c r="J811" s="225" t="str">
        <f t="shared" si="42"/>
        <v/>
      </c>
      <c r="K811" s="241" t="str">
        <f t="shared" si="41"/>
        <v/>
      </c>
      <c r="L811" s="228"/>
      <c r="M811" s="229"/>
      <c r="N811" s="228"/>
      <c r="O811" s="228"/>
      <c r="P811" s="228"/>
      <c r="Q811" s="228"/>
      <c r="R811" s="231"/>
      <c r="S811" s="232"/>
      <c r="T811" s="233"/>
      <c r="U811" s="234"/>
      <c r="V811" s="232"/>
      <c r="W811" s="235"/>
    </row>
    <row r="812" spans="5:23" ht="12.75">
      <c r="E812" s="374"/>
      <c r="F812" s="239"/>
      <c r="G812" s="240"/>
      <c r="H812" s="224" t="str">
        <f t="shared" si="42"/>
        <v/>
      </c>
      <c r="I812" s="225" t="str">
        <f t="shared" si="42"/>
        <v/>
      </c>
      <c r="J812" s="225" t="str">
        <f t="shared" si="42"/>
        <v/>
      </c>
      <c r="K812" s="241" t="str">
        <f t="shared" si="41"/>
        <v/>
      </c>
      <c r="L812" s="228"/>
      <c r="M812" s="229"/>
      <c r="N812" s="228"/>
      <c r="O812" s="228"/>
      <c r="P812" s="228"/>
      <c r="Q812" s="228"/>
      <c r="R812" s="231"/>
      <c r="S812" s="232"/>
      <c r="T812" s="233"/>
      <c r="U812" s="234"/>
      <c r="V812" s="232"/>
      <c r="W812" s="235"/>
    </row>
    <row r="813" spans="5:23" ht="12.75">
      <c r="E813" s="374"/>
      <c r="F813" s="239"/>
      <c r="G813" s="240"/>
      <c r="H813" s="224" t="str">
        <f t="shared" si="42"/>
        <v/>
      </c>
      <c r="I813" s="225" t="str">
        <f t="shared" si="42"/>
        <v/>
      </c>
      <c r="J813" s="225" t="str">
        <f t="shared" si="42"/>
        <v/>
      </c>
      <c r="K813" s="241" t="str">
        <f t="shared" si="41"/>
        <v/>
      </c>
      <c r="L813" s="228"/>
      <c r="M813" s="229"/>
      <c r="N813" s="228"/>
      <c r="O813" s="228"/>
      <c r="P813" s="228"/>
      <c r="Q813" s="228"/>
      <c r="R813" s="231"/>
      <c r="S813" s="232"/>
      <c r="T813" s="233"/>
      <c r="U813" s="234"/>
      <c r="V813" s="232"/>
      <c r="W813" s="235"/>
    </row>
    <row r="814" spans="5:23" ht="12.75">
      <c r="E814" s="374"/>
      <c r="F814" s="239"/>
      <c r="G814" s="240"/>
      <c r="H814" s="224" t="str">
        <f t="shared" si="42"/>
        <v/>
      </c>
      <c r="I814" s="225" t="str">
        <f t="shared" si="42"/>
        <v/>
      </c>
      <c r="J814" s="225" t="str">
        <f t="shared" si="42"/>
        <v/>
      </c>
      <c r="K814" s="241" t="str">
        <f t="shared" si="41"/>
        <v/>
      </c>
      <c r="L814" s="228"/>
      <c r="M814" s="229"/>
      <c r="N814" s="228"/>
      <c r="O814" s="228"/>
      <c r="P814" s="228"/>
      <c r="Q814" s="228"/>
      <c r="R814" s="231"/>
      <c r="S814" s="232"/>
      <c r="T814" s="233"/>
      <c r="U814" s="234"/>
      <c r="V814" s="232"/>
      <c r="W814" s="235"/>
    </row>
    <row r="815" spans="5:23" ht="12.75">
      <c r="E815" s="374"/>
      <c r="F815" s="239"/>
      <c r="G815" s="240"/>
      <c r="H815" s="224" t="str">
        <f t="shared" si="42"/>
        <v/>
      </c>
      <c r="I815" s="225" t="str">
        <f t="shared" si="42"/>
        <v/>
      </c>
      <c r="J815" s="225" t="str">
        <f t="shared" si="42"/>
        <v/>
      </c>
      <c r="K815" s="241" t="str">
        <f t="shared" si="41"/>
        <v/>
      </c>
      <c r="L815" s="228"/>
      <c r="M815" s="229"/>
      <c r="N815" s="228"/>
      <c r="O815" s="228"/>
      <c r="P815" s="228"/>
      <c r="Q815" s="228"/>
      <c r="R815" s="231"/>
      <c r="S815" s="232"/>
      <c r="T815" s="233"/>
      <c r="U815" s="234"/>
      <c r="V815" s="232"/>
      <c r="W815" s="235"/>
    </row>
    <row r="816" spans="5:23" ht="12.75">
      <c r="E816" s="374"/>
      <c r="F816" s="239"/>
      <c r="G816" s="240"/>
      <c r="H816" s="224" t="str">
        <f t="shared" si="42"/>
        <v/>
      </c>
      <c r="I816" s="225" t="str">
        <f t="shared" si="42"/>
        <v/>
      </c>
      <c r="J816" s="225" t="str">
        <f t="shared" si="42"/>
        <v/>
      </c>
      <c r="K816" s="241" t="str">
        <f t="shared" si="41"/>
        <v/>
      </c>
      <c r="L816" s="228"/>
      <c r="M816" s="229"/>
      <c r="N816" s="228"/>
      <c r="O816" s="228"/>
      <c r="P816" s="228"/>
      <c r="Q816" s="228"/>
      <c r="R816" s="231"/>
      <c r="S816" s="232"/>
      <c r="T816" s="233"/>
      <c r="U816" s="234"/>
      <c r="V816" s="232"/>
      <c r="W816" s="235"/>
    </row>
    <row r="817" spans="5:23" ht="12.75">
      <c r="E817" s="374"/>
      <c r="F817" s="239"/>
      <c r="G817" s="240"/>
      <c r="H817" s="224" t="str">
        <f t="shared" si="42"/>
        <v/>
      </c>
      <c r="I817" s="225" t="str">
        <f t="shared" si="42"/>
        <v/>
      </c>
      <c r="J817" s="225" t="str">
        <f t="shared" si="42"/>
        <v/>
      </c>
      <c r="K817" s="241" t="str">
        <f t="shared" si="41"/>
        <v/>
      </c>
      <c r="L817" s="228"/>
      <c r="M817" s="229"/>
      <c r="N817" s="228"/>
      <c r="O817" s="228"/>
      <c r="P817" s="228"/>
      <c r="Q817" s="228"/>
      <c r="R817" s="231"/>
      <c r="S817" s="232"/>
      <c r="T817" s="233"/>
      <c r="U817" s="234"/>
      <c r="V817" s="232"/>
      <c r="W817" s="235"/>
    </row>
    <row r="818" spans="5:23" ht="12.75">
      <c r="E818" s="374"/>
      <c r="F818" s="239"/>
      <c r="G818" s="240"/>
      <c r="H818" s="224" t="str">
        <f t="shared" si="42"/>
        <v/>
      </c>
      <c r="I818" s="225" t="str">
        <f t="shared" si="42"/>
        <v/>
      </c>
      <c r="J818" s="225" t="str">
        <f t="shared" si="42"/>
        <v/>
      </c>
      <c r="K818" s="241" t="str">
        <f t="shared" si="41"/>
        <v/>
      </c>
      <c r="L818" s="228"/>
      <c r="M818" s="229"/>
      <c r="N818" s="228"/>
      <c r="O818" s="228"/>
      <c r="P818" s="228"/>
      <c r="Q818" s="228"/>
      <c r="R818" s="231"/>
      <c r="S818" s="232"/>
      <c r="T818" s="233"/>
      <c r="U818" s="234"/>
      <c r="V818" s="232"/>
      <c r="W818" s="235"/>
    </row>
    <row r="819" spans="5:23" ht="12.75">
      <c r="E819" s="374"/>
      <c r="F819" s="239"/>
      <c r="G819" s="240"/>
      <c r="H819" s="224" t="str">
        <f t="shared" si="42"/>
        <v/>
      </c>
      <c r="I819" s="225" t="str">
        <f t="shared" si="42"/>
        <v/>
      </c>
      <c r="J819" s="225" t="str">
        <f t="shared" si="42"/>
        <v/>
      </c>
      <c r="K819" s="241" t="str">
        <f t="shared" si="41"/>
        <v/>
      </c>
      <c r="L819" s="228"/>
      <c r="M819" s="229"/>
      <c r="N819" s="228"/>
      <c r="O819" s="228"/>
      <c r="P819" s="228"/>
      <c r="Q819" s="228"/>
      <c r="R819" s="231"/>
      <c r="S819" s="232"/>
      <c r="T819" s="233"/>
      <c r="U819" s="234"/>
      <c r="V819" s="232"/>
      <c r="W819" s="235"/>
    </row>
    <row r="820" spans="5:23" ht="12.75">
      <c r="E820" s="374"/>
      <c r="F820" s="239"/>
      <c r="G820" s="240"/>
      <c r="H820" s="224" t="str">
        <f t="shared" si="42"/>
        <v/>
      </c>
      <c r="I820" s="225" t="str">
        <f t="shared" si="42"/>
        <v/>
      </c>
      <c r="J820" s="225" t="str">
        <f t="shared" si="42"/>
        <v/>
      </c>
      <c r="K820" s="241" t="str">
        <f t="shared" si="41"/>
        <v/>
      </c>
      <c r="L820" s="228"/>
      <c r="M820" s="229"/>
      <c r="N820" s="228"/>
      <c r="O820" s="228"/>
      <c r="P820" s="228"/>
      <c r="Q820" s="228"/>
      <c r="R820" s="231"/>
      <c r="S820" s="232"/>
      <c r="T820" s="233"/>
      <c r="U820" s="234"/>
      <c r="V820" s="232"/>
      <c r="W820" s="235"/>
    </row>
    <row r="821" spans="5:23" ht="12.75">
      <c r="E821" s="374"/>
      <c r="F821" s="239"/>
      <c r="G821" s="240"/>
      <c r="H821" s="224" t="str">
        <f t="shared" si="42"/>
        <v/>
      </c>
      <c r="I821" s="225" t="str">
        <f t="shared" si="42"/>
        <v/>
      </c>
      <c r="J821" s="225" t="str">
        <f t="shared" si="42"/>
        <v/>
      </c>
      <c r="K821" s="241" t="str">
        <f t="shared" si="41"/>
        <v/>
      </c>
      <c r="L821" s="228"/>
      <c r="M821" s="229"/>
      <c r="N821" s="228"/>
      <c r="O821" s="228"/>
      <c r="P821" s="228"/>
      <c r="Q821" s="228"/>
      <c r="R821" s="231"/>
      <c r="S821" s="232"/>
      <c r="T821" s="233"/>
      <c r="U821" s="234"/>
      <c r="V821" s="232"/>
      <c r="W821" s="235"/>
    </row>
    <row r="822" spans="5:23" ht="12.75">
      <c r="E822" s="374"/>
      <c r="F822" s="239"/>
      <c r="G822" s="240"/>
      <c r="H822" s="224" t="str">
        <f t="shared" si="42"/>
        <v/>
      </c>
      <c r="I822" s="225" t="str">
        <f t="shared" si="42"/>
        <v/>
      </c>
      <c r="J822" s="225" t="str">
        <f t="shared" si="42"/>
        <v/>
      </c>
      <c r="K822" s="241" t="str">
        <f t="shared" si="41"/>
        <v/>
      </c>
      <c r="L822" s="228"/>
      <c r="M822" s="229"/>
      <c r="N822" s="228"/>
      <c r="O822" s="228"/>
      <c r="P822" s="228"/>
      <c r="Q822" s="228"/>
      <c r="R822" s="231"/>
      <c r="S822" s="232"/>
      <c r="T822" s="233"/>
      <c r="U822" s="234"/>
      <c r="V822" s="232"/>
      <c r="W822" s="235"/>
    </row>
    <row r="823" spans="5:23" ht="12.75">
      <c r="E823" s="374"/>
      <c r="F823" s="239"/>
      <c r="G823" s="240"/>
      <c r="H823" s="224" t="str">
        <f t="shared" si="42"/>
        <v/>
      </c>
      <c r="I823" s="225" t="str">
        <f t="shared" si="42"/>
        <v/>
      </c>
      <c r="J823" s="225" t="str">
        <f t="shared" si="42"/>
        <v/>
      </c>
      <c r="K823" s="241" t="str">
        <f t="shared" si="41"/>
        <v/>
      </c>
      <c r="L823" s="228"/>
      <c r="M823" s="229"/>
      <c r="N823" s="228"/>
      <c r="O823" s="228"/>
      <c r="P823" s="228"/>
      <c r="Q823" s="228"/>
      <c r="R823" s="231"/>
      <c r="S823" s="232"/>
      <c r="T823" s="233"/>
      <c r="U823" s="234"/>
      <c r="V823" s="232"/>
      <c r="W823" s="235"/>
    </row>
    <row r="824" spans="5:23" ht="12.75">
      <c r="E824" s="374"/>
      <c r="F824" s="239"/>
      <c r="G824" s="240"/>
      <c r="H824" s="224" t="str">
        <f t="shared" si="42"/>
        <v/>
      </c>
      <c r="I824" s="225" t="str">
        <f t="shared" si="42"/>
        <v/>
      </c>
      <c r="J824" s="225" t="str">
        <f t="shared" si="42"/>
        <v/>
      </c>
      <c r="K824" s="241" t="str">
        <f t="shared" si="41"/>
        <v/>
      </c>
      <c r="L824" s="228"/>
      <c r="M824" s="229"/>
      <c r="N824" s="228"/>
      <c r="O824" s="228"/>
      <c r="P824" s="228"/>
      <c r="Q824" s="228"/>
      <c r="R824" s="231"/>
      <c r="S824" s="232"/>
      <c r="T824" s="233"/>
      <c r="U824" s="234"/>
      <c r="V824" s="232"/>
      <c r="W824" s="235"/>
    </row>
    <row r="825" spans="5:23" ht="12.75">
      <c r="E825" s="374"/>
      <c r="F825" s="239"/>
      <c r="G825" s="240"/>
      <c r="H825" s="224" t="str">
        <f t="shared" si="42"/>
        <v/>
      </c>
      <c r="I825" s="225" t="str">
        <f t="shared" si="42"/>
        <v/>
      </c>
      <c r="J825" s="225" t="str">
        <f t="shared" si="42"/>
        <v/>
      </c>
      <c r="K825" s="241" t="str">
        <f t="shared" si="41"/>
        <v/>
      </c>
      <c r="L825" s="228"/>
      <c r="M825" s="229"/>
      <c r="N825" s="228"/>
      <c r="O825" s="228"/>
      <c r="P825" s="228"/>
      <c r="Q825" s="228"/>
      <c r="R825" s="231"/>
      <c r="S825" s="232"/>
      <c r="T825" s="233"/>
      <c r="U825" s="234"/>
      <c r="V825" s="232"/>
      <c r="W825" s="235"/>
    </row>
    <row r="826" spans="5:23" ht="12.75">
      <c r="E826" s="374"/>
      <c r="F826" s="239"/>
      <c r="G826" s="240"/>
      <c r="H826" s="224" t="str">
        <f t="shared" si="42"/>
        <v/>
      </c>
      <c r="I826" s="225" t="str">
        <f t="shared" si="42"/>
        <v/>
      </c>
      <c r="J826" s="225" t="str">
        <f t="shared" si="42"/>
        <v/>
      </c>
      <c r="K826" s="241" t="str">
        <f t="shared" si="41"/>
        <v/>
      </c>
      <c r="L826" s="228"/>
      <c r="M826" s="229"/>
      <c r="N826" s="228"/>
      <c r="O826" s="228"/>
      <c r="P826" s="228"/>
      <c r="Q826" s="228"/>
      <c r="R826" s="231"/>
      <c r="S826" s="232"/>
      <c r="T826" s="233"/>
      <c r="U826" s="234"/>
      <c r="V826" s="232"/>
      <c r="W826" s="235"/>
    </row>
    <row r="827" spans="5:23" ht="12.75">
      <c r="E827" s="374"/>
      <c r="F827" s="239"/>
      <c r="G827" s="240"/>
      <c r="H827" s="224" t="str">
        <f t="shared" si="42"/>
        <v/>
      </c>
      <c r="I827" s="225" t="str">
        <f t="shared" si="42"/>
        <v/>
      </c>
      <c r="J827" s="225" t="str">
        <f t="shared" si="42"/>
        <v/>
      </c>
      <c r="K827" s="241" t="str">
        <f t="shared" si="41"/>
        <v/>
      </c>
      <c r="L827" s="228"/>
      <c r="M827" s="229"/>
      <c r="N827" s="228"/>
      <c r="O827" s="228"/>
      <c r="P827" s="228"/>
      <c r="Q827" s="228"/>
      <c r="R827" s="231"/>
      <c r="S827" s="232"/>
      <c r="T827" s="233"/>
      <c r="U827" s="234"/>
      <c r="V827" s="232"/>
      <c r="W827" s="235"/>
    </row>
    <row r="828" spans="5:23" ht="12.75">
      <c r="E828" s="374"/>
      <c r="F828" s="239"/>
      <c r="G828" s="240"/>
      <c r="H828" s="224" t="str">
        <f t="shared" si="42"/>
        <v/>
      </c>
      <c r="I828" s="225" t="str">
        <f t="shared" si="42"/>
        <v/>
      </c>
      <c r="J828" s="225" t="str">
        <f t="shared" si="42"/>
        <v/>
      </c>
      <c r="K828" s="241" t="str">
        <f t="shared" si="41"/>
        <v/>
      </c>
      <c r="L828" s="228"/>
      <c r="M828" s="229"/>
      <c r="N828" s="228"/>
      <c r="O828" s="228"/>
      <c r="P828" s="228"/>
      <c r="Q828" s="228"/>
      <c r="R828" s="231"/>
      <c r="S828" s="232"/>
      <c r="T828" s="233"/>
      <c r="U828" s="234"/>
      <c r="V828" s="232"/>
      <c r="W828" s="235"/>
    </row>
    <row r="829" spans="5:23" ht="12.75">
      <c r="E829" s="374"/>
      <c r="F829" s="239"/>
      <c r="G829" s="240"/>
      <c r="H829" s="224" t="str">
        <f t="shared" si="42"/>
        <v/>
      </c>
      <c r="I829" s="225" t="str">
        <f t="shared" si="42"/>
        <v/>
      </c>
      <c r="J829" s="225" t="str">
        <f t="shared" si="42"/>
        <v/>
      </c>
      <c r="K829" s="241" t="str">
        <f t="shared" si="41"/>
        <v/>
      </c>
      <c r="L829" s="228"/>
      <c r="M829" s="229"/>
      <c r="N829" s="228"/>
      <c r="O829" s="228"/>
      <c r="P829" s="228"/>
      <c r="Q829" s="228"/>
      <c r="R829" s="231"/>
      <c r="S829" s="232"/>
      <c r="T829" s="233"/>
      <c r="U829" s="234"/>
      <c r="V829" s="232"/>
      <c r="W829" s="235"/>
    </row>
    <row r="830" spans="5:23" ht="12.75">
      <c r="E830" s="374"/>
      <c r="F830" s="239"/>
      <c r="G830" s="240"/>
      <c r="H830" s="224" t="str">
        <f t="shared" si="42"/>
        <v/>
      </c>
      <c r="I830" s="225" t="str">
        <f t="shared" si="42"/>
        <v/>
      </c>
      <c r="J830" s="225" t="str">
        <f t="shared" si="42"/>
        <v/>
      </c>
      <c r="K830" s="241" t="str">
        <f t="shared" si="41"/>
        <v/>
      </c>
      <c r="L830" s="228"/>
      <c r="M830" s="229"/>
      <c r="N830" s="228"/>
      <c r="O830" s="228"/>
      <c r="P830" s="228"/>
      <c r="Q830" s="228"/>
      <c r="R830" s="231"/>
      <c r="S830" s="232"/>
      <c r="T830" s="233"/>
      <c r="U830" s="234"/>
      <c r="V830" s="232"/>
      <c r="W830" s="235"/>
    </row>
    <row r="831" spans="5:23" ht="12.75">
      <c r="E831" s="374"/>
      <c r="F831" s="239"/>
      <c r="G831" s="240"/>
      <c r="H831" s="224" t="str">
        <f t="shared" si="42"/>
        <v/>
      </c>
      <c r="I831" s="225" t="str">
        <f t="shared" si="42"/>
        <v/>
      </c>
      <c r="J831" s="225" t="str">
        <f t="shared" si="42"/>
        <v/>
      </c>
      <c r="K831" s="241" t="str">
        <f t="shared" si="41"/>
        <v/>
      </c>
      <c r="L831" s="228"/>
      <c r="M831" s="229"/>
      <c r="N831" s="228"/>
      <c r="O831" s="228"/>
      <c r="P831" s="228"/>
      <c r="Q831" s="228"/>
      <c r="R831" s="231"/>
      <c r="S831" s="232"/>
      <c r="T831" s="233"/>
      <c r="U831" s="234"/>
      <c r="V831" s="232"/>
      <c r="W831" s="235"/>
    </row>
    <row r="832" spans="5:23" ht="12.75">
      <c r="E832" s="374"/>
      <c r="F832" s="239"/>
      <c r="G832" s="240"/>
      <c r="H832" s="224" t="str">
        <f t="shared" si="42"/>
        <v/>
      </c>
      <c r="I832" s="225" t="str">
        <f t="shared" si="42"/>
        <v/>
      </c>
      <c r="J832" s="225" t="str">
        <f t="shared" si="42"/>
        <v/>
      </c>
      <c r="K832" s="241" t="str">
        <f t="shared" si="41"/>
        <v/>
      </c>
      <c r="L832" s="228"/>
      <c r="M832" s="229"/>
      <c r="N832" s="228"/>
      <c r="O832" s="228"/>
      <c r="P832" s="228"/>
      <c r="Q832" s="228"/>
      <c r="R832" s="231"/>
      <c r="S832" s="232"/>
      <c r="T832" s="233"/>
      <c r="U832" s="234"/>
      <c r="V832" s="232"/>
      <c r="W832" s="235"/>
    </row>
    <row r="833" spans="5:23" ht="12.75">
      <c r="E833" s="374"/>
      <c r="F833" s="239"/>
      <c r="G833" s="240"/>
      <c r="H833" s="224" t="str">
        <f t="shared" si="42"/>
        <v/>
      </c>
      <c r="I833" s="225" t="str">
        <f t="shared" si="42"/>
        <v/>
      </c>
      <c r="J833" s="225" t="str">
        <f t="shared" si="42"/>
        <v/>
      </c>
      <c r="K833" s="241" t="str">
        <f t="shared" si="41"/>
        <v/>
      </c>
      <c r="L833" s="228"/>
      <c r="M833" s="229"/>
      <c r="N833" s="228"/>
      <c r="O833" s="228"/>
      <c r="P833" s="228"/>
      <c r="Q833" s="228"/>
      <c r="R833" s="231"/>
      <c r="S833" s="232"/>
      <c r="T833" s="233"/>
      <c r="U833" s="234"/>
      <c r="V833" s="232"/>
      <c r="W833" s="235"/>
    </row>
    <row r="834" spans="5:23" ht="12.75">
      <c r="E834" s="374"/>
      <c r="F834" s="239"/>
      <c r="G834" s="240"/>
      <c r="H834" s="224" t="str">
        <f t="shared" si="42"/>
        <v/>
      </c>
      <c r="I834" s="225" t="str">
        <f t="shared" si="42"/>
        <v/>
      </c>
      <c r="J834" s="225" t="str">
        <f t="shared" si="42"/>
        <v/>
      </c>
      <c r="K834" s="241" t="str">
        <f t="shared" si="41"/>
        <v/>
      </c>
      <c r="L834" s="228"/>
      <c r="M834" s="229"/>
      <c r="N834" s="228"/>
      <c r="O834" s="228"/>
      <c r="P834" s="228"/>
      <c r="Q834" s="228"/>
      <c r="R834" s="231"/>
      <c r="S834" s="232"/>
      <c r="T834" s="233"/>
      <c r="U834" s="234"/>
      <c r="V834" s="232"/>
      <c r="W834" s="235"/>
    </row>
    <row r="835" spans="5:23" ht="12.75">
      <c r="E835" s="374"/>
      <c r="F835" s="239"/>
      <c r="G835" s="240"/>
      <c r="H835" s="224" t="str">
        <f t="shared" si="42"/>
        <v/>
      </c>
      <c r="I835" s="225" t="str">
        <f t="shared" si="42"/>
        <v/>
      </c>
      <c r="J835" s="225" t="str">
        <f t="shared" si="42"/>
        <v/>
      </c>
      <c r="K835" s="241" t="str">
        <f t="shared" si="41"/>
        <v/>
      </c>
      <c r="L835" s="228"/>
      <c r="M835" s="229"/>
      <c r="N835" s="228"/>
      <c r="O835" s="228"/>
      <c r="P835" s="228"/>
      <c r="Q835" s="228"/>
      <c r="R835" s="231"/>
      <c r="S835" s="232"/>
      <c r="T835" s="233"/>
      <c r="U835" s="234"/>
      <c r="V835" s="232"/>
      <c r="W835" s="235"/>
    </row>
    <row r="836" spans="5:23" ht="12.75">
      <c r="E836" s="374"/>
      <c r="F836" s="239"/>
      <c r="G836" s="240"/>
      <c r="H836" s="224" t="str">
        <f t="shared" si="42"/>
        <v/>
      </c>
      <c r="I836" s="225" t="str">
        <f t="shared" si="42"/>
        <v/>
      </c>
      <c r="J836" s="225" t="str">
        <f t="shared" si="42"/>
        <v/>
      </c>
      <c r="K836" s="241" t="str">
        <f t="shared" si="41"/>
        <v/>
      </c>
      <c r="L836" s="228"/>
      <c r="M836" s="229"/>
      <c r="N836" s="228"/>
      <c r="O836" s="228"/>
      <c r="P836" s="228"/>
      <c r="Q836" s="228"/>
      <c r="R836" s="231"/>
      <c r="S836" s="232"/>
      <c r="T836" s="233"/>
      <c r="U836" s="234"/>
      <c r="V836" s="232"/>
      <c r="W836" s="235"/>
    </row>
    <row r="837" spans="5:23" ht="12.75">
      <c r="E837" s="374"/>
      <c r="F837" s="239"/>
      <c r="G837" s="240"/>
      <c r="H837" s="224" t="str">
        <f t="shared" si="42"/>
        <v/>
      </c>
      <c r="I837" s="225" t="str">
        <f t="shared" si="42"/>
        <v/>
      </c>
      <c r="J837" s="225" t="str">
        <f t="shared" si="42"/>
        <v/>
      </c>
      <c r="K837" s="241" t="str">
        <f t="shared" si="41"/>
        <v/>
      </c>
      <c r="L837" s="228"/>
      <c r="M837" s="229"/>
      <c r="N837" s="228"/>
      <c r="O837" s="228"/>
      <c r="P837" s="228"/>
      <c r="Q837" s="228"/>
      <c r="R837" s="231"/>
      <c r="S837" s="232"/>
      <c r="T837" s="233"/>
      <c r="U837" s="234"/>
      <c r="V837" s="232"/>
      <c r="W837" s="235"/>
    </row>
    <row r="838" spans="5:23" ht="12.75">
      <c r="E838" s="374"/>
      <c r="F838" s="239"/>
      <c r="G838" s="240"/>
      <c r="H838" s="224" t="str">
        <f t="shared" si="42"/>
        <v/>
      </c>
      <c r="I838" s="225" t="str">
        <f t="shared" si="42"/>
        <v/>
      </c>
      <c r="J838" s="225" t="str">
        <f t="shared" si="42"/>
        <v/>
      </c>
      <c r="K838" s="241" t="str">
        <f t="shared" si="41"/>
        <v/>
      </c>
      <c r="L838" s="228"/>
      <c r="M838" s="229"/>
      <c r="N838" s="228"/>
      <c r="O838" s="228"/>
      <c r="P838" s="228"/>
      <c r="Q838" s="228"/>
      <c r="R838" s="231"/>
      <c r="S838" s="232"/>
      <c r="T838" s="233"/>
      <c r="U838" s="234"/>
      <c r="V838" s="232"/>
      <c r="W838" s="235"/>
    </row>
    <row r="839" spans="5:23" ht="12.75">
      <c r="E839" s="374"/>
      <c r="F839" s="239"/>
      <c r="G839" s="240"/>
      <c r="H839" s="224" t="str">
        <f t="shared" si="42"/>
        <v/>
      </c>
      <c r="I839" s="225" t="str">
        <f t="shared" si="42"/>
        <v/>
      </c>
      <c r="J839" s="225" t="str">
        <f t="shared" si="42"/>
        <v/>
      </c>
      <c r="K839" s="241" t="str">
        <f t="shared" si="41"/>
        <v/>
      </c>
      <c r="L839" s="228"/>
      <c r="M839" s="229"/>
      <c r="N839" s="228"/>
      <c r="O839" s="228"/>
      <c r="P839" s="228"/>
      <c r="Q839" s="228"/>
      <c r="R839" s="231"/>
      <c r="S839" s="232"/>
      <c r="T839" s="233"/>
      <c r="U839" s="234"/>
      <c r="V839" s="232"/>
      <c r="W839" s="235"/>
    </row>
    <row r="840" spans="5:23" ht="12.75">
      <c r="E840" s="374"/>
      <c r="F840" s="239"/>
      <c r="G840" s="240"/>
      <c r="H840" s="224" t="str">
        <f t="shared" si="42"/>
        <v/>
      </c>
      <c r="I840" s="225" t="str">
        <f t="shared" si="42"/>
        <v/>
      </c>
      <c r="J840" s="225" t="str">
        <f t="shared" si="42"/>
        <v/>
      </c>
      <c r="K840" s="241" t="str">
        <f t="shared" si="41"/>
        <v/>
      </c>
      <c r="L840" s="228"/>
      <c r="M840" s="229"/>
      <c r="N840" s="228"/>
      <c r="O840" s="228"/>
      <c r="P840" s="228"/>
      <c r="Q840" s="228"/>
      <c r="R840" s="231"/>
      <c r="S840" s="232"/>
      <c r="T840" s="233"/>
      <c r="U840" s="234"/>
      <c r="V840" s="232"/>
      <c r="W840" s="235"/>
    </row>
    <row r="841" spans="5:23" ht="12.75">
      <c r="E841" s="374"/>
      <c r="F841" s="239"/>
      <c r="G841" s="240"/>
      <c r="H841" s="224" t="str">
        <f t="shared" si="42"/>
        <v/>
      </c>
      <c r="I841" s="225" t="str">
        <f t="shared" si="42"/>
        <v/>
      </c>
      <c r="J841" s="225" t="str">
        <f t="shared" si="42"/>
        <v/>
      </c>
      <c r="K841" s="241" t="str">
        <f t="shared" si="41"/>
        <v/>
      </c>
      <c r="L841" s="228"/>
      <c r="M841" s="229"/>
      <c r="N841" s="228"/>
      <c r="O841" s="228"/>
      <c r="P841" s="228"/>
      <c r="Q841" s="228"/>
      <c r="R841" s="231"/>
      <c r="S841" s="232"/>
      <c r="T841" s="233"/>
      <c r="U841" s="234"/>
      <c r="V841" s="232"/>
      <c r="W841" s="235"/>
    </row>
    <row r="842" spans="5:23" ht="12.75">
      <c r="E842" s="374"/>
      <c r="F842" s="239"/>
      <c r="G842" s="240"/>
      <c r="H842" s="224" t="str">
        <f t="shared" si="42"/>
        <v/>
      </c>
      <c r="I842" s="225" t="str">
        <f t="shared" si="42"/>
        <v/>
      </c>
      <c r="J842" s="225" t="str">
        <f t="shared" si="42"/>
        <v/>
      </c>
      <c r="K842" s="241" t="str">
        <f t="shared" si="41"/>
        <v/>
      </c>
      <c r="L842" s="228"/>
      <c r="M842" s="229"/>
      <c r="N842" s="228"/>
      <c r="O842" s="228"/>
      <c r="P842" s="228"/>
      <c r="Q842" s="228"/>
      <c r="R842" s="231"/>
      <c r="S842" s="232"/>
      <c r="T842" s="233"/>
      <c r="U842" s="234"/>
      <c r="V842" s="232"/>
      <c r="W842" s="235"/>
    </row>
    <row r="843" spans="5:23" ht="12.75">
      <c r="E843" s="374"/>
      <c r="F843" s="239"/>
      <c r="G843" s="240"/>
      <c r="H843" s="224" t="str">
        <f t="shared" si="42"/>
        <v/>
      </c>
      <c r="I843" s="225" t="str">
        <f t="shared" si="42"/>
        <v/>
      </c>
      <c r="J843" s="225" t="str">
        <f t="shared" si="42"/>
        <v/>
      </c>
      <c r="K843" s="241" t="str">
        <f t="shared" si="41"/>
        <v/>
      </c>
      <c r="L843" s="228"/>
      <c r="M843" s="229"/>
      <c r="N843" s="228"/>
      <c r="O843" s="228"/>
      <c r="P843" s="228"/>
      <c r="Q843" s="228"/>
      <c r="R843" s="231"/>
      <c r="S843" s="232"/>
      <c r="T843" s="233"/>
      <c r="U843" s="234"/>
      <c r="V843" s="232"/>
      <c r="W843" s="235"/>
    </row>
    <row r="844" spans="5:23" ht="12.75">
      <c r="E844" s="374"/>
      <c r="F844" s="239"/>
      <c r="G844" s="240"/>
      <c r="H844" s="224" t="str">
        <f t="shared" si="42"/>
        <v/>
      </c>
      <c r="I844" s="225" t="str">
        <f t="shared" si="42"/>
        <v/>
      </c>
      <c r="J844" s="225" t="str">
        <f t="shared" si="42"/>
        <v/>
      </c>
      <c r="K844" s="241" t="str">
        <f t="shared" si="41"/>
        <v/>
      </c>
      <c r="L844" s="228"/>
      <c r="M844" s="229"/>
      <c r="N844" s="228"/>
      <c r="O844" s="228"/>
      <c r="P844" s="228"/>
      <c r="Q844" s="228"/>
      <c r="R844" s="231"/>
      <c r="S844" s="232"/>
      <c r="T844" s="233"/>
      <c r="U844" s="234"/>
      <c r="V844" s="232"/>
      <c r="W844" s="235"/>
    </row>
    <row r="845" spans="5:23" ht="12.75">
      <c r="E845" s="374"/>
      <c r="F845" s="239"/>
      <c r="G845" s="240"/>
      <c r="H845" s="224" t="str">
        <f t="shared" si="42"/>
        <v/>
      </c>
      <c r="I845" s="225" t="str">
        <f t="shared" si="42"/>
        <v/>
      </c>
      <c r="J845" s="225" t="str">
        <f t="shared" si="42"/>
        <v/>
      </c>
      <c r="K845" s="241" t="str">
        <f t="shared" si="41"/>
        <v/>
      </c>
      <c r="L845" s="228"/>
      <c r="M845" s="229"/>
      <c r="N845" s="228"/>
      <c r="O845" s="228"/>
      <c r="P845" s="228"/>
      <c r="Q845" s="228"/>
      <c r="R845" s="231"/>
      <c r="S845" s="232"/>
      <c r="T845" s="233"/>
      <c r="U845" s="234"/>
      <c r="V845" s="232"/>
      <c r="W845" s="235"/>
    </row>
    <row r="846" spans="5:23" ht="12.75">
      <c r="E846" s="374"/>
      <c r="F846" s="239"/>
      <c r="G846" s="240"/>
      <c r="H846" s="224" t="str">
        <f t="shared" si="42"/>
        <v/>
      </c>
      <c r="I846" s="225" t="str">
        <f t="shared" si="42"/>
        <v/>
      </c>
      <c r="J846" s="225" t="str">
        <f t="shared" si="42"/>
        <v/>
      </c>
      <c r="K846" s="241" t="str">
        <f t="shared" si="42"/>
        <v/>
      </c>
      <c r="L846" s="228"/>
      <c r="M846" s="229"/>
      <c r="N846" s="228"/>
      <c r="O846" s="228"/>
      <c r="P846" s="228"/>
      <c r="Q846" s="228"/>
      <c r="R846" s="231"/>
      <c r="S846" s="232"/>
      <c r="T846" s="233"/>
      <c r="U846" s="234"/>
      <c r="V846" s="232"/>
      <c r="W846" s="235"/>
    </row>
    <row r="847" spans="5:23" ht="12.75">
      <c r="E847" s="374"/>
      <c r="F847" s="239"/>
      <c r="G847" s="240"/>
      <c r="H847" s="224" t="str">
        <f t="shared" ref="H847:K870" si="43">IF(A330="","",A330)</f>
        <v/>
      </c>
      <c r="I847" s="225" t="str">
        <f t="shared" si="43"/>
        <v/>
      </c>
      <c r="J847" s="225" t="str">
        <f t="shared" si="43"/>
        <v/>
      </c>
      <c r="K847" s="241" t="str">
        <f t="shared" si="43"/>
        <v/>
      </c>
      <c r="L847" s="228"/>
      <c r="M847" s="229"/>
      <c r="N847" s="228"/>
      <c r="O847" s="228"/>
      <c r="P847" s="228"/>
      <c r="Q847" s="228"/>
      <c r="R847" s="231"/>
      <c r="S847" s="232"/>
      <c r="T847" s="233"/>
      <c r="U847" s="234"/>
      <c r="V847" s="232"/>
      <c r="W847" s="235"/>
    </row>
    <row r="848" spans="5:23" ht="12.75">
      <c r="E848" s="374"/>
      <c r="F848" s="239"/>
      <c r="G848" s="240"/>
      <c r="H848" s="224" t="str">
        <f t="shared" si="43"/>
        <v/>
      </c>
      <c r="I848" s="225" t="str">
        <f t="shared" si="43"/>
        <v/>
      </c>
      <c r="J848" s="225" t="str">
        <f t="shared" si="43"/>
        <v/>
      </c>
      <c r="K848" s="241" t="str">
        <f t="shared" si="43"/>
        <v/>
      </c>
      <c r="L848" s="228"/>
      <c r="M848" s="229"/>
      <c r="N848" s="228"/>
      <c r="O848" s="228"/>
      <c r="P848" s="228"/>
      <c r="Q848" s="228"/>
      <c r="R848" s="231"/>
      <c r="S848" s="232"/>
      <c r="T848" s="233"/>
      <c r="U848" s="234"/>
      <c r="V848" s="232"/>
      <c r="W848" s="235"/>
    </row>
    <row r="849" spans="5:23" ht="12.75">
      <c r="E849" s="374"/>
      <c r="F849" s="239"/>
      <c r="G849" s="240"/>
      <c r="H849" s="224" t="str">
        <f t="shared" si="43"/>
        <v/>
      </c>
      <c r="I849" s="225" t="str">
        <f t="shared" si="43"/>
        <v/>
      </c>
      <c r="J849" s="225" t="str">
        <f t="shared" si="43"/>
        <v/>
      </c>
      <c r="K849" s="241" t="str">
        <f t="shared" si="43"/>
        <v/>
      </c>
      <c r="L849" s="228"/>
      <c r="M849" s="229"/>
      <c r="N849" s="228"/>
      <c r="O849" s="228"/>
      <c r="P849" s="228"/>
      <c r="Q849" s="228"/>
      <c r="R849" s="231"/>
      <c r="S849" s="232"/>
      <c r="T849" s="233"/>
      <c r="U849" s="234"/>
      <c r="V849" s="232"/>
      <c r="W849" s="235"/>
    </row>
    <row r="850" spans="5:23" ht="12.75">
      <c r="E850" s="374"/>
      <c r="F850" s="239"/>
      <c r="G850" s="240"/>
      <c r="H850" s="224" t="str">
        <f t="shared" si="43"/>
        <v/>
      </c>
      <c r="I850" s="225" t="str">
        <f t="shared" si="43"/>
        <v/>
      </c>
      <c r="J850" s="225" t="str">
        <f t="shared" si="43"/>
        <v/>
      </c>
      <c r="K850" s="241" t="str">
        <f t="shared" si="43"/>
        <v/>
      </c>
      <c r="L850" s="228"/>
      <c r="M850" s="229"/>
      <c r="N850" s="228"/>
      <c r="O850" s="228"/>
      <c r="P850" s="228"/>
      <c r="Q850" s="228"/>
      <c r="R850" s="231"/>
      <c r="S850" s="232"/>
      <c r="T850" s="233"/>
      <c r="U850" s="234"/>
      <c r="V850" s="232"/>
      <c r="W850" s="235"/>
    </row>
    <row r="851" spans="5:23" ht="12.75">
      <c r="E851" s="374"/>
      <c r="F851" s="239"/>
      <c r="G851" s="240"/>
      <c r="H851" s="224" t="str">
        <f t="shared" si="43"/>
        <v/>
      </c>
      <c r="I851" s="225" t="str">
        <f t="shared" si="43"/>
        <v/>
      </c>
      <c r="J851" s="225" t="str">
        <f t="shared" si="43"/>
        <v/>
      </c>
      <c r="K851" s="241" t="str">
        <f t="shared" si="43"/>
        <v/>
      </c>
      <c r="L851" s="228"/>
      <c r="M851" s="229"/>
      <c r="N851" s="228"/>
      <c r="O851" s="228"/>
      <c r="P851" s="228"/>
      <c r="Q851" s="228"/>
      <c r="R851" s="231"/>
      <c r="S851" s="232"/>
      <c r="T851" s="233"/>
      <c r="U851" s="234"/>
      <c r="V851" s="232"/>
      <c r="W851" s="235"/>
    </row>
    <row r="852" spans="5:23" ht="12.75">
      <c r="E852" s="374"/>
      <c r="F852" s="239"/>
      <c r="G852" s="240"/>
      <c r="H852" s="224" t="str">
        <f t="shared" si="43"/>
        <v/>
      </c>
      <c r="I852" s="225" t="str">
        <f t="shared" si="43"/>
        <v/>
      </c>
      <c r="J852" s="225" t="str">
        <f t="shared" si="43"/>
        <v/>
      </c>
      <c r="K852" s="241" t="str">
        <f t="shared" si="43"/>
        <v/>
      </c>
      <c r="L852" s="228"/>
      <c r="M852" s="229"/>
      <c r="N852" s="228"/>
      <c r="O852" s="228"/>
      <c r="P852" s="228"/>
      <c r="Q852" s="228"/>
      <c r="R852" s="231"/>
      <c r="S852" s="232"/>
      <c r="T852" s="233"/>
      <c r="U852" s="234"/>
      <c r="V852" s="232"/>
      <c r="W852" s="235"/>
    </row>
    <row r="853" spans="5:23" ht="12.75">
      <c r="E853" s="374"/>
      <c r="F853" s="239"/>
      <c r="G853" s="240"/>
      <c r="H853" s="224" t="str">
        <f t="shared" si="43"/>
        <v/>
      </c>
      <c r="I853" s="225" t="str">
        <f t="shared" si="43"/>
        <v/>
      </c>
      <c r="J853" s="225" t="str">
        <f t="shared" si="43"/>
        <v/>
      </c>
      <c r="K853" s="241" t="str">
        <f t="shared" si="43"/>
        <v/>
      </c>
      <c r="L853" s="228"/>
      <c r="M853" s="229"/>
      <c r="N853" s="228"/>
      <c r="O853" s="228"/>
      <c r="P853" s="228"/>
      <c r="Q853" s="228"/>
      <c r="R853" s="231"/>
      <c r="S853" s="232"/>
      <c r="T853" s="233"/>
      <c r="U853" s="234"/>
      <c r="V853" s="232"/>
      <c r="W853" s="235"/>
    </row>
    <row r="854" spans="5:23" ht="12.75">
      <c r="E854" s="374"/>
      <c r="F854" s="239"/>
      <c r="G854" s="240"/>
      <c r="H854" s="224" t="str">
        <f t="shared" si="43"/>
        <v/>
      </c>
      <c r="I854" s="225" t="str">
        <f t="shared" si="43"/>
        <v/>
      </c>
      <c r="J854" s="225" t="str">
        <f t="shared" si="43"/>
        <v/>
      </c>
      <c r="K854" s="241" t="str">
        <f t="shared" si="43"/>
        <v/>
      </c>
      <c r="L854" s="228"/>
      <c r="M854" s="229"/>
      <c r="N854" s="228"/>
      <c r="O854" s="228"/>
      <c r="P854" s="228"/>
      <c r="Q854" s="228"/>
      <c r="R854" s="231"/>
      <c r="S854" s="232"/>
      <c r="T854" s="233"/>
      <c r="U854" s="234"/>
      <c r="V854" s="232"/>
      <c r="W854" s="235"/>
    </row>
    <row r="855" spans="5:23" ht="12.75">
      <c r="E855" s="374"/>
      <c r="F855" s="239"/>
      <c r="G855" s="240"/>
      <c r="H855" s="224" t="str">
        <f t="shared" si="43"/>
        <v/>
      </c>
      <c r="I855" s="225" t="str">
        <f t="shared" si="43"/>
        <v/>
      </c>
      <c r="J855" s="225" t="str">
        <f t="shared" si="43"/>
        <v/>
      </c>
      <c r="K855" s="241" t="str">
        <f t="shared" si="43"/>
        <v/>
      </c>
      <c r="L855" s="228"/>
      <c r="M855" s="229"/>
      <c r="N855" s="228"/>
      <c r="O855" s="228"/>
      <c r="P855" s="228"/>
      <c r="Q855" s="228"/>
      <c r="R855" s="231"/>
      <c r="S855" s="232"/>
      <c r="T855" s="233"/>
      <c r="U855" s="234"/>
      <c r="V855" s="232"/>
      <c r="W855" s="235"/>
    </row>
    <row r="856" spans="5:23" ht="12.75">
      <c r="E856" s="374"/>
      <c r="F856" s="239"/>
      <c r="G856" s="240"/>
      <c r="H856" s="224" t="str">
        <f t="shared" si="43"/>
        <v/>
      </c>
      <c r="I856" s="225" t="str">
        <f t="shared" si="43"/>
        <v/>
      </c>
      <c r="J856" s="225" t="str">
        <f t="shared" si="43"/>
        <v/>
      </c>
      <c r="K856" s="241" t="str">
        <f t="shared" si="43"/>
        <v/>
      </c>
      <c r="L856" s="228"/>
      <c r="M856" s="229"/>
      <c r="N856" s="228"/>
      <c r="O856" s="228"/>
      <c r="P856" s="228"/>
      <c r="Q856" s="228"/>
      <c r="R856" s="231"/>
      <c r="S856" s="232"/>
      <c r="T856" s="233"/>
      <c r="U856" s="234"/>
      <c r="V856" s="232"/>
      <c r="W856" s="235"/>
    </row>
    <row r="857" spans="5:23" ht="12.75">
      <c r="E857" s="374"/>
      <c r="F857" s="239"/>
      <c r="G857" s="240"/>
      <c r="H857" s="224" t="str">
        <f t="shared" si="43"/>
        <v/>
      </c>
      <c r="I857" s="225" t="str">
        <f t="shared" si="43"/>
        <v/>
      </c>
      <c r="J857" s="225" t="str">
        <f t="shared" si="43"/>
        <v/>
      </c>
      <c r="K857" s="241" t="str">
        <f t="shared" si="43"/>
        <v/>
      </c>
      <c r="L857" s="228"/>
      <c r="M857" s="229"/>
      <c r="N857" s="228"/>
      <c r="O857" s="228"/>
      <c r="P857" s="228"/>
      <c r="Q857" s="228"/>
      <c r="R857" s="231"/>
      <c r="S857" s="232"/>
      <c r="T857" s="233"/>
      <c r="U857" s="234"/>
      <c r="V857" s="232"/>
      <c r="W857" s="235"/>
    </row>
    <row r="858" spans="5:23" ht="12.75">
      <c r="E858" s="374"/>
      <c r="F858" s="239"/>
      <c r="G858" s="240"/>
      <c r="H858" s="224" t="str">
        <f t="shared" si="43"/>
        <v/>
      </c>
      <c r="I858" s="225" t="str">
        <f t="shared" si="43"/>
        <v/>
      </c>
      <c r="J858" s="225" t="str">
        <f t="shared" si="43"/>
        <v/>
      </c>
      <c r="K858" s="241" t="str">
        <f t="shared" si="43"/>
        <v/>
      </c>
      <c r="L858" s="228"/>
      <c r="M858" s="229"/>
      <c r="N858" s="228"/>
      <c r="O858" s="228"/>
      <c r="P858" s="228"/>
      <c r="Q858" s="228"/>
      <c r="R858" s="231"/>
      <c r="S858" s="232"/>
      <c r="T858" s="233"/>
      <c r="U858" s="234"/>
      <c r="V858" s="232"/>
      <c r="W858" s="235"/>
    </row>
    <row r="859" spans="5:23" ht="12.75">
      <c r="E859" s="374"/>
      <c r="F859" s="239"/>
      <c r="G859" s="240"/>
      <c r="H859" s="224" t="str">
        <f t="shared" si="43"/>
        <v/>
      </c>
      <c r="I859" s="225" t="str">
        <f t="shared" si="43"/>
        <v/>
      </c>
      <c r="J859" s="225" t="str">
        <f t="shared" si="43"/>
        <v/>
      </c>
      <c r="K859" s="241" t="str">
        <f t="shared" si="43"/>
        <v/>
      </c>
      <c r="L859" s="228"/>
      <c r="M859" s="229"/>
      <c r="N859" s="228"/>
      <c r="O859" s="228"/>
      <c r="P859" s="228"/>
      <c r="Q859" s="228"/>
      <c r="R859" s="231"/>
      <c r="S859" s="232"/>
      <c r="T859" s="233"/>
      <c r="U859" s="234"/>
      <c r="V859" s="232"/>
      <c r="W859" s="235"/>
    </row>
    <row r="860" spans="5:23" ht="12.75">
      <c r="E860" s="374"/>
      <c r="F860" s="239"/>
      <c r="G860" s="240"/>
      <c r="H860" s="224" t="str">
        <f t="shared" si="43"/>
        <v/>
      </c>
      <c r="I860" s="225" t="str">
        <f t="shared" si="43"/>
        <v/>
      </c>
      <c r="J860" s="225" t="str">
        <f t="shared" si="43"/>
        <v/>
      </c>
      <c r="K860" s="241" t="str">
        <f t="shared" si="43"/>
        <v/>
      </c>
      <c r="L860" s="228"/>
      <c r="M860" s="229"/>
      <c r="N860" s="228"/>
      <c r="O860" s="228"/>
      <c r="P860" s="228"/>
      <c r="Q860" s="228"/>
      <c r="R860" s="231"/>
      <c r="S860" s="232"/>
      <c r="T860" s="233"/>
      <c r="U860" s="234"/>
      <c r="V860" s="232"/>
      <c r="W860" s="235"/>
    </row>
    <row r="861" spans="5:23" ht="12.75">
      <c r="E861" s="374"/>
      <c r="F861" s="239"/>
      <c r="G861" s="240"/>
      <c r="H861" s="224" t="str">
        <f t="shared" si="43"/>
        <v/>
      </c>
      <c r="I861" s="225" t="str">
        <f t="shared" si="43"/>
        <v/>
      </c>
      <c r="J861" s="225" t="str">
        <f t="shared" si="43"/>
        <v/>
      </c>
      <c r="K861" s="241" t="str">
        <f t="shared" si="43"/>
        <v/>
      </c>
      <c r="L861" s="228"/>
      <c r="M861" s="229"/>
      <c r="N861" s="228"/>
      <c r="O861" s="228"/>
      <c r="P861" s="228"/>
      <c r="Q861" s="228"/>
      <c r="R861" s="231"/>
      <c r="S861" s="232"/>
      <c r="T861" s="233"/>
      <c r="U861" s="234"/>
      <c r="V861" s="232"/>
      <c r="W861" s="235"/>
    </row>
    <row r="862" spans="5:23" ht="12.75">
      <c r="E862" s="374"/>
      <c r="F862" s="239"/>
      <c r="G862" s="240"/>
      <c r="H862" s="224" t="str">
        <f t="shared" si="43"/>
        <v/>
      </c>
      <c r="I862" s="225" t="str">
        <f t="shared" si="43"/>
        <v/>
      </c>
      <c r="J862" s="225" t="str">
        <f t="shared" si="43"/>
        <v/>
      </c>
      <c r="K862" s="241" t="str">
        <f t="shared" si="43"/>
        <v/>
      </c>
      <c r="L862" s="228"/>
      <c r="M862" s="229"/>
      <c r="N862" s="228"/>
      <c r="O862" s="228"/>
      <c r="P862" s="228"/>
      <c r="Q862" s="228"/>
      <c r="R862" s="231"/>
      <c r="S862" s="232"/>
      <c r="T862" s="233"/>
      <c r="U862" s="234"/>
      <c r="V862" s="232"/>
      <c r="W862" s="235"/>
    </row>
    <row r="863" spans="5:23" ht="12.75">
      <c r="E863" s="374"/>
      <c r="F863" s="239"/>
      <c r="G863" s="240"/>
      <c r="H863" s="224" t="str">
        <f t="shared" si="43"/>
        <v/>
      </c>
      <c r="I863" s="225" t="str">
        <f t="shared" si="43"/>
        <v/>
      </c>
      <c r="J863" s="225" t="str">
        <f t="shared" si="43"/>
        <v/>
      </c>
      <c r="K863" s="241" t="str">
        <f t="shared" si="43"/>
        <v/>
      </c>
      <c r="L863" s="228"/>
      <c r="M863" s="229"/>
      <c r="N863" s="228"/>
      <c r="O863" s="228"/>
      <c r="P863" s="228"/>
      <c r="Q863" s="228"/>
      <c r="R863" s="231"/>
      <c r="S863" s="232"/>
      <c r="T863" s="233"/>
      <c r="U863" s="234"/>
      <c r="V863" s="232"/>
      <c r="W863" s="235"/>
    </row>
    <row r="864" spans="5:23" ht="12.75">
      <c r="E864" s="374"/>
      <c r="F864" s="239"/>
      <c r="G864" s="240"/>
      <c r="H864" s="224" t="str">
        <f t="shared" si="43"/>
        <v/>
      </c>
      <c r="I864" s="225" t="str">
        <f t="shared" si="43"/>
        <v/>
      </c>
      <c r="J864" s="225" t="str">
        <f t="shared" si="43"/>
        <v/>
      </c>
      <c r="K864" s="241" t="str">
        <f t="shared" si="43"/>
        <v/>
      </c>
      <c r="L864" s="228"/>
      <c r="M864" s="229"/>
      <c r="N864" s="228"/>
      <c r="O864" s="228"/>
      <c r="P864" s="228"/>
      <c r="Q864" s="228"/>
      <c r="R864" s="231"/>
      <c r="S864" s="232"/>
      <c r="T864" s="233"/>
      <c r="U864" s="234"/>
      <c r="V864" s="232"/>
      <c r="W864" s="235"/>
    </row>
    <row r="865" spans="5:23" ht="12.75">
      <c r="E865" s="374"/>
      <c r="F865" s="239"/>
      <c r="G865" s="240"/>
      <c r="H865" s="224" t="str">
        <f t="shared" si="43"/>
        <v/>
      </c>
      <c r="I865" s="225" t="str">
        <f t="shared" si="43"/>
        <v/>
      </c>
      <c r="J865" s="225" t="str">
        <f t="shared" si="43"/>
        <v/>
      </c>
      <c r="K865" s="241" t="str">
        <f t="shared" si="43"/>
        <v/>
      </c>
      <c r="L865" s="228"/>
      <c r="M865" s="229"/>
      <c r="N865" s="228"/>
      <c r="O865" s="228"/>
      <c r="P865" s="228"/>
      <c r="Q865" s="228"/>
      <c r="R865" s="231"/>
      <c r="S865" s="232"/>
      <c r="T865" s="233"/>
      <c r="U865" s="234"/>
      <c r="V865" s="232"/>
      <c r="W865" s="235"/>
    </row>
    <row r="866" spans="5:23" ht="12.75">
      <c r="E866" s="374"/>
      <c r="F866" s="239"/>
      <c r="G866" s="240"/>
      <c r="H866" s="224" t="str">
        <f t="shared" si="43"/>
        <v/>
      </c>
      <c r="I866" s="225" t="str">
        <f t="shared" si="43"/>
        <v/>
      </c>
      <c r="J866" s="225" t="str">
        <f t="shared" si="43"/>
        <v/>
      </c>
      <c r="K866" s="241" t="str">
        <f t="shared" si="43"/>
        <v/>
      </c>
      <c r="L866" s="228"/>
      <c r="M866" s="229"/>
      <c r="N866" s="228"/>
      <c r="O866" s="228"/>
      <c r="P866" s="228"/>
      <c r="Q866" s="228"/>
      <c r="R866" s="231"/>
      <c r="S866" s="232"/>
      <c r="T866" s="233"/>
      <c r="U866" s="234"/>
      <c r="V866" s="232"/>
      <c r="W866" s="235"/>
    </row>
    <row r="867" spans="5:23" ht="12.75">
      <c r="E867" s="374"/>
      <c r="F867" s="239"/>
      <c r="G867" s="240"/>
      <c r="H867" s="224" t="str">
        <f t="shared" si="43"/>
        <v/>
      </c>
      <c r="I867" s="225" t="str">
        <f t="shared" si="43"/>
        <v/>
      </c>
      <c r="J867" s="225" t="str">
        <f t="shared" si="43"/>
        <v/>
      </c>
      <c r="K867" s="241" t="str">
        <f t="shared" si="43"/>
        <v/>
      </c>
      <c r="L867" s="228"/>
      <c r="M867" s="229"/>
      <c r="N867" s="228"/>
      <c r="O867" s="228"/>
      <c r="P867" s="228"/>
      <c r="Q867" s="228"/>
      <c r="R867" s="231"/>
      <c r="S867" s="232"/>
      <c r="T867" s="233"/>
      <c r="U867" s="234"/>
      <c r="V867" s="232"/>
      <c r="W867" s="235"/>
    </row>
    <row r="868" spans="5:23" ht="12.75">
      <c r="E868" s="374"/>
      <c r="F868" s="239"/>
      <c r="G868" s="240"/>
      <c r="H868" s="224" t="str">
        <f t="shared" si="43"/>
        <v/>
      </c>
      <c r="I868" s="225" t="str">
        <f t="shared" si="43"/>
        <v/>
      </c>
      <c r="J868" s="225" t="str">
        <f t="shared" si="43"/>
        <v/>
      </c>
      <c r="K868" s="241" t="str">
        <f t="shared" si="43"/>
        <v/>
      </c>
      <c r="L868" s="228"/>
      <c r="M868" s="229"/>
      <c r="N868" s="228"/>
      <c r="O868" s="228"/>
      <c r="P868" s="228"/>
      <c r="Q868" s="228"/>
      <c r="R868" s="231"/>
      <c r="S868" s="232"/>
      <c r="T868" s="233"/>
      <c r="U868" s="234"/>
      <c r="V868" s="232"/>
      <c r="W868" s="235"/>
    </row>
    <row r="869" spans="5:23" ht="12.75">
      <c r="E869" s="374"/>
      <c r="F869" s="239"/>
      <c r="G869" s="240"/>
      <c r="H869" s="224" t="str">
        <f t="shared" si="43"/>
        <v/>
      </c>
      <c r="I869" s="225" t="str">
        <f t="shared" si="43"/>
        <v/>
      </c>
      <c r="J869" s="225" t="str">
        <f t="shared" si="43"/>
        <v/>
      </c>
      <c r="K869" s="241" t="str">
        <f t="shared" si="43"/>
        <v/>
      </c>
      <c r="L869" s="228"/>
      <c r="M869" s="229"/>
      <c r="N869" s="228"/>
      <c r="O869" s="228"/>
      <c r="P869" s="228"/>
      <c r="Q869" s="228"/>
      <c r="R869" s="231"/>
      <c r="S869" s="232"/>
      <c r="T869" s="233"/>
      <c r="U869" s="234"/>
      <c r="V869" s="232"/>
      <c r="W869" s="235"/>
    </row>
    <row r="870" spans="5:23" ht="12.75">
      <c r="E870" s="374"/>
      <c r="F870" s="239"/>
      <c r="G870" s="240"/>
      <c r="H870" s="224" t="str">
        <f t="shared" si="43"/>
        <v/>
      </c>
      <c r="I870" s="225" t="str">
        <f t="shared" si="43"/>
        <v/>
      </c>
      <c r="J870" s="225" t="str">
        <f t="shared" si="43"/>
        <v/>
      </c>
      <c r="K870" s="241" t="str">
        <f t="shared" si="43"/>
        <v/>
      </c>
      <c r="L870" s="228"/>
      <c r="M870" s="229"/>
      <c r="N870" s="228"/>
      <c r="O870" s="228"/>
      <c r="P870" s="228"/>
      <c r="Q870" s="228"/>
      <c r="R870" s="231"/>
      <c r="S870" s="232"/>
      <c r="T870" s="233"/>
      <c r="U870" s="234"/>
      <c r="V870" s="232"/>
      <c r="W870" s="235"/>
    </row>
    <row r="871" spans="5:23" ht="12.75">
      <c r="E871" s="374"/>
      <c r="F871" s="239"/>
      <c r="G871" s="240"/>
      <c r="H871" s="224" t="str">
        <f t="shared" ref="H871:K886" si="44">IF(A354="","",A354)</f>
        <v/>
      </c>
      <c r="I871" s="225" t="str">
        <f t="shared" si="44"/>
        <v/>
      </c>
      <c r="J871" s="225" t="str">
        <f t="shared" si="44"/>
        <v/>
      </c>
      <c r="K871" s="241" t="str">
        <f t="shared" si="44"/>
        <v/>
      </c>
      <c r="L871" s="228"/>
      <c r="M871" s="229"/>
      <c r="N871" s="228"/>
      <c r="O871" s="228"/>
      <c r="P871" s="228"/>
      <c r="Q871" s="228"/>
      <c r="R871" s="231"/>
      <c r="S871" s="232"/>
      <c r="T871" s="233"/>
      <c r="U871" s="234"/>
      <c r="V871" s="232"/>
      <c r="W871" s="235"/>
    </row>
    <row r="872" spans="5:23" ht="12.75">
      <c r="E872" s="374"/>
      <c r="F872" s="239"/>
      <c r="G872" s="240"/>
      <c r="H872" s="224" t="str">
        <f t="shared" si="44"/>
        <v/>
      </c>
      <c r="I872" s="225" t="str">
        <f t="shared" si="44"/>
        <v/>
      </c>
      <c r="J872" s="225" t="str">
        <f t="shared" si="44"/>
        <v/>
      </c>
      <c r="K872" s="241" t="str">
        <f t="shared" si="44"/>
        <v/>
      </c>
      <c r="L872" s="228"/>
      <c r="M872" s="229"/>
      <c r="N872" s="228"/>
      <c r="O872" s="228"/>
      <c r="P872" s="228"/>
      <c r="Q872" s="228"/>
      <c r="R872" s="231"/>
      <c r="S872" s="232"/>
      <c r="T872" s="233"/>
      <c r="U872" s="234"/>
      <c r="V872" s="232"/>
      <c r="W872" s="235"/>
    </row>
    <row r="873" spans="5:23" ht="12.75">
      <c r="E873" s="374"/>
      <c r="F873" s="239"/>
      <c r="G873" s="240"/>
      <c r="H873" s="224" t="str">
        <f t="shared" si="44"/>
        <v/>
      </c>
      <c r="I873" s="225" t="str">
        <f t="shared" si="44"/>
        <v/>
      </c>
      <c r="J873" s="225" t="str">
        <f t="shared" si="44"/>
        <v/>
      </c>
      <c r="K873" s="241" t="str">
        <f t="shared" si="44"/>
        <v/>
      </c>
      <c r="L873" s="228"/>
      <c r="M873" s="229"/>
      <c r="N873" s="228"/>
      <c r="O873" s="228"/>
      <c r="P873" s="228"/>
      <c r="Q873" s="228"/>
      <c r="R873" s="231"/>
      <c r="S873" s="232"/>
      <c r="T873" s="233"/>
      <c r="U873" s="234"/>
      <c r="V873" s="232"/>
      <c r="W873" s="235"/>
    </row>
    <row r="874" spans="5:23" ht="12.75">
      <c r="E874" s="374"/>
      <c r="F874" s="239"/>
      <c r="G874" s="240"/>
      <c r="H874" s="224" t="str">
        <f t="shared" si="44"/>
        <v/>
      </c>
      <c r="I874" s="225" t="str">
        <f t="shared" si="44"/>
        <v/>
      </c>
      <c r="J874" s="225" t="str">
        <f t="shared" si="44"/>
        <v/>
      </c>
      <c r="K874" s="241" t="str">
        <f t="shared" si="44"/>
        <v/>
      </c>
      <c r="L874" s="228"/>
      <c r="M874" s="229"/>
      <c r="N874" s="228"/>
      <c r="O874" s="228"/>
      <c r="P874" s="228"/>
      <c r="Q874" s="228"/>
      <c r="R874" s="231"/>
      <c r="S874" s="232"/>
      <c r="T874" s="233"/>
      <c r="U874" s="234"/>
      <c r="V874" s="232"/>
      <c r="W874" s="235"/>
    </row>
    <row r="875" spans="5:23" ht="12.75">
      <c r="E875" s="374"/>
      <c r="F875" s="239"/>
      <c r="G875" s="240"/>
      <c r="H875" s="224" t="str">
        <f t="shared" si="44"/>
        <v/>
      </c>
      <c r="I875" s="225" t="str">
        <f t="shared" si="44"/>
        <v/>
      </c>
      <c r="J875" s="225" t="str">
        <f t="shared" si="44"/>
        <v/>
      </c>
      <c r="K875" s="241" t="str">
        <f t="shared" si="44"/>
        <v/>
      </c>
      <c r="L875" s="228"/>
      <c r="M875" s="229"/>
      <c r="N875" s="228"/>
      <c r="O875" s="228"/>
      <c r="P875" s="228"/>
      <c r="Q875" s="228"/>
      <c r="R875" s="231"/>
      <c r="S875" s="232"/>
      <c r="T875" s="233"/>
      <c r="U875" s="234"/>
      <c r="V875" s="232"/>
      <c r="W875" s="235"/>
    </row>
    <row r="876" spans="5:23" ht="12.75">
      <c r="E876" s="374"/>
      <c r="F876" s="239"/>
      <c r="G876" s="240"/>
      <c r="H876" s="224" t="str">
        <f t="shared" si="44"/>
        <v/>
      </c>
      <c r="I876" s="225" t="str">
        <f t="shared" si="44"/>
        <v/>
      </c>
      <c r="J876" s="225" t="str">
        <f t="shared" si="44"/>
        <v/>
      </c>
      <c r="K876" s="241" t="str">
        <f t="shared" si="44"/>
        <v/>
      </c>
      <c r="L876" s="228"/>
      <c r="M876" s="229"/>
      <c r="N876" s="228"/>
      <c r="O876" s="228"/>
      <c r="P876" s="228"/>
      <c r="Q876" s="228"/>
      <c r="R876" s="231"/>
      <c r="S876" s="232"/>
      <c r="T876" s="233"/>
      <c r="U876" s="234"/>
      <c r="V876" s="232"/>
      <c r="W876" s="235"/>
    </row>
    <row r="877" spans="5:23" ht="12.75">
      <c r="E877" s="374"/>
      <c r="F877" s="239"/>
      <c r="G877" s="240"/>
      <c r="H877" s="224" t="str">
        <f t="shared" si="44"/>
        <v/>
      </c>
      <c r="I877" s="225" t="str">
        <f t="shared" si="44"/>
        <v/>
      </c>
      <c r="J877" s="225" t="str">
        <f t="shared" si="44"/>
        <v/>
      </c>
      <c r="K877" s="241" t="str">
        <f t="shared" si="44"/>
        <v/>
      </c>
      <c r="L877" s="228"/>
      <c r="M877" s="229"/>
      <c r="N877" s="228"/>
      <c r="O877" s="228"/>
      <c r="P877" s="228"/>
      <c r="Q877" s="228"/>
      <c r="R877" s="231"/>
      <c r="S877" s="232"/>
      <c r="T877" s="233"/>
      <c r="U877" s="234"/>
      <c r="V877" s="232"/>
      <c r="W877" s="235"/>
    </row>
    <row r="878" spans="5:23" ht="12.75">
      <c r="E878" s="374"/>
      <c r="F878" s="239"/>
      <c r="G878" s="240"/>
      <c r="H878" s="224" t="str">
        <f t="shared" si="44"/>
        <v/>
      </c>
      <c r="I878" s="225" t="str">
        <f t="shared" si="44"/>
        <v/>
      </c>
      <c r="J878" s="225" t="str">
        <f t="shared" si="44"/>
        <v/>
      </c>
      <c r="K878" s="241" t="str">
        <f t="shared" si="44"/>
        <v/>
      </c>
      <c r="L878" s="228"/>
      <c r="M878" s="229"/>
      <c r="N878" s="228"/>
      <c r="O878" s="228"/>
      <c r="P878" s="228"/>
      <c r="Q878" s="228"/>
      <c r="R878" s="231"/>
      <c r="S878" s="232"/>
      <c r="T878" s="233"/>
      <c r="U878" s="234"/>
      <c r="V878" s="232"/>
      <c r="W878" s="235"/>
    </row>
    <row r="879" spans="5:23" ht="12.75">
      <c r="E879" s="374"/>
      <c r="F879" s="239"/>
      <c r="G879" s="240"/>
      <c r="H879" s="224" t="str">
        <f t="shared" si="44"/>
        <v/>
      </c>
      <c r="I879" s="225" t="str">
        <f t="shared" si="44"/>
        <v/>
      </c>
      <c r="J879" s="225" t="str">
        <f t="shared" si="44"/>
        <v/>
      </c>
      <c r="K879" s="241" t="str">
        <f t="shared" si="44"/>
        <v/>
      </c>
      <c r="L879" s="228"/>
      <c r="M879" s="229"/>
      <c r="N879" s="228"/>
      <c r="O879" s="228"/>
      <c r="P879" s="228"/>
      <c r="Q879" s="228"/>
      <c r="R879" s="231"/>
      <c r="S879" s="232"/>
      <c r="T879" s="233"/>
      <c r="U879" s="234"/>
      <c r="V879" s="232"/>
      <c r="W879" s="235"/>
    </row>
    <row r="880" spans="5:23" ht="12.75">
      <c r="E880" s="374"/>
      <c r="F880" s="239"/>
      <c r="G880" s="240"/>
      <c r="H880" s="224" t="str">
        <f t="shared" si="44"/>
        <v/>
      </c>
      <c r="I880" s="225" t="str">
        <f t="shared" si="44"/>
        <v/>
      </c>
      <c r="J880" s="225" t="str">
        <f t="shared" si="44"/>
        <v/>
      </c>
      <c r="K880" s="241" t="str">
        <f t="shared" si="44"/>
        <v/>
      </c>
      <c r="L880" s="228"/>
      <c r="M880" s="229"/>
      <c r="N880" s="228"/>
      <c r="O880" s="228"/>
      <c r="P880" s="228"/>
      <c r="Q880" s="228"/>
      <c r="R880" s="231"/>
      <c r="S880" s="232"/>
      <c r="T880" s="233"/>
      <c r="U880" s="234"/>
      <c r="V880" s="232"/>
      <c r="W880" s="235"/>
    </row>
    <row r="881" spans="5:23" ht="12.75">
      <c r="E881" s="374"/>
      <c r="F881" s="239"/>
      <c r="G881" s="240"/>
      <c r="H881" s="224" t="str">
        <f t="shared" si="44"/>
        <v/>
      </c>
      <c r="I881" s="225" t="str">
        <f t="shared" si="44"/>
        <v/>
      </c>
      <c r="J881" s="225" t="str">
        <f t="shared" si="44"/>
        <v/>
      </c>
      <c r="K881" s="241" t="str">
        <f t="shared" si="44"/>
        <v/>
      </c>
      <c r="L881" s="228"/>
      <c r="M881" s="229"/>
      <c r="N881" s="228"/>
      <c r="O881" s="228"/>
      <c r="P881" s="228"/>
      <c r="Q881" s="228"/>
      <c r="R881" s="231"/>
      <c r="S881" s="232"/>
      <c r="T881" s="233"/>
      <c r="U881" s="234"/>
      <c r="V881" s="232"/>
      <c r="W881" s="235"/>
    </row>
    <row r="882" spans="5:23" ht="12.75">
      <c r="E882" s="374"/>
      <c r="F882" s="239"/>
      <c r="G882" s="240"/>
      <c r="H882" s="224" t="str">
        <f t="shared" si="44"/>
        <v/>
      </c>
      <c r="I882" s="225" t="str">
        <f t="shared" si="44"/>
        <v/>
      </c>
      <c r="J882" s="225" t="str">
        <f t="shared" si="44"/>
        <v/>
      </c>
      <c r="K882" s="241" t="str">
        <f t="shared" si="44"/>
        <v/>
      </c>
      <c r="L882" s="228"/>
      <c r="M882" s="229"/>
      <c r="N882" s="228"/>
      <c r="O882" s="228"/>
      <c r="P882" s="228"/>
      <c r="Q882" s="228"/>
      <c r="R882" s="231"/>
      <c r="S882" s="232"/>
      <c r="T882" s="233"/>
      <c r="U882" s="234"/>
      <c r="V882" s="232"/>
      <c r="W882" s="235"/>
    </row>
    <row r="883" spans="5:23" ht="12.75">
      <c r="E883" s="374"/>
      <c r="F883" s="239"/>
      <c r="G883" s="240"/>
      <c r="H883" s="224" t="str">
        <f t="shared" si="44"/>
        <v/>
      </c>
      <c r="I883" s="225" t="str">
        <f t="shared" si="44"/>
        <v/>
      </c>
      <c r="J883" s="225" t="str">
        <f t="shared" si="44"/>
        <v/>
      </c>
      <c r="K883" s="241" t="str">
        <f t="shared" si="44"/>
        <v/>
      </c>
      <c r="L883" s="228"/>
      <c r="M883" s="229"/>
      <c r="N883" s="228"/>
      <c r="O883" s="228"/>
      <c r="P883" s="228"/>
      <c r="Q883" s="228"/>
      <c r="R883" s="231"/>
      <c r="S883" s="232"/>
      <c r="T883" s="233"/>
      <c r="U883" s="234"/>
      <c r="V883" s="232"/>
      <c r="W883" s="235"/>
    </row>
    <row r="884" spans="5:23" ht="12.75">
      <c r="E884" s="374"/>
      <c r="F884" s="239"/>
      <c r="G884" s="240"/>
      <c r="H884" s="224" t="str">
        <f t="shared" si="44"/>
        <v/>
      </c>
      <c r="I884" s="225" t="str">
        <f t="shared" si="44"/>
        <v/>
      </c>
      <c r="J884" s="225" t="str">
        <f t="shared" si="44"/>
        <v/>
      </c>
      <c r="K884" s="241" t="str">
        <f t="shared" si="44"/>
        <v/>
      </c>
      <c r="L884" s="228"/>
      <c r="M884" s="229"/>
      <c r="N884" s="228"/>
      <c r="O884" s="228"/>
      <c r="P884" s="228"/>
      <c r="Q884" s="228"/>
      <c r="R884" s="231"/>
      <c r="S884" s="232"/>
      <c r="T884" s="233"/>
      <c r="U884" s="234"/>
      <c r="V884" s="232"/>
      <c r="W884" s="235"/>
    </row>
    <row r="885" spans="5:23" ht="12.75">
      <c r="E885" s="374"/>
      <c r="F885" s="239"/>
      <c r="G885" s="240"/>
      <c r="H885" s="224" t="str">
        <f t="shared" si="44"/>
        <v/>
      </c>
      <c r="I885" s="225" t="str">
        <f t="shared" si="44"/>
        <v/>
      </c>
      <c r="J885" s="225" t="str">
        <f t="shared" si="44"/>
        <v/>
      </c>
      <c r="K885" s="241" t="str">
        <f t="shared" si="44"/>
        <v/>
      </c>
      <c r="L885" s="228"/>
      <c r="M885" s="229"/>
      <c r="N885" s="228"/>
      <c r="O885" s="228"/>
      <c r="P885" s="228"/>
      <c r="Q885" s="228"/>
      <c r="R885" s="231"/>
      <c r="S885" s="232"/>
      <c r="T885" s="233"/>
      <c r="U885" s="234"/>
      <c r="V885" s="232"/>
      <c r="W885" s="235"/>
    </row>
    <row r="886" spans="5:23" ht="12.75">
      <c r="E886" s="374"/>
      <c r="F886" s="239"/>
      <c r="G886" s="240"/>
      <c r="H886" s="224" t="str">
        <f t="shared" si="44"/>
        <v/>
      </c>
      <c r="I886" s="225" t="str">
        <f t="shared" si="44"/>
        <v/>
      </c>
      <c r="J886" s="225" t="str">
        <f t="shared" si="44"/>
        <v/>
      </c>
      <c r="K886" s="241" t="str">
        <f t="shared" si="44"/>
        <v/>
      </c>
      <c r="L886" s="228"/>
      <c r="M886" s="229"/>
      <c r="N886" s="228"/>
      <c r="O886" s="228"/>
      <c r="P886" s="228"/>
      <c r="Q886" s="228"/>
      <c r="R886" s="231"/>
      <c r="S886" s="232"/>
      <c r="T886" s="233"/>
      <c r="U886" s="234"/>
      <c r="V886" s="232"/>
      <c r="W886" s="235"/>
    </row>
    <row r="887" spans="5:23" ht="12.75">
      <c r="E887" s="374"/>
      <c r="F887" s="239"/>
      <c r="G887" s="240"/>
      <c r="H887" s="224" t="str">
        <f t="shared" ref="H887:K888" si="45">IF(A370="","",A370)</f>
        <v xml:space="preserve"> </v>
      </c>
      <c r="I887" s="225" t="str">
        <f t="shared" si="45"/>
        <v/>
      </c>
      <c r="J887" s="225" t="str">
        <f t="shared" si="45"/>
        <v/>
      </c>
      <c r="K887" s="241" t="str">
        <f t="shared" si="45"/>
        <v/>
      </c>
      <c r="L887" s="228"/>
      <c r="M887" s="229"/>
      <c r="N887" s="228"/>
      <c r="O887" s="228"/>
      <c r="P887" s="228"/>
      <c r="Q887" s="228"/>
      <c r="R887" s="231"/>
      <c r="S887" s="232"/>
      <c r="T887" s="233"/>
      <c r="U887" s="234"/>
      <c r="V887" s="232"/>
      <c r="W887" s="235"/>
    </row>
    <row r="888" spans="5:23" thickBot="1">
      <c r="E888" s="374"/>
      <c r="F888" s="242"/>
      <c r="G888" s="243"/>
      <c r="H888" s="244" t="str">
        <f t="shared" si="45"/>
        <v/>
      </c>
      <c r="I888" s="245" t="str">
        <f t="shared" si="45"/>
        <v/>
      </c>
      <c r="J888" s="245" t="str">
        <f t="shared" si="45"/>
        <v/>
      </c>
      <c r="K888" s="246" t="str">
        <f t="shared" si="45"/>
        <v/>
      </c>
      <c r="L888" s="247"/>
      <c r="M888" s="248"/>
      <c r="N888" s="247"/>
      <c r="O888" s="247"/>
      <c r="P888" s="247"/>
      <c r="Q888" s="247"/>
      <c r="R888" s="249"/>
      <c r="S888" s="250"/>
      <c r="T888" s="251"/>
      <c r="U888" s="252"/>
      <c r="V888" s="250"/>
      <c r="W888" s="253"/>
    </row>
    <row r="889" spans="5:23" ht="12.75">
      <c r="E889" s="374"/>
    </row>
    <row r="890" spans="5:23" thickBot="1">
      <c r="E890" s="374"/>
    </row>
  </sheetData>
  <sheetProtection selectLockedCells="1"/>
  <autoFilter ref="A3:D3" xr:uid="{00000000-0009-0000-0000-000002000000}">
    <sortState xmlns:xlrd2="http://schemas.microsoft.com/office/spreadsheetml/2017/richdata2" ref="A4:D888">
      <sortCondition descending="1" ref="D3"/>
    </sortState>
  </autoFilter>
  <mergeCells count="8">
    <mergeCell ref="A1:D2"/>
    <mergeCell ref="F1:G2"/>
    <mergeCell ref="E1:E1048576"/>
    <mergeCell ref="H1:W1"/>
    <mergeCell ref="R2:W2"/>
    <mergeCell ref="H2:K2"/>
    <mergeCell ref="P2:Q2"/>
    <mergeCell ref="N2:O2"/>
  </mergeCells>
  <phoneticPr fontId="2" type="noConversion"/>
  <conditionalFormatting sqref="A1:A2 A4:A163 A168:A1048576">
    <cfRule type="duplicateValues" dxfId="19" priority="16"/>
  </conditionalFormatting>
  <conditionalFormatting sqref="F521:F1048576 A1:A2 F1:F2 A4:A163 A168:A1048576">
    <cfRule type="duplicateValues" dxfId="18" priority="15"/>
  </conditionalFormatting>
  <conditionalFormatting sqref="A11:A13">
    <cfRule type="duplicateValues" dxfId="17" priority="14"/>
  </conditionalFormatting>
  <conditionalFormatting sqref="A11:A13">
    <cfRule type="duplicateValues" dxfId="16" priority="13"/>
  </conditionalFormatting>
  <conditionalFormatting sqref="A16:A19">
    <cfRule type="duplicateValues" dxfId="15" priority="12"/>
  </conditionalFormatting>
  <conditionalFormatting sqref="A16:A19">
    <cfRule type="duplicateValues" dxfId="14" priority="11"/>
  </conditionalFormatting>
  <conditionalFormatting sqref="A7:A9">
    <cfRule type="duplicateValues" dxfId="13" priority="10"/>
  </conditionalFormatting>
  <conditionalFormatting sqref="A7:A9">
    <cfRule type="duplicateValues" dxfId="12" priority="9"/>
  </conditionalFormatting>
  <conditionalFormatting sqref="A1:A163 A168:A1048576">
    <cfRule type="duplicateValues" dxfId="11" priority="8"/>
  </conditionalFormatting>
  <conditionalFormatting sqref="A164:A167">
    <cfRule type="duplicateValues" dxfId="10" priority="7"/>
  </conditionalFormatting>
  <conditionalFormatting sqref="A164:A167">
    <cfRule type="duplicateValues" dxfId="9" priority="6"/>
  </conditionalFormatting>
  <conditionalFormatting sqref="A164:A167">
    <cfRule type="duplicateValues" dxfId="8" priority="5"/>
  </conditionalFormatting>
  <conditionalFormatting sqref="A1:A1048576">
    <cfRule type="duplicateValues" dxfId="7" priority="4"/>
  </conditionalFormatting>
  <conditionalFormatting sqref="R4 U4">
    <cfRule type="duplicateValues" dxfId="6" priority="1"/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sector_update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1562100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38"/>
  <sheetViews>
    <sheetView zoomScale="115" zoomScaleNormal="115" workbookViewId="0">
      <selection activeCell="N26" sqref="N26"/>
    </sheetView>
  </sheetViews>
  <sheetFormatPr defaultColWidth="9.140625" defaultRowHeight="13.5"/>
  <cols>
    <col min="1" max="2" width="9.140625" style="41"/>
    <col min="3" max="3" width="20.5703125" style="41" bestFit="1" customWidth="1"/>
    <col min="4" max="4" width="11.140625" style="41" bestFit="1" customWidth="1"/>
    <col min="5" max="5" width="9.140625" style="41"/>
    <col min="6" max="7" width="12.5703125" style="41" bestFit="1" customWidth="1"/>
    <col min="8" max="9" width="9.140625" style="41"/>
    <col min="10" max="10" width="9.42578125" style="41" bestFit="1" customWidth="1"/>
    <col min="11" max="11" width="10" style="41" customWidth="1"/>
    <col min="12" max="12" width="8.5703125" style="41" bestFit="1" customWidth="1"/>
    <col min="13" max="14" width="9.28515625" style="41" bestFit="1" customWidth="1"/>
    <col min="15" max="15" width="9.140625" style="41"/>
    <col min="16" max="16" width="10" style="41" bestFit="1" customWidth="1"/>
    <col min="17" max="16384" width="9.140625" style="41"/>
  </cols>
  <sheetData>
    <row r="1" spans="2:20">
      <c r="B1" s="41" t="s">
        <v>586</v>
      </c>
      <c r="C1" s="41" t="s">
        <v>587</v>
      </c>
      <c r="D1" s="41" t="s">
        <v>587</v>
      </c>
      <c r="E1" s="41" t="s">
        <v>588</v>
      </c>
      <c r="F1" s="41" t="s">
        <v>589</v>
      </c>
    </row>
    <row r="2" spans="2:20">
      <c r="C2" s="41">
        <v>2</v>
      </c>
      <c r="D2" s="41" t="s">
        <v>634</v>
      </c>
      <c r="E2" s="41" t="s">
        <v>590</v>
      </c>
      <c r="F2" s="41" t="s">
        <v>591</v>
      </c>
      <c r="G2" s="41" t="s">
        <v>592</v>
      </c>
      <c r="H2" s="41" t="s">
        <v>593</v>
      </c>
    </row>
    <row r="3" spans="2:20">
      <c r="B3" s="41" t="s">
        <v>594</v>
      </c>
      <c r="C3" s="41" t="s">
        <v>595</v>
      </c>
      <c r="D3" s="41" t="s">
        <v>596</v>
      </c>
      <c r="E3" s="41" t="s">
        <v>597</v>
      </c>
      <c r="F3" s="41" t="s">
        <v>598</v>
      </c>
      <c r="G3" s="41" t="s">
        <v>599</v>
      </c>
      <c r="H3" s="41" t="s">
        <v>600</v>
      </c>
      <c r="I3" s="41" t="s">
        <v>601</v>
      </c>
      <c r="J3" s="41" t="s">
        <v>619</v>
      </c>
      <c r="K3" s="41" t="s">
        <v>602</v>
      </c>
      <c r="L3" s="41" t="s">
        <v>603</v>
      </c>
      <c r="M3" s="41" t="s">
        <v>604</v>
      </c>
      <c r="N3" s="41" t="s">
        <v>605</v>
      </c>
      <c r="O3" s="41" t="s">
        <v>606</v>
      </c>
      <c r="P3" s="41" t="s">
        <v>602</v>
      </c>
      <c r="Q3" s="41" t="s">
        <v>603</v>
      </c>
    </row>
    <row r="4" spans="2:20">
      <c r="B4" s="41" t="s">
        <v>607</v>
      </c>
      <c r="C4" s="42">
        <f>POWER(P4/K4,1/(J4-1))-1</f>
        <v>1.6556186169347629</v>
      </c>
      <c r="D4" s="42">
        <f>POWER(Q4/L4,1/(J4-1))-1</f>
        <v>0.14369826383233941</v>
      </c>
      <c r="E4" s="42">
        <f>(Q4*4)/P4</f>
        <v>6.7583131302650194E-3</v>
      </c>
      <c r="F4" s="43">
        <f>SUM(C4:D4)</f>
        <v>1.7993168807671023</v>
      </c>
      <c r="G4" s="41" t="b">
        <f>IF(E4&gt;3%,(D4+E4)&gt;12%)</f>
        <v>0</v>
      </c>
      <c r="H4" s="41" t="b">
        <f>IF(E4&lt;3%,(D4+E4)&gt;15%)</f>
        <v>1</v>
      </c>
      <c r="I4" s="44">
        <f t="array" ref="I4">INDEX(M4:M23,MATCH(MIN(ABS(M4:M23-C2*4)),ABS(M4:M23-C2*4),0))</f>
        <v>7.978082191780822</v>
      </c>
      <c r="J4" s="44">
        <f>YEARFRAC(O4,VLOOKUP(I4,M4:Q23,3,FALSE),3)</f>
        <v>1.9945205479452055</v>
      </c>
      <c r="K4" s="45">
        <f>VLOOKUP(I4,M4:Q23,4,FALSE)</f>
        <v>49.294998</v>
      </c>
      <c r="L4" s="44">
        <f>VLOOKUP(I4,M4:Q23,5,FALSE)</f>
        <v>0.1925</v>
      </c>
      <c r="M4" s="46">
        <f t="shared" ref="M4:M23" si="0">YEARFRAC($O$4,O4,3)*4</f>
        <v>0</v>
      </c>
      <c r="N4" s="47" t="str">
        <f t="shared" ref="N4:N23" si="1">YEAR(O4)&amp;"_Q"&amp;INT((MONTH(O4)+2)/3)</f>
        <v>2021_Q2</v>
      </c>
      <c r="O4" s="48">
        <v>44323</v>
      </c>
      <c r="P4" s="49">
        <v>130.21000699999999</v>
      </c>
      <c r="Q4" s="50">
        <v>0.22</v>
      </c>
      <c r="R4" s="47"/>
      <c r="S4" s="44"/>
      <c r="T4" s="51"/>
    </row>
    <row r="5" spans="2:20">
      <c r="M5" s="46">
        <f t="shared" si="0"/>
        <v>0.99726027397260275</v>
      </c>
      <c r="N5" s="47" t="str">
        <f t="shared" si="1"/>
        <v>2021_Q1</v>
      </c>
      <c r="O5" s="48">
        <v>44232</v>
      </c>
      <c r="P5" s="49">
        <v>136.759995</v>
      </c>
      <c r="Q5" s="50">
        <v>0.20499999999999999</v>
      </c>
      <c r="R5" s="47"/>
      <c r="S5" s="44"/>
      <c r="T5" s="51"/>
    </row>
    <row r="6" spans="2:20">
      <c r="B6" s="52"/>
      <c r="M6" s="46">
        <f t="shared" si="0"/>
        <v>1.9945205479452055</v>
      </c>
      <c r="N6" s="47" t="str">
        <f t="shared" si="1"/>
        <v>2020_Q4</v>
      </c>
      <c r="O6" s="48">
        <v>44141</v>
      </c>
      <c r="P6" s="49">
        <v>118.69000200000001</v>
      </c>
      <c r="Q6" s="50">
        <v>0.20499999999999999</v>
      </c>
      <c r="R6" s="44" t="s">
        <v>860</v>
      </c>
      <c r="S6" s="44"/>
      <c r="T6" s="51"/>
    </row>
    <row r="7" spans="2:20">
      <c r="B7" s="53"/>
      <c r="M7" s="46">
        <f t="shared" si="0"/>
        <v>2.9917808219178084</v>
      </c>
      <c r="N7" s="47" t="str">
        <f t="shared" si="1"/>
        <v>2020_Q3</v>
      </c>
      <c r="O7" s="48">
        <v>44050</v>
      </c>
      <c r="P7" s="49">
        <v>111.112503</v>
      </c>
      <c r="Q7" s="50">
        <v>0.20499999999999999</v>
      </c>
      <c r="R7" s="44" t="s">
        <v>861</v>
      </c>
      <c r="S7" s="44"/>
      <c r="T7" s="51"/>
    </row>
    <row r="8" spans="2:20">
      <c r="M8" s="46">
        <f t="shared" si="0"/>
        <v>3.989041095890411</v>
      </c>
      <c r="N8" s="47" t="str">
        <f t="shared" si="1"/>
        <v>2020_Q2</v>
      </c>
      <c r="O8" s="48">
        <v>43959</v>
      </c>
      <c r="P8" s="49">
        <v>77.532500999999996</v>
      </c>
      <c r="Q8" s="50">
        <v>0.20499999999999999</v>
      </c>
      <c r="R8" s="44" t="s">
        <v>862</v>
      </c>
      <c r="S8" s="44"/>
      <c r="T8" s="51"/>
    </row>
    <row r="9" spans="2:20">
      <c r="M9" s="46">
        <f t="shared" si="0"/>
        <v>4.9863013698630141</v>
      </c>
      <c r="N9" s="47" t="str">
        <f t="shared" si="1"/>
        <v>2020_Q1</v>
      </c>
      <c r="O9" s="48">
        <v>43868</v>
      </c>
      <c r="P9" s="49">
        <v>80.007499999999993</v>
      </c>
      <c r="Q9" s="50">
        <v>0.1925</v>
      </c>
      <c r="R9" s="44" t="s">
        <v>863</v>
      </c>
      <c r="S9" s="44"/>
      <c r="T9" s="51"/>
    </row>
    <row r="10" spans="2:20">
      <c r="B10" s="54"/>
      <c r="M10" s="46">
        <f t="shared" si="0"/>
        <v>5.9945205479452053</v>
      </c>
      <c r="N10" s="47" t="str">
        <f t="shared" si="1"/>
        <v>2019_Q4</v>
      </c>
      <c r="O10" s="48">
        <v>43776</v>
      </c>
      <c r="P10" s="49">
        <v>64.857498000000007</v>
      </c>
      <c r="Q10" s="50">
        <v>0.1925</v>
      </c>
      <c r="R10" s="47" t="s">
        <v>865</v>
      </c>
      <c r="S10" s="44"/>
      <c r="T10" s="51"/>
    </row>
    <row r="11" spans="2:20">
      <c r="M11" s="46">
        <f t="shared" si="0"/>
        <v>6.9808219178082194</v>
      </c>
      <c r="N11" s="47" t="str">
        <f t="shared" si="1"/>
        <v>2019_Q3</v>
      </c>
      <c r="O11" s="48">
        <v>43686</v>
      </c>
      <c r="P11" s="49">
        <v>50.247501</v>
      </c>
      <c r="Q11" s="50">
        <v>0.1925</v>
      </c>
      <c r="R11" s="47"/>
      <c r="S11" s="44"/>
      <c r="T11" s="51"/>
    </row>
    <row r="12" spans="2:20">
      <c r="M12" s="46">
        <f t="shared" si="0"/>
        <v>7.978082191780822</v>
      </c>
      <c r="N12" s="47" t="str">
        <f t="shared" si="1"/>
        <v>2019_Q2</v>
      </c>
      <c r="O12" s="48">
        <v>43595</v>
      </c>
      <c r="P12" s="49">
        <v>49.294998</v>
      </c>
      <c r="Q12" s="50">
        <v>0.1925</v>
      </c>
      <c r="R12" s="47"/>
      <c r="S12" s="44"/>
      <c r="T12" s="51"/>
    </row>
    <row r="13" spans="2:20">
      <c r="M13" s="46">
        <f t="shared" si="0"/>
        <v>8.9753424657534246</v>
      </c>
      <c r="N13" s="47" t="str">
        <f t="shared" si="1"/>
        <v>2019_Q1</v>
      </c>
      <c r="O13" s="48">
        <v>43504</v>
      </c>
      <c r="P13" s="49">
        <v>42.602500999999997</v>
      </c>
      <c r="Q13" s="50">
        <v>0.1825</v>
      </c>
      <c r="R13" s="47"/>
      <c r="S13" s="44"/>
      <c r="T13" s="51"/>
    </row>
    <row r="14" spans="2:20">
      <c r="M14" s="46">
        <f t="shared" si="0"/>
        <v>9.9835616438356158</v>
      </c>
      <c r="N14" s="47" t="str">
        <f t="shared" si="1"/>
        <v>2018_Q4</v>
      </c>
      <c r="O14" s="48">
        <v>43412</v>
      </c>
      <c r="P14" s="49">
        <v>52.122501</v>
      </c>
      <c r="Q14" s="50">
        <v>0.1825</v>
      </c>
      <c r="R14" s="47"/>
      <c r="S14" s="44"/>
      <c r="T14" s="51"/>
    </row>
    <row r="15" spans="2:20">
      <c r="M15" s="46">
        <f t="shared" si="0"/>
        <v>10.96986301369863</v>
      </c>
      <c r="N15" s="47" t="str">
        <f t="shared" si="1"/>
        <v>2018_Q3</v>
      </c>
      <c r="O15" s="48">
        <v>43322</v>
      </c>
      <c r="P15" s="49">
        <v>51.8825</v>
      </c>
      <c r="Q15" s="50">
        <v>0.1825</v>
      </c>
      <c r="R15" s="47"/>
      <c r="S15" s="44"/>
      <c r="T15" s="51"/>
    </row>
    <row r="16" spans="2:20">
      <c r="M16" s="46">
        <f t="shared" si="0"/>
        <v>11.967123287671233</v>
      </c>
      <c r="N16" s="47" t="str">
        <f t="shared" si="1"/>
        <v>2018_Q2</v>
      </c>
      <c r="O16" s="48">
        <v>43231</v>
      </c>
      <c r="P16" s="49">
        <v>47.147499000000003</v>
      </c>
      <c r="Q16" s="50">
        <v>0.1825</v>
      </c>
      <c r="R16" s="47"/>
      <c r="S16" s="44"/>
      <c r="T16" s="51"/>
    </row>
    <row r="17" spans="3:21">
      <c r="M17" s="46">
        <f t="shared" si="0"/>
        <v>12.964383561643835</v>
      </c>
      <c r="N17" s="47" t="str">
        <f t="shared" si="1"/>
        <v>2018_Q1</v>
      </c>
      <c r="O17" s="48">
        <v>43140</v>
      </c>
      <c r="P17" s="49">
        <v>39.102500999999997</v>
      </c>
      <c r="Q17" s="50">
        <v>0.1575</v>
      </c>
      <c r="R17" s="47"/>
      <c r="S17" s="44"/>
      <c r="T17" s="51"/>
    </row>
    <row r="18" spans="3:21">
      <c r="M18" s="46">
        <f t="shared" si="0"/>
        <v>13.961643835616439</v>
      </c>
      <c r="N18" s="47" t="str">
        <f t="shared" si="1"/>
        <v>2017_Q4</v>
      </c>
      <c r="O18" s="48">
        <v>43049</v>
      </c>
      <c r="P18" s="49">
        <v>43.667499999999997</v>
      </c>
      <c r="Q18" s="50">
        <v>0.1575</v>
      </c>
      <c r="R18" s="47"/>
      <c r="S18" s="44"/>
      <c r="T18" s="51"/>
    </row>
    <row r="19" spans="3:21">
      <c r="M19" s="46">
        <f t="shared" si="0"/>
        <v>14.96986301369863</v>
      </c>
      <c r="N19" s="47" t="str">
        <f t="shared" si="1"/>
        <v>2017_Q3</v>
      </c>
      <c r="O19" s="48">
        <v>42957</v>
      </c>
      <c r="P19" s="49">
        <v>38.830002</v>
      </c>
      <c r="Q19" s="50">
        <v>0.1575</v>
      </c>
      <c r="R19" s="47"/>
      <c r="S19" s="41" t="s">
        <v>3</v>
      </c>
      <c r="T19" s="41" t="s">
        <v>609</v>
      </c>
      <c r="U19" s="41" t="s">
        <v>3</v>
      </c>
    </row>
    <row r="20" spans="3:21">
      <c r="M20" s="46">
        <f t="shared" si="0"/>
        <v>15.967123287671233</v>
      </c>
      <c r="N20" s="47" t="str">
        <f t="shared" si="1"/>
        <v>2017_Q2</v>
      </c>
      <c r="O20" s="48">
        <v>42866</v>
      </c>
      <c r="P20" s="49">
        <v>38.487499</v>
      </c>
      <c r="Q20" s="50">
        <v>0.1575</v>
      </c>
      <c r="R20" s="47"/>
      <c r="S20" s="41" t="s">
        <v>608</v>
      </c>
      <c r="T20" s="41" t="s">
        <v>610</v>
      </c>
      <c r="U20" s="41" t="s">
        <v>612</v>
      </c>
    </row>
    <row r="21" spans="3:21">
      <c r="M21" s="46">
        <f t="shared" si="0"/>
        <v>16.964383561643835</v>
      </c>
      <c r="N21" s="47" t="str">
        <f t="shared" si="1"/>
        <v>2017_Q1</v>
      </c>
      <c r="O21" s="48">
        <v>42775</v>
      </c>
      <c r="P21" s="49">
        <v>33.104999999999997</v>
      </c>
      <c r="Q21" s="50">
        <v>0.14249999999999999</v>
      </c>
      <c r="R21" s="47"/>
      <c r="T21" s="41" t="s">
        <v>611</v>
      </c>
    </row>
    <row r="22" spans="3:21">
      <c r="M22" s="46">
        <f t="shared" si="0"/>
        <v>18.038356164383561</v>
      </c>
      <c r="N22" s="47" t="str">
        <f t="shared" si="1"/>
        <v>2016_Q4</v>
      </c>
      <c r="O22" s="48">
        <v>42677</v>
      </c>
      <c r="P22" s="49">
        <v>27.4575</v>
      </c>
      <c r="Q22" s="50">
        <v>0.14249999999999999</v>
      </c>
      <c r="R22" s="47"/>
      <c r="S22" s="44"/>
      <c r="T22" s="51"/>
    </row>
    <row r="23" spans="3:21">
      <c r="M23" s="46">
        <f t="shared" si="0"/>
        <v>19.035616438356165</v>
      </c>
      <c r="N23" s="47" t="str">
        <f t="shared" si="1"/>
        <v>2016_Q3</v>
      </c>
      <c r="O23" s="48">
        <v>42586</v>
      </c>
      <c r="P23" s="49">
        <v>26.467500999999999</v>
      </c>
      <c r="Q23" s="50">
        <v>0.14249999999999999</v>
      </c>
      <c r="R23" s="47"/>
      <c r="S23" s="44"/>
      <c r="T23" s="51"/>
    </row>
    <row r="24" spans="3:21" ht="14.25" thickBot="1"/>
    <row r="25" spans="3:21">
      <c r="N25" s="71"/>
      <c r="O25" s="72" t="s">
        <v>630</v>
      </c>
      <c r="P25" s="72"/>
      <c r="Q25" s="72"/>
      <c r="R25" s="79"/>
    </row>
    <row r="26" spans="3:21">
      <c r="N26" s="56"/>
      <c r="O26" s="57" t="s">
        <v>627</v>
      </c>
      <c r="P26" s="57" t="s">
        <v>628</v>
      </c>
      <c r="Q26" s="57" t="s">
        <v>629</v>
      </c>
      <c r="R26" s="80" t="s">
        <v>638</v>
      </c>
    </row>
    <row r="27" spans="3:21">
      <c r="N27" s="56" t="s">
        <v>631</v>
      </c>
      <c r="O27" s="57">
        <v>3</v>
      </c>
      <c r="P27" s="57">
        <v>2</v>
      </c>
      <c r="Q27" s="57">
        <v>3</v>
      </c>
      <c r="R27" s="80">
        <f>SUM(O27:Q27)</f>
        <v>8</v>
      </c>
    </row>
    <row r="28" spans="3:21">
      <c r="N28" s="56" t="s">
        <v>632</v>
      </c>
      <c r="O28" s="57">
        <v>3</v>
      </c>
      <c r="P28" s="57">
        <v>3</v>
      </c>
      <c r="Q28" s="57">
        <v>2</v>
      </c>
      <c r="R28" s="80">
        <f t="shared" ref="R28:R29" si="2">SUM(O28:Q28)</f>
        <v>8</v>
      </c>
    </row>
    <row r="29" spans="3:21" ht="14.25" thickBot="1">
      <c r="N29" s="73" t="s">
        <v>637</v>
      </c>
      <c r="O29" s="74">
        <v>1</v>
      </c>
      <c r="P29" s="74">
        <v>3</v>
      </c>
      <c r="Q29" s="74">
        <v>1</v>
      </c>
      <c r="R29" s="81">
        <f t="shared" si="2"/>
        <v>5</v>
      </c>
    </row>
    <row r="32" spans="3:21">
      <c r="C32" s="42">
        <v>0.8</v>
      </c>
      <c r="D32" s="42">
        <v>0.2</v>
      </c>
      <c r="H32" s="41" t="s">
        <v>905</v>
      </c>
      <c r="I32" s="41" t="s">
        <v>921</v>
      </c>
    </row>
    <row r="33" spans="1:15">
      <c r="A33" s="41" t="s">
        <v>922</v>
      </c>
      <c r="B33" s="41" t="s">
        <v>908</v>
      </c>
      <c r="C33" s="41" t="s">
        <v>932</v>
      </c>
      <c r="D33" s="42" t="s">
        <v>912</v>
      </c>
      <c r="E33" s="41" t="s">
        <v>913</v>
      </c>
      <c r="G33" s="41" t="s">
        <v>915</v>
      </c>
      <c r="H33" s="41" t="s">
        <v>911</v>
      </c>
      <c r="I33" s="41" t="s">
        <v>920</v>
      </c>
    </row>
    <row r="34" spans="1:15">
      <c r="B34" s="41" t="s">
        <v>907</v>
      </c>
      <c r="C34" s="41" t="s">
        <v>906</v>
      </c>
      <c r="D34" s="41" t="s">
        <v>910</v>
      </c>
      <c r="H34" s="41" t="s">
        <v>916</v>
      </c>
      <c r="I34" s="41" t="s">
        <v>918</v>
      </c>
      <c r="K34" s="41" t="s">
        <v>926</v>
      </c>
      <c r="L34" s="41" t="s">
        <v>927</v>
      </c>
      <c r="M34" s="41" t="s">
        <v>620</v>
      </c>
    </row>
    <row r="35" spans="1:15">
      <c r="B35" s="41" t="s">
        <v>909</v>
      </c>
      <c r="C35" s="41" t="s">
        <v>911</v>
      </c>
      <c r="D35" s="41" t="s">
        <v>914</v>
      </c>
      <c r="H35" s="41" t="s">
        <v>917</v>
      </c>
      <c r="I35" s="41" t="s">
        <v>919</v>
      </c>
      <c r="K35" s="41" t="s">
        <v>906</v>
      </c>
      <c r="L35" s="41" t="s">
        <v>928</v>
      </c>
      <c r="O35" s="41" t="s">
        <v>934</v>
      </c>
    </row>
    <row r="36" spans="1:15">
      <c r="F36" s="41" t="s">
        <v>931</v>
      </c>
      <c r="K36" s="41" t="s">
        <v>925</v>
      </c>
      <c r="O36" s="41" t="s">
        <v>906</v>
      </c>
    </row>
    <row r="37" spans="1:15">
      <c r="B37" s="41" t="s">
        <v>929</v>
      </c>
      <c r="F37" s="41" t="s">
        <v>923</v>
      </c>
      <c r="H37" s="41" t="s">
        <v>924</v>
      </c>
    </row>
    <row r="38" spans="1:15">
      <c r="B38" s="41" t="s">
        <v>930</v>
      </c>
    </row>
  </sheetData>
  <phoneticPr fontId="2" type="noConversion"/>
  <dataValidations count="1">
    <dataValidation type="list" allowBlank="1" showInputMessage="1" showErrorMessage="1" sqref="C2" xr:uid="{00000000-0002-0000-0300-000000000000}">
      <formula1>"2,3,4,5"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/>
  <dimension ref="A1:E42"/>
  <sheetViews>
    <sheetView zoomScale="160" zoomScaleNormal="160" workbookViewId="0">
      <selection activeCell="F22" sqref="F22"/>
    </sheetView>
  </sheetViews>
  <sheetFormatPr defaultRowHeight="15.75"/>
  <cols>
    <col min="1" max="1" width="9.140625" style="315"/>
    <col min="2" max="2" width="11" style="314" bestFit="1" customWidth="1"/>
    <col min="3" max="3" width="9.140625" style="314"/>
    <col min="4" max="4" width="9.140625" style="316"/>
    <col min="5" max="16384" width="9.140625" style="311"/>
  </cols>
  <sheetData>
    <row r="1" spans="1:5">
      <c r="A1" s="315" t="s">
        <v>1586</v>
      </c>
      <c r="B1" s="314" t="s">
        <v>1587</v>
      </c>
      <c r="C1" s="314" t="s">
        <v>1588</v>
      </c>
      <c r="D1" s="314" t="s">
        <v>1589</v>
      </c>
    </row>
    <row r="2" spans="1:5">
      <c r="A2" s="315" t="s">
        <v>585</v>
      </c>
      <c r="B2" s="313">
        <v>44418</v>
      </c>
      <c r="D2" s="317">
        <f t="shared" ref="D2:D42" ca="1" si="0">_xlfn.DAYS(B2,TODAY())</f>
        <v>-252</v>
      </c>
    </row>
    <row r="3" spans="1:5">
      <c r="A3" s="315" t="s">
        <v>786</v>
      </c>
      <c r="B3" s="313">
        <v>44419</v>
      </c>
      <c r="C3" s="314" t="s">
        <v>1577</v>
      </c>
      <c r="D3" s="317">
        <f t="shared" ca="1" si="0"/>
        <v>-251</v>
      </c>
    </row>
    <row r="4" spans="1:5">
      <c r="A4" s="315" t="s">
        <v>1571</v>
      </c>
      <c r="B4" s="313">
        <v>44419</v>
      </c>
      <c r="C4" s="314" t="s">
        <v>1577</v>
      </c>
      <c r="D4" s="317">
        <f t="shared" ca="1" si="0"/>
        <v>-251</v>
      </c>
    </row>
    <row r="5" spans="1:5">
      <c r="A5" s="315" t="s">
        <v>1584</v>
      </c>
      <c r="B5" s="313">
        <v>44419</v>
      </c>
      <c r="C5" s="314" t="s">
        <v>1577</v>
      </c>
      <c r="D5" s="317">
        <f t="shared" ca="1" si="0"/>
        <v>-251</v>
      </c>
    </row>
    <row r="6" spans="1:5">
      <c r="A6" s="315" t="s">
        <v>885</v>
      </c>
      <c r="B6" s="313">
        <v>44419</v>
      </c>
      <c r="C6" s="314" t="s">
        <v>1573</v>
      </c>
      <c r="D6" s="317">
        <f t="shared" ca="1" si="0"/>
        <v>-251</v>
      </c>
    </row>
    <row r="7" spans="1:5">
      <c r="A7" s="315" t="s">
        <v>1142</v>
      </c>
      <c r="B7" s="313">
        <v>44420</v>
      </c>
      <c r="C7" s="314" t="s">
        <v>1573</v>
      </c>
      <c r="D7" s="317">
        <f t="shared" ca="1" si="0"/>
        <v>-250</v>
      </c>
    </row>
    <row r="8" spans="1:5">
      <c r="A8" s="315" t="s">
        <v>1583</v>
      </c>
      <c r="B8" s="313">
        <v>44420</v>
      </c>
      <c r="C8" s="314" t="s">
        <v>1577</v>
      </c>
      <c r="D8" s="317">
        <f t="shared" ca="1" si="0"/>
        <v>-250</v>
      </c>
      <c r="E8" s="312"/>
    </row>
    <row r="9" spans="1:5">
      <c r="A9" s="315" t="s">
        <v>1551</v>
      </c>
      <c r="B9" s="313">
        <v>44420</v>
      </c>
      <c r="C9" s="314" t="s">
        <v>1577</v>
      </c>
      <c r="D9" s="317">
        <f t="shared" ca="1" si="0"/>
        <v>-250</v>
      </c>
    </row>
    <row r="10" spans="1:5">
      <c r="A10" s="315" t="s">
        <v>1585</v>
      </c>
      <c r="B10" s="313">
        <v>44421</v>
      </c>
      <c r="C10" s="314" t="s">
        <v>1578</v>
      </c>
      <c r="D10" s="317">
        <f t="shared" ca="1" si="0"/>
        <v>-249</v>
      </c>
    </row>
    <row r="11" spans="1:5">
      <c r="A11" s="315" t="s">
        <v>1554</v>
      </c>
      <c r="B11" s="313">
        <v>44424</v>
      </c>
      <c r="C11" s="314" t="s">
        <v>1577</v>
      </c>
      <c r="D11" s="317">
        <f t="shared" ca="1" si="0"/>
        <v>-246</v>
      </c>
    </row>
    <row r="12" spans="1:5">
      <c r="A12" s="315" t="s">
        <v>1547</v>
      </c>
      <c r="B12" s="313">
        <v>44470</v>
      </c>
      <c r="C12" s="314" t="s">
        <v>1574</v>
      </c>
      <c r="D12" s="317">
        <f ca="1">_xlfn.DAYS(B12,TODAY())</f>
        <v>-200</v>
      </c>
    </row>
    <row r="13" spans="1:5">
      <c r="A13" s="315" t="s">
        <v>1568</v>
      </c>
      <c r="B13" s="313">
        <v>44484</v>
      </c>
      <c r="C13" s="314" t="s">
        <v>1574</v>
      </c>
      <c r="D13" s="317">
        <f t="shared" ca="1" si="0"/>
        <v>-186</v>
      </c>
    </row>
    <row r="14" spans="1:5">
      <c r="A14" s="315" t="s">
        <v>584</v>
      </c>
      <c r="B14" s="313">
        <v>44498</v>
      </c>
      <c r="C14" s="314" t="s">
        <v>1573</v>
      </c>
      <c r="D14" s="317">
        <f t="shared" ca="1" si="0"/>
        <v>-172</v>
      </c>
    </row>
    <row r="15" spans="1:5">
      <c r="A15" s="315" t="s">
        <v>1066</v>
      </c>
      <c r="B15" s="313">
        <v>44498</v>
      </c>
      <c r="C15" s="314" t="s">
        <v>1576</v>
      </c>
      <c r="D15" s="317">
        <f t="shared" ca="1" si="0"/>
        <v>-172</v>
      </c>
    </row>
    <row r="16" spans="1:5">
      <c r="A16" s="315" t="s">
        <v>1136</v>
      </c>
      <c r="B16" s="313">
        <v>44498</v>
      </c>
      <c r="C16" s="314" t="s">
        <v>1573</v>
      </c>
      <c r="D16" s="317">
        <f t="shared" ca="1" si="0"/>
        <v>-172</v>
      </c>
    </row>
    <row r="17" spans="1:4">
      <c r="A17" s="315" t="s">
        <v>1551</v>
      </c>
      <c r="B17" s="313">
        <v>44498</v>
      </c>
      <c r="C17" s="314" t="s">
        <v>1573</v>
      </c>
      <c r="D17" s="317">
        <f t="shared" ca="1" si="0"/>
        <v>-172</v>
      </c>
    </row>
    <row r="18" spans="1:4">
      <c r="A18" s="315" t="s">
        <v>1547</v>
      </c>
      <c r="B18" s="313">
        <v>44505</v>
      </c>
      <c r="C18" s="314" t="s">
        <v>1573</v>
      </c>
      <c r="D18" s="317">
        <f t="shared" ca="1" si="0"/>
        <v>-165</v>
      </c>
    </row>
    <row r="19" spans="1:4">
      <c r="A19" s="315" t="s">
        <v>1568</v>
      </c>
      <c r="B19" s="313">
        <v>44509</v>
      </c>
      <c r="C19" s="314" t="s">
        <v>1573</v>
      </c>
      <c r="D19" s="317">
        <f t="shared" ca="1" si="0"/>
        <v>-161</v>
      </c>
    </row>
    <row r="20" spans="1:4">
      <c r="A20" s="315" t="s">
        <v>585</v>
      </c>
      <c r="B20" s="313">
        <v>44510</v>
      </c>
      <c r="C20" s="314" t="s">
        <v>1573</v>
      </c>
      <c r="D20" s="317">
        <f t="shared" ca="1" si="0"/>
        <v>-160</v>
      </c>
    </row>
    <row r="21" spans="1:4">
      <c r="A21" s="315" t="s">
        <v>799</v>
      </c>
      <c r="B21" s="313">
        <v>44511</v>
      </c>
      <c r="C21" s="314" t="s">
        <v>1573</v>
      </c>
      <c r="D21" s="317">
        <f t="shared" ca="1" si="0"/>
        <v>-159</v>
      </c>
    </row>
    <row r="22" spans="1:4">
      <c r="A22" s="315" t="s">
        <v>1142</v>
      </c>
      <c r="B22" s="313">
        <v>44512</v>
      </c>
      <c r="C22" s="314" t="s">
        <v>1576</v>
      </c>
      <c r="D22" s="317">
        <f t="shared" ca="1" si="0"/>
        <v>-158</v>
      </c>
    </row>
    <row r="23" spans="1:4">
      <c r="A23" s="315" t="s">
        <v>1583</v>
      </c>
      <c r="B23" s="313">
        <v>44512</v>
      </c>
      <c r="C23" s="314" t="s">
        <v>1573</v>
      </c>
      <c r="D23" s="317">
        <f t="shared" ca="1" si="0"/>
        <v>-158</v>
      </c>
    </row>
    <row r="24" spans="1:4">
      <c r="A24" s="315" t="s">
        <v>668</v>
      </c>
      <c r="B24" s="313">
        <v>44512</v>
      </c>
      <c r="C24" s="314" t="s">
        <v>1573</v>
      </c>
      <c r="D24" s="317">
        <f t="shared" ca="1" si="0"/>
        <v>-158</v>
      </c>
    </row>
    <row r="25" spans="1:4">
      <c r="A25" s="315" t="s">
        <v>1566</v>
      </c>
      <c r="B25" s="313">
        <v>44512</v>
      </c>
      <c r="C25" s="314" t="s">
        <v>1573</v>
      </c>
      <c r="D25" s="317">
        <f t="shared" ca="1" si="0"/>
        <v>-158</v>
      </c>
    </row>
    <row r="26" spans="1:4">
      <c r="A26" s="315" t="s">
        <v>1585</v>
      </c>
      <c r="B26" s="313">
        <v>44515</v>
      </c>
      <c r="C26" s="314" t="s">
        <v>1573</v>
      </c>
      <c r="D26" s="317">
        <f t="shared" ca="1" si="0"/>
        <v>-155</v>
      </c>
    </row>
    <row r="27" spans="1:4">
      <c r="A27" s="315" t="s">
        <v>1554</v>
      </c>
      <c r="B27" s="313">
        <v>44515</v>
      </c>
      <c r="C27" s="314" t="s">
        <v>1573</v>
      </c>
      <c r="D27" s="317">
        <f t="shared" ca="1" si="0"/>
        <v>-155</v>
      </c>
    </row>
    <row r="28" spans="1:4">
      <c r="A28" s="315" t="s">
        <v>885</v>
      </c>
      <c r="B28" s="313">
        <v>44518</v>
      </c>
      <c r="C28" s="314" t="s">
        <v>1576</v>
      </c>
      <c r="D28" s="317">
        <f t="shared" ca="1" si="0"/>
        <v>-152</v>
      </c>
    </row>
    <row r="29" spans="1:4">
      <c r="A29" s="315" t="s">
        <v>1582</v>
      </c>
      <c r="B29" s="313">
        <v>44519</v>
      </c>
      <c r="C29" s="314" t="s">
        <v>1573</v>
      </c>
      <c r="D29" s="317">
        <f t="shared" ca="1" si="0"/>
        <v>-151</v>
      </c>
    </row>
    <row r="30" spans="1:4">
      <c r="A30" s="315" t="s">
        <v>668</v>
      </c>
      <c r="B30" s="313">
        <v>44530</v>
      </c>
      <c r="C30" s="314" t="s">
        <v>1578</v>
      </c>
      <c r="D30" s="317">
        <f t="shared" ca="1" si="0"/>
        <v>-140</v>
      </c>
    </row>
    <row r="31" spans="1:4">
      <c r="A31" s="315" t="s">
        <v>1066</v>
      </c>
      <c r="B31" s="313">
        <v>44588</v>
      </c>
      <c r="C31" s="314" t="s">
        <v>1575</v>
      </c>
      <c r="D31" s="317">
        <f t="shared" ca="1" si="0"/>
        <v>-82</v>
      </c>
    </row>
    <row r="32" spans="1:4">
      <c r="A32" s="315" t="s">
        <v>1547</v>
      </c>
      <c r="B32" s="313">
        <v>44594</v>
      </c>
      <c r="C32" s="314" t="s">
        <v>1573</v>
      </c>
      <c r="D32" s="317">
        <f t="shared" ca="1" si="0"/>
        <v>-76</v>
      </c>
    </row>
    <row r="33" spans="1:4">
      <c r="A33" s="315" t="s">
        <v>584</v>
      </c>
      <c r="B33" s="313">
        <v>44596</v>
      </c>
      <c r="C33" s="314" t="s">
        <v>1576</v>
      </c>
      <c r="D33" s="317">
        <f t="shared" ca="1" si="0"/>
        <v>-74</v>
      </c>
    </row>
    <row r="34" spans="1:4">
      <c r="A34" s="315" t="s">
        <v>1136</v>
      </c>
      <c r="B34" s="313">
        <v>44596</v>
      </c>
      <c r="C34" s="314" t="s">
        <v>1576</v>
      </c>
      <c r="D34" s="317">
        <f t="shared" ca="1" si="0"/>
        <v>-74</v>
      </c>
    </row>
    <row r="35" spans="1:4">
      <c r="A35" s="315" t="s">
        <v>1566</v>
      </c>
      <c r="B35" s="313">
        <v>44596</v>
      </c>
      <c r="C35" s="314" t="s">
        <v>1576</v>
      </c>
      <c r="D35" s="317">
        <f t="shared" ca="1" si="0"/>
        <v>-74</v>
      </c>
    </row>
    <row r="36" spans="1:4">
      <c r="A36" s="315" t="s">
        <v>885</v>
      </c>
      <c r="B36" s="313">
        <v>44602</v>
      </c>
      <c r="C36" s="314" t="s">
        <v>1575</v>
      </c>
      <c r="D36" s="317">
        <f t="shared" ca="1" si="0"/>
        <v>-68</v>
      </c>
    </row>
    <row r="37" spans="1:4">
      <c r="A37" s="315" t="s">
        <v>1142</v>
      </c>
      <c r="B37" s="313">
        <v>44603</v>
      </c>
      <c r="C37" s="314" t="s">
        <v>1575</v>
      </c>
      <c r="D37" s="317">
        <f t="shared" ca="1" si="0"/>
        <v>-67</v>
      </c>
    </row>
    <row r="38" spans="1:4">
      <c r="A38" s="315" t="s">
        <v>1583</v>
      </c>
      <c r="B38" s="313">
        <v>44608</v>
      </c>
      <c r="C38" s="314" t="s">
        <v>1576</v>
      </c>
      <c r="D38" s="317">
        <f t="shared" ca="1" si="0"/>
        <v>-62</v>
      </c>
    </row>
    <row r="39" spans="1:4">
      <c r="A39" s="315" t="s">
        <v>1066</v>
      </c>
      <c r="B39" s="313">
        <v>44615</v>
      </c>
      <c r="C39" s="314" t="s">
        <v>1574</v>
      </c>
      <c r="D39" s="317">
        <f t="shared" ca="1" si="0"/>
        <v>-55</v>
      </c>
    </row>
    <row r="40" spans="1:4">
      <c r="A40" s="315" t="s">
        <v>585</v>
      </c>
      <c r="B40" s="313">
        <v>44616</v>
      </c>
      <c r="C40" s="314" t="s">
        <v>1576</v>
      </c>
      <c r="D40" s="317">
        <f t="shared" ca="1" si="0"/>
        <v>-54</v>
      </c>
    </row>
    <row r="41" spans="1:4">
      <c r="A41" s="315" t="s">
        <v>799</v>
      </c>
      <c r="B41" s="313">
        <v>44616</v>
      </c>
      <c r="C41" s="314" t="s">
        <v>1576</v>
      </c>
      <c r="D41" s="317">
        <f t="shared" ca="1" si="0"/>
        <v>-54</v>
      </c>
    </row>
    <row r="42" spans="1:4">
      <c r="A42" s="315" t="s">
        <v>1551</v>
      </c>
      <c r="B42" s="313">
        <v>44616</v>
      </c>
      <c r="C42" s="314" t="s">
        <v>1576</v>
      </c>
      <c r="D42" s="317">
        <f t="shared" ca="1" si="0"/>
        <v>-54</v>
      </c>
    </row>
  </sheetData>
  <autoFilter ref="A1:D1" xr:uid="{00000000-0009-0000-0000-000006000000}">
    <sortState xmlns:xlrd2="http://schemas.microsoft.com/office/spreadsheetml/2017/richdata2" ref="A2:D42">
      <sortCondition ref="D1"/>
    </sortState>
  </autoFilter>
  <phoneticPr fontId="2" type="noConversion"/>
  <conditionalFormatting sqref="D1:D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{C3717716-3208-48EA-9A4D-9FE08905893B}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717716-3208-48EA-9A4D-9FE089058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8"/>
  <sheetViews>
    <sheetView zoomScale="205" zoomScaleNormal="205" workbookViewId="0">
      <pane ySplit="1" topLeftCell="A2" activePane="bottomLeft" state="frozen"/>
      <selection pane="bottomLeft" activeCell="G12" sqref="G12"/>
    </sheetView>
  </sheetViews>
  <sheetFormatPr defaultRowHeight="15.75"/>
  <cols>
    <col min="1" max="1" width="9.140625" style="335"/>
    <col min="2" max="2" width="10.5703125" style="332" bestFit="1" customWidth="1"/>
    <col min="3" max="3" width="12.7109375" style="320" bestFit="1" customWidth="1"/>
    <col min="4" max="4" width="10.5703125" style="319" bestFit="1" customWidth="1"/>
    <col min="5" max="5" width="11.28515625" style="320" bestFit="1" customWidth="1"/>
    <col min="6" max="6" width="9.42578125" style="321" customWidth="1"/>
    <col min="7" max="7" width="12.85546875" style="322" customWidth="1"/>
    <col min="8" max="8" width="21" style="333" customWidth="1"/>
    <col min="9" max="9" width="10.85546875" style="334" customWidth="1"/>
    <col min="10" max="16384" width="9.140625" style="335"/>
  </cols>
  <sheetData>
    <row r="1" spans="1:11" s="325" customFormat="1" ht="16.5" thickBot="1">
      <c r="A1" s="348"/>
      <c r="B1" s="326" t="s">
        <v>1581</v>
      </c>
      <c r="C1" s="336" t="s">
        <v>1569</v>
      </c>
      <c r="D1" s="337" t="s">
        <v>1570</v>
      </c>
      <c r="E1" s="336" t="s">
        <v>6</v>
      </c>
      <c r="F1" s="337" t="s">
        <v>1572</v>
      </c>
      <c r="G1" s="338" t="s">
        <v>1599</v>
      </c>
      <c r="H1" s="324" t="s">
        <v>1600</v>
      </c>
      <c r="I1" s="339">
        <v>2</v>
      </c>
      <c r="J1" s="384">
        <f ca="1">NOW()</f>
        <v>44670.847180092591</v>
      </c>
      <c r="K1" s="384"/>
    </row>
    <row r="2" spans="1:11" s="325" customFormat="1">
      <c r="B2" s="323" t="s">
        <v>1579</v>
      </c>
      <c r="C2" s="320">
        <v>44424</v>
      </c>
      <c r="D2" s="319" t="s">
        <v>1568</v>
      </c>
      <c r="E2" s="320">
        <v>44428</v>
      </c>
      <c r="F2" s="321">
        <v>10</v>
      </c>
      <c r="G2" s="322">
        <v>6.4399999999999999E-2</v>
      </c>
      <c r="H2" s="330" cm="1">
        <f t="array" ref="H2">IF(OR(C2="",D2="",E2="",F2="",G2=""),"",
G2/_xlfn.IFS(
YEAR(E2)-YEAR(C2)&lt;1,    WEEKNUM(E2)-WEEKNUM(C2)+1,
YEAR(E2)-YEAR(C2)&gt;=1,    (YEAR(E2)-YEAR(C2))*52+WEEKNUM(E2)-WEEKNUM(C2)+1))</f>
        <v>6.4399999999999999E-2</v>
      </c>
      <c r="I2" s="331" t="str" cm="1">
        <f t="array" aca="1" ref="I2" ca="1">IFERROR(
    _xlfn.IFS(OR(C2="",D2="",E2="",F2=""),    "",
    TODAY()&gt;E2+1,    "已結算",
    D2&lt;&gt;0,    (F2-VLOOKUP(D2,Code!$H:$W,6,FALSE))/(VLOOKUP(D2,Code!$H:$W,6,FALSE)*VLOOKUP(D2,Code!$H:$W,5,FALSE)*SQRT(_xlfn.DAYS(E2+1,TODAY())/365))),
(F2-VLOOKUP(D2,Code!$H:$W,6,FALSE))/(VLOOKUP(D2,Code!$H:$W,6,FALSE)*VLOOKUP(D2,Code!$H:$W,5,FALSE)*SQRT(_xlfn.DAYS(E2+1,TODAY()-1)/365)))</f>
        <v>已結算</v>
      </c>
    </row>
    <row r="3" spans="1:11" s="325" customFormat="1">
      <c r="B3" s="323" t="s">
        <v>1580</v>
      </c>
      <c r="C3" s="320">
        <v>44424</v>
      </c>
      <c r="D3" s="319" t="s">
        <v>1568</v>
      </c>
      <c r="E3" s="320">
        <v>44428</v>
      </c>
      <c r="F3" s="321">
        <v>10</v>
      </c>
      <c r="G3" s="322">
        <v>6.0600000000000001E-2</v>
      </c>
      <c r="H3" s="330" cm="1">
        <f t="array" ref="H3">IF(OR(C3="",D3="",E3="",F3="",G3=""),"",
G3/_xlfn.IFS(
YEAR(E3)-YEAR(C3)&lt;1,    WEEKNUM(E3)-WEEKNUM(C3)+1,
YEAR(E3)-YEAR(C3)&gt;=1,    (YEAR(E3)-YEAR(C3))*52+WEEKNUM(E3)-WEEKNUM(C3)+1))</f>
        <v>6.0600000000000001E-2</v>
      </c>
      <c r="I3" s="331" t="str" cm="1">
        <f t="array" aca="1" ref="I3" ca="1">IFERROR(
    _xlfn.IFS(OR(C3="",D3="",E3="",F3=""),    "",
    TODAY()&gt;E3+1,    "已結算",
    D3&lt;&gt;0,    (F3-VLOOKUP(D3,Code!$H:$W,6,FALSE))/(VLOOKUP(D3,Code!$H:$W,6,FALSE)*VLOOKUP(D3,Code!$H:$W,5,FALSE)*SQRT(_xlfn.DAYS(E3+1,TODAY())/365))),
(F3-VLOOKUP(D3,Code!$H:$W,6,FALSE))/(VLOOKUP(D3,Code!$H:$W,6,FALSE)*VLOOKUP(D3,Code!$H:$W,5,FALSE)*SQRT(_xlfn.DAYS(E3+1,TODAY()-1)/365)))</f>
        <v>已結算</v>
      </c>
    </row>
    <row r="4" spans="1:11" s="325" customFormat="1">
      <c r="B4" s="323" t="s">
        <v>1579</v>
      </c>
      <c r="C4" s="320">
        <v>44424</v>
      </c>
      <c r="D4" s="319" t="s">
        <v>1568</v>
      </c>
      <c r="E4" s="320">
        <v>44428</v>
      </c>
      <c r="F4" s="321">
        <v>12</v>
      </c>
      <c r="G4" s="322">
        <v>0.03</v>
      </c>
      <c r="H4" s="330" cm="1">
        <f t="array" ref="H4">IF(OR(C4="",D4="",E4="",F4="",G4=""),"",
G4/_xlfn.IFS(
YEAR(E4)-YEAR(C4)&lt;1,    WEEKNUM(E4)-WEEKNUM(C4)+1,
YEAR(E4)-YEAR(C4)&gt;=1,    (YEAR(E4)-YEAR(C4))*52+WEEKNUM(E4)-WEEKNUM(C4)+1))</f>
        <v>0.03</v>
      </c>
      <c r="I4" s="331" t="str" cm="1">
        <f t="array" aca="1" ref="I4" ca="1">IFERROR(
    _xlfn.IFS(OR(C4="",D4="",E4="",F4=""),    "",
    TODAY()&gt;E4+1,    "已結算",
    D4&lt;&gt;0,    (F4-VLOOKUP(D4,Code!$H:$W,6,FALSE))/(VLOOKUP(D4,Code!$H:$W,6,FALSE)*VLOOKUP(D4,Code!$H:$W,5,FALSE)*SQRT(_xlfn.DAYS(E4+1,TODAY())/365))),
(F4-VLOOKUP(D4,Code!$H:$W,6,FALSE))/(VLOOKUP(D4,Code!$H:$W,6,FALSE)*VLOOKUP(D4,Code!$H:$W,5,FALSE)*SQRT(_xlfn.DAYS(E4+1,TODAY()-1)/365)))</f>
        <v>已結算</v>
      </c>
    </row>
    <row r="5" spans="1:11" s="325" customFormat="1">
      <c r="B5" s="323" t="s">
        <v>1580</v>
      </c>
      <c r="C5" s="320">
        <v>44418</v>
      </c>
      <c r="D5" s="319" t="s">
        <v>1551</v>
      </c>
      <c r="E5" s="320">
        <v>44428</v>
      </c>
      <c r="F5" s="321">
        <v>12.5</v>
      </c>
      <c r="G5" s="322">
        <v>0.05</v>
      </c>
      <c r="H5" s="330" cm="1">
        <f t="array" ref="H5">IF(OR(C5="",D5="",E5="",F5="",G5=""),"",
G5/_xlfn.IFS(
YEAR(E5)-YEAR(C5)&lt;1,    WEEKNUM(E5)-WEEKNUM(C5)+1,
YEAR(E5)-YEAR(C5)&gt;=1,    (YEAR(E5)-YEAR(C5))*52+WEEKNUM(E5)-WEEKNUM(C5)+1))</f>
        <v>2.5000000000000001E-2</v>
      </c>
      <c r="I5" s="331" t="str" cm="1">
        <f t="array" aca="1" ref="I5" ca="1">IFERROR(
    _xlfn.IFS(OR(C5="",D5="",E5="",F5=""),    "",
    TODAY()&gt;E5+1,    "已結算",
    D5&lt;&gt;0,    (F5-VLOOKUP(D5,Code!$H:$W,6,FALSE))/(VLOOKUP(D5,Code!$H:$W,6,FALSE)*VLOOKUP(D5,Code!$H:$W,5,FALSE)*SQRT(_xlfn.DAYS(E5+1,TODAY())/365))),
(F5-VLOOKUP(D5,Code!$H:$W,6,FALSE))/(VLOOKUP(D5,Code!$H:$W,6,FALSE)*VLOOKUP(D5,Code!$H:$W,5,FALSE)*SQRT(_xlfn.DAYS(E5+1,TODAY()-1)/365)))</f>
        <v>已結算</v>
      </c>
    </row>
    <row r="6" spans="1:11" s="325" customFormat="1">
      <c r="B6" s="323" t="s">
        <v>1579</v>
      </c>
      <c r="C6" s="320">
        <v>44418</v>
      </c>
      <c r="D6" s="319" t="s">
        <v>1554</v>
      </c>
      <c r="E6" s="320">
        <v>44428</v>
      </c>
      <c r="F6" s="321">
        <v>7.5</v>
      </c>
      <c r="G6" s="322">
        <v>4.9700000000000001E-2</v>
      </c>
      <c r="H6" s="330" cm="1">
        <f t="array" ref="H6">IF(OR(C6="",D6="",E6="",F6="",G6=""),"",
G6/_xlfn.IFS(
YEAR(E6)-YEAR(C6)&lt;1,    WEEKNUM(E6)-WEEKNUM(C6)+1,
YEAR(E6)-YEAR(C6)&gt;=1,    (YEAR(E6)-YEAR(C6))*52+WEEKNUM(E6)-WEEKNUM(C6)+1))</f>
        <v>2.4850000000000001E-2</v>
      </c>
      <c r="I6" s="331" t="str" cm="1">
        <f t="array" aca="1" ref="I6" ca="1">IFERROR(
    _xlfn.IFS(OR(C6="",D6="",E6="",F6=""),    "",
    TODAY()&gt;E6+1,    "已結算",
    D6&lt;&gt;0,    (F6-VLOOKUP(D6,Code!$H:$W,6,FALSE))/(VLOOKUP(D6,Code!$H:$W,6,FALSE)*VLOOKUP(D6,Code!$H:$W,5,FALSE)*SQRT(_xlfn.DAYS(E6+1,TODAY())/365))),
(F6-VLOOKUP(D6,Code!$H:$W,6,FALSE))/(VLOOKUP(D6,Code!$H:$W,6,FALSE)*VLOOKUP(D6,Code!$H:$W,5,FALSE)*SQRT(_xlfn.DAYS(E6+1,TODAY()-1)/365)))</f>
        <v>已結算</v>
      </c>
    </row>
    <row r="7" spans="1:11" s="325" customFormat="1">
      <c r="B7" s="323" t="s">
        <v>1579</v>
      </c>
      <c r="C7" s="320">
        <v>44417</v>
      </c>
      <c r="D7" s="319" t="s">
        <v>1568</v>
      </c>
      <c r="E7" s="320">
        <v>44428</v>
      </c>
      <c r="F7" s="321">
        <v>14</v>
      </c>
      <c r="G7" s="322">
        <v>0.03</v>
      </c>
      <c r="H7" s="330" cm="1">
        <f t="array" ref="H7">IF(OR(C7="",D7="",E7="",F7="",G7=""),"",
G7/_xlfn.IFS(
YEAR(E7)-YEAR(C7)&lt;1,    WEEKNUM(E7)-WEEKNUM(C7)+1,
YEAR(E7)-YEAR(C7)&gt;=1,    (YEAR(E7)-YEAR(C7))*52+WEEKNUM(E7)-WEEKNUM(C7)+1))</f>
        <v>1.4999999999999999E-2</v>
      </c>
      <c r="I7" s="331" t="str" cm="1">
        <f t="array" aca="1" ref="I7" ca="1">IFERROR(
    _xlfn.IFS(OR(C7="",D7="",E7="",F7=""),    "",
    TODAY()&gt;E7+1,    "已結算",
    D7&lt;&gt;0,    (F7-VLOOKUP(D7,Code!$H:$W,6,FALSE))/(VLOOKUP(D7,Code!$H:$W,6,FALSE)*VLOOKUP(D7,Code!$H:$W,5,FALSE)*SQRT(_xlfn.DAYS(E7+1,TODAY())/365))),
(F7-VLOOKUP(D7,Code!$H:$W,6,FALSE))/(VLOOKUP(D7,Code!$H:$W,6,FALSE)*VLOOKUP(D7,Code!$H:$W,5,FALSE)*SQRT(_xlfn.DAYS(E7+1,TODAY()-1)/365)))</f>
        <v>已結算</v>
      </c>
    </row>
    <row r="8" spans="1:11" s="325" customFormat="1">
      <c r="B8" s="323" t="s">
        <v>1580</v>
      </c>
      <c r="C8" s="320">
        <v>44403</v>
      </c>
      <c r="D8" s="319" t="s">
        <v>1568</v>
      </c>
      <c r="E8" s="320">
        <v>44456</v>
      </c>
      <c r="F8" s="321">
        <v>25</v>
      </c>
      <c r="G8" s="322">
        <v>0.13</v>
      </c>
      <c r="H8" s="330" cm="1">
        <f t="array" ref="H8">IF(OR(C8="",D8="",E8="",F8="",G8=""),"",
G8/_xlfn.IFS(
YEAR(E8)-YEAR(C8)&lt;1,    WEEKNUM(E8)-WEEKNUM(C8)+1,
YEAR(E8)-YEAR(C8)&gt;=1,    (YEAR(E8)-YEAR(C8))*52+WEEKNUM(E8)-WEEKNUM(C8)+1))</f>
        <v>1.6250000000000001E-2</v>
      </c>
      <c r="I8" s="331" t="str" cm="1">
        <f t="array" aca="1" ref="I8" ca="1">IFERROR(
    _xlfn.IFS(OR(C8="",D8="",E8="",F8=""),    "",
    TODAY()&gt;E8+1,    "已結算",
    D8&lt;&gt;0,    (F8-VLOOKUP(D8,Code!$H:$W,6,FALSE))/(VLOOKUP(D8,Code!$H:$W,6,FALSE)*VLOOKUP(D8,Code!$H:$W,5,FALSE)*SQRT(_xlfn.DAYS(E8+1,TODAY())/365))),
(F8-VLOOKUP(D8,Code!$H:$W,6,FALSE))/(VLOOKUP(D8,Code!$H:$W,6,FALSE)*VLOOKUP(D8,Code!$H:$W,5,FALSE)*SQRT(_xlfn.DAYS(E8+1,TODAY()-1)/365)))</f>
        <v>已結算</v>
      </c>
    </row>
    <row r="9" spans="1:11" s="325" customFormat="1">
      <c r="B9" s="323" t="s">
        <v>1580</v>
      </c>
      <c r="C9" s="320">
        <v>44403</v>
      </c>
      <c r="D9" s="319" t="s">
        <v>1568</v>
      </c>
      <c r="E9" s="320">
        <v>44456</v>
      </c>
      <c r="F9" s="321">
        <v>30</v>
      </c>
      <c r="G9" s="322">
        <v>0.11</v>
      </c>
      <c r="H9" s="330" cm="1">
        <f t="array" ref="H9">IF(OR(C9="",D9="",E9="",F9="",G9=""),"",
G9/_xlfn.IFS(
YEAR(E9)-YEAR(C9)&lt;1,    WEEKNUM(E9)-WEEKNUM(C9)+1,
YEAR(E9)-YEAR(C9)&gt;=1,    (YEAR(E9)-YEAR(C9))*52+WEEKNUM(E9)-WEEKNUM(C9)+1))</f>
        <v>1.375E-2</v>
      </c>
      <c r="I9" s="331" t="str" cm="1">
        <f t="array" aca="1" ref="I9" ca="1">IFERROR(
    _xlfn.IFS(OR(C9="",D9="",E9="",F9=""),    "",
    TODAY()&gt;E9+1,    "已結算",
    D9&lt;&gt;0,    (F9-VLOOKUP(D9,Code!$H:$W,6,FALSE))/(VLOOKUP(D9,Code!$H:$W,6,FALSE)*VLOOKUP(D9,Code!$H:$W,5,FALSE)*SQRT(_xlfn.DAYS(E9+1,TODAY())/365))),
(F9-VLOOKUP(D9,Code!$H:$W,6,FALSE))/(VLOOKUP(D9,Code!$H:$W,6,FALSE)*VLOOKUP(D9,Code!$H:$W,5,FALSE)*SQRT(_xlfn.DAYS(E9+1,TODAY()-1)/365)))</f>
        <v>已結算</v>
      </c>
    </row>
    <row r="10" spans="1:11" s="325" customFormat="1">
      <c r="B10" s="323" t="s">
        <v>1580</v>
      </c>
      <c r="C10" s="320">
        <v>44417</v>
      </c>
      <c r="D10" s="319" t="s">
        <v>1568</v>
      </c>
      <c r="E10" s="320">
        <v>44456</v>
      </c>
      <c r="F10" s="321">
        <v>29</v>
      </c>
      <c r="G10" s="322">
        <v>8.0299999999999996E-2</v>
      </c>
      <c r="H10" s="330" cm="1">
        <f t="array" ref="H10">IF(OR(C10="",D10="",E10="",F10="",G10=""),"",
G10/_xlfn.IFS(
YEAR(E10)-YEAR(C10)&lt;1,    WEEKNUM(E10)-WEEKNUM(C10)+1,
YEAR(E10)-YEAR(C10)&gt;=1,    (YEAR(E10)-YEAR(C10))*52+WEEKNUM(E10)-WEEKNUM(C10)+1))</f>
        <v>1.3383333333333332E-2</v>
      </c>
      <c r="I10" s="331" t="str" cm="1">
        <f t="array" aca="1" ref="I10" ca="1">IFERROR(
    _xlfn.IFS(OR(C10="",D10="",E10="",F10=""),    "",
    TODAY()&gt;E10+1,    "已結算",
    D10&lt;&gt;0,    (F10-VLOOKUP(D10,Code!$H:$W,6,FALSE))/(VLOOKUP(D10,Code!$H:$W,6,FALSE)*VLOOKUP(D10,Code!$H:$W,5,FALSE)*SQRT(_xlfn.DAYS(E10+1,TODAY())/365))),
(F10-VLOOKUP(D10,Code!$H:$W,6,FALSE))/(VLOOKUP(D10,Code!$H:$W,6,FALSE)*VLOOKUP(D10,Code!$H:$W,5,FALSE)*SQRT(_xlfn.DAYS(E10+1,TODAY()-1)/365)))</f>
        <v>已結算</v>
      </c>
    </row>
    <row r="11" spans="1:11" s="325" customFormat="1">
      <c r="B11" s="323"/>
      <c r="C11" s="320">
        <v>44431</v>
      </c>
      <c r="D11" s="319" t="s">
        <v>1568</v>
      </c>
      <c r="E11" s="320">
        <v>44435</v>
      </c>
      <c r="F11" s="321">
        <v>10</v>
      </c>
      <c r="G11" s="322"/>
      <c r="H11" s="330" t="str" cm="1">
        <f t="array" ref="H11">IF(OR(C11="",D11="",E11="",F11="",G11=""),"",
G11/_xlfn.IFS(
YEAR(E11)-YEAR(C11)&lt;1,    WEEKNUM(E11)-WEEKNUM(C11)+1,
YEAR(E11)-YEAR(C11)&gt;=1,    (YEAR(E11)-YEAR(C11))*52+WEEKNUM(E11)-WEEKNUM(C11)+1))</f>
        <v/>
      </c>
      <c r="I11" s="331" t="str" cm="1">
        <f t="array" aca="1" ref="I11" ca="1">IFERROR(
    _xlfn.IFS(OR(C11="",D11="",E11="",F11=""),    "",
    TODAY()&gt;E11+1,    "已結算",
    D11&lt;&gt;0,    (F11-VLOOKUP(D11,Code!$H:$W,6,FALSE))/(VLOOKUP(D11,Code!$H:$W,6,FALSE)*VLOOKUP(D11,Code!$H:$W,5,FALSE)*SQRT(_xlfn.DAYS(E11+1,TODAY())/365))),
(F11-VLOOKUP(D11,Code!$H:$W,6,FALSE))/(VLOOKUP(D11,Code!$H:$W,6,FALSE)*VLOOKUP(D11,Code!$H:$W,5,FALSE)*SQRT(_xlfn.DAYS(E11+1,TODAY()-1)/365)))</f>
        <v>已結算</v>
      </c>
    </row>
    <row r="12" spans="1:11" s="325" customFormat="1">
      <c r="B12" s="323"/>
      <c r="C12" s="320"/>
      <c r="D12" s="319"/>
      <c r="E12" s="320"/>
      <c r="F12" s="321"/>
      <c r="G12" s="322"/>
      <c r="H12" s="330" t="str" cm="1">
        <f t="array" ref="H12">IF(OR(C12="",D12="",E12="",F12="",G12=""),"",
G12/_xlfn.IFS(
YEAR(E12)-YEAR(C12)&lt;1,    WEEKNUM(E12)-WEEKNUM(C12)+1,
YEAR(E12)-YEAR(C12)&gt;=1,    (YEAR(E12)-YEAR(C12))*52+WEEKNUM(E12)-WEEKNUM(C12)+1))</f>
        <v/>
      </c>
      <c r="I12" s="331" t="str" cm="1">
        <f t="array" aca="1" ref="I12" ca="1">IFERROR(
    _xlfn.IFS(OR(C12="",D12="",E12="",F12=""),    "",
    TODAY()&gt;E12+1,    "已結算",
    D12&lt;&gt;0,    (F12-VLOOKUP(D12,Code!$H:$W,6,FALSE))/(VLOOKUP(D12,Code!$H:$W,6,FALSE)*VLOOKUP(D12,Code!$H:$W,5,FALSE)*SQRT(_xlfn.DAYS(E12+1,TODAY())/365))),
(F12-VLOOKUP(D12,Code!$H:$W,6,FALSE))/(VLOOKUP(D12,Code!$H:$W,6,FALSE)*VLOOKUP(D12,Code!$H:$W,5,FALSE)*SQRT(_xlfn.DAYS(E12+1,TODAY()-1)/365)))</f>
        <v/>
      </c>
    </row>
    <row r="13" spans="1:11" s="325" customFormat="1">
      <c r="B13" s="323"/>
      <c r="C13" s="320"/>
      <c r="D13" s="319"/>
      <c r="E13" s="320"/>
      <c r="F13" s="321"/>
      <c r="G13" s="322"/>
      <c r="H13" s="330" t="str" cm="1">
        <f t="array" ref="H13">IF(OR(C13="",D13="",E13="",F13="",G13=""),"",
G13/_xlfn.IFS(
YEAR(E13)-YEAR(C13)&lt;1,    WEEKNUM(E13)-WEEKNUM(C13)+1,
YEAR(E13)-YEAR(C13)&gt;=1,    (YEAR(E13)-YEAR(C13))*52+WEEKNUM(E13)-WEEKNUM(C13)+1))</f>
        <v/>
      </c>
      <c r="I13" s="331" t="str" cm="1">
        <f t="array" aca="1" ref="I13" ca="1">IFERROR(
    _xlfn.IFS(OR(C13="",D13="",E13="",F13=""),    "",
    TODAY()&gt;E13+1,    "已結算",
    D13&lt;&gt;0,    (F13-VLOOKUP(D13,Code!$H:$W,6,FALSE))/(VLOOKUP(D13,Code!$H:$W,6,FALSE)*VLOOKUP(D13,Code!$H:$W,5,FALSE)*SQRT(_xlfn.DAYS(E13+1,TODAY())/365))),
(F13-VLOOKUP(D13,Code!$H:$W,6,FALSE))/(VLOOKUP(D13,Code!$H:$W,6,FALSE)*VLOOKUP(D13,Code!$H:$W,5,FALSE)*SQRT(_xlfn.DAYS(E13+1,TODAY()-1)/365)))</f>
        <v/>
      </c>
    </row>
    <row r="14" spans="1:11">
      <c r="B14" s="323"/>
      <c r="H14" s="330" t="str" cm="1">
        <f t="array" ref="H14">IF(OR(C14="",D14="",E14="",F14="",G14=""),"",
G14/_xlfn.IFS(
YEAR(E14)-YEAR(C14)&lt;1,    WEEKNUM(E14)-WEEKNUM(C14)+1,
YEAR(E14)-YEAR(C14)&gt;=1,    (YEAR(E14)-YEAR(C14))*52+WEEKNUM(E14)-WEEKNUM(C14)+1))</f>
        <v/>
      </c>
      <c r="I14" s="331" t="str" cm="1">
        <f t="array" aca="1" ref="I14" ca="1">IFERROR(
    _xlfn.IFS(OR(C14="",D14="",E14="",F14=""),    "",
    TODAY()&gt;E14+1,    "已結算",
    D14&lt;&gt;0,    (F14-VLOOKUP(D14,Code!$H:$W,6,FALSE))/(VLOOKUP(D14,Code!$H:$W,6,FALSE)*VLOOKUP(D14,Code!$H:$W,5,FALSE)*SQRT(_xlfn.DAYS(E14+1,TODAY())/365))),
(F14-VLOOKUP(D14,Code!$H:$W,6,FALSE))/(VLOOKUP(D14,Code!$H:$W,6,FALSE)*VLOOKUP(D14,Code!$H:$W,5,FALSE)*SQRT(_xlfn.DAYS(E14+1,TODAY()-1)/365)))</f>
        <v/>
      </c>
    </row>
    <row r="15" spans="1:11">
      <c r="B15" s="323"/>
      <c r="H15" s="330" t="str" cm="1">
        <f t="array" ref="H15">IF(OR(C15="",D15="",E15="",F15="",G15=""),"",
G15/_xlfn.IFS(
YEAR(E15)-YEAR(C15)&lt;1,    WEEKNUM(E15)-WEEKNUM(C15)+1,
YEAR(E15)-YEAR(C15)&gt;=1,    (YEAR(E15)-YEAR(C15))*52+WEEKNUM(E15)-WEEKNUM(C15)+1))</f>
        <v/>
      </c>
      <c r="I15" s="331" t="str" cm="1">
        <f t="array" aca="1" ref="I15" ca="1">IFERROR(
    _xlfn.IFS(OR(C15="",D15="",E15="",F15=""),    "",
    TODAY()&gt;E15+1,    "已結算",
    D15&lt;&gt;0,    (F15-VLOOKUP(D15,Code!$H:$W,6,FALSE))/(VLOOKUP(D15,Code!$H:$W,6,FALSE)*VLOOKUP(D15,Code!$H:$W,5,FALSE)*SQRT(_xlfn.DAYS(E15+1,TODAY())/365))),
(F15-VLOOKUP(D15,Code!$H:$W,6,FALSE))/(VLOOKUP(D15,Code!$H:$W,6,FALSE)*VLOOKUP(D15,Code!$H:$W,5,FALSE)*SQRT(_xlfn.DAYS(E15+1,TODAY()-1)/365)))</f>
        <v/>
      </c>
    </row>
    <row r="16" spans="1:11">
      <c r="B16" s="323"/>
      <c r="H16" s="330" t="str" cm="1">
        <f t="array" ref="H16">IF(OR(C16="",D16="",E16="",F16="",G16=""),"",
G16/_xlfn.IFS(
YEAR(E16)-YEAR(C16)&lt;1,    WEEKNUM(E16)-WEEKNUM(C16)+1,
YEAR(E16)-YEAR(C16)&gt;=1,    (YEAR(E16)-YEAR(C16))*52+WEEKNUM(E16)-WEEKNUM(C16)+1))</f>
        <v/>
      </c>
      <c r="I16" s="331" t="str" cm="1">
        <f t="array" aca="1" ref="I16" ca="1">IFERROR(
    _xlfn.IFS(OR(C16="",D16="",E16="",F16=""),    "",
    TODAY()&gt;E16+1,    "已結算",
    D16&lt;&gt;0,    (F16-VLOOKUP(D16,Code!$H:$W,6,FALSE))/(VLOOKUP(D16,Code!$H:$W,6,FALSE)*VLOOKUP(D16,Code!$H:$W,5,FALSE)*SQRT(_xlfn.DAYS(E16+1,TODAY())/365))),
(F16-VLOOKUP(D16,Code!$H:$W,6,FALSE))/(VLOOKUP(D16,Code!$H:$W,6,FALSE)*VLOOKUP(D16,Code!$H:$W,5,FALSE)*SQRT(_xlfn.DAYS(E16+1,TODAY()-1)/365)))</f>
        <v/>
      </c>
    </row>
    <row r="17" spans="2:9">
      <c r="B17" s="323"/>
      <c r="H17" s="330" t="str" cm="1">
        <f t="array" ref="H17">IF(OR(C17="",D17="",E17="",F17="",G17=""),"",
G17/_xlfn.IFS(
YEAR(E17)-YEAR(C17)&lt;1,    WEEKNUM(E17)-WEEKNUM(C17)+1,
YEAR(E17)-YEAR(C17)&gt;=1,    (YEAR(E17)-YEAR(C17))*52+WEEKNUM(E17)-WEEKNUM(C17)+1))</f>
        <v/>
      </c>
      <c r="I17" s="331" t="str" cm="1">
        <f t="array" aca="1" ref="I17" ca="1">IFERROR(
    _xlfn.IFS(OR(C17="",D17="",E17="",F17=""),    "",
    TODAY()&gt;E17+1,    "已結算",
    D17&lt;&gt;0,    (F17-VLOOKUP(D17,Code!$H:$W,6,FALSE))/(VLOOKUP(D17,Code!$H:$W,6,FALSE)*VLOOKUP(D17,Code!$H:$W,5,FALSE)*SQRT(_xlfn.DAYS(E17+1,TODAY())/365))),
(F17-VLOOKUP(D17,Code!$H:$W,6,FALSE))/(VLOOKUP(D17,Code!$H:$W,6,FALSE)*VLOOKUP(D17,Code!$H:$W,5,FALSE)*SQRT(_xlfn.DAYS(E17+1,TODAY()-1)/365)))</f>
        <v/>
      </c>
    </row>
    <row r="18" spans="2:9">
      <c r="B18" s="323"/>
      <c r="H18" s="330" t="str" cm="1">
        <f t="array" ref="H18">IF(OR(C18="",D18="",E18="",F18="",G18=""),"",
G18/_xlfn.IFS(
YEAR(E18)-YEAR(C18)&lt;1,    WEEKNUM(E18)-WEEKNUM(C18)+1,
YEAR(E18)-YEAR(C18)&gt;=1,    (YEAR(E18)-YEAR(C18))*52+WEEKNUM(E18)-WEEKNUM(C18)+1))</f>
        <v/>
      </c>
      <c r="I18" s="331" t="str" cm="1">
        <f t="array" aca="1" ref="I18" ca="1">IFERROR(
    _xlfn.IFS(OR(C18="",D18="",E18="",F18=""),    "",
    TODAY()&gt;E18+1,    "已結算",
    D18&lt;&gt;0,    (F18-VLOOKUP(D18,Code!$H:$W,6,FALSE))/(VLOOKUP(D18,Code!$H:$W,6,FALSE)*VLOOKUP(D18,Code!$H:$W,5,FALSE)*SQRT(_xlfn.DAYS(E18+1,TODAY())/365))),
(F18-VLOOKUP(D18,Code!$H:$W,6,FALSE))/(VLOOKUP(D18,Code!$H:$W,6,FALSE)*VLOOKUP(D18,Code!$H:$W,5,FALSE)*SQRT(_xlfn.DAYS(E18+1,TODAY()-1)/365)))</f>
        <v/>
      </c>
    </row>
  </sheetData>
  <sheetProtection selectLockedCells="1"/>
  <autoFilter ref="B1:I1" xr:uid="{00000000-0001-0000-0400-000000000000}">
    <sortState xmlns:xlrd2="http://schemas.microsoft.com/office/spreadsheetml/2017/richdata2" ref="B2:I18">
      <sortCondition ref="E1"/>
    </sortState>
  </autoFilter>
  <mergeCells count="1">
    <mergeCell ref="J1:K1"/>
  </mergeCells>
  <phoneticPr fontId="2" type="noConversion"/>
  <conditionalFormatting sqref="I2:I18">
    <cfRule type="cellIs" dxfId="5" priority="6" operator="equal">
      <formula>"已結算"</formula>
    </cfRule>
  </conditionalFormatting>
  <conditionalFormatting sqref="I1:I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{0AFC0057-6A7D-4080-BC3C-5ADFCC44749F}</x14:id>
        </ext>
      </extLst>
    </cfRule>
    <cfRule type="cellIs" dxfId="4" priority="5" operator="lessThan">
      <formula>$I$1</formula>
    </cfRule>
  </conditionalFormatting>
  <conditionalFormatting sqref="H1:H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{0C57C8CB-932F-4844-AF6B-6EBCF88B0944}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按鈕1_Click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390525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FC0057-6A7D-4080-BC3C-5ADFCC4474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C57C8CB-932F-4844-AF6B-6EBCF88B0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/>
  <dimension ref="A1:N62"/>
  <sheetViews>
    <sheetView zoomScale="175" zoomScaleNormal="175" workbookViewId="0">
      <pane ySplit="1" topLeftCell="A9" activePane="bottomLeft" state="frozen"/>
      <selection pane="bottomLeft" activeCell="H17" sqref="H17"/>
    </sheetView>
  </sheetViews>
  <sheetFormatPr defaultRowHeight="15.75"/>
  <cols>
    <col min="1" max="1" width="5" style="307" customWidth="1"/>
    <col min="2" max="2" width="6" style="318" bestFit="1" customWidth="1"/>
    <col min="3" max="3" width="11.28515625" style="320" customWidth="1"/>
    <col min="4" max="4" width="10.5703125" style="319" bestFit="1" customWidth="1"/>
    <col min="5" max="5" width="11.28515625" style="320" customWidth="1"/>
    <col min="6" max="6" width="8.28515625" style="321" customWidth="1"/>
    <col min="7" max="7" width="11.140625" style="350" customWidth="1"/>
    <col min="8" max="8" width="22.42578125" style="341" customWidth="1"/>
    <col min="9" max="9" width="10" style="353" customWidth="1"/>
    <col min="10" max="10" width="16.140625" style="344" customWidth="1"/>
    <col min="11" max="11" width="11.28515625" style="305" customWidth="1"/>
    <col min="12" max="12" width="10.5703125" style="327" bestFit="1" customWidth="1"/>
    <col min="13" max="16384" width="9.140625" style="307"/>
  </cols>
  <sheetData>
    <row r="1" spans="1:14" ht="16.5" thickBot="1">
      <c r="A1" s="308"/>
      <c r="B1" s="328" t="s">
        <v>1581</v>
      </c>
      <c r="C1" s="336" t="s">
        <v>1569</v>
      </c>
      <c r="D1" s="337" t="s">
        <v>1570</v>
      </c>
      <c r="E1" s="336" t="s">
        <v>6</v>
      </c>
      <c r="F1" s="337" t="s">
        <v>1572</v>
      </c>
      <c r="G1" s="342" t="s">
        <v>1599</v>
      </c>
      <c r="H1" s="342" t="s">
        <v>1601</v>
      </c>
      <c r="I1" s="340">
        <v>1</v>
      </c>
      <c r="J1" s="345">
        <v>1.4999999999999999E-2</v>
      </c>
      <c r="K1" s="329" t="s">
        <v>1590</v>
      </c>
      <c r="L1" s="346" t="s">
        <v>1591</v>
      </c>
      <c r="M1" s="385">
        <f ca="1">NOW()</f>
        <v>44670.847180092591</v>
      </c>
      <c r="N1" s="386"/>
    </row>
    <row r="2" spans="1:14" hidden="1">
      <c r="B2" s="318" t="s">
        <v>1579</v>
      </c>
      <c r="C2" s="320">
        <v>44354</v>
      </c>
      <c r="D2" s="319" t="s">
        <v>1571</v>
      </c>
      <c r="E2" s="320">
        <v>44484</v>
      </c>
      <c r="F2" s="321">
        <v>25</v>
      </c>
      <c r="G2" s="350">
        <v>0.56000000000000005</v>
      </c>
      <c r="H2" s="341" cm="1">
        <f t="array" ref="H2">IF(OR(C2="",D2="",E2="",F2="",G2=""),"",
G2/_xlfn.IFS(
YEAR(E2)-YEAR(C2)&lt;1,    WEEKNUM(E2)-WEEKNUM(C2)+1,
YEAR(E2)-YEAR(C2)&gt;=1,    (YEAR(E2)-YEAR(C2))*52+WEEKNUM(E2)-WEEKNUM(C2)+1)
*100/L2*1000)</f>
        <v>1.1789473684210527</v>
      </c>
      <c r="I2" s="351" t="str" cm="1">
        <f t="array" aca="1" ref="I2" ca="1">IFERROR(
    _xlfn.IFS(OR(C2="",D2="",E2="",F2="",G2=""),    "",
    TODAY()&gt;E2+1,    "已結算",
    D2&lt;&gt;0,    (VLOOKUP(D2,Code!$H:$W,6,FALSE)-F2)/(VLOOKUP(D2,Code!$H:$W,6,FALSE)*VLOOKUP(D2,Code!$H:$W,5,FALSE)*SQRT(_xlfn.DAYS(E2+1,TODAY())/365))),
(VLOOKUP(D2,Code!$H:$W,6,FALSE)-F2)/(VLOOKUP(D2,Code!$H:$W,6,FALSE)*VLOOKUP(D2,Code!$H:$W,5,FALSE)*SQRT(_xlfn.DAYS(E2+1,TODAY()-1)/365)))</f>
        <v>已結算</v>
      </c>
      <c r="J2" s="343" cm="1">
        <f t="array" ref="J2">IF(OR(C2="",D2="",E2="",F2="",G2=""),"",
G2/(F2-G2)/_xlfn.IFS(
YEAR(E2)-YEAR(C2)&lt;1,WEEKNUM(E2)-WEEKNUM(C2)+1,
YEAR(E2)-YEAR(C2)&gt;=1,(YEAR(E2)-YEAR(C2))*52+WEEKNUM(E2)-WEEKNUM(C2)+1)
*52/12)</f>
        <v>5.2258305337812621E-3</v>
      </c>
      <c r="K2" s="306">
        <v>1</v>
      </c>
      <c r="L2" s="347">
        <f t="shared" ref="L2:L8" si="0">IF(K2="","",F2*K2*100)</f>
        <v>2500</v>
      </c>
    </row>
    <row r="3" spans="1:14" hidden="1">
      <c r="B3" s="318" t="s">
        <v>1579</v>
      </c>
      <c r="C3" s="320">
        <v>44424</v>
      </c>
      <c r="D3" s="319" t="s">
        <v>585</v>
      </c>
      <c r="E3" s="320">
        <v>44428</v>
      </c>
      <c r="F3" s="321">
        <v>15</v>
      </c>
      <c r="G3" s="350">
        <v>0.22</v>
      </c>
      <c r="H3" s="341" cm="1">
        <f t="array" ref="H3">IF(OR(C3="",D3="",E3="",F3="",G3=""),"",
G3/_xlfn.IFS(
YEAR(E3)-YEAR(C3)&lt;1,    WEEKNUM(E3)-WEEKNUM(C3)+1,
YEAR(E3)-YEAR(C3)&gt;=1,    (YEAR(E3)-YEAR(C3))*52+WEEKNUM(E3)-WEEKNUM(C3)+1)
*100/L3*1000)</f>
        <v>14.666666666666666</v>
      </c>
      <c r="I3" s="352" t="str" cm="1">
        <f t="array" aca="1" ref="I3" ca="1">IFERROR(
    _xlfn.IFS(OR(C3="",D3="",E3="",F3="",G3=""),    "",
    TODAY()&gt;E3+1,    "已結算",
    D3&lt;&gt;0,    (VLOOKUP(D3,Code!$H:$W,6,FALSE)-F3)/(VLOOKUP(D3,Code!$H:$W,6,FALSE)*VLOOKUP(D3,Code!$H:$W,5,FALSE)*SQRT(_xlfn.DAYS(E3+1,TODAY())/365))),
(VLOOKUP(D3,Code!$H:$W,6,FALSE)-F3)/(VLOOKUP(D3,Code!$H:$W,6,FALSE)*VLOOKUP(D3,Code!$H:$W,5,FALSE)*SQRT(_xlfn.DAYS(E3+1,TODAY()-1)/365)))</f>
        <v>已結算</v>
      </c>
      <c r="J3" s="343" cm="1">
        <f t="array" ref="J3">IF(OR(C3="",D3="",E3="",F3="",G3=""),"",
G3/(F3-G3)/_xlfn.IFS(
YEAR(E3)-YEAR(C3)&lt;1,WEEKNUM(E3)-WEEKNUM(C3)+1,
YEAR(E3)-YEAR(C3)&gt;=1,(YEAR(E3)-YEAR(C3))*52+WEEKNUM(E3)-WEEKNUM(C3)+1)
*52/12)</f>
        <v>6.4501578709968435E-2</v>
      </c>
      <c r="K3" s="306">
        <v>1</v>
      </c>
      <c r="L3" s="347">
        <f t="shared" si="0"/>
        <v>1500</v>
      </c>
    </row>
    <row r="4" spans="1:14" hidden="1">
      <c r="B4" s="318" t="s">
        <v>1579</v>
      </c>
      <c r="C4" s="320">
        <v>44424</v>
      </c>
      <c r="D4" s="319" t="s">
        <v>585</v>
      </c>
      <c r="E4" s="320">
        <v>44456</v>
      </c>
      <c r="F4" s="321">
        <v>15</v>
      </c>
      <c r="G4" s="350">
        <v>0.43</v>
      </c>
      <c r="H4" s="341" cm="1">
        <f t="array" ref="H4">IF(OR(C4="",D4="",E4="",F4="",G4=""),"",
G4/_xlfn.IFS(
YEAR(E4)-YEAR(C4)&lt;1,    WEEKNUM(E4)-WEEKNUM(C4)+1,
YEAR(E4)-YEAR(C4)&gt;=1,    (YEAR(E4)-YEAR(C4))*52+WEEKNUM(E4)-WEEKNUM(C4)+1)
*100/L4*1000)</f>
        <v>5.7333333333333334</v>
      </c>
      <c r="I4" s="352" t="str" cm="1">
        <f t="array" aca="1" ref="I4" ca="1">IFERROR(
    _xlfn.IFS(OR(C4="",D4="",E4="",F4="",G4=""),    "",
    TODAY()&gt;E4+1,    "已結算",
    D4&lt;&gt;0,    (VLOOKUP(D4,Code!$H:$W,6,FALSE)-F4)/(VLOOKUP(D4,Code!$H:$W,6,FALSE)*VLOOKUP(D4,Code!$H:$W,5,FALSE)*SQRT(_xlfn.DAYS(E4+1,TODAY())/365))),
(VLOOKUP(D4,Code!$H:$W,6,FALSE)-F4)/(VLOOKUP(D4,Code!$H:$W,6,FALSE)*VLOOKUP(D4,Code!$H:$W,5,FALSE)*SQRT(_xlfn.DAYS(E4+1,TODAY()-1)/365)))</f>
        <v>已結算</v>
      </c>
      <c r="J4" s="343" cm="1">
        <f t="array" ref="J4">IF(OR(C4="",D4="",E4="",F4="",G4=""),"",
G4/(F4-G4)/_xlfn.IFS(
YEAR(E4)-YEAR(C4)&lt;1,WEEKNUM(E4)-WEEKNUM(C4)+1,
YEAR(E4)-YEAR(C4)&gt;=1,(YEAR(E4)-YEAR(C4))*52+WEEKNUM(E4)-WEEKNUM(C4)+1)
*52/12)</f>
        <v>2.5577671013498057E-2</v>
      </c>
      <c r="K4" s="306">
        <v>1</v>
      </c>
      <c r="L4" s="347">
        <f t="shared" si="0"/>
        <v>1500</v>
      </c>
    </row>
    <row r="5" spans="1:14" hidden="1">
      <c r="B5" s="318" t="s">
        <v>1580</v>
      </c>
      <c r="C5" s="320">
        <v>44389</v>
      </c>
      <c r="D5" s="319" t="s">
        <v>1568</v>
      </c>
      <c r="E5" s="320">
        <v>44456</v>
      </c>
      <c r="F5" s="321">
        <v>6</v>
      </c>
      <c r="G5" s="350">
        <v>0.32</v>
      </c>
      <c r="H5" s="341" cm="1">
        <f t="array" ref="H5">IF(OR(C5="",D5="",E5="",F5="",G5=""),"",
G5/_xlfn.IFS(
YEAR(E5)-YEAR(C5)&lt;1,    WEEKNUM(E5)-WEEKNUM(C5)+1,
YEAR(E5)-YEAR(C5)&gt;=1,    (YEAR(E5)-YEAR(C5))*52+WEEKNUM(E5)-WEEKNUM(C5)+1)
*100/L5*1000)</f>
        <v>5.3333333333333339</v>
      </c>
      <c r="I5" s="352" t="str" cm="1">
        <f t="array" aca="1" ref="I5" ca="1">IFERROR(
    _xlfn.IFS(OR(C5="",D5="",E5="",F5="",G5=""),    "",
    TODAY()&gt;E5+1,    "已結算",
    D5&lt;&gt;0,    (VLOOKUP(D5,Code!$H:$W,6,FALSE)-F5)/(VLOOKUP(D5,Code!$H:$W,6,FALSE)*VLOOKUP(D5,Code!$H:$W,5,FALSE)*SQRT(_xlfn.DAYS(E5+1,TODAY())/365))),
(VLOOKUP(D5,Code!$H:$W,6,FALSE)-F5)/(VLOOKUP(D5,Code!$H:$W,6,FALSE)*VLOOKUP(D5,Code!$H:$W,5,FALSE)*SQRT(_xlfn.DAYS(E5+1,TODAY()-1)/365)))</f>
        <v>已結算</v>
      </c>
      <c r="J5" s="343" cm="1">
        <f t="array" ref="J5">IF(OR(C5="",D5="",E5="",F5="",G5=""),"",
G5/(F5-G5)/_xlfn.IFS(
YEAR(E5)-YEAR(C5)&lt;1,WEEKNUM(E5)-WEEKNUM(C5)+1,
YEAR(E5)-YEAR(C5)&gt;=1,(YEAR(E5)-YEAR(C5))*52+WEEKNUM(E5)-WEEKNUM(C5)+1)
*52/12)</f>
        <v>2.4413145539906103E-2</v>
      </c>
      <c r="K5" s="306">
        <v>1</v>
      </c>
      <c r="L5" s="347">
        <f t="shared" si="0"/>
        <v>600</v>
      </c>
      <c r="M5" s="309"/>
      <c r="N5" s="310"/>
    </row>
    <row r="6" spans="1:14" hidden="1">
      <c r="B6" s="318" t="s">
        <v>1580</v>
      </c>
      <c r="C6" s="320">
        <v>44375</v>
      </c>
      <c r="D6" s="319" t="s">
        <v>1568</v>
      </c>
      <c r="E6" s="320">
        <v>44547</v>
      </c>
      <c r="F6" s="321">
        <v>7</v>
      </c>
      <c r="G6" s="350">
        <v>1.01</v>
      </c>
      <c r="H6" s="341" cm="1">
        <f t="array" ref="H6">IF(OR(C6="",D6="",E6="",F6="",G6=""),"",
G6/_xlfn.IFS(
YEAR(E6)-YEAR(C6)&lt;1,    WEEKNUM(E6)-WEEKNUM(C6)+1,
YEAR(E6)-YEAR(C6)&gt;=1,    (YEAR(E6)-YEAR(C6))*52+WEEKNUM(E6)-WEEKNUM(C6)+1)
*100/L6*1000)</f>
        <v>5.7714285714285714</v>
      </c>
      <c r="I6" s="352" t="str" cm="1">
        <f t="array" aca="1" ref="I6" ca="1">IFERROR(
    _xlfn.IFS(OR(C6="",D6="",E6="",F6="",G6=""),    "",
    TODAY()&gt;E6+1,    "已結算",
    D6&lt;&gt;0,    (VLOOKUP(D6,Code!$H:$W,6,FALSE)-F6)/(VLOOKUP(D6,Code!$H:$W,6,FALSE)*VLOOKUP(D6,Code!$H:$W,5,FALSE)*SQRT(_xlfn.DAYS(E6+1,TODAY())/365))),
(VLOOKUP(D6,Code!$H:$W,6,FALSE)-F6)/(VLOOKUP(D6,Code!$H:$W,6,FALSE)*VLOOKUP(D6,Code!$H:$W,5,FALSE)*SQRT(_xlfn.DAYS(E6+1,TODAY()-1)/365)))</f>
        <v>已結算</v>
      </c>
      <c r="J6" s="343" cm="1">
        <f t="array" ref="J6">IF(OR(C6="",D6="",E6="",F6="",G6=""),"",
G6/(F6-G6)/_xlfn.IFS(
YEAR(E6)-YEAR(C6)&lt;1,WEEKNUM(E6)-WEEKNUM(C6)+1,
YEAR(E6)-YEAR(C6)&gt;=1,(YEAR(E6)-YEAR(C6))*52+WEEKNUM(E6)-WEEKNUM(C6)+1)
*52/12)</f>
        <v>2.9226488592097939E-2</v>
      </c>
      <c r="K6" s="306">
        <v>1</v>
      </c>
      <c r="L6" s="347">
        <f t="shared" si="0"/>
        <v>700</v>
      </c>
      <c r="M6" s="309"/>
      <c r="N6" s="310"/>
    </row>
    <row r="7" spans="1:14" hidden="1">
      <c r="B7" s="318" t="s">
        <v>1579</v>
      </c>
      <c r="C7" s="320">
        <v>44340</v>
      </c>
      <c r="D7" s="319" t="s">
        <v>1568</v>
      </c>
      <c r="E7" s="320">
        <v>44547</v>
      </c>
      <c r="F7" s="321">
        <v>7</v>
      </c>
      <c r="G7" s="350">
        <v>1.81</v>
      </c>
      <c r="H7" s="341" cm="1">
        <f t="array" ref="H7">IF(OR(C7="",D7="",E7="",F7="",G7=""),"",
G7/_xlfn.IFS(
YEAR(E7)-YEAR(C7)&lt;1,    WEEKNUM(E7)-WEEKNUM(C7)+1,
YEAR(E7)-YEAR(C7)&gt;=1,    (YEAR(E7)-YEAR(C7))*52+WEEKNUM(E7)-WEEKNUM(C7)+1)
*100/L7*1000)</f>
        <v>8.6190476190476186</v>
      </c>
      <c r="I7" s="352" t="str" cm="1">
        <f t="array" aca="1" ref="I7" ca="1">IFERROR(
    _xlfn.IFS(OR(C7="",D7="",E7="",F7="",G7=""),    "",
    TODAY()&gt;E7+1,    "已結算",
    D7&lt;&gt;0,    (VLOOKUP(D7,Code!$H:$W,6,FALSE)-F7)/(VLOOKUP(D7,Code!$H:$W,6,FALSE)*VLOOKUP(D7,Code!$H:$W,5,FALSE)*SQRT(_xlfn.DAYS(E7+1,TODAY())/365))),
(VLOOKUP(D7,Code!$H:$W,6,FALSE)-F7)/(VLOOKUP(D7,Code!$H:$W,6,FALSE)*VLOOKUP(D7,Code!$H:$W,5,FALSE)*SQRT(_xlfn.DAYS(E7+1,TODAY()-1)/365)))</f>
        <v>已結算</v>
      </c>
      <c r="J7" s="343" cm="1">
        <f t="array" ref="J7">IF(OR(C7="",D7="",E7="",F7="",G7=""),"",
G7/(F7-G7)/_xlfn.IFS(
YEAR(E7)-YEAR(C7)&lt;1,WEEKNUM(E7)-WEEKNUM(C7)+1,
YEAR(E7)-YEAR(C7)&gt;=1,(YEAR(E7)-YEAR(C7))*52+WEEKNUM(E7)-WEEKNUM(C7)+1)
*52/12)</f>
        <v>5.0374652108756163E-2</v>
      </c>
      <c r="K7" s="306">
        <v>1</v>
      </c>
      <c r="L7" s="347">
        <f t="shared" si="0"/>
        <v>700</v>
      </c>
      <c r="M7" s="309"/>
      <c r="N7" s="310"/>
    </row>
    <row r="8" spans="1:14" hidden="1">
      <c r="H8" s="341" t="str" cm="1">
        <f t="array" ref="H8">IF(OR(C8="",D8="",E8="",F8="",G8=""),"",
G8/_xlfn.IFS(
YEAR(E8)-YEAR(C8)&lt;1,    WEEKNUM(E8)-WEEKNUM(C8)+1,
YEAR(E8)-YEAR(C8)&gt;=1,    (YEAR(E8)-YEAR(C8))*52+WEEKNUM(E8)-WEEKNUM(C8)+1)
*100/L8*1000)</f>
        <v/>
      </c>
      <c r="I8" s="352" t="str" cm="1">
        <f t="array" aca="1" ref="I8" ca="1">IFERROR(
    _xlfn.IFS(OR(C8="",D8="",E8="",F8="",G8=""),    "",
    TODAY()&gt;E8+1,    "已結算",
    D8&lt;&gt;0,    (VLOOKUP(D8,Code!$H:$W,6,FALSE)-F8)/(VLOOKUP(D8,Code!$H:$W,6,FALSE)*VLOOKUP(D8,Code!$H:$W,5,FALSE)*SQRT(_xlfn.DAYS(E8+1,TODAY())/365))),
(VLOOKUP(D8,Code!$H:$W,6,FALSE)-F8)/(VLOOKUP(D8,Code!$H:$W,6,FALSE)*VLOOKUP(D8,Code!$H:$W,5,FALSE)*SQRT(_xlfn.DAYS(E8+1,TODAY()-1)/365)))</f>
        <v/>
      </c>
      <c r="J8" s="343" t="str" cm="1">
        <f t="array" ref="J8">IF(OR(C8="",D8="",E8="",F8="",G8=""),"",
G8/(F8-G8)/_xlfn.IFS(
YEAR(E8)-YEAR(C8)&lt;1,WEEKNUM(E8)-WEEKNUM(C8)+1,
YEAR(E8)-YEAR(C8)&gt;=1,(YEAR(E8)-YEAR(C8))*52+WEEKNUM(E8)-WEEKNUM(C8)+1)
*52/12)</f>
        <v/>
      </c>
      <c r="K8" s="306"/>
      <c r="L8" s="347" t="str">
        <f t="shared" si="0"/>
        <v/>
      </c>
      <c r="M8" s="309"/>
      <c r="N8" s="310"/>
    </row>
    <row r="9" spans="1:14">
      <c r="C9" s="320">
        <v>44452</v>
      </c>
      <c r="D9" s="319" t="s">
        <v>799</v>
      </c>
      <c r="E9" s="320">
        <v>44456</v>
      </c>
      <c r="F9" s="319">
        <v>58</v>
      </c>
      <c r="G9" s="350">
        <v>0.4</v>
      </c>
      <c r="H9" s="341" cm="1">
        <f t="array" ref="H9">IF(OR(C9="",D9="",E9="",F9="",G9=""),"",
G9/_xlfn.IFS(
YEAR(E9)-YEAR(C9)&lt;1,    WEEKNUM(E9)-WEEKNUM(C9)+1,
YEAR(E9)-YEAR(C9)&gt;=1,    (YEAR(E9)-YEAR(C9))*52+WEEKNUM(E9)-WEEKNUM(C9)+1)
*100/L9*1000)</f>
        <v>6.8965517241379306</v>
      </c>
      <c r="I9" s="352" t="str" cm="1">
        <f t="array" aca="1" ref="I9" ca="1">IFERROR(
    _xlfn.IFS(OR(C9="",D9="",E9="",F9="",G9=""),    "",
    TODAY()&gt;E9+1,    "已結算",
    D9&lt;&gt;0,    (VLOOKUP(D9,Code!$H:$W,6,FALSE)-F9)/(VLOOKUP(D9,Code!$H:$W,6,FALSE)*VLOOKUP(D9,Code!$H:$W,5,FALSE)*SQRT(_xlfn.DAYS(E9+1,TODAY())/365))),
(VLOOKUP(D9,Code!$H:$W,6,FALSE)-F9)/(VLOOKUP(D9,Code!$H:$W,6,FALSE)*VLOOKUP(D9,Code!$H:$W,5,FALSE)*SQRT(_xlfn.DAYS(E9+1,TODAY()-1)/365)))</f>
        <v>已結算</v>
      </c>
      <c r="J9" s="343" cm="1">
        <f t="array" ref="J9">IF(OR(C9="",D9="",E9="",F9="",G9=""),"",
G9/(F9-G9)/_xlfn.IFS(
YEAR(E9)-YEAR(C9)&lt;1,WEEKNUM(E9)-WEEKNUM(C9)+1,
YEAR(E9)-YEAR(C9)&gt;=1,(YEAR(E9)-YEAR(C9))*52+WEEKNUM(E9)-WEEKNUM(C9)+1)
*52/12)</f>
        <v>3.0092592592592598E-2</v>
      </c>
      <c r="K9" s="306">
        <v>1</v>
      </c>
      <c r="L9" s="347">
        <f t="shared" ref="L9:L40" si="1">IF(K9="","",F9*K9*100)</f>
        <v>5800</v>
      </c>
    </row>
    <row r="10" spans="1:14">
      <c r="C10" s="320">
        <v>44452</v>
      </c>
      <c r="D10" s="319" t="s">
        <v>799</v>
      </c>
      <c r="E10" s="320">
        <v>44456</v>
      </c>
      <c r="F10" s="319">
        <v>58.5</v>
      </c>
      <c r="G10" s="350">
        <v>0.5</v>
      </c>
      <c r="H10" s="341" cm="1">
        <f t="array" ref="H10">IF(OR(C10="",D10="",E10="",F10="",G10=""),"",
G10/_xlfn.IFS(
YEAR(E10)-YEAR(C10)&lt;1,    WEEKNUM(E10)-WEEKNUM(C10)+1,
YEAR(E10)-YEAR(C10)&gt;=1,    (YEAR(E10)-YEAR(C10))*52+WEEKNUM(E10)-WEEKNUM(C10)+1)
*100/L10*1000)</f>
        <v>8.5470085470085486</v>
      </c>
      <c r="I10" s="352" t="str" cm="1">
        <f t="array" aca="1" ref="I10" ca="1">IFERROR(
    _xlfn.IFS(OR(C10="",D10="",E10="",F10="",G10=""),    "",
    TODAY()&gt;E10+1,    "已結算",
    D10&lt;&gt;0,    (VLOOKUP(D10,Code!$H:$W,6,FALSE)-F10)/(VLOOKUP(D10,Code!$H:$W,6,FALSE)*VLOOKUP(D10,Code!$H:$W,5,FALSE)*SQRT(_xlfn.DAYS(E10+1,TODAY())/365))),
(VLOOKUP(D10,Code!$H:$W,6,FALSE)-F10)/(VLOOKUP(D10,Code!$H:$W,6,FALSE)*VLOOKUP(D10,Code!$H:$W,5,FALSE)*SQRT(_xlfn.DAYS(E10+1,TODAY()-1)/365)))</f>
        <v>已結算</v>
      </c>
      <c r="J10" s="343" cm="1">
        <f t="array" ref="J10">IF(OR(C10="",D10="",E10="",F10="",G10=""),"",
G10/(F10-G10)/_xlfn.IFS(
YEAR(E10)-YEAR(C10)&lt;1,WEEKNUM(E10)-WEEKNUM(C10)+1,
YEAR(E10)-YEAR(C10)&gt;=1,(YEAR(E10)-YEAR(C10))*52+WEEKNUM(E10)-WEEKNUM(C10)+1)
*52/12)</f>
        <v>3.7356321839080463E-2</v>
      </c>
      <c r="K10" s="306">
        <v>1</v>
      </c>
      <c r="L10" s="347">
        <f t="shared" si="1"/>
        <v>5850</v>
      </c>
    </row>
    <row r="11" spans="1:14">
      <c r="C11" s="320">
        <v>44452</v>
      </c>
      <c r="D11" s="319" t="s">
        <v>799</v>
      </c>
      <c r="E11" s="320">
        <v>44456</v>
      </c>
      <c r="F11" s="319">
        <v>60</v>
      </c>
      <c r="G11" s="350">
        <v>0.85</v>
      </c>
      <c r="H11" s="341" cm="1">
        <f t="array" ref="H11">IF(OR(C11="",D11="",E11="",F11="",G11=""),"",
G11/_xlfn.IFS(
YEAR(E11)-YEAR(C11)&lt;1,    WEEKNUM(E11)-WEEKNUM(C11)+1,
YEAR(E11)-YEAR(C11)&gt;=1,    (YEAR(E11)-YEAR(C11))*52+WEEKNUM(E11)-WEEKNUM(C11)+1)
*100/L11*1000)</f>
        <v>14.166666666666666</v>
      </c>
      <c r="I11" s="352" t="str" cm="1">
        <f t="array" aca="1" ref="I11" ca="1">IFERROR(
    _xlfn.IFS(OR(C11="",D11="",E11="",F11="",G11=""),    "",
    TODAY()&gt;E11+1,    "已結算",
    D11&lt;&gt;0,    (VLOOKUP(D11,Code!$H:$W,6,FALSE)-F11)/(VLOOKUP(D11,Code!$H:$W,6,FALSE)*VLOOKUP(D11,Code!$H:$W,5,FALSE)*SQRT(_xlfn.DAYS(E11+1,TODAY())/365))),
(VLOOKUP(D11,Code!$H:$W,6,FALSE)-F11)/(VLOOKUP(D11,Code!$H:$W,6,FALSE)*VLOOKUP(D11,Code!$H:$W,5,FALSE)*SQRT(_xlfn.DAYS(E11+1,TODAY()-1)/365)))</f>
        <v>已結算</v>
      </c>
      <c r="J11" s="343" cm="1">
        <f t="array" ref="J11">IF(OR(C11="",D11="",E11="",F11="",G11=""),"",
G11/(F11-G11)/_xlfn.IFS(
YEAR(E11)-YEAR(C11)&lt;1,WEEKNUM(E11)-WEEKNUM(C11)+1,
YEAR(E11)-YEAR(C11)&gt;=1,(YEAR(E11)-YEAR(C11))*52+WEEKNUM(E11)-WEEKNUM(C11)+1)
*52/12)</f>
        <v>6.2271062271062272E-2</v>
      </c>
      <c r="K11" s="306">
        <v>1</v>
      </c>
      <c r="L11" s="347">
        <f t="shared" si="1"/>
        <v>6000</v>
      </c>
    </row>
    <row r="12" spans="1:14">
      <c r="C12" s="320">
        <v>44452</v>
      </c>
      <c r="D12" s="319" t="s">
        <v>885</v>
      </c>
      <c r="E12" s="320">
        <v>44456</v>
      </c>
      <c r="F12" s="319">
        <v>34</v>
      </c>
      <c r="G12" s="350">
        <v>0.12</v>
      </c>
      <c r="H12" s="341" cm="1">
        <f t="array" ref="H12">IF(OR(C12="",D12="",E12="",F12="",G12=""),"",
G12/_xlfn.IFS(
YEAR(E12)-YEAR(C12)&lt;1,    WEEKNUM(E12)-WEEKNUM(C12)+1,
YEAR(E12)-YEAR(C12)&gt;=1,    (YEAR(E12)-YEAR(C12))*52+WEEKNUM(E12)-WEEKNUM(C12)+1)
*100/L12*1000)</f>
        <v>3.5294117647058827</v>
      </c>
      <c r="I12" s="352" t="str" cm="1">
        <f t="array" aca="1" ref="I12" ca="1">IFERROR(
    _xlfn.IFS(OR(C12="",D12="",E12="",F12="",G12=""),    "",
    TODAY()&gt;E12+1,    "已結算",
    D12&lt;&gt;0,    (VLOOKUP(D12,Code!$H:$W,6,FALSE)-F12)/(VLOOKUP(D12,Code!$H:$W,6,FALSE)*VLOOKUP(D12,Code!$H:$W,5,FALSE)*SQRT(_xlfn.DAYS(E12+1,TODAY())/365))),
(VLOOKUP(D12,Code!$H:$W,6,FALSE)-F12)/(VLOOKUP(D12,Code!$H:$W,6,FALSE)*VLOOKUP(D12,Code!$H:$W,5,FALSE)*SQRT(_xlfn.DAYS(E12+1,TODAY()-1)/365)))</f>
        <v>已結算</v>
      </c>
      <c r="J12" s="343" cm="1">
        <f t="array" ref="J12">IF(OR(C12="",D12="",E12="",F12="",G12=""),"",
G12/(F12-G12)/_xlfn.IFS(
YEAR(E12)-YEAR(C12)&lt;1,WEEKNUM(E12)-WEEKNUM(C12)+1,
YEAR(E12)-YEAR(C12)&gt;=1,(YEAR(E12)-YEAR(C12))*52+WEEKNUM(E12)-WEEKNUM(C12)+1)
*52/12)</f>
        <v>1.5348288075560801E-2</v>
      </c>
      <c r="K12" s="306">
        <v>1</v>
      </c>
      <c r="L12" s="347">
        <f t="shared" si="1"/>
        <v>3400</v>
      </c>
    </row>
    <row r="13" spans="1:14">
      <c r="C13" s="320">
        <v>44452</v>
      </c>
      <c r="D13" s="319" t="s">
        <v>885</v>
      </c>
      <c r="E13" s="320">
        <v>44456</v>
      </c>
      <c r="F13" s="319">
        <v>34.5</v>
      </c>
      <c r="G13" s="350">
        <v>0.16</v>
      </c>
      <c r="H13" s="341" cm="1">
        <f t="array" ref="H13">IF(OR(C13="",D13="",E13="",F13="",G13=""),"",
G13/_xlfn.IFS(
YEAR(E13)-YEAR(C13)&lt;1,    WEEKNUM(E13)-WEEKNUM(C13)+1,
YEAR(E13)-YEAR(C13)&gt;=1,    (YEAR(E13)-YEAR(C13))*52+WEEKNUM(E13)-WEEKNUM(C13)+1)
*100/L13*1000)</f>
        <v>4.63768115942029</v>
      </c>
      <c r="I13" s="352" t="str" cm="1">
        <f t="array" aca="1" ref="I13" ca="1">IFERROR(
    _xlfn.IFS(OR(C13="",D13="",E13="",F13="",G13=""),    "",
    TODAY()&gt;E13+1,    "已結算",
    D13&lt;&gt;0,    (VLOOKUP(D13,Code!$H:$W,6,FALSE)-F13)/(VLOOKUP(D13,Code!$H:$W,6,FALSE)*VLOOKUP(D13,Code!$H:$W,5,FALSE)*SQRT(_xlfn.DAYS(E13+1,TODAY())/365))),
(VLOOKUP(D13,Code!$H:$W,6,FALSE)-F13)/(VLOOKUP(D13,Code!$H:$W,6,FALSE)*VLOOKUP(D13,Code!$H:$W,5,FALSE)*SQRT(_xlfn.DAYS(E13+1,TODAY()-1)/365)))</f>
        <v>已結算</v>
      </c>
      <c r="J13" s="343" cm="1">
        <f t="array" ref="J13">IF(OR(C13="",D13="",E13="",F13="",G13=""),"",
G13/(F13-G13)/_xlfn.IFS(
YEAR(E13)-YEAR(C13)&lt;1,WEEKNUM(E13)-WEEKNUM(C13)+1,
YEAR(E13)-YEAR(C13)&gt;=1,(YEAR(E13)-YEAR(C13))*52+WEEKNUM(E13)-WEEKNUM(C13)+1)
*52/12)</f>
        <v>2.01902543195496E-2</v>
      </c>
      <c r="K13" s="306">
        <v>1</v>
      </c>
      <c r="L13" s="347">
        <f t="shared" si="1"/>
        <v>3450</v>
      </c>
    </row>
    <row r="14" spans="1:14">
      <c r="C14" s="320">
        <v>44452</v>
      </c>
      <c r="D14" s="319" t="s">
        <v>885</v>
      </c>
      <c r="E14" s="320">
        <v>44456</v>
      </c>
      <c r="F14" s="319">
        <v>35</v>
      </c>
      <c r="G14" s="350">
        <v>0.23</v>
      </c>
      <c r="H14" s="341" cm="1">
        <f t="array" ref="H14">IF(OR(C14="",D14="",E14="",F14="",G14=""),"",
G14/_xlfn.IFS(
YEAR(E14)-YEAR(C14)&lt;1,    WEEKNUM(E14)-WEEKNUM(C14)+1,
YEAR(E14)-YEAR(C14)&gt;=1,    (YEAR(E14)-YEAR(C14))*52+WEEKNUM(E14)-WEEKNUM(C14)+1)
*100/L14*1000)</f>
        <v>6.5714285714285721</v>
      </c>
      <c r="I14" s="352" t="str" cm="1">
        <f t="array" aca="1" ref="I14" ca="1">IFERROR(
    _xlfn.IFS(OR(C14="",D14="",E14="",F14="",G14=""),    "",
    TODAY()&gt;E14+1,    "已結算",
    D14&lt;&gt;0,    (VLOOKUP(D14,Code!$H:$W,6,FALSE)-F14)/(VLOOKUP(D14,Code!$H:$W,6,FALSE)*VLOOKUP(D14,Code!$H:$W,5,FALSE)*SQRT(_xlfn.DAYS(E14+1,TODAY())/365))),
(VLOOKUP(D14,Code!$H:$W,6,FALSE)-F14)/(VLOOKUP(D14,Code!$H:$W,6,FALSE)*VLOOKUP(D14,Code!$H:$W,5,FALSE)*SQRT(_xlfn.DAYS(E14+1,TODAY()-1)/365)))</f>
        <v>已結算</v>
      </c>
      <c r="J14" s="343" cm="1">
        <f t="array" ref="J14">IF(OR(C14="",D14="",E14="",F14="",G14=""),"",
G14/(F14-G14)/_xlfn.IFS(
YEAR(E14)-YEAR(C14)&lt;1,WEEKNUM(E14)-WEEKNUM(C14)+1,
YEAR(E14)-YEAR(C14)&gt;=1,(YEAR(E14)-YEAR(C14))*52+WEEKNUM(E14)-WEEKNUM(C14)+1)
*52/12)</f>
        <v>2.8664557568785349E-2</v>
      </c>
      <c r="K14" s="306">
        <v>1</v>
      </c>
      <c r="L14" s="347">
        <f t="shared" si="1"/>
        <v>3500</v>
      </c>
    </row>
    <row r="15" spans="1:14">
      <c r="B15" s="318">
        <v>1</v>
      </c>
      <c r="C15" s="320">
        <v>44452</v>
      </c>
      <c r="D15" s="319" t="s">
        <v>585</v>
      </c>
      <c r="E15" s="320">
        <v>44456</v>
      </c>
      <c r="F15" s="319">
        <v>16</v>
      </c>
      <c r="G15" s="350">
        <v>0.09</v>
      </c>
      <c r="H15" s="341" cm="1">
        <f t="array" ref="H15">IF(OR(C15="",D15="",E15="",F15="",G15=""),"",
G15/_xlfn.IFS(
YEAR(E15)-YEAR(C15)&lt;1,    WEEKNUM(E15)-WEEKNUM(C15)+1,
YEAR(E15)-YEAR(C15)&gt;=1,    (YEAR(E15)-YEAR(C15))*52+WEEKNUM(E15)-WEEKNUM(C15)+1)
*100/L15*1000)</f>
        <v>5.625</v>
      </c>
      <c r="I15" s="352" t="str" cm="1">
        <f t="array" aca="1" ref="I15" ca="1">IFERROR(
    _xlfn.IFS(OR(C15="",D15="",E15="",F15="",G15=""),    "",
    TODAY()&gt;E15+1,    "已結算",
    D15&lt;&gt;0,    (VLOOKUP(D15,Code!$H:$W,6,FALSE)-F15)/(VLOOKUP(D15,Code!$H:$W,6,FALSE)*VLOOKUP(D15,Code!$H:$W,5,FALSE)*SQRT(_xlfn.DAYS(E15+1,TODAY())/365))),
(VLOOKUP(D15,Code!$H:$W,6,FALSE)-F15)/(VLOOKUP(D15,Code!$H:$W,6,FALSE)*VLOOKUP(D15,Code!$H:$W,5,FALSE)*SQRT(_xlfn.DAYS(E15+1,TODAY()-1)/365)))</f>
        <v>已結算</v>
      </c>
      <c r="J15" s="343" cm="1">
        <f t="array" ref="J15">IF(OR(C15="",D15="",E15="",F15="",G15=""),"",
G15/(F15-G15)/_xlfn.IFS(
YEAR(E15)-YEAR(C15)&lt;1,WEEKNUM(E15)-WEEKNUM(C15)+1,
YEAR(E15)-YEAR(C15)&gt;=1,(YEAR(E15)-YEAR(C15))*52+WEEKNUM(E15)-WEEKNUM(C15)+1)
*52/12)</f>
        <v>2.4512884978001259E-2</v>
      </c>
      <c r="K15" s="306">
        <v>1</v>
      </c>
      <c r="L15" s="347">
        <f t="shared" si="1"/>
        <v>1600</v>
      </c>
    </row>
    <row r="16" spans="1:14">
      <c r="B16" s="318">
        <v>1</v>
      </c>
      <c r="C16" s="320">
        <v>44452</v>
      </c>
      <c r="D16" s="319" t="s">
        <v>585</v>
      </c>
      <c r="E16" s="320">
        <v>44456</v>
      </c>
      <c r="F16" s="319">
        <v>17</v>
      </c>
      <c r="G16" s="350">
        <v>0.15</v>
      </c>
      <c r="H16" s="341" cm="1">
        <f t="array" ref="H16">IF(OR(C16="",D16="",E16="",F16="",G16=""),"",
G16/_xlfn.IFS(
YEAR(E16)-YEAR(C16)&lt;1,    WEEKNUM(E16)-WEEKNUM(C16)+1,
YEAR(E16)-YEAR(C16)&gt;=1,    (YEAR(E16)-YEAR(C16))*52+WEEKNUM(E16)-WEEKNUM(C16)+1)
*100/L16*1000)</f>
        <v>8.8235294117647065</v>
      </c>
      <c r="I16" s="352" t="str" cm="1">
        <f t="array" aca="1" ref="I16" ca="1">IFERROR(
    _xlfn.IFS(OR(C16="",D16="",E16="",F16="",G16=""),    "",
    TODAY()&gt;E16+1,    "已結算",
    D16&lt;&gt;0,    (VLOOKUP(D16,Code!$H:$W,6,FALSE)-F16)/(VLOOKUP(D16,Code!$H:$W,6,FALSE)*VLOOKUP(D16,Code!$H:$W,5,FALSE)*SQRT(_xlfn.DAYS(E16+1,TODAY())/365))),
(VLOOKUP(D16,Code!$H:$W,6,FALSE)-F16)/(VLOOKUP(D16,Code!$H:$W,6,FALSE)*VLOOKUP(D16,Code!$H:$W,5,FALSE)*SQRT(_xlfn.DAYS(E16+1,TODAY()-1)/365)))</f>
        <v>已結算</v>
      </c>
      <c r="J16" s="343" cm="1">
        <f t="array" ref="J16">IF(OR(C16="",D16="",E16="",F16="",G16=""),"",
G16/(F16-G16)/_xlfn.IFS(
YEAR(E16)-YEAR(C16)&lt;1,WEEKNUM(E16)-WEEKNUM(C16)+1,
YEAR(E16)-YEAR(C16)&gt;=1,(YEAR(E16)-YEAR(C16))*52+WEEKNUM(E16)-WEEKNUM(C16)+1)
*52/12)</f>
        <v>3.8575667655786343E-2</v>
      </c>
      <c r="K16" s="306">
        <v>1</v>
      </c>
      <c r="L16" s="347">
        <f t="shared" si="1"/>
        <v>1700</v>
      </c>
    </row>
    <row r="17" spans="2:12">
      <c r="B17" s="318">
        <v>1</v>
      </c>
      <c r="C17" s="320">
        <v>44452</v>
      </c>
      <c r="D17" s="319" t="s">
        <v>585</v>
      </c>
      <c r="E17" s="320">
        <v>44456</v>
      </c>
      <c r="F17" s="319">
        <v>17.5</v>
      </c>
      <c r="G17" s="350">
        <v>0.22</v>
      </c>
      <c r="H17" s="341" cm="1">
        <f t="array" ref="H17">IF(OR(C17="",D17="",E17="",F17="",G17=""),"",
G17/_xlfn.IFS(
YEAR(E17)-YEAR(C17)&lt;1,    WEEKNUM(E17)-WEEKNUM(C17)+1,
YEAR(E17)-YEAR(C17)&gt;=1,    (YEAR(E17)-YEAR(C17))*52+WEEKNUM(E17)-WEEKNUM(C17)+1)
*100/L17*1000)</f>
        <v>12.571428571428571</v>
      </c>
      <c r="I17" s="352" t="str" cm="1">
        <f t="array" aca="1" ref="I17" ca="1">IFERROR(
    _xlfn.IFS(OR(C17="",D17="",E17="",F17="",G17=""),    "",
    TODAY()&gt;E17+1,    "已結算",
    D17&lt;&gt;0,    (VLOOKUP(D17,Code!$H:$W,6,FALSE)-F17)/(VLOOKUP(D17,Code!$H:$W,6,FALSE)*VLOOKUP(D17,Code!$H:$W,5,FALSE)*SQRT(_xlfn.DAYS(E17+1,TODAY())/365))),
(VLOOKUP(D17,Code!$H:$W,6,FALSE)-F17)/(VLOOKUP(D17,Code!$H:$W,6,FALSE)*VLOOKUP(D17,Code!$H:$W,5,FALSE)*SQRT(_xlfn.DAYS(E17+1,TODAY()-1)/365)))</f>
        <v>已結算</v>
      </c>
      <c r="J17" s="343" cm="1">
        <f t="array" ref="J17">IF(OR(C17="",D17="",E17="",F17="",G17=""),"",
G17/(F17-G17)/_xlfn.IFS(
YEAR(E17)-YEAR(C17)&lt;1,WEEKNUM(E17)-WEEKNUM(C17)+1,
YEAR(E17)-YEAR(C17)&gt;=1,(YEAR(E17)-YEAR(C17))*52+WEEKNUM(E17)-WEEKNUM(C17)+1)
*52/12)</f>
        <v>5.5169753086419748E-2</v>
      </c>
      <c r="K17" s="306">
        <v>1</v>
      </c>
      <c r="L17" s="347">
        <f t="shared" si="1"/>
        <v>1750</v>
      </c>
    </row>
    <row r="18" spans="2:12">
      <c r="C18" s="320">
        <v>44452</v>
      </c>
      <c r="D18" s="319" t="s">
        <v>585</v>
      </c>
      <c r="E18" s="320">
        <v>44456</v>
      </c>
      <c r="F18" s="319">
        <v>18</v>
      </c>
      <c r="G18" s="350">
        <v>0.3</v>
      </c>
      <c r="H18" s="341" cm="1">
        <f t="array" ref="H18">IF(OR(C18="",D18="",E18="",F18="",G18=""),"",
G18/_xlfn.IFS(
YEAR(E18)-YEAR(C18)&lt;1,    WEEKNUM(E18)-WEEKNUM(C18)+1,
YEAR(E18)-YEAR(C18)&gt;=1,    (YEAR(E18)-YEAR(C18))*52+WEEKNUM(E18)-WEEKNUM(C18)+1)
*100/L18*1000)</f>
        <v>16.666666666666668</v>
      </c>
      <c r="I18" s="352" t="str" cm="1">
        <f t="array" aca="1" ref="I18" ca="1">IFERROR(
    _xlfn.IFS(OR(C18="",D18="",E18="",F18="",G18=""),    "",
    TODAY()&gt;E18+1,    "已結算",
    D18&lt;&gt;0,    (VLOOKUP(D18,Code!$H:$W,6,FALSE)-F18)/(VLOOKUP(D18,Code!$H:$W,6,FALSE)*VLOOKUP(D18,Code!$H:$W,5,FALSE)*SQRT(_xlfn.DAYS(E18+1,TODAY())/365))),
(VLOOKUP(D18,Code!$H:$W,6,FALSE)-F18)/(VLOOKUP(D18,Code!$H:$W,6,FALSE)*VLOOKUP(D18,Code!$H:$W,5,FALSE)*SQRT(_xlfn.DAYS(E18+1,TODAY()-1)/365)))</f>
        <v>已結算</v>
      </c>
      <c r="J18" s="343" cm="1">
        <f t="array" ref="J18">IF(OR(C18="",D18="",E18="",F18="",G18=""),"",
G18/(F18-G18)/_xlfn.IFS(
YEAR(E18)-YEAR(C18)&lt;1,WEEKNUM(E18)-WEEKNUM(C18)+1,
YEAR(E18)-YEAR(C18)&gt;=1,(YEAR(E18)-YEAR(C18))*52+WEEKNUM(E18)-WEEKNUM(C18)+1)
*52/12)</f>
        <v>7.3446327683615822E-2</v>
      </c>
      <c r="K18" s="306">
        <v>1</v>
      </c>
      <c r="L18" s="347">
        <f t="shared" si="1"/>
        <v>1800</v>
      </c>
    </row>
    <row r="19" spans="2:12">
      <c r="C19" s="320">
        <v>44452</v>
      </c>
      <c r="D19" s="319" t="s">
        <v>1571</v>
      </c>
      <c r="E19" s="320">
        <v>44456</v>
      </c>
      <c r="F19" s="319">
        <v>34</v>
      </c>
      <c r="G19" s="350">
        <v>0.14000000000000001</v>
      </c>
      <c r="H19" s="341" cm="1">
        <f t="array" ref="H19">IF(OR(C19="",D19="",E19="",F19="",G19=""),"",
G19/_xlfn.IFS(
YEAR(E19)-YEAR(C19)&lt;1,    WEEKNUM(E19)-WEEKNUM(C19)+1,
YEAR(E19)-YEAR(C19)&gt;=1,    (YEAR(E19)-YEAR(C19))*52+WEEKNUM(E19)-WEEKNUM(C19)+1)
*100/L19*1000)</f>
        <v>4.1176470588235299</v>
      </c>
      <c r="I19" s="352" t="str" cm="1">
        <f t="array" aca="1" ref="I19" ca="1">IFERROR(
    _xlfn.IFS(OR(C19="",D19="",E19="",F19="",G19=""),    "",
    TODAY()&gt;E19+1,    "已結算",
    D19&lt;&gt;0,    (VLOOKUP(D19,Code!$H:$W,6,FALSE)-F19)/(VLOOKUP(D19,Code!$H:$W,6,FALSE)*VLOOKUP(D19,Code!$H:$W,5,FALSE)*SQRT(_xlfn.DAYS(E19+1,TODAY())/365))),
(VLOOKUP(D19,Code!$H:$W,6,FALSE)-F19)/(VLOOKUP(D19,Code!$H:$W,6,FALSE)*VLOOKUP(D19,Code!$H:$W,5,FALSE)*SQRT(_xlfn.DAYS(E19+1,TODAY()-1)/365)))</f>
        <v>已結算</v>
      </c>
      <c r="J19" s="343" cm="1">
        <f t="array" ref="J19">IF(OR(C19="",D19="",E19="",F19="",G19=""),"",
G19/(F19-G19)/_xlfn.IFS(
YEAR(E19)-YEAR(C19)&lt;1,WEEKNUM(E19)-WEEKNUM(C19)+1,
YEAR(E19)-YEAR(C19)&gt;=1,(YEAR(E19)-YEAR(C19))*52+WEEKNUM(E19)-WEEKNUM(C19)+1)
*52/12)</f>
        <v>1.791691277810593E-2</v>
      </c>
      <c r="K19" s="306">
        <v>1</v>
      </c>
      <c r="L19" s="347">
        <f t="shared" si="1"/>
        <v>3400</v>
      </c>
    </row>
    <row r="20" spans="2:12">
      <c r="C20" s="320">
        <v>44452</v>
      </c>
      <c r="D20" s="319" t="s">
        <v>1571</v>
      </c>
      <c r="E20" s="320">
        <v>44456</v>
      </c>
      <c r="F20" s="319">
        <v>35</v>
      </c>
      <c r="G20" s="350">
        <v>0.23</v>
      </c>
      <c r="H20" s="341" cm="1">
        <f t="array" ref="H20">IF(OR(C20="",D20="",E20="",F20="",G20=""),"",
G20/_xlfn.IFS(
YEAR(E20)-YEAR(C20)&lt;1,    WEEKNUM(E20)-WEEKNUM(C20)+1,
YEAR(E20)-YEAR(C20)&gt;=1,    (YEAR(E20)-YEAR(C20))*52+WEEKNUM(E20)-WEEKNUM(C20)+1)
*100/L20*1000)</f>
        <v>6.5714285714285721</v>
      </c>
      <c r="I20" s="352" t="str" cm="1">
        <f t="array" aca="1" ref="I20" ca="1">IFERROR(
    _xlfn.IFS(OR(C20="",D20="",E20="",F20="",G20=""),    "",
    TODAY()&gt;E20+1,    "已結算",
    D20&lt;&gt;0,    (VLOOKUP(D20,Code!$H:$W,6,FALSE)-F20)/(VLOOKUP(D20,Code!$H:$W,6,FALSE)*VLOOKUP(D20,Code!$H:$W,5,FALSE)*SQRT(_xlfn.DAYS(E20+1,TODAY())/365))),
(VLOOKUP(D20,Code!$H:$W,6,FALSE)-F20)/(VLOOKUP(D20,Code!$H:$W,6,FALSE)*VLOOKUP(D20,Code!$H:$W,5,FALSE)*SQRT(_xlfn.DAYS(E20+1,TODAY()-1)/365)))</f>
        <v>已結算</v>
      </c>
      <c r="J20" s="343" cm="1">
        <f t="array" ref="J20">IF(OR(C20="",D20="",E20="",F20="",G20=""),"",
G20/(F20-G20)/_xlfn.IFS(
YEAR(E20)-YEAR(C20)&lt;1,WEEKNUM(E20)-WEEKNUM(C20)+1,
YEAR(E20)-YEAR(C20)&gt;=1,(YEAR(E20)-YEAR(C20))*52+WEEKNUM(E20)-WEEKNUM(C20)+1)
*52/12)</f>
        <v>2.8664557568785349E-2</v>
      </c>
      <c r="K20" s="306">
        <v>1</v>
      </c>
      <c r="L20" s="347">
        <f t="shared" si="1"/>
        <v>3500</v>
      </c>
    </row>
    <row r="21" spans="2:12">
      <c r="C21" s="320">
        <v>44452</v>
      </c>
      <c r="D21" s="319" t="s">
        <v>1571</v>
      </c>
      <c r="E21" s="320">
        <v>44456</v>
      </c>
      <c r="F21" s="319">
        <v>36</v>
      </c>
      <c r="G21" s="350">
        <v>0.37</v>
      </c>
      <c r="H21" s="341" cm="1">
        <f t="array" ref="H21">IF(OR(C21="",D21="",E21="",F21="",G21=""),"",
G21/_xlfn.IFS(
YEAR(E21)-YEAR(C21)&lt;1,    WEEKNUM(E21)-WEEKNUM(C21)+1,
YEAR(E21)-YEAR(C21)&gt;=1,    (YEAR(E21)-YEAR(C21))*52+WEEKNUM(E21)-WEEKNUM(C21)+1)
*100/L21*1000)</f>
        <v>10.277777777777779</v>
      </c>
      <c r="I21" s="352" t="str" cm="1">
        <f t="array" aca="1" ref="I21" ca="1">IFERROR(
    _xlfn.IFS(OR(C21="",D21="",E21="",F21="",G21=""),    "",
    TODAY()&gt;E21+1,    "已結算",
    D21&lt;&gt;0,    (VLOOKUP(D21,Code!$H:$W,6,FALSE)-F21)/(VLOOKUP(D21,Code!$H:$W,6,FALSE)*VLOOKUP(D21,Code!$H:$W,5,FALSE)*SQRT(_xlfn.DAYS(E21+1,TODAY())/365))),
(VLOOKUP(D21,Code!$H:$W,6,FALSE)-F21)/(VLOOKUP(D21,Code!$H:$W,6,FALSE)*VLOOKUP(D21,Code!$H:$W,5,FALSE)*SQRT(_xlfn.DAYS(E21+1,TODAY()-1)/365)))</f>
        <v>已結算</v>
      </c>
      <c r="J21" s="343" cm="1">
        <f t="array" ref="J21">IF(OR(C21="",D21="",E21="",F21="",G21=""),"",
G21/(F21-G21)/_xlfn.IFS(
YEAR(E21)-YEAR(C21)&lt;1,WEEKNUM(E21)-WEEKNUM(C21)+1,
YEAR(E21)-YEAR(C21)&gt;=1,(YEAR(E21)-YEAR(C21))*52+WEEKNUM(E21)-WEEKNUM(C21)+1)
*52/12)</f>
        <v>4.4999532229394706E-2</v>
      </c>
      <c r="K21" s="306">
        <v>1</v>
      </c>
      <c r="L21" s="347">
        <f t="shared" si="1"/>
        <v>3600</v>
      </c>
    </row>
    <row r="22" spans="2:12">
      <c r="C22" s="320">
        <v>44452</v>
      </c>
      <c r="D22" s="319" t="s">
        <v>1568</v>
      </c>
      <c r="E22" s="320">
        <v>44456</v>
      </c>
      <c r="F22" s="319">
        <v>7</v>
      </c>
      <c r="G22" s="350">
        <v>0.02</v>
      </c>
      <c r="H22" s="341" cm="1">
        <f t="array" ref="H22">IF(OR(C22="",D22="",E22="",F22="",G22=""),"",
G22/_xlfn.IFS(
YEAR(E22)-YEAR(C22)&lt;1,    WEEKNUM(E22)-WEEKNUM(C22)+1,
YEAR(E22)-YEAR(C22)&gt;=1,    (YEAR(E22)-YEAR(C22))*52+WEEKNUM(E22)-WEEKNUM(C22)+1)
*100/L22*1000)</f>
        <v>2.8571428571428572</v>
      </c>
      <c r="I22" s="352" t="str" cm="1">
        <f t="array" aca="1" ref="I22" ca="1">IFERROR(
    _xlfn.IFS(OR(C22="",D22="",E22="",F22="",G22=""),    "",
    TODAY()&gt;E22+1,    "已結算",
    D22&lt;&gt;0,    (VLOOKUP(D22,Code!$H:$W,6,FALSE)-F22)/(VLOOKUP(D22,Code!$H:$W,6,FALSE)*VLOOKUP(D22,Code!$H:$W,5,FALSE)*SQRT(_xlfn.DAYS(E22+1,TODAY())/365))),
(VLOOKUP(D22,Code!$H:$W,6,FALSE)-F22)/(VLOOKUP(D22,Code!$H:$W,6,FALSE)*VLOOKUP(D22,Code!$H:$W,5,FALSE)*SQRT(_xlfn.DAYS(E22+1,TODAY()-1)/365)))</f>
        <v>已結算</v>
      </c>
      <c r="J22" s="343" cm="1">
        <f t="array" ref="J22">IF(OR(C22="",D22="",E22="",F22="",G22=""),"",
G22/(F22-G22)/_xlfn.IFS(
YEAR(E22)-YEAR(C22)&lt;1,WEEKNUM(E22)-WEEKNUM(C22)+1,
YEAR(E22)-YEAR(C22)&gt;=1,(YEAR(E22)-YEAR(C22))*52+WEEKNUM(E22)-WEEKNUM(C22)+1)
*52/12)</f>
        <v>1.2416427889207259E-2</v>
      </c>
      <c r="K22" s="306">
        <v>1</v>
      </c>
      <c r="L22" s="347">
        <f t="shared" si="1"/>
        <v>700</v>
      </c>
    </row>
    <row r="23" spans="2:12">
      <c r="B23" s="318">
        <v>1</v>
      </c>
      <c r="C23" s="320">
        <v>44452</v>
      </c>
      <c r="D23" s="319" t="s">
        <v>1568</v>
      </c>
      <c r="E23" s="320">
        <v>44456</v>
      </c>
      <c r="F23" s="319">
        <v>7.5</v>
      </c>
      <c r="G23" s="350">
        <v>0.11</v>
      </c>
      <c r="H23" s="341" cm="1">
        <f t="array" ref="H23">IF(OR(C23="",D23="",E23="",F23="",G23=""),"",
G23/_xlfn.IFS(
YEAR(E23)-YEAR(C23)&lt;1,    WEEKNUM(E23)-WEEKNUM(C23)+1,
YEAR(E23)-YEAR(C23)&gt;=1,    (YEAR(E23)-YEAR(C23))*52+WEEKNUM(E23)-WEEKNUM(C23)+1)
*100/L23*1000)</f>
        <v>14.666666666666666</v>
      </c>
      <c r="I23" s="352" t="str" cm="1">
        <f t="array" aca="1" ref="I23" ca="1">IFERROR(
    _xlfn.IFS(OR(C23="",D23="",E23="",F23="",G23=""),    "",
    TODAY()&gt;E23+1,    "已結算",
    D23&lt;&gt;0,    (VLOOKUP(D23,Code!$H:$W,6,FALSE)-F23)/(VLOOKUP(D23,Code!$H:$W,6,FALSE)*VLOOKUP(D23,Code!$H:$W,5,FALSE)*SQRT(_xlfn.DAYS(E23+1,TODAY())/365))),
(VLOOKUP(D23,Code!$H:$W,6,FALSE)-F23)/(VLOOKUP(D23,Code!$H:$W,6,FALSE)*VLOOKUP(D23,Code!$H:$W,5,FALSE)*SQRT(_xlfn.DAYS(E23+1,TODAY()-1)/365)))</f>
        <v>已結算</v>
      </c>
      <c r="J23" s="343" cm="1">
        <f t="array" ref="J23">IF(OR(C23="",D23="",E23="",F23="",G23=""),"",
G23/(F23-G23)/_xlfn.IFS(
YEAR(E23)-YEAR(C23)&lt;1,WEEKNUM(E23)-WEEKNUM(C23)+1,
YEAR(E23)-YEAR(C23)&gt;=1,(YEAR(E23)-YEAR(C23))*52+WEEKNUM(E23)-WEEKNUM(C23)+1)
*52/12)</f>
        <v>6.4501578709968435E-2</v>
      </c>
      <c r="K23" s="306">
        <v>1</v>
      </c>
      <c r="L23" s="347">
        <f t="shared" si="1"/>
        <v>750</v>
      </c>
    </row>
    <row r="24" spans="2:12">
      <c r="C24" s="320">
        <v>44452</v>
      </c>
      <c r="D24" s="319" t="s">
        <v>1568</v>
      </c>
      <c r="E24" s="320">
        <v>44456</v>
      </c>
      <c r="F24" s="319"/>
      <c r="H24" s="341" t="str" cm="1">
        <f t="array" ref="H24">IF(OR(C24="",D24="",E24="",F24="",G24=""),"",
G24/_xlfn.IFS(
YEAR(E24)-YEAR(C24)&lt;1,    WEEKNUM(E24)-WEEKNUM(C24)+1,
YEAR(E24)-YEAR(C24)&gt;=1,    (YEAR(E24)-YEAR(C24))*52+WEEKNUM(E24)-WEEKNUM(C24)+1)
*100/L24*1000)</f>
        <v/>
      </c>
      <c r="I24" s="352" t="str" cm="1">
        <f t="array" aca="1" ref="I24" ca="1">IFERROR(
    _xlfn.IFS(OR(C24="",D24="",E24="",F24="",G24=""),    "",
    TODAY()&gt;E24+1,    "已結算",
    D24&lt;&gt;0,    (VLOOKUP(D24,Code!$H:$W,6,FALSE)-F24)/(VLOOKUP(D24,Code!$H:$W,6,FALSE)*VLOOKUP(D24,Code!$H:$W,5,FALSE)*SQRT(_xlfn.DAYS(E24+1,TODAY())/365))),
(VLOOKUP(D24,Code!$H:$W,6,FALSE)-F24)/(VLOOKUP(D24,Code!$H:$W,6,FALSE)*VLOOKUP(D24,Code!$H:$W,5,FALSE)*SQRT(_xlfn.DAYS(E24+1,TODAY()-1)/365)))</f>
        <v/>
      </c>
      <c r="J24" s="343" t="str" cm="1">
        <f t="array" ref="J24">IF(OR(C24="",D24="",E24="",F24="",G24=""),"",
G24/(F24-G24)/_xlfn.IFS(
YEAR(E24)-YEAR(C24)&lt;1,WEEKNUM(E24)-WEEKNUM(C24)+1,
YEAR(E24)-YEAR(C24)&gt;=1,(YEAR(E24)-YEAR(C24))*52+WEEKNUM(E24)-WEEKNUM(C24)+1)
*52/12)</f>
        <v/>
      </c>
      <c r="K24" s="306">
        <v>1</v>
      </c>
      <c r="L24" s="347">
        <f t="shared" si="1"/>
        <v>0</v>
      </c>
    </row>
    <row r="25" spans="2:12">
      <c r="C25" s="320">
        <v>44452</v>
      </c>
      <c r="D25" s="319" t="s">
        <v>1583</v>
      </c>
      <c r="E25" s="320">
        <v>44456</v>
      </c>
      <c r="F25" s="319">
        <v>23.5</v>
      </c>
      <c r="G25" s="350">
        <v>0.04</v>
      </c>
      <c r="H25" s="341" cm="1">
        <f t="array" ref="H25">IF(OR(C25="",D25="",E25="",F25="",G25=""),"",
G25/_xlfn.IFS(
YEAR(E25)-YEAR(C25)&lt;1,    WEEKNUM(E25)-WEEKNUM(C25)+1,
YEAR(E25)-YEAR(C25)&gt;=1,    (YEAR(E25)-YEAR(C25))*52+WEEKNUM(E25)-WEEKNUM(C25)+1)
*100/L25*1000)</f>
        <v>1.7021276595744681</v>
      </c>
      <c r="I25" s="352" t="str" cm="1">
        <f t="array" aca="1" ref="I25" ca="1">IFERROR(
    _xlfn.IFS(OR(C25="",D25="",E25="",F25="",G25=""),    "",
    TODAY()&gt;E25+1,    "已結算",
    D25&lt;&gt;0,    (VLOOKUP(D25,Code!$H:$W,6,FALSE)-F25)/(VLOOKUP(D25,Code!$H:$W,6,FALSE)*VLOOKUP(D25,Code!$H:$W,5,FALSE)*SQRT(_xlfn.DAYS(E25+1,TODAY())/365))),
(VLOOKUP(D25,Code!$H:$W,6,FALSE)-F25)/(VLOOKUP(D25,Code!$H:$W,6,FALSE)*VLOOKUP(D25,Code!$H:$W,5,FALSE)*SQRT(_xlfn.DAYS(E25+1,TODAY()-1)/365)))</f>
        <v>已結算</v>
      </c>
      <c r="J25" s="343" cm="1">
        <f t="array" ref="J25">IF(OR(C25="",D25="",E25="",F25="",G25=""),"",
G25/(F25-G25)/_xlfn.IFS(
YEAR(E25)-YEAR(C25)&lt;1,WEEKNUM(E25)-WEEKNUM(C25)+1,
YEAR(E25)-YEAR(C25)&gt;=1,(YEAR(E25)-YEAR(C25))*52+WEEKNUM(E25)-WEEKNUM(C25)+1)
*52/12)</f>
        <v>7.3884626314293829E-3</v>
      </c>
      <c r="K25" s="306">
        <v>1</v>
      </c>
      <c r="L25" s="347">
        <f t="shared" si="1"/>
        <v>2350</v>
      </c>
    </row>
    <row r="26" spans="2:12">
      <c r="C26" s="320">
        <v>44452</v>
      </c>
      <c r="D26" s="319" t="s">
        <v>1583</v>
      </c>
      <c r="E26" s="320">
        <v>44456</v>
      </c>
      <c r="F26" s="319">
        <v>24</v>
      </c>
      <c r="G26" s="350">
        <v>0.06</v>
      </c>
      <c r="H26" s="341" cm="1">
        <f t="array" ref="H26">IF(OR(C26="",D26="",E26="",F26="",G26=""),"",
G26/_xlfn.IFS(
YEAR(E26)-YEAR(C26)&lt;1,    WEEKNUM(E26)-WEEKNUM(C26)+1,
YEAR(E26)-YEAR(C26)&gt;=1,    (YEAR(E26)-YEAR(C26))*52+WEEKNUM(E26)-WEEKNUM(C26)+1)
*100/L26*1000)</f>
        <v>2.5</v>
      </c>
      <c r="I26" s="352" t="str" cm="1">
        <f t="array" aca="1" ref="I26" ca="1">IFERROR(
    _xlfn.IFS(OR(C26="",D26="",E26="",F26="",G26=""),    "",
    TODAY()&gt;E26+1,    "已結算",
    D26&lt;&gt;0,    (VLOOKUP(D26,Code!$H:$W,6,FALSE)-F26)/(VLOOKUP(D26,Code!$H:$W,6,FALSE)*VLOOKUP(D26,Code!$H:$W,5,FALSE)*SQRT(_xlfn.DAYS(E26+1,TODAY())/365))),
(VLOOKUP(D26,Code!$H:$W,6,FALSE)-F26)/(VLOOKUP(D26,Code!$H:$W,6,FALSE)*VLOOKUP(D26,Code!$H:$W,5,FALSE)*SQRT(_xlfn.DAYS(E26+1,TODAY()-1)/365)))</f>
        <v>已結算</v>
      </c>
      <c r="J26" s="343" cm="1">
        <f t="array" ref="J26">IF(OR(C26="",D26="",E26="",F26="",G26=""),"",
G26/(F26-G26)/_xlfn.IFS(
YEAR(E26)-YEAR(C26)&lt;1,WEEKNUM(E26)-WEEKNUM(C26)+1,
YEAR(E26)-YEAR(C26)&gt;=1,(YEAR(E26)-YEAR(C26))*52+WEEKNUM(E26)-WEEKNUM(C26)+1)
*52/12)</f>
        <v>1.086048454469507E-2</v>
      </c>
      <c r="K26" s="306">
        <v>1</v>
      </c>
      <c r="L26" s="347">
        <f t="shared" si="1"/>
        <v>2400</v>
      </c>
    </row>
    <row r="27" spans="2:12">
      <c r="C27" s="320">
        <v>44452</v>
      </c>
      <c r="D27" s="319" t="s">
        <v>1583</v>
      </c>
      <c r="E27" s="320">
        <v>44456</v>
      </c>
      <c r="F27" s="319">
        <v>24.5</v>
      </c>
      <c r="G27" s="350">
        <v>0.1</v>
      </c>
      <c r="H27" s="341" cm="1">
        <f t="array" ref="H27">IF(OR(C27="",D27="",E27="",F27="",G27=""),"",
G27/_xlfn.IFS(
YEAR(E27)-YEAR(C27)&lt;1,    WEEKNUM(E27)-WEEKNUM(C27)+1,
YEAR(E27)-YEAR(C27)&gt;=1,    (YEAR(E27)-YEAR(C27))*52+WEEKNUM(E27)-WEEKNUM(C27)+1)
*100/L27*1000)</f>
        <v>4.0816326530612246</v>
      </c>
      <c r="I27" s="352" t="str" cm="1">
        <f t="array" aca="1" ref="I27" ca="1">IFERROR(
    _xlfn.IFS(OR(C27="",D27="",E27="",F27="",G27=""),    "",
    TODAY()&gt;E27+1,    "已結算",
    D27&lt;&gt;0,    (VLOOKUP(D27,Code!$H:$W,6,FALSE)-F27)/(VLOOKUP(D27,Code!$H:$W,6,FALSE)*VLOOKUP(D27,Code!$H:$W,5,FALSE)*SQRT(_xlfn.DAYS(E27+1,TODAY())/365))),
(VLOOKUP(D27,Code!$H:$W,6,FALSE)-F27)/(VLOOKUP(D27,Code!$H:$W,6,FALSE)*VLOOKUP(D27,Code!$H:$W,5,FALSE)*SQRT(_xlfn.DAYS(E27+1,TODAY()-1)/365)))</f>
        <v>已結算</v>
      </c>
      <c r="J27" s="343" cm="1">
        <f t="array" ref="J27">IF(OR(C27="",D27="",E27="",F27="",G27=""),"",
G27/(F27-G27)/_xlfn.IFS(
YEAR(E27)-YEAR(C27)&lt;1,WEEKNUM(E27)-WEEKNUM(C27)+1,
YEAR(E27)-YEAR(C27)&gt;=1,(YEAR(E27)-YEAR(C27))*52+WEEKNUM(E27)-WEEKNUM(C27)+1)
*52/12)</f>
        <v>1.7759562841530057E-2</v>
      </c>
      <c r="K27" s="306">
        <v>1</v>
      </c>
      <c r="L27" s="347">
        <f t="shared" si="1"/>
        <v>2450</v>
      </c>
    </row>
    <row r="28" spans="2:12">
      <c r="H28" s="341" t="str" cm="1">
        <f t="array" ref="H28">IF(OR(C28="",D28="",E28="",F28="",G28=""),"",
G28/_xlfn.IFS(
YEAR(E28)-YEAR(C28)&lt;1,    WEEKNUM(E28)-WEEKNUM(C28)+1,
YEAR(E28)-YEAR(C28)&gt;=1,    (YEAR(E28)-YEAR(C28))*52+WEEKNUM(E28)-WEEKNUM(C28)+1)
*100/L28*1000)</f>
        <v/>
      </c>
      <c r="I28" s="352" t="str" cm="1">
        <f t="array" aca="1" ref="I28" ca="1">IFERROR(
    _xlfn.IFS(OR(C28="",D28="",E28="",F28="",G28=""),    "",
    TODAY()&gt;E28+1,    "已結算",
    D28&lt;&gt;0,    (VLOOKUP(D28,Code!$H:$W,6,FALSE)-F28)/(VLOOKUP(D28,Code!$H:$W,6,FALSE)*VLOOKUP(D28,Code!$H:$W,5,FALSE)*SQRT(_xlfn.DAYS(E28+1,TODAY())/365))),
(VLOOKUP(D28,Code!$H:$W,6,FALSE)-F28)/(VLOOKUP(D28,Code!$H:$W,6,FALSE)*VLOOKUP(D28,Code!$H:$W,5,FALSE)*SQRT(_xlfn.DAYS(E28+1,TODAY()-1)/365)))</f>
        <v/>
      </c>
      <c r="J28" s="343" t="str" cm="1">
        <f t="array" ref="J28">IF(OR(C28="",D28="",E28="",F28="",G28=""),"",
G28/(F28-G28)/_xlfn.IFS(
YEAR(E28)-YEAR(C28)&lt;1,WEEKNUM(E28)-WEEKNUM(C28)+1,
YEAR(E28)-YEAR(C28)&gt;=1,(YEAR(E28)-YEAR(C28))*52+WEEKNUM(E28)-WEEKNUM(C28)+1)
*52/12)</f>
        <v/>
      </c>
      <c r="K28" s="306">
        <v>1</v>
      </c>
      <c r="L28" s="347">
        <f t="shared" si="1"/>
        <v>0</v>
      </c>
    </row>
    <row r="29" spans="2:12">
      <c r="H29" s="341" t="str" cm="1">
        <f t="array" ref="H29">IF(OR(C29="",D29="",E29="",F29="",G29=""),"",
G29/_xlfn.IFS(
YEAR(E29)-YEAR(C29)&lt;1,    WEEKNUM(E29)-WEEKNUM(C29)+1,
YEAR(E29)-YEAR(C29)&gt;=1,    (YEAR(E29)-YEAR(C29))*52+WEEKNUM(E29)-WEEKNUM(C29)+1)
*100/L29*1000)</f>
        <v/>
      </c>
      <c r="I29" s="352" t="str" cm="1">
        <f t="array" aca="1" ref="I29" ca="1">IFERROR(
    _xlfn.IFS(OR(C29="",D29="",E29="",F29="",G29=""),    "",
    TODAY()&gt;E29+1,    "已結算",
    D29&lt;&gt;0,    (VLOOKUP(D29,Code!$H:$W,6,FALSE)-F29)/(VLOOKUP(D29,Code!$H:$W,6,FALSE)*VLOOKUP(D29,Code!$H:$W,5,FALSE)*SQRT(_xlfn.DAYS(E29+1,TODAY())/365))),
(VLOOKUP(D29,Code!$H:$W,6,FALSE)-F29)/(VLOOKUP(D29,Code!$H:$W,6,FALSE)*VLOOKUP(D29,Code!$H:$W,5,FALSE)*SQRT(_xlfn.DAYS(E29+1,TODAY()-1)/365)))</f>
        <v/>
      </c>
      <c r="J29" s="343" t="str" cm="1">
        <f t="array" ref="J29">IF(OR(C29="",D29="",E29="",F29="",G29=""),"",
G29/(F29-G29)/_xlfn.IFS(
YEAR(E29)-YEAR(C29)&lt;1,WEEKNUM(E29)-WEEKNUM(C29)+1,
YEAR(E29)-YEAR(C29)&gt;=1,(YEAR(E29)-YEAR(C29))*52+WEEKNUM(E29)-WEEKNUM(C29)+1)
*52/12)</f>
        <v/>
      </c>
      <c r="K29" s="306">
        <v>1</v>
      </c>
      <c r="L29" s="347">
        <f t="shared" si="1"/>
        <v>0</v>
      </c>
    </row>
    <row r="30" spans="2:12">
      <c r="H30" s="341" t="str" cm="1">
        <f t="array" ref="H30">IF(OR(C30="",D30="",E30="",F30="",G30=""),"",
G30/_xlfn.IFS(
YEAR(E30)-YEAR(C30)&lt;1,    WEEKNUM(E30)-WEEKNUM(C30)+1,
YEAR(E30)-YEAR(C30)&gt;=1,    (YEAR(E30)-YEAR(C30))*52+WEEKNUM(E30)-WEEKNUM(C30)+1)
*100/L30*1000)</f>
        <v/>
      </c>
      <c r="I30" s="352" t="str" cm="1">
        <f t="array" aca="1" ref="I30" ca="1">IFERROR(
    _xlfn.IFS(OR(C30="",D30="",E30="",F30="",G30=""),    "",
    TODAY()&gt;E30+1,    "已結算",
    D30&lt;&gt;0,    (VLOOKUP(D30,Code!$H:$W,6,FALSE)-F30)/(VLOOKUP(D30,Code!$H:$W,6,FALSE)*VLOOKUP(D30,Code!$H:$W,5,FALSE)*SQRT(_xlfn.DAYS(E30+1,TODAY())/365))),
(VLOOKUP(D30,Code!$H:$W,6,FALSE)-F30)/(VLOOKUP(D30,Code!$H:$W,6,FALSE)*VLOOKUP(D30,Code!$H:$W,5,FALSE)*SQRT(_xlfn.DAYS(E30+1,TODAY()-1)/365)))</f>
        <v/>
      </c>
      <c r="J30" s="343" t="str" cm="1">
        <f t="array" ref="J30">IF(OR(C30="",D30="",E30="",F30="",G30=""),"",
G30/(F30-G30)/_xlfn.IFS(
YEAR(E30)-YEAR(C30)&lt;1,WEEKNUM(E30)-WEEKNUM(C30)+1,
YEAR(E30)-YEAR(C30)&gt;=1,(YEAR(E30)-YEAR(C30))*52+WEEKNUM(E30)-WEEKNUM(C30)+1)
*52/12)</f>
        <v/>
      </c>
      <c r="K30" s="306">
        <v>1</v>
      </c>
      <c r="L30" s="347">
        <f t="shared" si="1"/>
        <v>0</v>
      </c>
    </row>
    <row r="31" spans="2:12">
      <c r="H31" s="341" t="str" cm="1">
        <f t="array" ref="H31">IF(OR(C31="",D31="",E31="",F31="",G31=""),"",
G31/_xlfn.IFS(
YEAR(E31)-YEAR(C31)&lt;1,    WEEKNUM(E31)-WEEKNUM(C31)+1,
YEAR(E31)-YEAR(C31)&gt;=1,    (YEAR(E31)-YEAR(C31))*52+WEEKNUM(E31)-WEEKNUM(C31)+1)
*100/L31*1000)</f>
        <v/>
      </c>
      <c r="I31" s="352" t="str" cm="1">
        <f t="array" aca="1" ref="I31" ca="1">IFERROR(
    _xlfn.IFS(OR(C31="",D31="",E31="",F31="",G31=""),    "",
    TODAY()&gt;E31+1,    "已結算",
    D31&lt;&gt;0,    (VLOOKUP(D31,Code!$H:$W,6,FALSE)-F31)/(VLOOKUP(D31,Code!$H:$W,6,FALSE)*VLOOKUP(D31,Code!$H:$W,5,FALSE)*SQRT(_xlfn.DAYS(E31+1,TODAY())/365))),
(VLOOKUP(D31,Code!$H:$W,6,FALSE)-F31)/(VLOOKUP(D31,Code!$H:$W,6,FALSE)*VLOOKUP(D31,Code!$H:$W,5,FALSE)*SQRT(_xlfn.DAYS(E31+1,TODAY()-1)/365)))</f>
        <v/>
      </c>
      <c r="J31" s="343" t="str" cm="1">
        <f t="array" ref="J31">IF(OR(C31="",D31="",E31="",F31="",G31=""),"",
G31/(F31-G31)/_xlfn.IFS(
YEAR(E31)-YEAR(C31)&lt;1,WEEKNUM(E31)-WEEKNUM(C31)+1,
YEAR(E31)-YEAR(C31)&gt;=1,(YEAR(E31)-YEAR(C31))*52+WEEKNUM(E31)-WEEKNUM(C31)+1)
*52/12)</f>
        <v/>
      </c>
      <c r="K31" s="306">
        <v>1</v>
      </c>
      <c r="L31" s="347">
        <f t="shared" si="1"/>
        <v>0</v>
      </c>
    </row>
    <row r="32" spans="2:12">
      <c r="H32" s="341" t="str" cm="1">
        <f t="array" ref="H32">IF(OR(C32="",D32="",E32="",F32="",G32=""),"",
G32/_xlfn.IFS(
YEAR(E32)-YEAR(C32)&lt;1,    WEEKNUM(E32)-WEEKNUM(C32)+1,
YEAR(E32)-YEAR(C32)&gt;=1,    (YEAR(E32)-YEAR(C32))*52+WEEKNUM(E32)-WEEKNUM(C32)+1)
*100/L32*1000)</f>
        <v/>
      </c>
      <c r="I32" s="352" t="str" cm="1">
        <f t="array" aca="1" ref="I32" ca="1">IFERROR(
    _xlfn.IFS(OR(C32="",D32="",E32="",F32="",G32=""),    "",
    TODAY()&gt;E32+1,    "已結算",
    D32&lt;&gt;0,    (VLOOKUP(D32,Code!$H:$W,6,FALSE)-F32)/(VLOOKUP(D32,Code!$H:$W,6,FALSE)*VLOOKUP(D32,Code!$H:$W,5,FALSE)*SQRT(_xlfn.DAYS(E32+1,TODAY())/365))),
(VLOOKUP(D32,Code!$H:$W,6,FALSE)-F32)/(VLOOKUP(D32,Code!$H:$W,6,FALSE)*VLOOKUP(D32,Code!$H:$W,5,FALSE)*SQRT(_xlfn.DAYS(E32+1,TODAY()-1)/365)))</f>
        <v/>
      </c>
      <c r="J32" s="343" t="str" cm="1">
        <f t="array" ref="J32">IF(OR(C32="",D32="",E32="",F32="",G32=""),"",
G32/(F32-G32)/_xlfn.IFS(
YEAR(E32)-YEAR(C32)&lt;1,WEEKNUM(E32)-WEEKNUM(C32)+1,
YEAR(E32)-YEAR(C32)&gt;=1,(YEAR(E32)-YEAR(C32))*52+WEEKNUM(E32)-WEEKNUM(C32)+1)
*52/12)</f>
        <v/>
      </c>
      <c r="K32" s="306">
        <v>1</v>
      </c>
      <c r="L32" s="347">
        <f t="shared" si="1"/>
        <v>0</v>
      </c>
    </row>
    <row r="33" spans="8:12">
      <c r="H33" s="341" t="str" cm="1">
        <f t="array" ref="H33">IF(OR(C33="",D33="",E33="",F33="",G33=""),"",
G33/_xlfn.IFS(
YEAR(E33)-YEAR(C33)&lt;1,    WEEKNUM(E33)-WEEKNUM(C33)+1,
YEAR(E33)-YEAR(C33)&gt;=1,    (YEAR(E33)-YEAR(C33))*52+WEEKNUM(E33)-WEEKNUM(C33)+1)
*100/L33*1000)</f>
        <v/>
      </c>
      <c r="I33" s="352" t="str" cm="1">
        <f t="array" aca="1" ref="I33" ca="1">IFERROR(
    _xlfn.IFS(OR(C33="",D33="",E33="",F33="",G33=""),    "",
    TODAY()&gt;E33+1,    "已結算",
    D33&lt;&gt;0,    (VLOOKUP(D33,Code!$H:$W,6,FALSE)-F33)/(VLOOKUP(D33,Code!$H:$W,6,FALSE)*VLOOKUP(D33,Code!$H:$W,5,FALSE)*SQRT(_xlfn.DAYS(E33+1,TODAY())/365))),
(VLOOKUP(D33,Code!$H:$W,6,FALSE)-F33)/(VLOOKUP(D33,Code!$H:$W,6,FALSE)*VLOOKUP(D33,Code!$H:$W,5,FALSE)*SQRT(_xlfn.DAYS(E33+1,TODAY()-1)/365)))</f>
        <v/>
      </c>
      <c r="J33" s="343" t="str" cm="1">
        <f t="array" ref="J33">IF(OR(C33="",D33="",E33="",F33="",G33=""),"",
G33/(F33-G33)/_xlfn.IFS(
YEAR(E33)-YEAR(C33)&lt;1,WEEKNUM(E33)-WEEKNUM(C33)+1,
YEAR(E33)-YEAR(C33)&gt;=1,(YEAR(E33)-YEAR(C33))*52+WEEKNUM(E33)-WEEKNUM(C33)+1)
*52/12)</f>
        <v/>
      </c>
      <c r="K33" s="306">
        <v>1</v>
      </c>
      <c r="L33" s="347">
        <f t="shared" si="1"/>
        <v>0</v>
      </c>
    </row>
    <row r="34" spans="8:12">
      <c r="H34" s="341" t="str" cm="1">
        <f t="array" ref="H34">IF(OR(C34="",D34="",E34="",F34="",G34=""),"",
G34/_xlfn.IFS(
YEAR(E34)-YEAR(C34)&lt;1,    WEEKNUM(E34)-WEEKNUM(C34)+1,
YEAR(E34)-YEAR(C34)&gt;=1,    (YEAR(E34)-YEAR(C34))*52+WEEKNUM(E34)-WEEKNUM(C34)+1)
*100/L34*1000)</f>
        <v/>
      </c>
      <c r="I34" s="352" t="str" cm="1">
        <f t="array" aca="1" ref="I34" ca="1">IFERROR(
    _xlfn.IFS(OR(C34="",D34="",E34="",F34="",G34=""),    "",
    TODAY()&gt;E34+1,    "已結算",
    D34&lt;&gt;0,    (VLOOKUP(D34,Code!$H:$W,6,FALSE)-F34)/(VLOOKUP(D34,Code!$H:$W,6,FALSE)*VLOOKUP(D34,Code!$H:$W,5,FALSE)*SQRT(_xlfn.DAYS(E34+1,TODAY())/365))),
(VLOOKUP(D34,Code!$H:$W,6,FALSE)-F34)/(VLOOKUP(D34,Code!$H:$W,6,FALSE)*VLOOKUP(D34,Code!$H:$W,5,FALSE)*SQRT(_xlfn.DAYS(E34+1,TODAY()-1)/365)))</f>
        <v/>
      </c>
      <c r="J34" s="343" t="str" cm="1">
        <f t="array" ref="J34">IF(OR(C34="",D34="",E34="",F34="",G34=""),"",
G34/(F34-G34)/_xlfn.IFS(
YEAR(E34)-YEAR(C34)&lt;1,WEEKNUM(E34)-WEEKNUM(C34)+1,
YEAR(E34)-YEAR(C34)&gt;=1,(YEAR(E34)-YEAR(C34))*52+WEEKNUM(E34)-WEEKNUM(C34)+1)
*52/12)</f>
        <v/>
      </c>
      <c r="K34" s="306">
        <v>1</v>
      </c>
      <c r="L34" s="347">
        <f t="shared" si="1"/>
        <v>0</v>
      </c>
    </row>
    <row r="35" spans="8:12">
      <c r="H35" s="341" t="str" cm="1">
        <f t="array" ref="H35">IF(OR(C35="",D35="",E35="",F35="",G35=""),"",
G35/_xlfn.IFS(
YEAR(E35)-YEAR(C35)&lt;1,    WEEKNUM(E35)-WEEKNUM(C35)+1,
YEAR(E35)-YEAR(C35)&gt;=1,    (YEAR(E35)-YEAR(C35))*52+WEEKNUM(E35)-WEEKNUM(C35)+1)
*100/L35*1000)</f>
        <v/>
      </c>
      <c r="I35" s="352" t="str" cm="1">
        <f t="array" aca="1" ref="I35" ca="1">IFERROR(
    _xlfn.IFS(OR(C35="",D35="",E35="",F35="",G35=""),    "",
    TODAY()&gt;E35+1,    "已結算",
    D35&lt;&gt;0,    (VLOOKUP(D35,Code!$H:$W,6,FALSE)-F35)/(VLOOKUP(D35,Code!$H:$W,6,FALSE)*VLOOKUP(D35,Code!$H:$W,5,FALSE)*SQRT(_xlfn.DAYS(E35+1,TODAY())/365))),
(VLOOKUP(D35,Code!$H:$W,6,FALSE)-F35)/(VLOOKUP(D35,Code!$H:$W,6,FALSE)*VLOOKUP(D35,Code!$H:$W,5,FALSE)*SQRT(_xlfn.DAYS(E35+1,TODAY()-1)/365)))</f>
        <v/>
      </c>
      <c r="J35" s="343" t="str" cm="1">
        <f t="array" ref="J35">IF(OR(C35="",D35="",E35="",F35="",G35=""),"",
G35/(F35-G35)/_xlfn.IFS(
YEAR(E35)-YEAR(C35)&lt;1,WEEKNUM(E35)-WEEKNUM(C35)+1,
YEAR(E35)-YEAR(C35)&gt;=1,(YEAR(E35)-YEAR(C35))*52+WEEKNUM(E35)-WEEKNUM(C35)+1)
*52/12)</f>
        <v/>
      </c>
      <c r="K35" s="306">
        <v>1</v>
      </c>
      <c r="L35" s="347">
        <f t="shared" si="1"/>
        <v>0</v>
      </c>
    </row>
    <row r="36" spans="8:12">
      <c r="H36" s="341" t="str" cm="1">
        <f t="array" ref="H36">IF(OR(C36="",D36="",E36="",F36="",G36=""),"",
G36/_xlfn.IFS(
YEAR(E36)-YEAR(C36)&lt;1,    WEEKNUM(E36)-WEEKNUM(C36)+1,
YEAR(E36)-YEAR(C36)&gt;=1,    (YEAR(E36)-YEAR(C36))*52+WEEKNUM(E36)-WEEKNUM(C36)+1)
*100/L36*1000)</f>
        <v/>
      </c>
      <c r="I36" s="352" t="str" cm="1">
        <f t="array" aca="1" ref="I36" ca="1">IFERROR(
    _xlfn.IFS(OR(C36="",D36="",E36="",F36="",G36=""),    "",
    TODAY()&gt;E36+1,    "已結算",
    D36&lt;&gt;0,    (VLOOKUP(D36,Code!$H:$W,6,FALSE)-F36)/(VLOOKUP(D36,Code!$H:$W,6,FALSE)*VLOOKUP(D36,Code!$H:$W,5,FALSE)*SQRT(_xlfn.DAYS(E36+1,TODAY())/365))),
(VLOOKUP(D36,Code!$H:$W,6,FALSE)-F36)/(VLOOKUP(D36,Code!$H:$W,6,FALSE)*VLOOKUP(D36,Code!$H:$W,5,FALSE)*SQRT(_xlfn.DAYS(E36+1,TODAY()-1)/365)))</f>
        <v/>
      </c>
      <c r="J36" s="343" t="str" cm="1">
        <f t="array" ref="J36">IF(OR(C36="",D36="",E36="",F36="",G36=""),"",
G36/(F36-G36)/_xlfn.IFS(
YEAR(E36)-YEAR(C36)&lt;1,WEEKNUM(E36)-WEEKNUM(C36)+1,
YEAR(E36)-YEAR(C36)&gt;=1,(YEAR(E36)-YEAR(C36))*52+WEEKNUM(E36)-WEEKNUM(C36)+1)
*52/12)</f>
        <v/>
      </c>
      <c r="K36" s="306">
        <v>1</v>
      </c>
      <c r="L36" s="347">
        <f t="shared" si="1"/>
        <v>0</v>
      </c>
    </row>
    <row r="37" spans="8:12">
      <c r="H37" s="341" t="str" cm="1">
        <f t="array" ref="H37">IF(OR(C37="",D37="",E37="",F37="",G37=""),"",
G37/_xlfn.IFS(
YEAR(E37)-YEAR(C37)&lt;1,    WEEKNUM(E37)-WEEKNUM(C37)+1,
YEAR(E37)-YEAR(C37)&gt;=1,    (YEAR(E37)-YEAR(C37))*52+WEEKNUM(E37)-WEEKNUM(C37)+1)
*100/L37*1000)</f>
        <v/>
      </c>
      <c r="I37" s="352" t="str" cm="1">
        <f t="array" aca="1" ref="I37" ca="1">IFERROR(
    _xlfn.IFS(OR(C37="",D37="",E37="",F37="",G37=""),    "",
    TODAY()&gt;E37+1,    "已結算",
    D37&lt;&gt;0,    (VLOOKUP(D37,Code!$H:$W,6,FALSE)-F37)/(VLOOKUP(D37,Code!$H:$W,6,FALSE)*VLOOKUP(D37,Code!$H:$W,5,FALSE)*SQRT(_xlfn.DAYS(E37+1,TODAY())/365))),
(VLOOKUP(D37,Code!$H:$W,6,FALSE)-F37)/(VLOOKUP(D37,Code!$H:$W,6,FALSE)*VLOOKUP(D37,Code!$H:$W,5,FALSE)*SQRT(_xlfn.DAYS(E37+1,TODAY()-1)/365)))</f>
        <v/>
      </c>
      <c r="J37" s="343" t="str" cm="1">
        <f t="array" ref="J37">IF(OR(C37="",D37="",E37="",F37="",G37=""),"",
G37/(F37-G37)/_xlfn.IFS(
YEAR(E37)-YEAR(C37)&lt;1,WEEKNUM(E37)-WEEKNUM(C37)+1,
YEAR(E37)-YEAR(C37)&gt;=1,(YEAR(E37)-YEAR(C37))*52+WEEKNUM(E37)-WEEKNUM(C37)+1)
*52/12)</f>
        <v/>
      </c>
      <c r="K37" s="306">
        <v>1</v>
      </c>
      <c r="L37" s="347">
        <f t="shared" si="1"/>
        <v>0</v>
      </c>
    </row>
    <row r="38" spans="8:12">
      <c r="H38" s="341" t="str" cm="1">
        <f t="array" ref="H38">IF(OR(C38="",D38="",E38="",F38="",G38=""),"",
G38/_xlfn.IFS(
YEAR(E38)-YEAR(C38)&lt;1,    WEEKNUM(E38)-WEEKNUM(C38)+1,
YEAR(E38)-YEAR(C38)&gt;=1,    (YEAR(E38)-YEAR(C38))*52+WEEKNUM(E38)-WEEKNUM(C38)+1)
*100/L38*1000)</f>
        <v/>
      </c>
      <c r="I38" s="352" t="str" cm="1">
        <f t="array" aca="1" ref="I38" ca="1">IFERROR(
    _xlfn.IFS(OR(C38="",D38="",E38="",F38="",G38=""),    "",
    TODAY()&gt;E38+1,    "已結算",
    D38&lt;&gt;0,    (VLOOKUP(D38,Code!$H:$W,6,FALSE)-F38)/(VLOOKUP(D38,Code!$H:$W,6,FALSE)*VLOOKUP(D38,Code!$H:$W,5,FALSE)*SQRT(_xlfn.DAYS(E38+1,TODAY())/365))),
(VLOOKUP(D38,Code!$H:$W,6,FALSE)-F38)/(VLOOKUP(D38,Code!$H:$W,6,FALSE)*VLOOKUP(D38,Code!$H:$W,5,FALSE)*SQRT(_xlfn.DAYS(E38+1,TODAY()-1)/365)))</f>
        <v/>
      </c>
      <c r="J38" s="343" t="str" cm="1">
        <f t="array" ref="J38">IF(OR(C38="",D38="",E38="",F38="",G38=""),"",
G38/(F38-G38)/_xlfn.IFS(
YEAR(E38)-YEAR(C38)&lt;1,WEEKNUM(E38)-WEEKNUM(C38)+1,
YEAR(E38)-YEAR(C38)&gt;=1,(YEAR(E38)-YEAR(C38))*52+WEEKNUM(E38)-WEEKNUM(C38)+1)
*52/12)</f>
        <v/>
      </c>
      <c r="K38" s="306">
        <v>1</v>
      </c>
      <c r="L38" s="347">
        <f t="shared" si="1"/>
        <v>0</v>
      </c>
    </row>
    <row r="39" spans="8:12">
      <c r="H39" s="341" t="str" cm="1">
        <f t="array" ref="H39">IF(OR(C39="",D39="",E39="",F39="",G39=""),"",
G39/_xlfn.IFS(
YEAR(E39)-YEAR(C39)&lt;1,    WEEKNUM(E39)-WEEKNUM(C39)+1,
YEAR(E39)-YEAR(C39)&gt;=1,    (YEAR(E39)-YEAR(C39))*52+WEEKNUM(E39)-WEEKNUM(C39)+1)
*100/L39*1000)</f>
        <v/>
      </c>
      <c r="I39" s="352" t="str" cm="1">
        <f t="array" aca="1" ref="I39" ca="1">IFERROR(
    _xlfn.IFS(OR(C39="",D39="",E39="",F39="",G39=""),    "",
    TODAY()&gt;E39+1,    "已結算",
    D39&lt;&gt;0,    (VLOOKUP(D39,Code!$H:$W,6,FALSE)-F39)/(VLOOKUP(D39,Code!$H:$W,6,FALSE)*VLOOKUP(D39,Code!$H:$W,5,FALSE)*SQRT(_xlfn.DAYS(E39+1,TODAY())/365))),
(VLOOKUP(D39,Code!$H:$W,6,FALSE)-F39)/(VLOOKUP(D39,Code!$H:$W,6,FALSE)*VLOOKUP(D39,Code!$H:$W,5,FALSE)*SQRT(_xlfn.DAYS(E39+1,TODAY()-1)/365)))</f>
        <v/>
      </c>
      <c r="J39" s="343" t="str" cm="1">
        <f t="array" ref="J39">IF(OR(C39="",D39="",E39="",F39="",G39=""),"",
G39/(F39-G39)/_xlfn.IFS(
YEAR(E39)-YEAR(C39)&lt;1,WEEKNUM(E39)-WEEKNUM(C39)+1,
YEAR(E39)-YEAR(C39)&gt;=1,(YEAR(E39)-YEAR(C39))*52+WEEKNUM(E39)-WEEKNUM(C39)+1)
*52/12)</f>
        <v/>
      </c>
      <c r="K39" s="306">
        <v>1</v>
      </c>
      <c r="L39" s="347">
        <f t="shared" si="1"/>
        <v>0</v>
      </c>
    </row>
    <row r="40" spans="8:12">
      <c r="H40" s="341" t="str" cm="1">
        <f t="array" ref="H40">IF(OR(C40="",D40="",E40="",F40="",G40=""),"",
G40/_xlfn.IFS(
YEAR(E40)-YEAR(C40)&lt;1,    WEEKNUM(E40)-WEEKNUM(C40)+1,
YEAR(E40)-YEAR(C40)&gt;=1,    (YEAR(E40)-YEAR(C40))*52+WEEKNUM(E40)-WEEKNUM(C40)+1)
*100/L40*1000)</f>
        <v/>
      </c>
      <c r="I40" s="352" t="str" cm="1">
        <f t="array" aca="1" ref="I40" ca="1">IFERROR(
    _xlfn.IFS(OR(C40="",D40="",E40="",F40="",G40=""),    "",
    TODAY()&gt;E40+1,    "已結算",
    D40&lt;&gt;0,    (VLOOKUP(D40,Code!$H:$W,6,FALSE)-F40)/(VLOOKUP(D40,Code!$H:$W,6,FALSE)*VLOOKUP(D40,Code!$H:$W,5,FALSE)*SQRT(_xlfn.DAYS(E40+1,TODAY())/365))),
(VLOOKUP(D40,Code!$H:$W,6,FALSE)-F40)/(VLOOKUP(D40,Code!$H:$W,6,FALSE)*VLOOKUP(D40,Code!$H:$W,5,FALSE)*SQRT(_xlfn.DAYS(E40+1,TODAY()-1)/365)))</f>
        <v/>
      </c>
      <c r="J40" s="343" t="str" cm="1">
        <f t="array" ref="J40">IF(OR(C40="",D40="",E40="",F40="",G40=""),"",
G40/(F40-G40)/_xlfn.IFS(
YEAR(E40)-YEAR(C40)&lt;1,WEEKNUM(E40)-WEEKNUM(C40)+1,
YEAR(E40)-YEAR(C40)&gt;=1,(YEAR(E40)-YEAR(C40))*52+WEEKNUM(E40)-WEEKNUM(C40)+1)
*52/12)</f>
        <v/>
      </c>
      <c r="K40" s="306">
        <v>1</v>
      </c>
      <c r="L40" s="347">
        <f t="shared" si="1"/>
        <v>0</v>
      </c>
    </row>
    <row r="41" spans="8:12">
      <c r="H41" s="341" t="str" cm="1">
        <f t="array" ref="H41">IF(OR(C41="",D41="",E41="",F41="",G41=""),"",
G41/_xlfn.IFS(
YEAR(E41)-YEAR(C41)&lt;1,    WEEKNUM(E41)-WEEKNUM(C41)+1,
YEAR(E41)-YEAR(C41)&gt;=1,    (YEAR(E41)-YEAR(C41))*52+WEEKNUM(E41)-WEEKNUM(C41)+1)
*100/L41*1000)</f>
        <v/>
      </c>
      <c r="I41" s="352" t="str" cm="1">
        <f t="array" aca="1" ref="I41" ca="1">IFERROR(
    _xlfn.IFS(OR(C41="",D41="",E41="",F41="",G41=""),    "",
    TODAY()&gt;E41+1,    "已結算",
    D41&lt;&gt;0,    (VLOOKUP(D41,Code!$H:$W,6,FALSE)-F41)/(VLOOKUP(D41,Code!$H:$W,6,FALSE)*VLOOKUP(D41,Code!$H:$W,5,FALSE)*SQRT(_xlfn.DAYS(E41+1,TODAY())/365))),
(VLOOKUP(D41,Code!$H:$W,6,FALSE)-F41)/(VLOOKUP(D41,Code!$H:$W,6,FALSE)*VLOOKUP(D41,Code!$H:$W,5,FALSE)*SQRT(_xlfn.DAYS(E41+1,TODAY()-1)/365)))</f>
        <v/>
      </c>
      <c r="J41" s="343" t="str" cm="1">
        <f t="array" ref="J41">IF(OR(C41="",D41="",E41="",F41="",G41=""),"",
G41/(F41-G41)/_xlfn.IFS(
YEAR(E41)-YEAR(C41)&lt;1,WEEKNUM(E41)-WEEKNUM(C41)+1,
YEAR(E41)-YEAR(C41)&gt;=1,(YEAR(E41)-YEAR(C41))*52+WEEKNUM(E41)-WEEKNUM(C41)+1)
*52/12)</f>
        <v/>
      </c>
      <c r="K41" s="306">
        <v>1</v>
      </c>
      <c r="L41" s="347">
        <f t="shared" ref="L41:L62" si="2">IF(K41="","",F41*K41*100)</f>
        <v>0</v>
      </c>
    </row>
    <row r="42" spans="8:12">
      <c r="H42" s="341" t="str" cm="1">
        <f t="array" ref="H42">IF(OR(C42="",D42="",E42="",F42="",G42=""),"",
G42/_xlfn.IFS(
YEAR(E42)-YEAR(C42)&lt;1,    WEEKNUM(E42)-WEEKNUM(C42)+1,
YEAR(E42)-YEAR(C42)&gt;=1,    (YEAR(E42)-YEAR(C42))*52+WEEKNUM(E42)-WEEKNUM(C42)+1)
*100/L42*1000)</f>
        <v/>
      </c>
      <c r="I42" s="352" t="str" cm="1">
        <f t="array" aca="1" ref="I42" ca="1">IFERROR(
    _xlfn.IFS(OR(C42="",D42="",E42="",F42="",G42=""),    "",
    TODAY()&gt;E42+1,    "已結算",
    D42&lt;&gt;0,    (VLOOKUP(D42,Code!$H:$W,6,FALSE)-F42)/(VLOOKUP(D42,Code!$H:$W,6,FALSE)*VLOOKUP(D42,Code!$H:$W,5,FALSE)*SQRT(_xlfn.DAYS(E42+1,TODAY())/365))),
(VLOOKUP(D42,Code!$H:$W,6,FALSE)-F42)/(VLOOKUP(D42,Code!$H:$W,6,FALSE)*VLOOKUP(D42,Code!$H:$W,5,FALSE)*SQRT(_xlfn.DAYS(E42+1,TODAY()-1)/365)))</f>
        <v/>
      </c>
      <c r="J42" s="343" t="str" cm="1">
        <f t="array" ref="J42">IF(OR(C42="",D42="",E42="",F42="",G42=""),"",
G42/(F42-G42)/_xlfn.IFS(
YEAR(E42)-YEAR(C42)&lt;1,WEEKNUM(E42)-WEEKNUM(C42)+1,
YEAR(E42)-YEAR(C42)&gt;=1,(YEAR(E42)-YEAR(C42))*52+WEEKNUM(E42)-WEEKNUM(C42)+1)
*52/12)</f>
        <v/>
      </c>
      <c r="K42" s="306">
        <v>1</v>
      </c>
      <c r="L42" s="347">
        <f t="shared" si="2"/>
        <v>0</v>
      </c>
    </row>
    <row r="43" spans="8:12">
      <c r="H43" s="341" t="str" cm="1">
        <f t="array" ref="H43">IF(OR(C43="",D43="",E43="",F43="",G43=""),"",
G43/_xlfn.IFS(
YEAR(E43)-YEAR(C43)&lt;1,    WEEKNUM(E43)-WEEKNUM(C43)+1,
YEAR(E43)-YEAR(C43)&gt;=1,    (YEAR(E43)-YEAR(C43))*52+WEEKNUM(E43)-WEEKNUM(C43)+1)
*100/L43*1000)</f>
        <v/>
      </c>
      <c r="I43" s="352" t="str" cm="1">
        <f t="array" aca="1" ref="I43" ca="1">IFERROR(
    _xlfn.IFS(OR(C43="",D43="",E43="",F43="",G43=""),    "",
    TODAY()&gt;E43+1,    "已結算",
    D43&lt;&gt;0,    (VLOOKUP(D43,Code!$H:$W,6,FALSE)-F43)/(VLOOKUP(D43,Code!$H:$W,6,FALSE)*VLOOKUP(D43,Code!$H:$W,5,FALSE)*SQRT(_xlfn.DAYS(E43+1,TODAY())/365))),
(VLOOKUP(D43,Code!$H:$W,6,FALSE)-F43)/(VLOOKUP(D43,Code!$H:$W,6,FALSE)*VLOOKUP(D43,Code!$H:$W,5,FALSE)*SQRT(_xlfn.DAYS(E43+1,TODAY()-1)/365)))</f>
        <v/>
      </c>
      <c r="J43" s="343" t="str" cm="1">
        <f t="array" ref="J43">IF(OR(C43="",D43="",E43="",F43="",G43=""),"",
G43/(F43-G43)/_xlfn.IFS(
YEAR(E43)-YEAR(C43)&lt;1,WEEKNUM(E43)-WEEKNUM(C43)+1,
YEAR(E43)-YEAR(C43)&gt;=1,(YEAR(E43)-YEAR(C43))*52+WEEKNUM(E43)-WEEKNUM(C43)+1)
*52/12)</f>
        <v/>
      </c>
      <c r="K43" s="306">
        <v>1</v>
      </c>
      <c r="L43" s="347">
        <f t="shared" si="2"/>
        <v>0</v>
      </c>
    </row>
    <row r="44" spans="8:12">
      <c r="H44" s="341" t="str" cm="1">
        <f t="array" ref="H44">IF(OR(C44="",D44="",E44="",F44="",G44=""),"",
G44/_xlfn.IFS(
YEAR(E44)-YEAR(C44)&lt;1,    WEEKNUM(E44)-WEEKNUM(C44)+1,
YEAR(E44)-YEAR(C44)&gt;=1,    (YEAR(E44)-YEAR(C44))*52+WEEKNUM(E44)-WEEKNUM(C44)+1)
*100/L44*1000)</f>
        <v/>
      </c>
      <c r="I44" s="352" t="str" cm="1">
        <f t="array" aca="1" ref="I44" ca="1">IFERROR(
    _xlfn.IFS(OR(C44="",D44="",E44="",F44="",G44=""),    "",
    TODAY()&gt;E44+1,    "已結算",
    D44&lt;&gt;0,    (VLOOKUP(D44,Code!$H:$W,6,FALSE)-F44)/(VLOOKUP(D44,Code!$H:$W,6,FALSE)*VLOOKUP(D44,Code!$H:$W,5,FALSE)*SQRT(_xlfn.DAYS(E44+1,TODAY())/365))),
(VLOOKUP(D44,Code!$H:$W,6,FALSE)-F44)/(VLOOKUP(D44,Code!$H:$W,6,FALSE)*VLOOKUP(D44,Code!$H:$W,5,FALSE)*SQRT(_xlfn.DAYS(E44+1,TODAY()-1)/365)))</f>
        <v/>
      </c>
      <c r="J44" s="343" t="str" cm="1">
        <f t="array" ref="J44">IF(OR(C44="",D44="",E44="",F44="",G44=""),"",
G44/(F44-G44)/_xlfn.IFS(
YEAR(E44)-YEAR(C44)&lt;1,WEEKNUM(E44)-WEEKNUM(C44)+1,
YEAR(E44)-YEAR(C44)&gt;=1,(YEAR(E44)-YEAR(C44))*52+WEEKNUM(E44)-WEEKNUM(C44)+1)
*52/12)</f>
        <v/>
      </c>
      <c r="K44" s="306">
        <v>1</v>
      </c>
      <c r="L44" s="347">
        <f t="shared" si="2"/>
        <v>0</v>
      </c>
    </row>
    <row r="45" spans="8:12">
      <c r="H45" s="341" t="str" cm="1">
        <f t="array" ref="H45">IF(OR(C45="",D45="",E45="",F45="",G45=""),"",
G45/_xlfn.IFS(
YEAR(E45)-YEAR(C45)&lt;1,    WEEKNUM(E45)-WEEKNUM(C45)+1,
YEAR(E45)-YEAR(C45)&gt;=1,    (YEAR(E45)-YEAR(C45))*52+WEEKNUM(E45)-WEEKNUM(C45)+1)
*100/L45*1000)</f>
        <v/>
      </c>
      <c r="I45" s="352" t="str" cm="1">
        <f t="array" aca="1" ref="I45" ca="1">IFERROR(
    _xlfn.IFS(OR(C45="",D45="",E45="",F45="",G45=""),    "",
    TODAY()&gt;E45+1,    "已結算",
    D45&lt;&gt;0,    (VLOOKUP(D45,Code!$H:$W,6,FALSE)-F45)/(VLOOKUP(D45,Code!$H:$W,6,FALSE)*VLOOKUP(D45,Code!$H:$W,5,FALSE)*SQRT(_xlfn.DAYS(E45+1,TODAY())/365))),
(VLOOKUP(D45,Code!$H:$W,6,FALSE)-F45)/(VLOOKUP(D45,Code!$H:$W,6,FALSE)*VLOOKUP(D45,Code!$H:$W,5,FALSE)*SQRT(_xlfn.DAYS(E45+1,TODAY()-1)/365)))</f>
        <v/>
      </c>
      <c r="J45" s="343" t="str" cm="1">
        <f t="array" ref="J45">IF(OR(C45="",D45="",E45="",F45="",G45=""),"",
G45/(F45-G45)/_xlfn.IFS(
YEAR(E45)-YEAR(C45)&lt;1,WEEKNUM(E45)-WEEKNUM(C45)+1,
YEAR(E45)-YEAR(C45)&gt;=1,(YEAR(E45)-YEAR(C45))*52+WEEKNUM(E45)-WEEKNUM(C45)+1)
*52/12)</f>
        <v/>
      </c>
      <c r="K45" s="306">
        <v>1</v>
      </c>
      <c r="L45" s="347">
        <f t="shared" si="2"/>
        <v>0</v>
      </c>
    </row>
    <row r="46" spans="8:12">
      <c r="H46" s="341" t="str" cm="1">
        <f t="array" ref="H46">IF(OR(C46="",D46="",E46="",F46="",G46=""),"",
G46/_xlfn.IFS(
YEAR(E46)-YEAR(C46)&lt;1,    WEEKNUM(E46)-WEEKNUM(C46)+1,
YEAR(E46)-YEAR(C46)&gt;=1,    (YEAR(E46)-YEAR(C46))*52+WEEKNUM(E46)-WEEKNUM(C46)+1)
*100/L46*1000)</f>
        <v/>
      </c>
      <c r="I46" s="352" t="str" cm="1">
        <f t="array" aca="1" ref="I46" ca="1">IFERROR(
    _xlfn.IFS(OR(C46="",D46="",E46="",F46="",G46=""),    "",
    TODAY()&gt;E46+1,    "已結算",
    D46&lt;&gt;0,    (VLOOKUP(D46,Code!$H:$W,6,FALSE)-F46)/(VLOOKUP(D46,Code!$H:$W,6,FALSE)*VLOOKUP(D46,Code!$H:$W,5,FALSE)*SQRT(_xlfn.DAYS(E46+1,TODAY())/365))),
(VLOOKUP(D46,Code!$H:$W,6,FALSE)-F46)/(VLOOKUP(D46,Code!$H:$W,6,FALSE)*VLOOKUP(D46,Code!$H:$W,5,FALSE)*SQRT(_xlfn.DAYS(E46+1,TODAY()-1)/365)))</f>
        <v/>
      </c>
      <c r="J46" s="343" t="str" cm="1">
        <f t="array" ref="J46">IF(OR(C46="",D46="",E46="",F46="",G46=""),"",
G46/(F46-G46)/_xlfn.IFS(
YEAR(E46)-YEAR(C46)&lt;1,WEEKNUM(E46)-WEEKNUM(C46)+1,
YEAR(E46)-YEAR(C46)&gt;=1,(YEAR(E46)-YEAR(C46))*52+WEEKNUM(E46)-WEEKNUM(C46)+1)
*52/12)</f>
        <v/>
      </c>
      <c r="K46" s="306">
        <v>1</v>
      </c>
      <c r="L46" s="347">
        <f t="shared" si="2"/>
        <v>0</v>
      </c>
    </row>
    <row r="47" spans="8:12">
      <c r="H47" s="341" t="str" cm="1">
        <f t="array" ref="H47">IF(OR(C47="",D47="",E47="",F47="",G47=""),"",
G47/_xlfn.IFS(
YEAR(E47)-YEAR(C47)&lt;1,    WEEKNUM(E47)-WEEKNUM(C47)+1,
YEAR(E47)-YEAR(C47)&gt;=1,    (YEAR(E47)-YEAR(C47))*52+WEEKNUM(E47)-WEEKNUM(C47)+1)
*100/L47*1000)</f>
        <v/>
      </c>
      <c r="I47" s="352" t="str" cm="1">
        <f t="array" aca="1" ref="I47" ca="1">IFERROR(
    _xlfn.IFS(OR(C47="",D47="",E47="",F47="",G47=""),    "",
    TODAY()&gt;E47+1,    "已結算",
    D47&lt;&gt;0,    (VLOOKUP(D47,Code!$H:$W,6,FALSE)-F47)/(VLOOKUP(D47,Code!$H:$W,6,FALSE)*VLOOKUP(D47,Code!$H:$W,5,FALSE)*SQRT(_xlfn.DAYS(E47+1,TODAY())/365))),
(VLOOKUP(D47,Code!$H:$W,6,FALSE)-F47)/(VLOOKUP(D47,Code!$H:$W,6,FALSE)*VLOOKUP(D47,Code!$H:$W,5,FALSE)*SQRT(_xlfn.DAYS(E47+1,TODAY()-1)/365)))</f>
        <v/>
      </c>
      <c r="J47" s="343" t="str" cm="1">
        <f t="array" ref="J47">IF(OR(C47="",D47="",E47="",F47="",G47=""),"",
G47/(F47-G47)/_xlfn.IFS(
YEAR(E47)-YEAR(C47)&lt;1,WEEKNUM(E47)-WEEKNUM(C47)+1,
YEAR(E47)-YEAR(C47)&gt;=1,(YEAR(E47)-YEAR(C47))*52+WEEKNUM(E47)-WEEKNUM(C47)+1)
*52/12)</f>
        <v/>
      </c>
      <c r="K47" s="306">
        <v>1</v>
      </c>
      <c r="L47" s="347">
        <f t="shared" si="2"/>
        <v>0</v>
      </c>
    </row>
    <row r="48" spans="8:12">
      <c r="H48" s="341" t="str" cm="1">
        <f t="array" ref="H48">IF(OR(C48="",D48="",E48="",F48="",G48=""),"",
G48/_xlfn.IFS(
YEAR(E48)-YEAR(C48)&lt;1,    WEEKNUM(E48)-WEEKNUM(C48)+1,
YEAR(E48)-YEAR(C48)&gt;=1,    (YEAR(E48)-YEAR(C48))*52+WEEKNUM(E48)-WEEKNUM(C48)+1)
*100/L48*1000)</f>
        <v/>
      </c>
      <c r="I48" s="352" t="str" cm="1">
        <f t="array" aca="1" ref="I48" ca="1">IFERROR(
    _xlfn.IFS(OR(C48="",D48="",E48="",F48="",G48=""),    "",
    TODAY()&gt;E48+1,    "已結算",
    D48&lt;&gt;0,    (VLOOKUP(D48,Code!$H:$W,6,FALSE)-F48)/(VLOOKUP(D48,Code!$H:$W,6,FALSE)*VLOOKUP(D48,Code!$H:$W,5,FALSE)*SQRT(_xlfn.DAYS(E48+1,TODAY())/365))),
(VLOOKUP(D48,Code!$H:$W,6,FALSE)-F48)/(VLOOKUP(D48,Code!$H:$W,6,FALSE)*VLOOKUP(D48,Code!$H:$W,5,FALSE)*SQRT(_xlfn.DAYS(E48+1,TODAY()-1)/365)))</f>
        <v/>
      </c>
      <c r="J48" s="343" t="str" cm="1">
        <f t="array" ref="J48">IF(OR(C48="",D48="",E48="",F48="",G48=""),"",
G48/(F48-G48)/_xlfn.IFS(
YEAR(E48)-YEAR(C48)&lt;1,WEEKNUM(E48)-WEEKNUM(C48)+1,
YEAR(E48)-YEAR(C48)&gt;=1,(YEAR(E48)-YEAR(C48))*52+WEEKNUM(E48)-WEEKNUM(C48)+1)
*52/12)</f>
        <v/>
      </c>
      <c r="K48" s="306">
        <v>1</v>
      </c>
      <c r="L48" s="347">
        <f t="shared" si="2"/>
        <v>0</v>
      </c>
    </row>
    <row r="49" spans="8:12">
      <c r="H49" s="341" t="str" cm="1">
        <f t="array" ref="H49">IF(OR(C49="",D49="",E49="",F49="",G49=""),"",
G49/_xlfn.IFS(
YEAR(E49)-YEAR(C49)&lt;1,    WEEKNUM(E49)-WEEKNUM(C49)+1,
YEAR(E49)-YEAR(C49)&gt;=1,    (YEAR(E49)-YEAR(C49))*52+WEEKNUM(E49)-WEEKNUM(C49)+1)
*100/L49*1000)</f>
        <v/>
      </c>
      <c r="I49" s="352" t="str" cm="1">
        <f t="array" aca="1" ref="I49" ca="1">IFERROR(
    _xlfn.IFS(OR(C49="",D49="",E49="",F49="",G49=""),    "",
    TODAY()&gt;E49+1,    "已結算",
    D49&lt;&gt;0,    (VLOOKUP(D49,Code!$H:$W,6,FALSE)-F49)/(VLOOKUP(D49,Code!$H:$W,6,FALSE)*VLOOKUP(D49,Code!$H:$W,5,FALSE)*SQRT(_xlfn.DAYS(E49+1,TODAY())/365))),
(VLOOKUP(D49,Code!$H:$W,6,FALSE)-F49)/(VLOOKUP(D49,Code!$H:$W,6,FALSE)*VLOOKUP(D49,Code!$H:$W,5,FALSE)*SQRT(_xlfn.DAYS(E49+1,TODAY()-1)/365)))</f>
        <v/>
      </c>
      <c r="J49" s="343" t="str" cm="1">
        <f t="array" ref="J49">IF(OR(C49="",D49="",E49="",F49="",G49=""),"",
G49/(F49-G49)/_xlfn.IFS(
YEAR(E49)-YEAR(C49)&lt;1,WEEKNUM(E49)-WEEKNUM(C49)+1,
YEAR(E49)-YEAR(C49)&gt;=1,(YEAR(E49)-YEAR(C49))*52+WEEKNUM(E49)-WEEKNUM(C49)+1)
*52/12)</f>
        <v/>
      </c>
      <c r="K49" s="306">
        <v>1</v>
      </c>
      <c r="L49" s="347">
        <f t="shared" si="2"/>
        <v>0</v>
      </c>
    </row>
    <row r="50" spans="8:12">
      <c r="H50" s="341" t="str" cm="1">
        <f t="array" ref="H50">IF(OR(C50="",D50="",E50="",F50="",G50=""),"",
G50/_xlfn.IFS(
YEAR(E50)-YEAR(C50)&lt;1,    WEEKNUM(E50)-WEEKNUM(C50)+1,
YEAR(E50)-YEAR(C50)&gt;=1,    (YEAR(E50)-YEAR(C50))*52+WEEKNUM(E50)-WEEKNUM(C50)+1)
*100/L50*1000)</f>
        <v/>
      </c>
      <c r="I50" s="352" t="str" cm="1">
        <f t="array" aca="1" ref="I50" ca="1">IFERROR(
    _xlfn.IFS(OR(C50="",D50="",E50="",F50="",G50=""),    "",
    TODAY()&gt;E50+1,    "已結算",
    D50&lt;&gt;0,    (VLOOKUP(D50,Code!$H:$W,6,FALSE)-F50)/(VLOOKUP(D50,Code!$H:$W,6,FALSE)*VLOOKUP(D50,Code!$H:$W,5,FALSE)*SQRT(_xlfn.DAYS(E50+1,TODAY())/365))),
(VLOOKUP(D50,Code!$H:$W,6,FALSE)-F50)/(VLOOKUP(D50,Code!$H:$W,6,FALSE)*VLOOKUP(D50,Code!$H:$W,5,FALSE)*SQRT(_xlfn.DAYS(E50+1,TODAY()-1)/365)))</f>
        <v/>
      </c>
      <c r="J50" s="343" t="str" cm="1">
        <f t="array" ref="J50">IF(OR(C50="",D50="",E50="",F50="",G50=""),"",
G50/(F50-G50)/_xlfn.IFS(
YEAR(E50)-YEAR(C50)&lt;1,WEEKNUM(E50)-WEEKNUM(C50)+1,
YEAR(E50)-YEAR(C50)&gt;=1,(YEAR(E50)-YEAR(C50))*52+WEEKNUM(E50)-WEEKNUM(C50)+1)
*52/12)</f>
        <v/>
      </c>
      <c r="K50" s="306">
        <v>1</v>
      </c>
      <c r="L50" s="347">
        <f t="shared" si="2"/>
        <v>0</v>
      </c>
    </row>
    <row r="51" spans="8:12">
      <c r="H51" s="341" t="str" cm="1">
        <f t="array" ref="H51">IF(OR(C51="",D51="",E51="",F51="",G51=""),"",
G51/_xlfn.IFS(
YEAR(E51)-YEAR(C51)&lt;1,    WEEKNUM(E51)-WEEKNUM(C51)+1,
YEAR(E51)-YEAR(C51)&gt;=1,    (YEAR(E51)-YEAR(C51))*52+WEEKNUM(E51)-WEEKNUM(C51)+1)
*100/L51*1000)</f>
        <v/>
      </c>
      <c r="I51" s="352" t="str" cm="1">
        <f t="array" aca="1" ref="I51" ca="1">IFERROR(
    _xlfn.IFS(OR(C51="",D51="",E51="",F51="",G51=""),    "",
    TODAY()&gt;E51+1,    "已結算",
    D51&lt;&gt;0,    (VLOOKUP(D51,Code!$H:$W,6,FALSE)-F51)/(VLOOKUP(D51,Code!$H:$W,6,FALSE)*VLOOKUP(D51,Code!$H:$W,5,FALSE)*SQRT(_xlfn.DAYS(E51+1,TODAY())/365))),
(VLOOKUP(D51,Code!$H:$W,6,FALSE)-F51)/(VLOOKUP(D51,Code!$H:$W,6,FALSE)*VLOOKUP(D51,Code!$H:$W,5,FALSE)*SQRT(_xlfn.DAYS(E51+1,TODAY()-1)/365)))</f>
        <v/>
      </c>
      <c r="J51" s="343" t="str" cm="1">
        <f t="array" ref="J51">IF(OR(C51="",D51="",E51="",F51="",G51=""),"",
G51/(F51-G51)/_xlfn.IFS(
YEAR(E51)-YEAR(C51)&lt;1,WEEKNUM(E51)-WEEKNUM(C51)+1,
YEAR(E51)-YEAR(C51)&gt;=1,(YEAR(E51)-YEAR(C51))*52+WEEKNUM(E51)-WEEKNUM(C51)+1)
*52/12)</f>
        <v/>
      </c>
      <c r="K51" s="306">
        <v>1</v>
      </c>
      <c r="L51" s="347">
        <f t="shared" si="2"/>
        <v>0</v>
      </c>
    </row>
    <row r="52" spans="8:12">
      <c r="H52" s="341" t="str" cm="1">
        <f t="array" ref="H52">IF(OR(C52="",D52="",E52="",F52="",G52=""),"",
G52/_xlfn.IFS(
YEAR(E52)-YEAR(C52)&lt;1,    WEEKNUM(E52)-WEEKNUM(C52)+1,
YEAR(E52)-YEAR(C52)&gt;=1,    (YEAR(E52)-YEAR(C52))*52+WEEKNUM(E52)-WEEKNUM(C52)+1)
*100/L52*1000)</f>
        <v/>
      </c>
      <c r="I52" s="352" t="str" cm="1">
        <f t="array" aca="1" ref="I52" ca="1">IFERROR(
    _xlfn.IFS(OR(C52="",D52="",E52="",F52="",G52=""),    "",
    TODAY()&gt;E52+1,    "已結算",
    D52&lt;&gt;0,    (VLOOKUP(D52,Code!$H:$W,6,FALSE)-F52)/(VLOOKUP(D52,Code!$H:$W,6,FALSE)*VLOOKUP(D52,Code!$H:$W,5,FALSE)*SQRT(_xlfn.DAYS(E52+1,TODAY())/365))),
(VLOOKUP(D52,Code!$H:$W,6,FALSE)-F52)/(VLOOKUP(D52,Code!$H:$W,6,FALSE)*VLOOKUP(D52,Code!$H:$W,5,FALSE)*SQRT(_xlfn.DAYS(E52+1,TODAY()-1)/365)))</f>
        <v/>
      </c>
      <c r="J52" s="343" t="str" cm="1">
        <f t="array" ref="J52">IF(OR(C52="",D52="",E52="",F52="",G52=""),"",
G52/(F52-G52)/_xlfn.IFS(
YEAR(E52)-YEAR(C52)&lt;1,WEEKNUM(E52)-WEEKNUM(C52)+1,
YEAR(E52)-YEAR(C52)&gt;=1,(YEAR(E52)-YEAR(C52))*52+WEEKNUM(E52)-WEEKNUM(C52)+1)
*52/12)</f>
        <v/>
      </c>
      <c r="K52" s="306">
        <v>1</v>
      </c>
      <c r="L52" s="347">
        <f t="shared" si="2"/>
        <v>0</v>
      </c>
    </row>
    <row r="53" spans="8:12">
      <c r="H53" s="341" t="str" cm="1">
        <f t="array" ref="H53">IF(OR(C53="",D53="",E53="",F53="",G53=""),"",
G53/_xlfn.IFS(
YEAR(E53)-YEAR(C53)&lt;1,    WEEKNUM(E53)-WEEKNUM(C53)+1,
YEAR(E53)-YEAR(C53)&gt;=1,    (YEAR(E53)-YEAR(C53))*52+WEEKNUM(E53)-WEEKNUM(C53)+1)
*100/L53*1000)</f>
        <v/>
      </c>
      <c r="I53" s="352" t="str" cm="1">
        <f t="array" aca="1" ref="I53" ca="1">IFERROR(
    _xlfn.IFS(OR(C53="",D53="",E53="",F53="",G53=""),    "",
    TODAY()&gt;E53+1,    "已結算",
    D53&lt;&gt;0,    (VLOOKUP(D53,Code!$H:$W,6,FALSE)-F53)/(VLOOKUP(D53,Code!$H:$W,6,FALSE)*VLOOKUP(D53,Code!$H:$W,5,FALSE)*SQRT(_xlfn.DAYS(E53+1,TODAY())/365))),
(VLOOKUP(D53,Code!$H:$W,6,FALSE)-F53)/(VLOOKUP(D53,Code!$H:$W,6,FALSE)*VLOOKUP(D53,Code!$H:$W,5,FALSE)*SQRT(_xlfn.DAYS(E53+1,TODAY()-1)/365)))</f>
        <v/>
      </c>
      <c r="J53" s="343" t="str" cm="1">
        <f t="array" ref="J53">IF(OR(C53="",D53="",E53="",F53="",G53=""),"",
G53/(F53-G53)/_xlfn.IFS(
YEAR(E53)-YEAR(C53)&lt;1,WEEKNUM(E53)-WEEKNUM(C53)+1,
YEAR(E53)-YEAR(C53)&gt;=1,(YEAR(E53)-YEAR(C53))*52+WEEKNUM(E53)-WEEKNUM(C53)+1)
*52/12)</f>
        <v/>
      </c>
      <c r="K53" s="306">
        <v>1</v>
      </c>
      <c r="L53" s="347">
        <f t="shared" si="2"/>
        <v>0</v>
      </c>
    </row>
    <row r="54" spans="8:12">
      <c r="H54" s="341" t="str" cm="1">
        <f t="array" ref="H54">IF(OR(C54="",D54="",E54="",F54="",G54=""),"",
G54/_xlfn.IFS(
YEAR(E54)-YEAR(C54)&lt;1,    WEEKNUM(E54)-WEEKNUM(C54)+1,
YEAR(E54)-YEAR(C54)&gt;=1,    (YEAR(E54)-YEAR(C54))*52+WEEKNUM(E54)-WEEKNUM(C54)+1)
*100/L54*1000)</f>
        <v/>
      </c>
      <c r="I54" s="352" t="str" cm="1">
        <f t="array" aca="1" ref="I54" ca="1">IFERROR(
    _xlfn.IFS(OR(C54="",D54="",E54="",F54="",G54=""),    "",
    TODAY()&gt;E54+1,    "已結算",
    D54&lt;&gt;0,    (VLOOKUP(D54,Code!$H:$W,6,FALSE)-F54)/(VLOOKUP(D54,Code!$H:$W,6,FALSE)*VLOOKUP(D54,Code!$H:$W,5,FALSE)*SQRT(_xlfn.DAYS(E54+1,TODAY())/365))),
(VLOOKUP(D54,Code!$H:$W,6,FALSE)-F54)/(VLOOKUP(D54,Code!$H:$W,6,FALSE)*VLOOKUP(D54,Code!$H:$W,5,FALSE)*SQRT(_xlfn.DAYS(E54+1,TODAY()-1)/365)))</f>
        <v/>
      </c>
      <c r="J54" s="343" t="str" cm="1">
        <f t="array" ref="J54">IF(OR(C54="",D54="",E54="",F54="",G54=""),"",
G54/(F54-G54)/_xlfn.IFS(
YEAR(E54)-YEAR(C54)&lt;1,WEEKNUM(E54)-WEEKNUM(C54)+1,
YEAR(E54)-YEAR(C54)&gt;=1,(YEAR(E54)-YEAR(C54))*52+WEEKNUM(E54)-WEEKNUM(C54)+1)
*52/12)</f>
        <v/>
      </c>
      <c r="K54" s="306">
        <v>1</v>
      </c>
      <c r="L54" s="347">
        <f t="shared" si="2"/>
        <v>0</v>
      </c>
    </row>
    <row r="55" spans="8:12">
      <c r="H55" s="341" t="str" cm="1">
        <f t="array" ref="H55">IF(OR(C55="",D55="",E55="",F55="",G55=""),"",
G55/_xlfn.IFS(
YEAR(E55)-YEAR(C55)&lt;1,    WEEKNUM(E55)-WEEKNUM(C55)+1,
YEAR(E55)-YEAR(C55)&gt;=1,    (YEAR(E55)-YEAR(C55))*52+WEEKNUM(E55)-WEEKNUM(C55)+1)
*100/L55*1000)</f>
        <v/>
      </c>
      <c r="I55" s="352" t="str" cm="1">
        <f t="array" aca="1" ref="I55" ca="1">IFERROR(
    _xlfn.IFS(OR(C55="",D55="",E55="",F55="",G55=""),    "",
    TODAY()&gt;E55+1,    "已結算",
    D55&lt;&gt;0,    (VLOOKUP(D55,Code!$H:$W,6,FALSE)-F55)/(VLOOKUP(D55,Code!$H:$W,6,FALSE)*VLOOKUP(D55,Code!$H:$W,5,FALSE)*SQRT(_xlfn.DAYS(E55+1,TODAY())/365))),
(VLOOKUP(D55,Code!$H:$W,6,FALSE)-F55)/(VLOOKUP(D55,Code!$H:$W,6,FALSE)*VLOOKUP(D55,Code!$H:$W,5,FALSE)*SQRT(_xlfn.DAYS(E55+1,TODAY()-1)/365)))</f>
        <v/>
      </c>
      <c r="J55" s="343" t="str" cm="1">
        <f t="array" ref="J55">IF(OR(C55="",D55="",E55="",F55="",G55=""),"",
G55/(F55-G55)/_xlfn.IFS(
YEAR(E55)-YEAR(C55)&lt;1,WEEKNUM(E55)-WEEKNUM(C55)+1,
YEAR(E55)-YEAR(C55)&gt;=1,(YEAR(E55)-YEAR(C55))*52+WEEKNUM(E55)-WEEKNUM(C55)+1)
*52/12)</f>
        <v/>
      </c>
      <c r="K55" s="306">
        <v>1</v>
      </c>
      <c r="L55" s="347">
        <f t="shared" si="2"/>
        <v>0</v>
      </c>
    </row>
    <row r="56" spans="8:12">
      <c r="H56" s="341" t="str" cm="1">
        <f t="array" ref="H56">IF(OR(C56="",D56="",E56="",F56="",G56=""),"",
G56/_xlfn.IFS(
YEAR(E56)-YEAR(C56)&lt;1,    WEEKNUM(E56)-WEEKNUM(C56)+1,
YEAR(E56)-YEAR(C56)&gt;=1,    (YEAR(E56)-YEAR(C56))*52+WEEKNUM(E56)-WEEKNUM(C56)+1)
*100/L56*1000)</f>
        <v/>
      </c>
      <c r="I56" s="352" t="str" cm="1">
        <f t="array" aca="1" ref="I56" ca="1">IFERROR(
    _xlfn.IFS(OR(C56="",D56="",E56="",F56="",G56=""),    "",
    TODAY()&gt;E56+1,    "已結算",
    D56&lt;&gt;0,    (VLOOKUP(D56,Code!$H:$W,6,FALSE)-F56)/(VLOOKUP(D56,Code!$H:$W,6,FALSE)*VLOOKUP(D56,Code!$H:$W,5,FALSE)*SQRT(_xlfn.DAYS(E56+1,TODAY())/365))),
(VLOOKUP(D56,Code!$H:$W,6,FALSE)-F56)/(VLOOKUP(D56,Code!$H:$W,6,FALSE)*VLOOKUP(D56,Code!$H:$W,5,FALSE)*SQRT(_xlfn.DAYS(E56+1,TODAY()-1)/365)))</f>
        <v/>
      </c>
      <c r="J56" s="343" t="str" cm="1">
        <f t="array" ref="J56">IF(OR(C56="",D56="",E56="",F56="",G56=""),"",
G56/(F56-G56)/_xlfn.IFS(
YEAR(E56)-YEAR(C56)&lt;1,WEEKNUM(E56)-WEEKNUM(C56)+1,
YEAR(E56)-YEAR(C56)&gt;=1,(YEAR(E56)-YEAR(C56))*52+WEEKNUM(E56)-WEEKNUM(C56)+1)
*52/12)</f>
        <v/>
      </c>
      <c r="K56" s="306">
        <v>1</v>
      </c>
      <c r="L56" s="347">
        <f t="shared" si="2"/>
        <v>0</v>
      </c>
    </row>
    <row r="57" spans="8:12">
      <c r="H57" s="341" t="str" cm="1">
        <f t="array" ref="H57">IF(OR(C57="",D57="",E57="",F57="",G57=""),"",
G57/_xlfn.IFS(
YEAR(E57)-YEAR(C57)&lt;1,    WEEKNUM(E57)-WEEKNUM(C57)+1,
YEAR(E57)-YEAR(C57)&gt;=1,    (YEAR(E57)-YEAR(C57))*52+WEEKNUM(E57)-WEEKNUM(C57)+1)
*100/L57*1000)</f>
        <v/>
      </c>
      <c r="I57" s="352" t="str" cm="1">
        <f t="array" aca="1" ref="I57" ca="1">IFERROR(
    _xlfn.IFS(OR(C57="",D57="",E57="",F57="",G57=""),    "",
    TODAY()&gt;E57+1,    "已結算",
    D57&lt;&gt;0,    (VLOOKUP(D57,Code!$H:$W,6,FALSE)-F57)/(VLOOKUP(D57,Code!$H:$W,6,FALSE)*VLOOKUP(D57,Code!$H:$W,5,FALSE)*SQRT(_xlfn.DAYS(E57+1,TODAY())/365))),
(VLOOKUP(D57,Code!$H:$W,6,FALSE)-F57)/(VLOOKUP(D57,Code!$H:$W,6,FALSE)*VLOOKUP(D57,Code!$H:$W,5,FALSE)*SQRT(_xlfn.DAYS(E57+1,TODAY()-1)/365)))</f>
        <v/>
      </c>
      <c r="J57" s="343" t="str" cm="1">
        <f t="array" ref="J57">IF(OR(C57="",D57="",E57="",F57="",G57=""),"",
G57/(F57-G57)/_xlfn.IFS(
YEAR(E57)-YEAR(C57)&lt;1,WEEKNUM(E57)-WEEKNUM(C57)+1,
YEAR(E57)-YEAR(C57)&gt;=1,(YEAR(E57)-YEAR(C57))*52+WEEKNUM(E57)-WEEKNUM(C57)+1)
*52/12)</f>
        <v/>
      </c>
      <c r="K57" s="306">
        <v>1</v>
      </c>
      <c r="L57" s="347">
        <f t="shared" si="2"/>
        <v>0</v>
      </c>
    </row>
    <row r="58" spans="8:12">
      <c r="H58" s="341" t="str" cm="1">
        <f t="array" ref="H58">IF(OR(C58="",D58="",E58="",F58="",G58=""),"",
G58/_xlfn.IFS(
YEAR(E58)-YEAR(C58)&lt;1,    WEEKNUM(E58)-WEEKNUM(C58)+1,
YEAR(E58)-YEAR(C58)&gt;=1,    (YEAR(E58)-YEAR(C58))*52+WEEKNUM(E58)-WEEKNUM(C58)+1)
*100/L58*1000)</f>
        <v/>
      </c>
      <c r="I58" s="352" t="str" cm="1">
        <f t="array" aca="1" ref="I58" ca="1">IFERROR(
    _xlfn.IFS(OR(C58="",D58="",E58="",F58="",G58=""),    "",
    TODAY()&gt;E58+1,    "已結算",
    D58&lt;&gt;0,    (VLOOKUP(D58,Code!$H:$W,6,FALSE)-F58)/(VLOOKUP(D58,Code!$H:$W,6,FALSE)*VLOOKUP(D58,Code!$H:$W,5,FALSE)*SQRT(_xlfn.DAYS(E58+1,TODAY())/365))),
(VLOOKUP(D58,Code!$H:$W,6,FALSE)-F58)/(VLOOKUP(D58,Code!$H:$W,6,FALSE)*VLOOKUP(D58,Code!$H:$W,5,FALSE)*SQRT(_xlfn.DAYS(E58+1,TODAY()-1)/365)))</f>
        <v/>
      </c>
      <c r="J58" s="343" t="str" cm="1">
        <f t="array" ref="J58">IF(OR(C58="",D58="",E58="",F58="",G58=""),"",
G58/(F58-G58)/_xlfn.IFS(
YEAR(E58)-YEAR(C58)&lt;1,WEEKNUM(E58)-WEEKNUM(C58)+1,
YEAR(E58)-YEAR(C58)&gt;=1,(YEAR(E58)-YEAR(C58))*52+WEEKNUM(E58)-WEEKNUM(C58)+1)
*52/12)</f>
        <v/>
      </c>
      <c r="K58" s="306">
        <v>1</v>
      </c>
      <c r="L58" s="347">
        <f t="shared" si="2"/>
        <v>0</v>
      </c>
    </row>
    <row r="59" spans="8:12">
      <c r="H59" s="341" t="str" cm="1">
        <f t="array" ref="H59">IF(OR(C59="",D59="",E59="",F59="",G59=""),"",
G59/_xlfn.IFS(
YEAR(E59)-YEAR(C59)&lt;1,    WEEKNUM(E59)-WEEKNUM(C59)+1,
YEAR(E59)-YEAR(C59)&gt;=1,    (YEAR(E59)-YEAR(C59))*52+WEEKNUM(E59)-WEEKNUM(C59)+1)
*100/L59*1000)</f>
        <v/>
      </c>
      <c r="I59" s="352" t="str" cm="1">
        <f t="array" aca="1" ref="I59" ca="1">IFERROR(
    _xlfn.IFS(OR(C59="",D59="",E59="",F59="",G59=""),    "",
    TODAY()&gt;E59+1,    "已結算",
    D59&lt;&gt;0,    (VLOOKUP(D59,Code!$H:$W,6,FALSE)-F59)/(VLOOKUP(D59,Code!$H:$W,6,FALSE)*VLOOKUP(D59,Code!$H:$W,5,FALSE)*SQRT(_xlfn.DAYS(E59+1,TODAY())/365))),
(VLOOKUP(D59,Code!$H:$W,6,FALSE)-F59)/(VLOOKUP(D59,Code!$H:$W,6,FALSE)*VLOOKUP(D59,Code!$H:$W,5,FALSE)*SQRT(_xlfn.DAYS(E59+1,TODAY()-1)/365)))</f>
        <v/>
      </c>
      <c r="J59" s="343" t="str" cm="1">
        <f t="array" ref="J59">IF(OR(C59="",D59="",E59="",F59="",G59=""),"",
G59/(F59-G59)/_xlfn.IFS(
YEAR(E59)-YEAR(C59)&lt;1,WEEKNUM(E59)-WEEKNUM(C59)+1,
YEAR(E59)-YEAR(C59)&gt;=1,(YEAR(E59)-YEAR(C59))*52+WEEKNUM(E59)-WEEKNUM(C59)+1)
*52/12)</f>
        <v/>
      </c>
      <c r="K59" s="306">
        <v>1</v>
      </c>
      <c r="L59" s="347">
        <f t="shared" si="2"/>
        <v>0</v>
      </c>
    </row>
    <row r="60" spans="8:12">
      <c r="H60" s="341" t="str" cm="1">
        <f t="array" ref="H60">IF(OR(C60="",D60="",E60="",F60="",G60=""),"",
G60/_xlfn.IFS(
YEAR(E60)-YEAR(C60)&lt;1,    WEEKNUM(E60)-WEEKNUM(C60)+1,
YEAR(E60)-YEAR(C60)&gt;=1,    (YEAR(E60)-YEAR(C60))*52+WEEKNUM(E60)-WEEKNUM(C60)+1)
*100/L60*1000)</f>
        <v/>
      </c>
      <c r="I60" s="352" t="str" cm="1">
        <f t="array" aca="1" ref="I60" ca="1">IFERROR(
    _xlfn.IFS(OR(C60="",D60="",E60="",F60="",G60=""),    "",
    TODAY()&gt;E60+1,    "已結算",
    D60&lt;&gt;0,    (VLOOKUP(D60,Code!$H:$W,6,FALSE)-F60)/(VLOOKUP(D60,Code!$H:$W,6,FALSE)*VLOOKUP(D60,Code!$H:$W,5,FALSE)*SQRT(_xlfn.DAYS(E60+1,TODAY())/365))),
(VLOOKUP(D60,Code!$H:$W,6,FALSE)-F60)/(VLOOKUP(D60,Code!$H:$W,6,FALSE)*VLOOKUP(D60,Code!$H:$W,5,FALSE)*SQRT(_xlfn.DAYS(E60+1,TODAY()-1)/365)))</f>
        <v/>
      </c>
      <c r="J60" s="343" t="str" cm="1">
        <f t="array" ref="J60">IF(OR(C60="",D60="",E60="",F60="",G60=""),"",
G60/(F60-G60)/_xlfn.IFS(
YEAR(E60)-YEAR(C60)&lt;1,WEEKNUM(E60)-WEEKNUM(C60)+1,
YEAR(E60)-YEAR(C60)&gt;=1,(YEAR(E60)-YEAR(C60))*52+WEEKNUM(E60)-WEEKNUM(C60)+1)
*52/12)</f>
        <v/>
      </c>
      <c r="K60" s="306">
        <v>1</v>
      </c>
      <c r="L60" s="347">
        <f t="shared" si="2"/>
        <v>0</v>
      </c>
    </row>
    <row r="61" spans="8:12">
      <c r="H61" s="341" t="str" cm="1">
        <f t="array" ref="H61">IF(OR(C61="",D61="",E61="",F61="",G61=""),"",
G61/_xlfn.IFS(
YEAR(E61)-YEAR(C61)&lt;1,    WEEKNUM(E61)-WEEKNUM(C61)+1,
YEAR(E61)-YEAR(C61)&gt;=1,    (YEAR(E61)-YEAR(C61))*52+WEEKNUM(E61)-WEEKNUM(C61)+1)
*100/L61*1000)</f>
        <v/>
      </c>
      <c r="I61" s="352" t="str" cm="1">
        <f t="array" aca="1" ref="I61" ca="1">IFERROR(
    _xlfn.IFS(OR(C61="",D61="",E61="",F61="",G61=""),    "",
    TODAY()&gt;E61+1,    "已結算",
    D61&lt;&gt;0,    (VLOOKUP(D61,Code!$H:$W,6,FALSE)-F61)/(VLOOKUP(D61,Code!$H:$W,6,FALSE)*VLOOKUP(D61,Code!$H:$W,5,FALSE)*SQRT(_xlfn.DAYS(E61+1,TODAY())/365))),
(VLOOKUP(D61,Code!$H:$W,6,FALSE)-F61)/(VLOOKUP(D61,Code!$H:$W,6,FALSE)*VLOOKUP(D61,Code!$H:$W,5,FALSE)*SQRT(_xlfn.DAYS(E61+1,TODAY()-1)/365)))</f>
        <v/>
      </c>
      <c r="J61" s="343" t="str" cm="1">
        <f t="array" ref="J61">IF(OR(C61="",D61="",E61="",F61="",G61=""),"",
G61/(F61-G61)/_xlfn.IFS(
YEAR(E61)-YEAR(C61)&lt;1,WEEKNUM(E61)-WEEKNUM(C61)+1,
YEAR(E61)-YEAR(C61)&gt;=1,(YEAR(E61)-YEAR(C61))*52+WEEKNUM(E61)-WEEKNUM(C61)+1)
*52/12)</f>
        <v/>
      </c>
      <c r="K61" s="306">
        <v>1</v>
      </c>
      <c r="L61" s="347">
        <f t="shared" si="2"/>
        <v>0</v>
      </c>
    </row>
    <row r="62" spans="8:12">
      <c r="H62" s="341" t="str" cm="1">
        <f t="array" ref="H62">IF(OR(C62="",D62="",E62="",F62="",G62=""),"",
G62/_xlfn.IFS(
YEAR(E62)-YEAR(C62)&lt;1,    WEEKNUM(E62)-WEEKNUM(C62)+1,
YEAR(E62)-YEAR(C62)&gt;=1,    (YEAR(E62)-YEAR(C62))*52+WEEKNUM(E62)-WEEKNUM(C62)+1)
*100/L62*1000)</f>
        <v/>
      </c>
      <c r="I62" s="352" t="str" cm="1">
        <f t="array" aca="1" ref="I62" ca="1">IFERROR(
    _xlfn.IFS(OR(C62="",D62="",E62="",F62="",G62=""),    "",
    TODAY()&gt;E62+1,    "已結算",
    D62&lt;&gt;0,    (VLOOKUP(D62,Code!$H:$W,6,FALSE)-F62)/(VLOOKUP(D62,Code!$H:$W,6,FALSE)*VLOOKUP(D62,Code!$H:$W,5,FALSE)*SQRT(_xlfn.DAYS(E62+1,TODAY())/365))),
(VLOOKUP(D62,Code!$H:$W,6,FALSE)-F62)/(VLOOKUP(D62,Code!$H:$W,6,FALSE)*VLOOKUP(D62,Code!$H:$W,5,FALSE)*SQRT(_xlfn.DAYS(E62+1,TODAY()-1)/365)))</f>
        <v/>
      </c>
      <c r="J62" s="343" t="str" cm="1">
        <f t="array" ref="J62">IF(OR(C62="",D62="",E62="",F62="",G62=""),"",
G62/(F62-G62)/_xlfn.IFS(
YEAR(E62)-YEAR(C62)&lt;1,WEEKNUM(E62)-WEEKNUM(C62)+1,
YEAR(E62)-YEAR(C62)&gt;=1,(YEAR(E62)-YEAR(C62))*52+WEEKNUM(E62)-WEEKNUM(C62)+1)
*52/12)</f>
        <v/>
      </c>
      <c r="K62" s="306">
        <v>1</v>
      </c>
      <c r="L62" s="347">
        <f t="shared" si="2"/>
        <v>0</v>
      </c>
    </row>
  </sheetData>
  <autoFilter ref="B1:L62" xr:uid="{00000000-0001-0000-0500-000000000000}"/>
  <mergeCells count="1">
    <mergeCell ref="M1:N1"/>
  </mergeCells>
  <phoneticPr fontId="2" type="noConversion"/>
  <conditionalFormatting sqref="J1:J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{064ADBBE-B4F4-4F43-960C-47F971F9DAC9}</x14:id>
        </ext>
      </extLst>
    </cfRule>
    <cfRule type="cellIs" dxfId="3" priority="20" operator="lessThan">
      <formula>$J$1</formula>
    </cfRule>
  </conditionalFormatting>
  <conditionalFormatting sqref="H1:H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{636F1754-9439-401C-885F-9A43D9E2F7B1}</x14:id>
        </ext>
      </extLst>
    </cfRule>
  </conditionalFormatting>
  <conditionalFormatting sqref="I1:I1048576">
    <cfRule type="cellIs" dxfId="2" priority="3" operator="equal">
      <formula>"已結算"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{2FDD7A1A-4AA4-4AFE-8FC9-CEA83C63ACC5}</x14:id>
        </ext>
      </extLst>
    </cfRule>
    <cfRule type="cellIs" dxfId="1" priority="21" operator="lessThan">
      <formula>$I$1</formula>
    </cfRule>
  </conditionalFormatting>
  <conditionalFormatting sqref="I2">
    <cfRule type="cellIs" dxfId="0" priority="37" operator="lessThan">
      <formula>$J$1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按鈕1_Click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361950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4ADBBE-B4F4-4F43-960C-47F971F9D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636F1754-9439-401C-885F-9A43D9E2F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2FDD7A1A-4AA4-4AFE-8FC9-CEA83C63AC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26AA-9C69-432B-BBD4-208070945479}">
  <sheetPr codeName="工作表8"/>
  <dimension ref="A1:G6"/>
  <sheetViews>
    <sheetView zoomScale="160" zoomScaleNormal="160" workbookViewId="0">
      <selection activeCell="L6" sqref="L6"/>
    </sheetView>
  </sheetViews>
  <sheetFormatPr defaultRowHeight="15.75"/>
  <cols>
    <col min="1" max="2" width="7.7109375" style="349" bestFit="1" customWidth="1"/>
    <col min="3" max="3" width="12.5703125" style="349" bestFit="1" customWidth="1"/>
    <col min="4" max="4" width="11.85546875" style="349" bestFit="1" customWidth="1"/>
    <col min="5" max="5" width="11.5703125" style="349" bestFit="1" customWidth="1"/>
    <col min="6" max="6" width="11.140625" style="349" bestFit="1" customWidth="1"/>
    <col min="7" max="7" width="10.7109375" style="349" bestFit="1" customWidth="1"/>
    <col min="8" max="16384" width="9.140625" style="349"/>
  </cols>
  <sheetData>
    <row r="1" spans="1:7">
      <c r="A1" s="349" t="s">
        <v>1596</v>
      </c>
      <c r="B1" s="349" t="s">
        <v>1593</v>
      </c>
      <c r="C1" s="349" t="s">
        <v>1592</v>
      </c>
      <c r="D1" s="349" t="s">
        <v>1597</v>
      </c>
      <c r="E1" s="349" t="s">
        <v>1594</v>
      </c>
      <c r="F1" s="349" t="s">
        <v>1598</v>
      </c>
      <c r="G1" s="349" t="s">
        <v>1595</v>
      </c>
    </row>
    <row r="2" spans="1:7">
      <c r="A2" s="349" t="s">
        <v>686</v>
      </c>
      <c r="B2" s="349">
        <v>155.04</v>
      </c>
      <c r="C2" s="349">
        <v>0.24660000000000001</v>
      </c>
      <c r="D2" s="349">
        <v>0.30159999999999998</v>
      </c>
      <c r="E2" s="349">
        <v>9.9000000000000005E-2</v>
      </c>
      <c r="F2" s="349">
        <v>0.3947</v>
      </c>
      <c r="G2" s="349">
        <v>0.18729999999999999</v>
      </c>
    </row>
    <row r="3" spans="1:7">
      <c r="A3" s="349" t="s">
        <v>1066</v>
      </c>
      <c r="B3" s="349">
        <v>138.62</v>
      </c>
      <c r="C3" s="349">
        <v>0.2054</v>
      </c>
      <c r="D3" s="349">
        <v>0.24610000000000001</v>
      </c>
      <c r="E3" s="349">
        <v>0.1249</v>
      </c>
      <c r="F3" s="349">
        <v>0.3589</v>
      </c>
      <c r="G3" s="349">
        <v>0.1646</v>
      </c>
    </row>
    <row r="4" spans="1:7">
      <c r="A4" s="349" t="s">
        <v>935</v>
      </c>
      <c r="B4" s="349">
        <v>113.38</v>
      </c>
      <c r="C4" s="349">
        <v>0.2127</v>
      </c>
      <c r="D4" s="349">
        <v>0.51390000000000002</v>
      </c>
      <c r="E4" s="349">
        <v>0.11260000000000001</v>
      </c>
      <c r="F4" s="349">
        <v>0.47450000000000003</v>
      </c>
      <c r="G4" s="349">
        <v>0.18739999999999998</v>
      </c>
    </row>
    <row r="5" spans="1:7">
      <c r="A5" s="349" t="s">
        <v>1150</v>
      </c>
      <c r="B5" s="349">
        <v>218.62</v>
      </c>
      <c r="C5" s="349">
        <v>0.41199999999999998</v>
      </c>
      <c r="D5" s="349">
        <v>0.67769999999999997</v>
      </c>
      <c r="E5" s="349">
        <v>0.29899999999999999</v>
      </c>
      <c r="F5" s="349">
        <v>0.66430000000000011</v>
      </c>
      <c r="G5" s="349">
        <v>0.32969999999999999</v>
      </c>
    </row>
    <row r="6" spans="1:7">
      <c r="A6" s="349" t="s">
        <v>1148</v>
      </c>
      <c r="B6" s="349">
        <v>699.22</v>
      </c>
      <c r="C6" s="349">
        <v>0.3327</v>
      </c>
      <c r="D6" s="349">
        <v>0.96009999999999995</v>
      </c>
      <c r="E6" s="349">
        <v>0.23430000000000001</v>
      </c>
      <c r="F6" s="349">
        <v>0.77800000000000002</v>
      </c>
      <c r="G6" s="349">
        <v>0.30649999999999999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S&amp;P500</vt:lpstr>
      <vt:lpstr>Personal</vt:lpstr>
      <vt:lpstr>Code</vt:lpstr>
      <vt:lpstr>CAGR Code</vt:lpstr>
      <vt:lpstr>h961l4</vt:lpstr>
      <vt:lpstr>Strategy_CALL</vt:lpstr>
      <vt:lpstr>Strategy_PUT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WMR</dc:creator>
  <cp:lastModifiedBy>FNU LNU</cp:lastModifiedBy>
  <dcterms:created xsi:type="dcterms:W3CDTF">2021-06-08T17:16:19Z</dcterms:created>
  <dcterms:modified xsi:type="dcterms:W3CDTF">2022-04-19T12:19:58Z</dcterms:modified>
</cp:coreProperties>
</file>