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gzelin/Desktop/security analysis/apple/"/>
    </mc:Choice>
  </mc:AlternateContent>
  <xr:revisionPtr revIDLastSave="0" documentId="13_ncr:1_{2F998B94-C79B-4445-B6AA-708097037156}" xr6:coauthVersionLast="47" xr6:coauthVersionMax="47" xr10:uidLastSave="{00000000-0000-0000-0000-000000000000}"/>
  <bookViews>
    <workbookView xWindow="0" yWindow="500" windowWidth="23040" windowHeight="13900" tabRatio="747" activeTab="5" xr2:uid="{00000000-000D-0000-FFFF-FFFF00000000}"/>
  </bookViews>
  <sheets>
    <sheet name="Historical Financials" sheetId="5" r:id="rId1"/>
    <sheet name="Assumptions" sheetId="11" r:id="rId2"/>
    <sheet name="Projections" sheetId="9" r:id="rId3"/>
    <sheet name="Valuation" sheetId="10" r:id="rId4"/>
    <sheet name="NI analysis" sheetId="12" r:id="rId5"/>
    <sheet name="Apple Competitor Analysis" sheetId="13" r:id="rId6"/>
    <sheet name="Apple Economic Profit" sheetId="14" r:id="rId7"/>
    <sheet name="Competitor Economic Profit" sheetId="15" r:id="rId8"/>
  </sheets>
  <definedNames>
    <definedName name="Filenam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40186.5803935185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Scenario_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5" l="1"/>
  <c r="C4" i="15"/>
  <c r="D4" i="15"/>
  <c r="E4" i="15"/>
  <c r="F4" i="15"/>
  <c r="G4" i="15"/>
  <c r="B7" i="15"/>
  <c r="C7" i="15"/>
  <c r="D7" i="15"/>
  <c r="E7" i="15"/>
  <c r="F7" i="15"/>
  <c r="G7" i="15"/>
  <c r="B10" i="15"/>
  <c r="C10" i="15"/>
  <c r="D10" i="15"/>
  <c r="E10" i="15"/>
  <c r="F10" i="15"/>
  <c r="G10" i="15"/>
  <c r="B13" i="15"/>
  <c r="C13" i="15"/>
  <c r="D13" i="15"/>
  <c r="E13" i="15"/>
  <c r="F13" i="15"/>
  <c r="G13" i="15"/>
  <c r="B16" i="15"/>
  <c r="C16" i="15"/>
  <c r="D16" i="15"/>
  <c r="E16" i="15"/>
  <c r="F16" i="15"/>
  <c r="G16" i="15"/>
  <c r="C19" i="15"/>
  <c r="D19" i="15"/>
  <c r="E19" i="15"/>
  <c r="F19" i="15"/>
  <c r="G19" i="15"/>
  <c r="B22" i="15"/>
  <c r="C22" i="15"/>
  <c r="D22" i="15"/>
  <c r="E22" i="15"/>
  <c r="F22" i="15"/>
  <c r="G22" i="15"/>
  <c r="B25" i="15"/>
  <c r="C25" i="15"/>
  <c r="D25" i="15"/>
  <c r="E25" i="15"/>
  <c r="F25" i="15"/>
  <c r="G25" i="15"/>
  <c r="B4" i="14"/>
  <c r="C4" i="14"/>
  <c r="D4" i="14"/>
  <c r="E4" i="14"/>
  <c r="F4" i="14"/>
  <c r="G4" i="14"/>
  <c r="D2" i="13"/>
  <c r="D3" i="13"/>
  <c r="D4" i="13"/>
  <c r="D5" i="13"/>
  <c r="D6" i="13"/>
  <c r="D7" i="13"/>
  <c r="D8" i="13"/>
  <c r="D9" i="13"/>
  <c r="N45" i="12"/>
  <c r="L45" i="12"/>
  <c r="J45" i="12"/>
  <c r="N44" i="12"/>
  <c r="L44" i="12"/>
  <c r="J44" i="12"/>
  <c r="N43" i="12"/>
  <c r="L43" i="12"/>
  <c r="J43" i="12"/>
  <c r="N42" i="12"/>
  <c r="L42" i="12"/>
  <c r="J42" i="12"/>
  <c r="N41" i="12"/>
  <c r="L41" i="12"/>
  <c r="J41" i="12"/>
  <c r="N40" i="12"/>
  <c r="L40" i="12"/>
  <c r="J40" i="12"/>
  <c r="N39" i="12"/>
  <c r="L39" i="12"/>
  <c r="J39" i="12"/>
  <c r="N38" i="12"/>
  <c r="L38" i="12"/>
  <c r="J38" i="12"/>
  <c r="N37" i="12"/>
  <c r="L37" i="12"/>
  <c r="J37" i="12"/>
  <c r="N36" i="12"/>
  <c r="L36" i="12"/>
  <c r="J36" i="12"/>
  <c r="N35" i="12"/>
  <c r="L35" i="12"/>
  <c r="J35" i="12"/>
  <c r="N34" i="12"/>
  <c r="L34" i="12"/>
  <c r="J34" i="12"/>
  <c r="Y15" i="12"/>
  <c r="O15" i="12"/>
  <c r="E15" i="12"/>
  <c r="Y14" i="12"/>
  <c r="O14" i="12"/>
  <c r="E14" i="12"/>
  <c r="Y13" i="12"/>
  <c r="O13" i="12"/>
  <c r="E13" i="12"/>
  <c r="Y12" i="12"/>
  <c r="O12" i="12"/>
  <c r="E12" i="12"/>
  <c r="Y11" i="12"/>
  <c r="O11" i="12"/>
  <c r="E11" i="12"/>
  <c r="Y10" i="12"/>
  <c r="O10" i="12"/>
  <c r="E10" i="12"/>
  <c r="Y9" i="12"/>
  <c r="O9" i="12"/>
  <c r="E9" i="12"/>
  <c r="Y8" i="12"/>
  <c r="O8" i="12"/>
  <c r="E8" i="12"/>
  <c r="Y7" i="12"/>
  <c r="O7" i="12"/>
  <c r="E7" i="12"/>
  <c r="Y6" i="12"/>
  <c r="O6" i="12"/>
  <c r="E6" i="12"/>
  <c r="Y5" i="12"/>
  <c r="O5" i="12"/>
  <c r="E5" i="12"/>
  <c r="Y4" i="12"/>
  <c r="O4" i="12"/>
  <c r="E4" i="12"/>
  <c r="B17" i="11"/>
  <c r="B9" i="11"/>
  <c r="B8" i="11"/>
  <c r="B10" i="11"/>
  <c r="B5" i="11"/>
  <c r="B71" i="5"/>
  <c r="C71" i="5"/>
  <c r="C70" i="5"/>
  <c r="C69" i="5"/>
  <c r="B69" i="5"/>
  <c r="B70" i="5"/>
  <c r="B54" i="5"/>
  <c r="C54" i="5"/>
  <c r="B47" i="5"/>
  <c r="C47" i="5"/>
  <c r="C48" i="5" s="1"/>
  <c r="C51" i="5" s="1"/>
  <c r="C53" i="5" s="1"/>
  <c r="C57" i="5" s="1"/>
  <c r="C62" i="5" s="1"/>
  <c r="C64" i="5" s="1"/>
  <c r="B48" i="5"/>
  <c r="B51" i="5" s="1"/>
  <c r="B53" i="5" s="1"/>
  <c r="B57" i="5" s="1"/>
  <c r="B62" i="5" s="1"/>
  <c r="B64" i="5" s="1"/>
  <c r="B45" i="5"/>
  <c r="C45" i="5"/>
  <c r="B41" i="5"/>
  <c r="C41" i="5"/>
  <c r="B25" i="5"/>
  <c r="B26" i="5" s="1"/>
  <c r="B32" i="5" s="1"/>
  <c r="C25" i="5"/>
  <c r="C26" i="5" s="1"/>
  <c r="C32" i="5" s="1"/>
  <c r="C42" i="5" s="1"/>
  <c r="B11" i="5"/>
  <c r="C11" i="5"/>
  <c r="B8" i="5"/>
  <c r="B12" i="5" s="1"/>
  <c r="B18" i="5" s="1"/>
  <c r="C8" i="5"/>
  <c r="C12" i="5" s="1"/>
  <c r="C18" i="5" s="1"/>
  <c r="B42" i="5" l="1"/>
  <c r="E71" i="5"/>
  <c r="D71" i="5"/>
  <c r="D70" i="5"/>
  <c r="E70" i="5"/>
  <c r="E69" i="5"/>
  <c r="D69" i="5"/>
  <c r="D47" i="5"/>
  <c r="D48" i="5" s="1"/>
  <c r="D51" i="5" s="1"/>
  <c r="D53" i="5" s="1"/>
  <c r="E47" i="5"/>
  <c r="B6" i="11" s="1"/>
  <c r="D54" i="5"/>
  <c r="E54" i="5"/>
  <c r="B20" i="11" s="1"/>
  <c r="D45" i="5"/>
  <c r="E45" i="5"/>
  <c r="D41" i="5"/>
  <c r="D25" i="5"/>
  <c r="D26" i="5" s="1"/>
  <c r="D32" i="5" s="1"/>
  <c r="E24" i="5"/>
  <c r="E25" i="5"/>
  <c r="D57" i="5" l="1"/>
  <c r="D62" i="5" s="1"/>
  <c r="D64" i="5" s="1"/>
  <c r="B19" i="11"/>
  <c r="D42" i="5"/>
  <c r="D11" i="5"/>
  <c r="D8" i="5"/>
  <c r="D12" i="5" s="1"/>
  <c r="D18" i="5" s="1"/>
  <c r="E8" i="5"/>
  <c r="B11" i="11" s="1"/>
  <c r="C11" i="11" s="1"/>
  <c r="E11" i="5"/>
  <c r="B14" i="11" s="1"/>
  <c r="C14" i="11" s="1"/>
  <c r="D14" i="11" s="1"/>
  <c r="E14" i="11" s="1"/>
  <c r="B28" i="9"/>
  <c r="C5" i="11"/>
  <c r="B34" i="9"/>
  <c r="E41" i="5"/>
  <c r="B40" i="9" s="1"/>
  <c r="B36" i="9"/>
  <c r="B7" i="11"/>
  <c r="C7" i="11" s="1"/>
  <c r="D7" i="11" s="1"/>
  <c r="E7" i="11" s="1"/>
  <c r="F7" i="11" s="1"/>
  <c r="G7" i="11" s="1"/>
  <c r="C20" i="11"/>
  <c r="C9" i="11"/>
  <c r="B12" i="11"/>
  <c r="C12" i="11" s="1"/>
  <c r="D12" i="11" s="1"/>
  <c r="E12" i="11" s="1"/>
  <c r="F12" i="11" s="1"/>
  <c r="B4" i="11"/>
  <c r="C4" i="11" s="1"/>
  <c r="E4" i="10" s="1"/>
  <c r="C8" i="11"/>
  <c r="C16" i="11"/>
  <c r="D16" i="11" s="1"/>
  <c r="F22" i="10"/>
  <c r="G22" i="10" s="1"/>
  <c r="H22" i="10" s="1"/>
  <c r="I22" i="10" s="1"/>
  <c r="H29" i="10"/>
  <c r="H37" i="10"/>
  <c r="D39" i="10"/>
  <c r="L29" i="10"/>
  <c r="C3" i="9"/>
  <c r="B6" i="9"/>
  <c r="B9" i="9"/>
  <c r="B11" i="9"/>
  <c r="B12" i="9"/>
  <c r="B20" i="9"/>
  <c r="B22" i="9"/>
  <c r="B23" i="9"/>
  <c r="B26" i="9"/>
  <c r="B27" i="9"/>
  <c r="B29" i="9"/>
  <c r="B30" i="9"/>
  <c r="B37" i="9"/>
  <c r="C37" i="9" s="1"/>
  <c r="D37" i="9" s="1"/>
  <c r="E37" i="9" s="1"/>
  <c r="F37" i="9" s="1"/>
  <c r="G37" i="9" s="1"/>
  <c r="B38" i="9"/>
  <c r="C38" i="9" s="1"/>
  <c r="D38" i="9" s="1"/>
  <c r="E38" i="9" s="1"/>
  <c r="F38" i="9" s="1"/>
  <c r="G38" i="9" s="1"/>
  <c r="C10" i="11"/>
  <c r="D10" i="11" s="1"/>
  <c r="E10" i="11" s="1"/>
  <c r="F10" i="11" s="1"/>
  <c r="G10" i="11" s="1"/>
  <c r="B13" i="11"/>
  <c r="C13" i="11" s="1"/>
  <c r="B15" i="11"/>
  <c r="C15" i="11" s="1"/>
  <c r="C17" i="11"/>
  <c r="D17" i="11" s="1"/>
  <c r="B18" i="11"/>
  <c r="C18" i="11" s="1"/>
  <c r="C21" i="11"/>
  <c r="D21" i="11" s="1"/>
  <c r="E21" i="11" s="1"/>
  <c r="D23" i="11"/>
  <c r="E23" i="11" s="1"/>
  <c r="F23" i="11" s="1"/>
  <c r="G23" i="11" s="1"/>
  <c r="E26" i="5"/>
  <c r="E32" i="5" s="1"/>
  <c r="E12" i="5" l="1"/>
  <c r="E18" i="5" s="1"/>
  <c r="B21" i="9"/>
  <c r="B45" i="9"/>
  <c r="C43" i="9" s="1"/>
  <c r="L37" i="10"/>
  <c r="B8" i="9"/>
  <c r="E42" i="5"/>
  <c r="B24" i="9"/>
  <c r="B25" i="9" s="1"/>
  <c r="B31" i="9" s="1"/>
  <c r="C28" i="9"/>
  <c r="E15" i="10" s="1"/>
  <c r="C19" i="11"/>
  <c r="D19" i="11" s="1"/>
  <c r="B4" i="9"/>
  <c r="B7" i="9"/>
  <c r="B10" i="9" s="1"/>
  <c r="B39" i="9"/>
  <c r="B41" i="9" s="1"/>
  <c r="E48" i="5"/>
  <c r="E51" i="5" s="1"/>
  <c r="C6" i="9"/>
  <c r="C22" i="11" s="1"/>
  <c r="C6" i="11"/>
  <c r="D6" i="11" s="1"/>
  <c r="E6" i="11" s="1"/>
  <c r="F6" i="11" s="1"/>
  <c r="G6" i="11" s="1"/>
  <c r="F14" i="11"/>
  <c r="D18" i="11"/>
  <c r="C12" i="9"/>
  <c r="D9" i="11"/>
  <c r="G12" i="11"/>
  <c r="D20" i="11"/>
  <c r="C11" i="9"/>
  <c r="E17" i="11"/>
  <c r="D11" i="11"/>
  <c r="D8" i="11"/>
  <c r="C9" i="9"/>
  <c r="E7" i="10" s="1"/>
  <c r="D13" i="11"/>
  <c r="F21" i="11"/>
  <c r="D15" i="11"/>
  <c r="E16" i="11"/>
  <c r="F16" i="11" s="1"/>
  <c r="G16" i="11" s="1"/>
  <c r="D4" i="11"/>
  <c r="C4" i="9"/>
  <c r="D5" i="11"/>
  <c r="E5" i="11" s="1"/>
  <c r="F5" i="11" s="1"/>
  <c r="G5" i="11" s="1"/>
  <c r="C36" i="9"/>
  <c r="D36" i="9" s="1"/>
  <c r="E36" i="9" s="1"/>
  <c r="F36" i="9" s="1"/>
  <c r="G36" i="9" s="1"/>
  <c r="B14" i="9" l="1"/>
  <c r="B13" i="9"/>
  <c r="C21" i="9"/>
  <c r="E8" i="10" s="1"/>
  <c r="C26" i="9"/>
  <c r="D9" i="9" s="1"/>
  <c r="F7" i="10" s="1"/>
  <c r="D28" i="9"/>
  <c r="F15" i="10" s="1"/>
  <c r="E53" i="5"/>
  <c r="E57" i="5" s="1"/>
  <c r="C27" i="9"/>
  <c r="E14" i="10" s="1"/>
  <c r="C29" i="9"/>
  <c r="E16" i="10" s="1"/>
  <c r="C8" i="9"/>
  <c r="C23" i="9"/>
  <c r="E10" i="10" s="1"/>
  <c r="C24" i="9"/>
  <c r="E11" i="10" s="1"/>
  <c r="C7" i="9"/>
  <c r="C22" i="9" s="1"/>
  <c r="E9" i="10" s="1"/>
  <c r="D6" i="9"/>
  <c r="D22" i="11" s="1"/>
  <c r="F13" i="10" s="1"/>
  <c r="E9" i="11"/>
  <c r="D4" i="9"/>
  <c r="F4" i="10"/>
  <c r="E4" i="11"/>
  <c r="E11" i="11"/>
  <c r="E15" i="11"/>
  <c r="F17" i="11"/>
  <c r="E20" i="11"/>
  <c r="D11" i="9"/>
  <c r="E18" i="11"/>
  <c r="E13" i="11"/>
  <c r="E19" i="11"/>
  <c r="G21" i="11"/>
  <c r="E8" i="11"/>
  <c r="G14" i="11"/>
  <c r="B15" i="9" l="1"/>
  <c r="E28" i="9"/>
  <c r="E62" i="5"/>
  <c r="E64" i="5" s="1"/>
  <c r="E13" i="10"/>
  <c r="C10" i="9"/>
  <c r="C13" i="9" s="1"/>
  <c r="D27" i="9"/>
  <c r="F14" i="10" s="1"/>
  <c r="C34" i="9"/>
  <c r="E12" i="10" s="1"/>
  <c r="D29" i="9"/>
  <c r="F16" i="10" s="1"/>
  <c r="D23" i="9"/>
  <c r="F10" i="10" s="1"/>
  <c r="D24" i="9"/>
  <c r="F11" i="10" s="1"/>
  <c r="D8" i="9"/>
  <c r="D7" i="9"/>
  <c r="D22" i="9" s="1"/>
  <c r="F9" i="10" s="1"/>
  <c r="D21" i="9"/>
  <c r="F8" i="10" s="1"/>
  <c r="E6" i="9"/>
  <c r="E29" i="9" s="1"/>
  <c r="F19" i="11"/>
  <c r="G17" i="11"/>
  <c r="F28" i="9"/>
  <c r="H15" i="10" s="1"/>
  <c r="F13" i="11"/>
  <c r="F18" i="11"/>
  <c r="E4" i="9"/>
  <c r="F4" i="11"/>
  <c r="G4" i="10"/>
  <c r="F9" i="11"/>
  <c r="E11" i="9"/>
  <c r="F20" i="11"/>
  <c r="F8" i="11"/>
  <c r="F11" i="11"/>
  <c r="D26" i="9"/>
  <c r="E9" i="9" s="1"/>
  <c r="G7" i="10" s="1"/>
  <c r="C30" i="9"/>
  <c r="F15" i="11"/>
  <c r="G15" i="10"/>
  <c r="E24" i="9" l="1"/>
  <c r="G11" i="10" s="1"/>
  <c r="C14" i="9"/>
  <c r="D10" i="9"/>
  <c r="D14" i="9" s="1"/>
  <c r="D34" i="9"/>
  <c r="F12" i="10" s="1"/>
  <c r="G16" i="10"/>
  <c r="E22" i="11"/>
  <c r="G13" i="10" s="1"/>
  <c r="E8" i="9"/>
  <c r="E7" i="9"/>
  <c r="E22" i="9" s="1"/>
  <c r="G9" i="10" s="1"/>
  <c r="E23" i="9"/>
  <c r="G10" i="10" s="1"/>
  <c r="E27" i="9"/>
  <c r="G14" i="10" s="1"/>
  <c r="F6" i="9"/>
  <c r="F29" i="9" s="1"/>
  <c r="H16" i="10" s="1"/>
  <c r="E21" i="9"/>
  <c r="G8" i="10" s="1"/>
  <c r="F11" i="9"/>
  <c r="G20" i="11"/>
  <c r="G11" i="9" s="1"/>
  <c r="G13" i="11"/>
  <c r="E17" i="10"/>
  <c r="G11" i="11"/>
  <c r="G15" i="11"/>
  <c r="G8" i="11"/>
  <c r="F4" i="9"/>
  <c r="G4" i="11"/>
  <c r="H4" i="10"/>
  <c r="D30" i="9"/>
  <c r="G9" i="11"/>
  <c r="G18" i="11"/>
  <c r="G28" i="9"/>
  <c r="I15" i="10" s="1"/>
  <c r="G19" i="11"/>
  <c r="C15" i="9" l="1"/>
  <c r="C16" i="9" s="1"/>
  <c r="E20" i="10" s="1"/>
  <c r="E23" i="10" s="1"/>
  <c r="E26" i="9"/>
  <c r="F9" i="9" s="1"/>
  <c r="F24" i="9"/>
  <c r="H11" i="10" s="1"/>
  <c r="F27" i="9"/>
  <c r="H14" i="10" s="1"/>
  <c r="G6" i="9"/>
  <c r="G29" i="9" s="1"/>
  <c r="I16" i="10" s="1"/>
  <c r="F21" i="9"/>
  <c r="H8" i="10" s="1"/>
  <c r="F7" i="9"/>
  <c r="F22" i="9" s="1"/>
  <c r="H9" i="10" s="1"/>
  <c r="F8" i="9"/>
  <c r="F22" i="11"/>
  <c r="H13" i="10" s="1"/>
  <c r="F23" i="9"/>
  <c r="H10" i="10" s="1"/>
  <c r="E10" i="9"/>
  <c r="E14" i="9" s="1"/>
  <c r="E34" i="9"/>
  <c r="G12" i="10" s="1"/>
  <c r="I4" i="10"/>
  <c r="E33" i="10" s="1"/>
  <c r="G4" i="9"/>
  <c r="F17" i="10"/>
  <c r="G27" i="9" l="1"/>
  <c r="I14" i="10" s="1"/>
  <c r="E30" i="9"/>
  <c r="G17" i="10" s="1"/>
  <c r="C40" i="9"/>
  <c r="E6" i="10"/>
  <c r="G22" i="11"/>
  <c r="I13" i="10" s="1"/>
  <c r="G7" i="9"/>
  <c r="G22" i="9" s="1"/>
  <c r="I9" i="10" s="1"/>
  <c r="G23" i="9"/>
  <c r="I10" i="10" s="1"/>
  <c r="G8" i="9"/>
  <c r="G21" i="9"/>
  <c r="I8" i="10" s="1"/>
  <c r="G24" i="9"/>
  <c r="I11" i="10" s="1"/>
  <c r="F34" i="9"/>
  <c r="H12" i="10" s="1"/>
  <c r="F26" i="9"/>
  <c r="G9" i="9" s="1"/>
  <c r="H7" i="10"/>
  <c r="F10" i="9"/>
  <c r="A33" i="10"/>
  <c r="A35" i="10"/>
  <c r="I32" i="10"/>
  <c r="E18" i="10" l="1"/>
  <c r="E21" i="10" s="1"/>
  <c r="C44" i="9"/>
  <c r="C45" i="9" s="1"/>
  <c r="C35" i="9" s="1"/>
  <c r="C39" i="9" s="1"/>
  <c r="C41" i="9" s="1"/>
  <c r="G34" i="9"/>
  <c r="I12" i="10" s="1"/>
  <c r="F30" i="9"/>
  <c r="H17" i="10" s="1"/>
  <c r="I7" i="10"/>
  <c r="G10" i="9"/>
  <c r="D33" i="10" s="1"/>
  <c r="F14" i="9"/>
  <c r="G26" i="9"/>
  <c r="G30" i="9" s="1"/>
  <c r="G14" i="9" l="1"/>
  <c r="D43" i="9"/>
  <c r="C20" i="9"/>
  <c r="C25" i="9" s="1"/>
  <c r="C31" i="9" s="1"/>
  <c r="I17" i="10"/>
  <c r="D12" i="9" l="1"/>
  <c r="D13" i="9" s="1"/>
  <c r="D15" i="9" s="1"/>
  <c r="F6" i="10" s="1"/>
  <c r="F18" i="10" s="1"/>
  <c r="F19" i="10" s="1"/>
  <c r="D16" i="9" l="1"/>
  <c r="D40" i="9" s="1"/>
  <c r="F20" i="10" l="1"/>
  <c r="F23" i="10" s="1"/>
  <c r="D44" i="9"/>
  <c r="D45" i="9" s="1"/>
  <c r="D35" i="9" s="1"/>
  <c r="D39" i="9" s="1"/>
  <c r="D41" i="9" s="1"/>
  <c r="F21" i="10" l="1"/>
  <c r="D20" i="9"/>
  <c r="E12" i="9" s="1"/>
  <c r="E13" i="9" s="1"/>
  <c r="E15" i="9" s="1"/>
  <c r="E16" i="9" s="1"/>
  <c r="E40" i="9" s="1"/>
  <c r="E43" i="9"/>
  <c r="G6" i="10" l="1"/>
  <c r="D25" i="9"/>
  <c r="D31" i="9" s="1"/>
  <c r="G20" i="10"/>
  <c r="G23" i="10" s="1"/>
  <c r="G18" i="10" l="1"/>
  <c r="G19" i="10" s="1"/>
  <c r="E44" i="9"/>
  <c r="E45" i="9" s="1"/>
  <c r="E20" i="9" s="1"/>
  <c r="G21" i="10" l="1"/>
  <c r="F43" i="9"/>
  <c r="E35" i="9"/>
  <c r="E39" i="9" s="1"/>
  <c r="E41" i="9" s="1"/>
  <c r="E25" i="9"/>
  <c r="E31" i="9" s="1"/>
  <c r="F12" i="9"/>
  <c r="F13" i="9" s="1"/>
  <c r="F15" i="9" s="1"/>
  <c r="H6" i="10" l="1"/>
  <c r="H18" i="10" s="1"/>
  <c r="F16" i="9"/>
  <c r="F40" i="9" s="1"/>
  <c r="H19" i="10" l="1"/>
  <c r="H20" i="10"/>
  <c r="H23" i="10" s="1"/>
  <c r="F44" i="9"/>
  <c r="F45" i="9" s="1"/>
  <c r="H21" i="10" l="1"/>
  <c r="F20" i="9"/>
  <c r="G43" i="9"/>
  <c r="F35" i="9"/>
  <c r="F39" i="9" s="1"/>
  <c r="F41" i="9" s="1"/>
  <c r="F25" i="9" l="1"/>
  <c r="F31" i="9" s="1"/>
  <c r="G12" i="9"/>
  <c r="G13" i="9" s="1"/>
  <c r="G15" i="9" s="1"/>
  <c r="H33" i="10" s="1"/>
  <c r="H34" i="10" l="1"/>
  <c r="G16" i="9"/>
  <c r="G40" i="9" s="1"/>
  <c r="I6" i="10"/>
  <c r="I18" i="10" s="1"/>
  <c r="L33" i="10" l="1"/>
  <c r="L34" i="10" s="1"/>
  <c r="I19" i="10"/>
  <c r="G44" i="9"/>
  <c r="G45" i="9" s="1"/>
  <c r="I20" i="10"/>
  <c r="I23" i="10" s="1"/>
  <c r="L30" i="10" l="1"/>
  <c r="L36" i="10" s="1"/>
  <c r="L38" i="10" s="1"/>
  <c r="D30" i="10"/>
  <c r="H30" i="10"/>
  <c r="H36" i="10" s="1"/>
  <c r="H38" i="10" s="1"/>
  <c r="G20" i="9"/>
  <c r="G35" i="9"/>
  <c r="G39" i="9" s="1"/>
  <c r="G41" i="9" s="1"/>
  <c r="I21" i="10"/>
  <c r="D34" i="10" l="1"/>
  <c r="D35" i="10" s="1"/>
  <c r="D36" i="10" s="1"/>
  <c r="G25" i="9"/>
  <c r="G31" i="9" s="1"/>
  <c r="D38" i="10" l="1"/>
  <c r="D4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tc={D56BEB2B-A952-124B-8470-B4BB4AF23A3E}</author>
    <author>tc={D4BE3662-E443-B64A-8B11-C41B4B18B02A}</author>
    <author>tc={F3F08FB3-6F61-FB4D-827F-F7BBDF46BB11}</author>
    <author>tc={21CE335F-EFC6-3A44-B7C3-4E6DA8B87410}</author>
    <author>tc={1352A896-3839-AF4E-9B7A-34B43320421A}</author>
    <author>tc={3B4AA54E-D705-F64D-9617-6CAF51A72DAF}</author>
  </authors>
  <commentList>
    <comment ref="B10" authorId="0" shapeId="0" xr:uid="{D56BEB2B-A952-124B-8470-B4BB4AF23A3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effective tax rate is assumed to be the average of 2021 and 2020, 2019, 2018 tax rate
</t>
      </text>
    </comment>
    <comment ref="B13" authorId="1" shapeId="0" xr:uid="{D4BE3662-E443-B64A-8B11-C41B4B18B02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prepaid expense is unavailable anywhere from Apple’s 10-k, thus assumed to 0.
</t>
      </text>
    </comment>
    <comment ref="B16" authorId="2" shapeId="0" xr:uid="{F3F08FB3-6F61-FB4D-827F-F7BBDF46BB1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stopped to disclose intangible assets since 2018, so the intangible amounts and growth are estimated.</t>
      </text>
    </comment>
    <comment ref="B17" authorId="3" shapeId="0" xr:uid="{21CE335F-EFC6-3A44-B7C3-4E6DA8B87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Deferred charges are not disclosed by Apple, so assumed to 0.
</t>
      </text>
    </comment>
    <comment ref="B21" authorId="4" shapeId="0" xr:uid="{1352A896-3839-AF4E-9B7A-34B43320421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Apple’s capital expenditure in 2021 is 10.388B, revenue is 365B, so CAPEX to sales = 10.388/365
https://finbox.com/NASDAQGS:AAPL/explorer/capex</t>
      </text>
    </comment>
    <comment ref="C23" authorId="5" shapeId="0" xr:uid="{3B4AA54E-D705-F64D-9617-6CAF51A72DA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Apple's dividends paid $14.1 billion for 2020 and $14.4 billion for 2021. The net income for 2020 was $57.4 billion, so dividend payout ratio at 25% for 2020.5 In 2021, the NI is 94.7, so the payout ratio was 15.2%. That ratio for 2018, 2019 is 23% and 26%. So the average is 22.3%.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tc={6A908465-7FFA-1546-B776-667EA77C986C}</author>
    <author>tc={8F7662EF-B2E1-FA42-B8D5-783841BF5993}</author>
    <author>tc={644A7271-AD06-584E-9A89-09F36A5CA8F4}</author>
    <author>tc={4823266B-F7B9-EA43-8008-86ABA829F54A}</author>
  </authors>
  <commentList>
    <comment ref="D29" authorId="0" shapeId="0" xr:uid="{6A908465-7FFA-1546-B776-667EA77C986C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GuruFocus, beta is 1.28, premium is 6%, risk free rate is 2.704%, Cost of Cost of Equity = 2.704% + 1.28 * 6% = 10.384%</t>
      </text>
    </comment>
    <comment ref="D32" authorId="1" shapeId="0" xr:uid="{8F7662EF-B2E1-FA42-B8D5-783841BF599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EBITDA for 2021 is 120.2B, the EV (EV=Market Cap + Total Debt - Cash Equivalent)=2342+ 287.912-34.94=2594B by the end of 2021. So exit multiple = 2594 /120.2 is around 21.58</t>
      </text>
    </comment>
    <comment ref="H32" authorId="2" shapeId="0" xr:uid="{644A7271-AD06-584E-9A89-09F36A5CA8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net income for 2021 is 94.680B, the market cap by the Oct of 2021 
is 2342B, 2021 PE is 2342/94.680=24.73
2020 NI is 57.411B, MC is 1980B, 2020 PE is 1980/57.411=34
Simiarly, at the same period, PE for 2019 is around 22, for 2018 is around 22.
so avg PE from 2018 to 2021 is 25.68
</t>
      </text>
    </comment>
    <comment ref="L32" authorId="3" shapeId="0" xr:uid="{4823266B-F7B9-EA43-8008-86ABA829F54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 Growth rate of FCF now equals average us gdp growth rate in the past 5 years, which is (2.33+3+2.2-3.5+5.7)/5 = 1.94%</t>
      </text>
    </comment>
  </commentList>
</comments>
</file>

<file path=xl/sharedStrings.xml><?xml version="1.0" encoding="utf-8"?>
<sst xmlns="http://schemas.openxmlformats.org/spreadsheetml/2006/main" count="302" uniqueCount="218">
  <si>
    <t>Sales Growth Rate</t>
  </si>
  <si>
    <t>EBIT</t>
  </si>
  <si>
    <t xml:space="preserve"> </t>
  </si>
  <si>
    <t>Fiscal Year Ending</t>
  </si>
  <si>
    <t>Outstanding at Fiscal Year End</t>
  </si>
  <si>
    <t>for Fully Diluted EPS Calculation</t>
  </si>
  <si>
    <t>for Primary EPS Calculation</t>
  </si>
  <si>
    <t>COMMON SHARES:</t>
  </si>
  <si>
    <t>Earnings Per Share</t>
  </si>
  <si>
    <t>Preferred Dividends</t>
  </si>
  <si>
    <t>Net Income (Loss)</t>
  </si>
  <si>
    <t>Discontinued Operations</t>
  </si>
  <si>
    <t>Extraordinary Items</t>
  </si>
  <si>
    <t>Minority Interest</t>
  </si>
  <si>
    <t>Income Taxes - Total</t>
  </si>
  <si>
    <t>Pretax Income</t>
  </si>
  <si>
    <t>Special Items</t>
  </si>
  <si>
    <t>Interest Expense</t>
  </si>
  <si>
    <t>Operating Income After Depreciation</t>
  </si>
  <si>
    <t>Depreciation, Depletion, &amp; Amortiz</t>
  </si>
  <si>
    <t>Operating Income Before Depreciation</t>
  </si>
  <si>
    <t>Selling, General, &amp; Admin Expenses</t>
  </si>
  <si>
    <t>Gross Profit</t>
  </si>
  <si>
    <t>Sales (Net)</t>
  </si>
  <si>
    <t>Income Statement</t>
  </si>
  <si>
    <t>TOTAL LIABILITIES &amp; EQUITY</t>
  </si>
  <si>
    <t>TOTAL SHAREHOLDERS' EQUITY</t>
  </si>
  <si>
    <t>Retained Earnings (Net Other)</t>
  </si>
  <si>
    <t>Capital Surplus</t>
  </si>
  <si>
    <t>Preferred Stock</t>
  </si>
  <si>
    <t>SHAREHOLDERS' EQUITY</t>
  </si>
  <si>
    <t>TOTAL LIABILITIES</t>
  </si>
  <si>
    <t>Investment Tax Credit</t>
  </si>
  <si>
    <t>Deferred Taxes (Balance Sheet)</t>
  </si>
  <si>
    <t>Long Term Debt</t>
  </si>
  <si>
    <t>Total Current Liabilities</t>
  </si>
  <si>
    <t>Other Current Liabilities</t>
  </si>
  <si>
    <t>Taxes Payable</t>
  </si>
  <si>
    <t>Accrued Expenses</t>
  </si>
  <si>
    <t>Notes Payable</t>
  </si>
  <si>
    <t>Accounts Payable</t>
  </si>
  <si>
    <t>LIABILITIES</t>
  </si>
  <si>
    <t>TOTAL ASSETS</t>
  </si>
  <si>
    <t>Assets - Other</t>
  </si>
  <si>
    <t>Deferred Charges</t>
  </si>
  <si>
    <t>Intangibles</t>
  </si>
  <si>
    <t xml:space="preserve">Investments  </t>
  </si>
  <si>
    <t>Plant, Property &amp; Equip (Net)</t>
  </si>
  <si>
    <t>Current Assets - Total</t>
  </si>
  <si>
    <t>Prepaid Expenses</t>
  </si>
  <si>
    <t>Cash &amp; Equivalents</t>
  </si>
  <si>
    <t>ASSETS</t>
  </si>
  <si>
    <t>Balance Sheet (Standardized)</t>
  </si>
  <si>
    <t>CapEx based on the above (in $)</t>
  </si>
  <si>
    <t>CapEx as % of sales</t>
  </si>
  <si>
    <t>Payables &amp;Acc. Exp./Expenses</t>
  </si>
  <si>
    <t>Other LT  assets/Net PPE</t>
  </si>
  <si>
    <t>Deferred charges/Sales</t>
  </si>
  <si>
    <t>Intangible/Goodwill  growth</t>
  </si>
  <si>
    <t>Investments/Sales</t>
  </si>
  <si>
    <t>Other current assets/Sales</t>
  </si>
  <si>
    <t>Prepaid expense/Sales</t>
  </si>
  <si>
    <t>Inventory /CGS</t>
  </si>
  <si>
    <t>Receivables /Sales</t>
  </si>
  <si>
    <t>Tax rate</t>
  </si>
  <si>
    <t>Depreciation/Begin. PPE</t>
  </si>
  <si>
    <t>S&amp;A excl depr./Sales</t>
  </si>
  <si>
    <t>Assumptions</t>
  </si>
  <si>
    <t>Period</t>
  </si>
  <si>
    <t>Shareholders Equity</t>
  </si>
  <si>
    <t>Payables &amp; Accrued Expense</t>
  </si>
  <si>
    <t>Liabilities &amp; Owners' Equity</t>
  </si>
  <si>
    <t>Total Assets</t>
  </si>
  <si>
    <t>Other LT Assets</t>
  </si>
  <si>
    <t>Intangibles--Goodwill</t>
  </si>
  <si>
    <t>Investments</t>
  </si>
  <si>
    <t>Net PPE</t>
  </si>
  <si>
    <t>Other Current Assets</t>
  </si>
  <si>
    <t>Prepaid Expense</t>
  </si>
  <si>
    <t>Inventory</t>
  </si>
  <si>
    <t>Receivables</t>
  </si>
  <si>
    <t>Cash</t>
  </si>
  <si>
    <t>Assets</t>
  </si>
  <si>
    <t>Net Income</t>
  </si>
  <si>
    <t>Tax Expense</t>
  </si>
  <si>
    <t>Pre-tax Income</t>
  </si>
  <si>
    <t xml:space="preserve">Interest Income </t>
  </si>
  <si>
    <t>Depreciation</t>
  </si>
  <si>
    <t>S&amp;A excl. depr.</t>
  </si>
  <si>
    <t>Sales</t>
  </si>
  <si>
    <t>Income Statement ($millions)</t>
  </si>
  <si>
    <t>Valuation</t>
  </si>
  <si>
    <t>Equity Value</t>
  </si>
  <si>
    <t>Cost of Equity</t>
  </si>
  <si>
    <t>Short Term Debt (current portion of LT)</t>
  </si>
  <si>
    <t>Total Debt</t>
  </si>
  <si>
    <t>Non-Operating Income/(Expense)</t>
  </si>
  <si>
    <t>Actual</t>
  </si>
  <si>
    <t>Projected for the Fiscal Year Ended</t>
  </si>
  <si>
    <t>Total Current Assets</t>
  </si>
  <si>
    <t>Total Liabilities and Owners' Equity</t>
  </si>
  <si>
    <t>Balance Sheet ($ millions)</t>
  </si>
  <si>
    <t>Decrease (increase) in receivables</t>
  </si>
  <si>
    <t>Decrease (increase) in inventory</t>
  </si>
  <si>
    <t>Decrease (increase) in prepaid expenses</t>
  </si>
  <si>
    <t>Decrease (increase) in other current assets</t>
  </si>
  <si>
    <t>Increase (decrease) in a/p &amp; accrued expenses</t>
  </si>
  <si>
    <t>Plus Depreciation</t>
  </si>
  <si>
    <t>Less Capital Expenditures</t>
  </si>
  <si>
    <t>Decrease (increase) in investments</t>
  </si>
  <si>
    <t>Decrease (increase) in intangibles -- goodwill</t>
  </si>
  <si>
    <t>Decrease (increase) in deferred charges</t>
  </si>
  <si>
    <t>Decrease (increase) in LT assets</t>
  </si>
  <si>
    <t>FCF Growth</t>
  </si>
  <si>
    <t>Fiscal Year Ended</t>
  </si>
  <si>
    <t>Free Cash Flow available to equity holders</t>
  </si>
  <si>
    <t>Exit Multiple</t>
  </si>
  <si>
    <t>Terminal Value</t>
  </si>
  <si>
    <t>PV of Terminal Value</t>
  </si>
  <si>
    <t>Diluted Shares</t>
  </si>
  <si>
    <t>Value per share</t>
  </si>
  <si>
    <t>Price/Earnings Multiple Valuation</t>
  </si>
  <si>
    <t>Perpetuity Growth Method</t>
  </si>
  <si>
    <t>Financial Projections</t>
  </si>
  <si>
    <t>Historical Financial Statements</t>
  </si>
  <si>
    <t>Interest/Total Debt</t>
  </si>
  <si>
    <t>COGS</t>
  </si>
  <si>
    <t>Less Net Debt</t>
  </si>
  <si>
    <t>Dividends</t>
  </si>
  <si>
    <t>Dividend Payment (% of NI)</t>
  </si>
  <si>
    <t>Change in Cash</t>
  </si>
  <si>
    <t>Beginning Cash</t>
  </si>
  <si>
    <t>Net Cash Available at EOY</t>
  </si>
  <si>
    <t>Revolver</t>
  </si>
  <si>
    <t>Interest income/Beginning Cash</t>
  </si>
  <si>
    <t>Cash dividends paid to equity holders</t>
  </si>
  <si>
    <t>Change in cash</t>
  </si>
  <si>
    <t>Discounted cash dividends to equity holders</t>
  </si>
  <si>
    <t>PV of Cash Dividends to equity holders</t>
  </si>
  <si>
    <t xml:space="preserve">Inventories </t>
  </si>
  <si>
    <t xml:space="preserve">Receivables </t>
  </si>
  <si>
    <t xml:space="preserve">Primary </t>
  </si>
  <si>
    <t xml:space="preserve">Fully Diluted </t>
  </si>
  <si>
    <t>Gross Margin</t>
    <phoneticPr fontId="10" type="noConversion"/>
  </si>
  <si>
    <t>EBITDA Multiple Valuation</t>
    <phoneticPr fontId="10" type="noConversion"/>
  </si>
  <si>
    <t>Free Cash Flow (FCF) Calculation</t>
  </si>
  <si>
    <t>Less: Accumulated other comprehensive loss</t>
  </si>
  <si>
    <t xml:space="preserve">Non Controlling Interest </t>
  </si>
  <si>
    <t>($ in million)</t>
  </si>
  <si>
    <t>Other operating charges</t>
  </si>
  <si>
    <t>Current Assets - Other: Marketable securities</t>
  </si>
  <si>
    <t>Liabilities - Other</t>
  </si>
  <si>
    <t>Assume Growth rate of FCF now equals average us gdp growth rate in the past 5 years, which is (2.33+3+2.2-3.5+5.7)/5 = 1.94%</t>
  </si>
  <si>
    <t>AAPL</t>
  </si>
  <si>
    <t>Debt Due In One Year</t>
  </si>
  <si>
    <t>There are no intangible asset for Apple since 2017.</t>
  </si>
  <si>
    <t>Current Assets - Other: Marketable securities include Other current assets and marketable securities.</t>
  </si>
  <si>
    <t>Receivables includes Accounts receivable, net and Vendor non-trade receivables.</t>
  </si>
  <si>
    <t>Other Current Liabilities include deferred revenue and other current liabilities.</t>
  </si>
  <si>
    <t>Debt Due In One Year includes commercial paper.</t>
  </si>
  <si>
    <t>The template does not completely suit Apple, undisclosed items from its financial stmt are assumed 0.</t>
  </si>
  <si>
    <t>Less: Treasury stock</t>
  </si>
  <si>
    <t>Common Stock: Common stock and additional paid-in capital, $0.00001 par value: 50,400,000 shares authorized; 16,426,786 and 16,976,763 shares issued and outstanding, respectively</t>
  </si>
  <si>
    <t>Sales include sales of product and service</t>
  </si>
  <si>
    <t>Other operating charges include R&amp;D</t>
  </si>
  <si>
    <t>Available for Common  (and preferred)</t>
  </si>
  <si>
    <t>https://s2.q4cdn.com/470004039/files/doc_financials/2021/q4/_10-K-2021-(As-Filed).pdf</t>
  </si>
  <si>
    <t>10-k links:</t>
  </si>
  <si>
    <t>https://d18rn0p25nwr6d.cloudfront.net/CIK-0000320193/7b5717ca-6222-48e6-801c-9ea28feeef86.pdf</t>
  </si>
  <si>
    <t>Cost of Goods Sold (exclude depreciation and amor.)</t>
  </si>
  <si>
    <t>The prepaid expense is unavailable anywhere from Apple’s 10-k. Thus assumed to 0.</t>
  </si>
  <si>
    <t>Apple stopped to disclose intangible assets since 2018, so the intangible amounts and growth are estimated.</t>
  </si>
  <si>
    <t>Deferred charges are not disclosed by Apple, so assumed to 0.</t>
  </si>
  <si>
    <t>https://www.macroaxis.com/invest/financial-statements/AAPL/Goodwill-and-Intangible-Assets</t>
  </si>
  <si>
    <t>https://www.investopedia.com/articles/markets-economy/091816/aapl-apple-dividend-analysis.asp#:~:text=Dividend%20Yield,-While%20dividend%20payout&amp;text=Apple's%20annual%20dividend%20in%202021,dividend%20yield%20is%20approximately%200.50%25.</t>
  </si>
  <si>
    <t>(In millions)</t>
  </si>
  <si>
    <t>According to GuruFocus, beta is 1.28, premium is 6%, risk free rate is 2.704%, Cost of Cost of Equity = 2.704% + 1.28 * 6% = 10.384%</t>
  </si>
  <si>
    <t>https://www.gurufocus.com/term/wacc/AAPL/</t>
  </si>
  <si>
    <t>The EBITDA for 2021 is 120.2B, the EV (EV=Market Cap + Total Debt - Cash Equivalent)=2342+ 287.912-34.94=2594B by the end of 2021. So exit multiple = 2594 /120.2 is around 21.58</t>
  </si>
  <si>
    <t>Assumptions:</t>
  </si>
  <si>
    <t>The effective tax rate is assumed to be the average of 2021 and 2020, 2019, 2018 tax rate</t>
  </si>
  <si>
    <t>Apple's dividends paid $14.1 billion for 2020 and $14.4 billion for 2021. The net income for 2020 was $57.4 billion, so dividend payout ratio at 25% for 2020.5 In 2021, the NI is 94.7, so the payout ratio was 15.2%. That ratio for 2018, 2019 is 23% and 26%. So the average is 22.3%.</t>
  </si>
  <si>
    <t>https://www.sec.gov/Archives/edgar/data/320193/000032019319000119/a10-k20199282019.htm</t>
  </si>
  <si>
    <t xml:space="preserve">The current stock price for Apple is below 180, it is believed that the price is below EBITDA Multiple Valuation and PE Multiple Valuation, and thus is a BUY based on valuation. </t>
  </si>
  <si>
    <t>The net income for 2021 is 94.680B, the market cap by the Oct of 2021 
is 2342B, 2021 PE is 2342/94.680=24.73
2020 NI is 57.411B, MC is 1980B, 2020 PE is 1980/57.411=34
Simiarly, at the same period, PE for 2019 is around 22, for 2018 is around 22.
so avg PE from 2018 to 2021 is 25.68</t>
  </si>
  <si>
    <t>Conclusion:</t>
  </si>
  <si>
    <t>Year</t>
  </si>
  <si>
    <t>Growth</t>
  </si>
  <si>
    <t>AAPL NI</t>
  </si>
  <si>
    <t>GOOG NI</t>
  </si>
  <si>
    <t>SONY NI</t>
  </si>
  <si>
    <t>NA</t>
  </si>
  <si>
    <t>Lenovo</t>
  </si>
  <si>
    <t>Sony</t>
  </si>
  <si>
    <t>Dell</t>
  </si>
  <si>
    <t>Samsung</t>
  </si>
  <si>
    <t>Amazon</t>
  </si>
  <si>
    <t>Alphabet(Google)</t>
  </si>
  <si>
    <t>Microsoft</t>
  </si>
  <si>
    <t>Apple</t>
  </si>
  <si>
    <t>Intrinsic Value</t>
  </si>
  <si>
    <t>Market Price</t>
  </si>
  <si>
    <t>10-yr Average annual Total Return</t>
  </si>
  <si>
    <t>3-yr Average Revenue growth</t>
  </si>
  <si>
    <t>Economic Profit</t>
  </si>
  <si>
    <t>WACC</t>
  </si>
  <si>
    <t>ROIC</t>
  </si>
  <si>
    <t>Company</t>
  </si>
  <si>
    <t>2022-04</t>
  </si>
  <si>
    <t>2021-9</t>
  </si>
  <si>
    <t>2020-9</t>
  </si>
  <si>
    <t>2019-9</t>
  </si>
  <si>
    <t>2018-9</t>
  </si>
  <si>
    <t>2017-9</t>
  </si>
  <si>
    <t>-</t>
  </si>
  <si>
    <t>APPLE</t>
  </si>
  <si>
    <t>wacc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</si>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</sst>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3" formatCode="_(* #,##0.00_);_(* \(#,##0.00\);_(* &quot;-&quot;??_);_(@_)"/>
    <numFmt numFmtId="164" formatCode="0.0"/>
    <numFmt numFmtId="165" formatCode="0.000"/>
    <numFmt numFmtId="166" formatCode="#,##0.0_);[Red]\(#,##0.0\)"/>
    <numFmt numFmtId="167" formatCode="0.0_);[Red]\(0.0\)"/>
    <numFmt numFmtId="168" formatCode="0.0000"/>
    <numFmt numFmtId="169" formatCode="_(* #,##0.0_);_(* \(#,##0.0\);_(* &quot;-&quot;??_);_(@_)"/>
    <numFmt numFmtId="170" formatCode="m/d/yy;@"/>
    <numFmt numFmtId="171" formatCode="0.0%"/>
    <numFmt numFmtId="172" formatCode="0.0\x"/>
    <numFmt numFmtId="173" formatCode="#,##0.0_);\(#,##0.0\)"/>
  </numFmts>
  <fonts count="53" x14ac:knownFonts="1">
    <font>
      <sz val="8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i/>
      <sz val="10"/>
      <color indexed="17"/>
      <name val="Arial"/>
      <family val="2"/>
    </font>
    <font>
      <i/>
      <sz val="10"/>
      <color indexed="12"/>
      <name val="Arial"/>
      <family val="2"/>
    </font>
    <font>
      <sz val="10"/>
      <color indexed="12"/>
      <name val="Arial"/>
      <family val="2"/>
    </font>
    <font>
      <i/>
      <u/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sz val="9"/>
      <color indexed="12"/>
      <name val="Arial"/>
      <family val="2"/>
    </font>
    <font>
      <sz val="10"/>
      <color indexed="30"/>
      <name val="Arial"/>
      <family val="2"/>
    </font>
    <font>
      <b/>
      <sz val="9"/>
      <color indexed="12"/>
      <name val="Arial"/>
      <family val="2"/>
    </font>
    <font>
      <b/>
      <sz val="9"/>
      <color indexed="8"/>
      <name val="Arial"/>
      <family val="2"/>
    </font>
    <font>
      <sz val="8"/>
      <color theme="1"/>
      <name val="Calibri"/>
      <family val="2"/>
      <scheme val="minor"/>
    </font>
    <font>
      <u/>
      <sz val="9.1999999999999993"/>
      <color theme="10"/>
      <name val="Calibri"/>
      <family val="2"/>
    </font>
    <font>
      <b/>
      <sz val="10"/>
      <color theme="4"/>
      <name val="Arial"/>
      <family val="2"/>
    </font>
    <font>
      <b/>
      <sz val="9"/>
      <color theme="4"/>
      <name val="Arial"/>
      <family val="2"/>
    </font>
    <font>
      <sz val="10"/>
      <color rgb="FFFF0000"/>
      <name val="Arial"/>
      <family val="2"/>
    </font>
    <font>
      <sz val="10"/>
      <color rgb="FF000000"/>
      <name val="Helvetica Neue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8"/>
      <color theme="10"/>
      <name val="Calibri"/>
      <family val="2"/>
      <scheme val="minor"/>
    </font>
    <font>
      <sz val="12"/>
      <color rgb="FFFFFFFF"/>
      <name val="Helvetica"/>
      <family val="2"/>
    </font>
    <font>
      <u/>
      <sz val="10"/>
      <color theme="10"/>
      <name val="Arial"/>
      <family val="2"/>
    </font>
    <font>
      <sz val="10"/>
      <color theme="1"/>
      <name val="Helvetica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6"/>
      <color rgb="FF1E1E1E"/>
      <name val="Helvetica Neue"/>
      <family val="2"/>
    </font>
    <font>
      <sz val="14"/>
      <color theme="1"/>
      <name val="Calibri"/>
      <family val="2"/>
    </font>
    <font>
      <sz val="12"/>
      <color rgb="FF202124"/>
      <name val="Arial"/>
      <family val="2"/>
    </font>
    <font>
      <sz val="12"/>
      <color rgb="FF222222"/>
      <name val="Arial"/>
      <family val="2"/>
    </font>
    <font>
      <sz val="14"/>
      <color rgb="FF000000"/>
      <name val="Calibri"/>
      <family val="2"/>
    </font>
    <font>
      <b/>
      <sz val="12"/>
      <color rgb="FF333333"/>
      <name val="Arial"/>
      <family val="2"/>
    </font>
    <font>
      <b/>
      <sz val="13"/>
      <color rgb="FFFFFFFF"/>
      <name val="Calibri"/>
      <family val="2"/>
    </font>
    <font>
      <b/>
      <sz val="13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15">
    <xf numFmtId="0" fontId="0" fillId="0" borderId="0"/>
    <xf numFmtId="43" fontId="9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9" fillId="0" borderId="0"/>
    <xf numFmtId="0" fontId="7" fillId="0" borderId="0"/>
    <xf numFmtId="0" fontId="6" fillId="0" borderId="0"/>
    <xf numFmtId="0" fontId="3" fillId="0" borderId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4" applyFont="1" applyFill="1" applyBorder="1"/>
    <xf numFmtId="17" fontId="3" fillId="0" borderId="0" xfId="4" applyNumberFormat="1" applyFont="1" applyFill="1" applyBorder="1" applyAlignment="1">
      <alignment wrapText="1"/>
    </xf>
    <xf numFmtId="17" fontId="4" fillId="0" borderId="0" xfId="4" applyNumberFormat="1" applyFont="1" applyFill="1" applyAlignment="1">
      <alignment horizontal="center" wrapText="1"/>
    </xf>
    <xf numFmtId="17" fontId="3" fillId="0" borderId="0" xfId="4" applyNumberFormat="1" applyFont="1" applyFill="1" applyBorder="1" applyAlignment="1">
      <alignment horizontal="center" wrapText="1"/>
    </xf>
    <xf numFmtId="167" fontId="3" fillId="0" borderId="0" xfId="4" applyNumberFormat="1" applyFont="1" applyFill="1" applyBorder="1"/>
    <xf numFmtId="167" fontId="4" fillId="0" borderId="0" xfId="4" applyNumberFormat="1" applyFont="1" applyFill="1" applyAlignment="1">
      <alignment wrapText="1"/>
    </xf>
    <xf numFmtId="166" fontId="3" fillId="0" borderId="0" xfId="4" applyNumberFormat="1" applyFont="1" applyFill="1" applyBorder="1"/>
    <xf numFmtId="166" fontId="3" fillId="0" borderId="0" xfId="4" applyNumberFormat="1" applyFont="1" applyFill="1" applyAlignment="1">
      <alignment wrapText="1"/>
    </xf>
    <xf numFmtId="164" fontId="3" fillId="0" borderId="0" xfId="4" applyNumberFormat="1" applyFont="1" applyFill="1" applyBorder="1" applyAlignment="1">
      <alignment horizontal="right" wrapText="1"/>
    </xf>
    <xf numFmtId="166" fontId="4" fillId="0" borderId="1" xfId="4" applyNumberFormat="1" applyFont="1" applyFill="1" applyBorder="1" applyAlignment="1">
      <alignment wrapText="1"/>
    </xf>
    <xf numFmtId="166" fontId="3" fillId="0" borderId="3" xfId="4" applyNumberFormat="1" applyFont="1" applyFill="1" applyBorder="1" applyAlignment="1">
      <alignment wrapText="1"/>
    </xf>
    <xf numFmtId="169" fontId="3" fillId="0" borderId="3" xfId="1" applyNumberFormat="1" applyFont="1" applyFill="1" applyBorder="1"/>
    <xf numFmtId="166" fontId="4" fillId="0" borderId="3" xfId="4" applyNumberFormat="1" applyFont="1" applyFill="1" applyBorder="1" applyAlignment="1">
      <alignment wrapText="1"/>
    </xf>
    <xf numFmtId="166" fontId="4" fillId="0" borderId="0" xfId="4" applyNumberFormat="1" applyFont="1" applyFill="1" applyAlignment="1">
      <alignment wrapText="1"/>
    </xf>
    <xf numFmtId="169" fontId="11" fillId="0" borderId="0" xfId="1" applyNumberFormat="1" applyFont="1" applyFill="1" applyBorder="1"/>
    <xf numFmtId="164" fontId="3" fillId="0" borderId="0" xfId="4" applyNumberFormat="1" applyFont="1" applyFill="1" applyBorder="1"/>
    <xf numFmtId="166" fontId="4" fillId="0" borderId="2" xfId="4" applyNumberFormat="1" applyFont="1" applyFill="1" applyBorder="1" applyAlignment="1">
      <alignment wrapText="1"/>
    </xf>
    <xf numFmtId="166" fontId="4" fillId="0" borderId="0" xfId="4" applyNumberFormat="1" applyFont="1" applyFill="1" applyBorder="1"/>
    <xf numFmtId="40" fontId="3" fillId="0" borderId="0" xfId="4" applyNumberFormat="1" applyFont="1" applyFill="1" applyAlignment="1">
      <alignment wrapText="1"/>
    </xf>
    <xf numFmtId="2" fontId="3" fillId="0" borderId="0" xfId="4" applyNumberFormat="1" applyFont="1" applyFill="1" applyBorder="1" applyAlignment="1">
      <alignment horizontal="right" wrapText="1"/>
    </xf>
    <xf numFmtId="40" fontId="3" fillId="0" borderId="0" xfId="4" applyNumberFormat="1" applyFont="1" applyFill="1" applyBorder="1"/>
    <xf numFmtId="166" fontId="3" fillId="0" borderId="0" xfId="4" applyNumberFormat="1" applyFont="1" applyFill="1" applyAlignment="1">
      <alignment horizontal="right" wrapText="1"/>
    </xf>
    <xf numFmtId="166" fontId="3" fillId="0" borderId="0" xfId="4" applyNumberFormat="1" applyFont="1" applyFill="1" applyBorder="1" applyAlignment="1">
      <alignment horizontal="right" wrapText="1"/>
    </xf>
    <xf numFmtId="164" fontId="3" fillId="0" borderId="0" xfId="4" applyNumberFormat="1" applyFont="1" applyFill="1"/>
    <xf numFmtId="169" fontId="3" fillId="0" borderId="0" xfId="1" applyNumberFormat="1" applyFont="1" applyFill="1" applyBorder="1"/>
    <xf numFmtId="0" fontId="4" fillId="0" borderId="0" xfId="8" applyFont="1" applyFill="1"/>
    <xf numFmtId="0" fontId="3" fillId="0" borderId="0" xfId="8" applyFont="1" applyFill="1" applyBorder="1"/>
    <xf numFmtId="10" fontId="3" fillId="0" borderId="0" xfId="8" applyNumberFormat="1" applyFont="1" applyFill="1" applyBorder="1"/>
    <xf numFmtId="0" fontId="3" fillId="0" borderId="0" xfId="8" applyFont="1" applyFill="1"/>
    <xf numFmtId="165" fontId="3" fillId="0" borderId="0" xfId="8" applyNumberFormat="1" applyFont="1" applyFill="1" applyBorder="1"/>
    <xf numFmtId="1" fontId="3" fillId="0" borderId="0" xfId="8" applyNumberFormat="1" applyFont="1" applyFill="1" applyBorder="1"/>
    <xf numFmtId="170" fontId="4" fillId="0" borderId="4" xfId="8" applyNumberFormat="1" applyFont="1" applyFill="1" applyBorder="1" applyAlignment="1">
      <alignment horizontal="center"/>
    </xf>
    <xf numFmtId="10" fontId="14" fillId="0" borderId="0" xfId="8" applyNumberFormat="1" applyFont="1" applyFill="1" applyBorder="1"/>
    <xf numFmtId="10" fontId="5" fillId="0" borderId="0" xfId="8" applyNumberFormat="1" applyFont="1" applyFill="1" applyBorder="1"/>
    <xf numFmtId="10" fontId="13" fillId="0" borderId="0" xfId="8" applyNumberFormat="1" applyFont="1" applyFill="1" applyBorder="1"/>
    <xf numFmtId="165" fontId="11" fillId="0" borderId="0" xfId="8" applyNumberFormat="1" applyFont="1" applyFill="1" applyBorder="1"/>
    <xf numFmtId="165" fontId="15" fillId="0" borderId="0" xfId="8" applyNumberFormat="1" applyFont="1" applyFill="1" applyBorder="1"/>
    <xf numFmtId="1" fontId="11" fillId="0" borderId="0" xfId="8" applyNumberFormat="1" applyFont="1" applyFill="1" applyBorder="1"/>
    <xf numFmtId="1" fontId="15" fillId="0" borderId="0" xfId="8" applyNumberFormat="1" applyFont="1" applyFill="1" applyBorder="1"/>
    <xf numFmtId="1" fontId="11" fillId="0" borderId="5" xfId="8" applyNumberFormat="1" applyFont="1" applyFill="1" applyBorder="1"/>
    <xf numFmtId="171" fontId="11" fillId="0" borderId="6" xfId="9" applyNumberFormat="1" applyFont="1" applyFill="1" applyBorder="1"/>
    <xf numFmtId="171" fontId="3" fillId="0" borderId="0" xfId="8" applyNumberFormat="1" applyFont="1" applyFill="1" applyBorder="1"/>
    <xf numFmtId="10" fontId="11" fillId="0" borderId="6" xfId="8" applyNumberFormat="1" applyFont="1" applyFill="1" applyBorder="1"/>
    <xf numFmtId="168" fontId="3" fillId="0" borderId="0" xfId="8" applyNumberFormat="1" applyFont="1" applyFill="1" applyBorder="1"/>
    <xf numFmtId="171" fontId="3" fillId="0" borderId="0" xfId="9" applyNumberFormat="1" applyFont="1" applyFill="1" applyBorder="1"/>
    <xf numFmtId="170" fontId="4" fillId="0" borderId="5" xfId="8" applyNumberFormat="1" applyFont="1" applyFill="1" applyBorder="1" applyAlignment="1">
      <alignment horizontal="center"/>
    </xf>
    <xf numFmtId="165" fontId="3" fillId="0" borderId="0" xfId="7" applyNumberFormat="1" applyFont="1" applyFill="1" applyBorder="1"/>
    <xf numFmtId="0" fontId="3" fillId="0" borderId="0" xfId="8" applyFont="1" applyFill="1" applyBorder="1" applyAlignment="1">
      <alignment horizontal="left"/>
    </xf>
    <xf numFmtId="38" fontId="11" fillId="0" borderId="0" xfId="8" applyNumberFormat="1" applyFont="1" applyFill="1" applyBorder="1"/>
    <xf numFmtId="38" fontId="3" fillId="0" borderId="0" xfId="8" applyNumberFormat="1" applyFont="1" applyFill="1"/>
    <xf numFmtId="38" fontId="3" fillId="0" borderId="0" xfId="8" applyNumberFormat="1" applyFont="1" applyFill="1" applyBorder="1"/>
    <xf numFmtId="0" fontId="4" fillId="0" borderId="0" xfId="8" applyFont="1" applyFill="1" applyBorder="1"/>
    <xf numFmtId="0" fontId="3" fillId="0" borderId="0" xfId="8" applyFont="1" applyFill="1" applyBorder="1" applyAlignment="1">
      <alignment horizontal="right"/>
    </xf>
    <xf numFmtId="165" fontId="4" fillId="0" borderId="4" xfId="7" applyNumberFormat="1" applyFont="1" applyFill="1" applyBorder="1" applyAlignment="1">
      <alignment horizontal="centerContinuous"/>
    </xf>
    <xf numFmtId="165" fontId="4" fillId="0" borderId="7" xfId="7" applyNumberFormat="1" applyFont="1" applyFill="1" applyBorder="1" applyAlignment="1">
      <alignment horizontal="center"/>
    </xf>
    <xf numFmtId="0" fontId="3" fillId="0" borderId="6" xfId="8" applyFont="1" applyFill="1" applyBorder="1"/>
    <xf numFmtId="165" fontId="5" fillId="0" borderId="0" xfId="7" applyNumberFormat="1" applyFont="1" applyFill="1" applyBorder="1" applyAlignment="1">
      <alignment horizontal="right"/>
    </xf>
    <xf numFmtId="0" fontId="3" fillId="0" borderId="0" xfId="8" applyFont="1" applyFill="1" applyAlignment="1">
      <alignment horizontal="left"/>
    </xf>
    <xf numFmtId="0" fontId="3" fillId="0" borderId="0" xfId="8" applyFont="1" applyFill="1" applyAlignment="1">
      <alignment horizontal="left" indent="1"/>
    </xf>
    <xf numFmtId="0" fontId="3" fillId="0" borderId="0" xfId="8" applyFont="1" applyFill="1" applyBorder="1" applyAlignment="1">
      <alignment horizontal="left" indent="1"/>
    </xf>
    <xf numFmtId="0" fontId="3" fillId="0" borderId="0" xfId="8" applyFont="1" applyFill="1" applyAlignment="1">
      <alignment horizontal="left" indent="2"/>
    </xf>
    <xf numFmtId="0" fontId="16" fillId="0" borderId="0" xfId="8" applyFont="1" applyFill="1"/>
    <xf numFmtId="0" fontId="3" fillId="0" borderId="0" xfId="8" applyFont="1" applyFill="1" applyBorder="1" applyAlignment="1">
      <alignment horizontal="left" indent="2"/>
    </xf>
    <xf numFmtId="168" fontId="3" fillId="0" borderId="0" xfId="8" applyNumberFormat="1" applyFont="1" applyFill="1" applyBorder="1" applyAlignment="1">
      <alignment horizontal="right"/>
    </xf>
    <xf numFmtId="0" fontId="16" fillId="0" borderId="0" xfId="8" applyFont="1" applyFill="1" applyBorder="1"/>
    <xf numFmtId="0" fontId="3" fillId="0" borderId="0" xfId="8" applyFont="1" applyFill="1" applyAlignment="1">
      <alignment horizontal="right"/>
    </xf>
    <xf numFmtId="38" fontId="4" fillId="0" borderId="0" xfId="7" applyNumberFormat="1" applyFont="1" applyFill="1" applyBorder="1"/>
    <xf numFmtId="0" fontId="17" fillId="0" borderId="0" xfId="8" applyFont="1" applyFill="1"/>
    <xf numFmtId="169" fontId="11" fillId="0" borderId="6" xfId="1" applyNumberFormat="1" applyFont="1" applyFill="1" applyBorder="1"/>
    <xf numFmtId="169" fontId="3" fillId="0" borderId="0" xfId="1" applyNumberFormat="1" applyFont="1" applyFill="1"/>
    <xf numFmtId="169" fontId="11" fillId="0" borderId="5" xfId="1" applyNumberFormat="1" applyFont="1" applyFill="1" applyBorder="1"/>
    <xf numFmtId="169" fontId="3" fillId="0" borderId="4" xfId="1" applyNumberFormat="1" applyFont="1" applyFill="1" applyBorder="1"/>
    <xf numFmtId="169" fontId="11" fillId="0" borderId="8" xfId="1" applyNumberFormat="1" applyFont="1" applyFill="1" applyBorder="1"/>
    <xf numFmtId="169" fontId="3" fillId="0" borderId="6" xfId="1" applyNumberFormat="1" applyFont="1" applyFill="1" applyBorder="1"/>
    <xf numFmtId="0" fontId="4" fillId="0" borderId="9" xfId="8" applyFont="1" applyFill="1" applyBorder="1"/>
    <xf numFmtId="0" fontId="3" fillId="0" borderId="9" xfId="8" applyFont="1" applyFill="1" applyBorder="1"/>
    <xf numFmtId="164" fontId="4" fillId="0" borderId="9" xfId="4" applyNumberFormat="1" applyFont="1" applyFill="1" applyBorder="1"/>
    <xf numFmtId="164" fontId="3" fillId="0" borderId="9" xfId="4" applyNumberFormat="1" applyFont="1" applyFill="1" applyBorder="1"/>
    <xf numFmtId="0" fontId="20" fillId="0" borderId="9" xfId="0" applyFont="1" applyBorder="1"/>
    <xf numFmtId="0" fontId="20" fillId="0" borderId="0" xfId="0" applyFont="1"/>
    <xf numFmtId="0" fontId="21" fillId="0" borderId="4" xfId="0" applyFont="1" applyBorder="1" applyAlignment="1">
      <alignment horizontal="centerContinuous"/>
    </xf>
    <xf numFmtId="0" fontId="22" fillId="0" borderId="9" xfId="0" applyFont="1" applyBorder="1"/>
    <xf numFmtId="0" fontId="23" fillId="0" borderId="9" xfId="0" applyFont="1" applyBorder="1"/>
    <xf numFmtId="0" fontId="23" fillId="0" borderId="0" xfId="0" applyFont="1"/>
    <xf numFmtId="0" fontId="22" fillId="0" borderId="0" xfId="0" applyFont="1" applyBorder="1"/>
    <xf numFmtId="0" fontId="23" fillId="0" borderId="0" xfId="0" applyFont="1" applyBorder="1"/>
    <xf numFmtId="0" fontId="23" fillId="0" borderId="4" xfId="0" applyFont="1" applyBorder="1"/>
    <xf numFmtId="0" fontId="22" fillId="0" borderId="0" xfId="0" applyFont="1"/>
    <xf numFmtId="0" fontId="22" fillId="0" borderId="4" xfId="0" applyFont="1" applyBorder="1" applyAlignment="1">
      <alignment horizontal="centerContinuous"/>
    </xf>
    <xf numFmtId="170" fontId="18" fillId="0" borderId="4" xfId="8" applyNumberFormat="1" applyFont="1" applyFill="1" applyBorder="1" applyAlignment="1">
      <alignment horizontal="center"/>
    </xf>
    <xf numFmtId="169" fontId="23" fillId="0" borderId="0" xfId="1" applyNumberFormat="1" applyFont="1"/>
    <xf numFmtId="0" fontId="19" fillId="0" borderId="0" xfId="8" applyFont="1" applyFill="1"/>
    <xf numFmtId="169" fontId="23" fillId="0" borderId="4" xfId="1" applyNumberFormat="1" applyFont="1" applyBorder="1"/>
    <xf numFmtId="0" fontId="23" fillId="0" borderId="0" xfId="0" applyFont="1" applyAlignment="1">
      <alignment horizontal="left" indent="1"/>
    </xf>
    <xf numFmtId="169" fontId="23" fillId="0" borderId="3" xfId="1" applyNumberFormat="1" applyFont="1" applyBorder="1"/>
    <xf numFmtId="0" fontId="24" fillId="0" borderId="0" xfId="0" applyFont="1" applyAlignment="1">
      <alignment horizontal="left" indent="1"/>
    </xf>
    <xf numFmtId="171" fontId="24" fillId="0" borderId="0" xfId="9" applyNumberFormat="1" applyFont="1"/>
    <xf numFmtId="0" fontId="23" fillId="0" borderId="0" xfId="0" applyFont="1" applyAlignment="1">
      <alignment horizontal="left"/>
    </xf>
    <xf numFmtId="169" fontId="19" fillId="0" borderId="0" xfId="1" applyNumberFormat="1" applyFont="1"/>
    <xf numFmtId="0" fontId="22" fillId="0" borderId="4" xfId="0" applyFont="1" applyBorder="1"/>
    <xf numFmtId="171" fontId="19" fillId="0" borderId="0" xfId="9" applyNumberFormat="1" applyFont="1"/>
    <xf numFmtId="169" fontId="23" fillId="0" borderId="0" xfId="0" applyNumberFormat="1" applyFont="1"/>
    <xf numFmtId="0" fontId="23" fillId="0" borderId="10" xfId="0" applyFont="1" applyBorder="1"/>
    <xf numFmtId="0" fontId="23" fillId="0" borderId="2" xfId="0" applyFont="1" applyBorder="1"/>
    <xf numFmtId="0" fontId="21" fillId="0" borderId="7" xfId="0" applyFont="1" applyBorder="1" applyAlignment="1">
      <alignment horizontal="center"/>
    </xf>
    <xf numFmtId="0" fontId="22" fillId="0" borderId="4" xfId="0" applyFont="1" applyFill="1" applyBorder="1"/>
    <xf numFmtId="0" fontId="23" fillId="0" borderId="4" xfId="0" applyFont="1" applyFill="1" applyBorder="1"/>
    <xf numFmtId="0" fontId="19" fillId="0" borderId="0" xfId="6" applyFont="1" applyFill="1" applyBorder="1" applyAlignment="1" applyProtection="1">
      <alignment horizontal="left"/>
    </xf>
    <xf numFmtId="0" fontId="19" fillId="0" borderId="0" xfId="0" applyFont="1" applyFill="1" applyBorder="1"/>
    <xf numFmtId="0" fontId="22" fillId="0" borderId="0" xfId="0" applyFont="1" applyFill="1" applyBorder="1"/>
    <xf numFmtId="0" fontId="23" fillId="0" borderId="0" xfId="0" applyFont="1" applyFill="1" applyBorder="1"/>
    <xf numFmtId="171" fontId="19" fillId="0" borderId="0" xfId="9" applyNumberFormat="1" applyFont="1" applyFill="1" applyBorder="1"/>
    <xf numFmtId="171" fontId="25" fillId="0" borderId="0" xfId="9" applyNumberFormat="1" applyFont="1" applyFill="1" applyBorder="1"/>
    <xf numFmtId="43" fontId="23" fillId="0" borderId="0" xfId="1" applyFont="1" applyFill="1" applyBorder="1"/>
    <xf numFmtId="169" fontId="23" fillId="0" borderId="4" xfId="0" applyNumberFormat="1" applyFont="1" applyBorder="1"/>
    <xf numFmtId="0" fontId="3" fillId="0" borderId="0" xfId="8" applyFont="1" applyFill="1" applyAlignment="1"/>
    <xf numFmtId="171" fontId="20" fillId="0" borderId="0" xfId="9" applyNumberFormat="1" applyFont="1"/>
    <xf numFmtId="165" fontId="3" fillId="0" borderId="0" xfId="7" applyNumberFormat="1" applyFont="1" applyFill="1" applyAlignment="1">
      <alignment horizontal="left" indent="1"/>
    </xf>
    <xf numFmtId="169" fontId="26" fillId="0" borderId="6" xfId="1" applyNumberFormat="1" applyFont="1" applyFill="1" applyBorder="1"/>
    <xf numFmtId="164" fontId="3" fillId="0" borderId="9" xfId="4" applyNumberFormat="1" applyFont="1" applyFill="1" applyBorder="1" applyAlignment="1">
      <alignment horizontal="right"/>
    </xf>
    <xf numFmtId="169" fontId="12" fillId="0" borderId="0" xfId="1" applyNumberFormat="1" applyFont="1" applyFill="1" applyBorder="1"/>
    <xf numFmtId="173" fontId="3" fillId="0" borderId="11" xfId="1" applyNumberFormat="1" applyFont="1" applyFill="1" applyBorder="1"/>
    <xf numFmtId="171" fontId="31" fillId="0" borderId="6" xfId="9" applyNumberFormat="1" applyFont="1" applyFill="1" applyBorder="1"/>
    <xf numFmtId="171" fontId="31" fillId="0" borderId="0" xfId="9" applyNumberFormat="1" applyFont="1" applyFill="1" applyBorder="1"/>
    <xf numFmtId="171" fontId="27" fillId="0" borderId="0" xfId="9" applyNumberFormat="1" applyFont="1"/>
    <xf numFmtId="172" fontId="27" fillId="0" borderId="0" xfId="0" applyNumberFormat="1" applyFont="1"/>
    <xf numFmtId="0" fontId="3" fillId="0" borderId="0" xfId="4" applyFill="1"/>
    <xf numFmtId="0" fontId="32" fillId="0" borderId="0" xfId="0" applyFont="1" applyFill="1" applyBorder="1"/>
    <xf numFmtId="0" fontId="28" fillId="0" borderId="9" xfId="0" applyFont="1" applyBorder="1"/>
    <xf numFmtId="3" fontId="0" fillId="0" borderId="0" xfId="0" applyNumberFormat="1"/>
    <xf numFmtId="0" fontId="33" fillId="0" borderId="0" xfId="4" applyFont="1" applyFill="1" applyBorder="1"/>
    <xf numFmtId="164" fontId="33" fillId="0" borderId="0" xfId="4" applyNumberFormat="1" applyFont="1" applyFill="1" applyBorder="1"/>
    <xf numFmtId="0" fontId="34" fillId="0" borderId="0" xfId="0" applyFont="1"/>
    <xf numFmtId="171" fontId="31" fillId="2" borderId="6" xfId="9" applyNumberFormat="1" applyFont="1" applyFill="1" applyBorder="1"/>
    <xf numFmtId="0" fontId="35" fillId="0" borderId="0" xfId="0" applyFont="1"/>
    <xf numFmtId="0" fontId="36" fillId="0" borderId="0" xfId="0" applyFont="1"/>
    <xf numFmtId="0" fontId="3" fillId="0" borderId="0" xfId="4" applyNumberFormat="1" applyFont="1" applyFill="1" applyBorder="1"/>
    <xf numFmtId="166" fontId="36" fillId="0" borderId="0" xfId="4" applyNumberFormat="1" applyFont="1" applyFill="1" applyBorder="1"/>
    <xf numFmtId="164" fontId="3" fillId="0" borderId="9" xfId="4" applyNumberFormat="1" applyFont="1" applyFill="1" applyBorder="1" applyAlignment="1">
      <alignment horizontal="left"/>
    </xf>
    <xf numFmtId="0" fontId="38" fillId="0" borderId="0" xfId="0" applyFont="1"/>
    <xf numFmtId="0" fontId="36" fillId="0" borderId="0" xfId="4" applyNumberFormat="1" applyFont="1" applyFill="1" applyBorder="1"/>
    <xf numFmtId="166" fontId="39" fillId="0" borderId="0" xfId="10" applyNumberFormat="1" applyFont="1" applyFill="1" applyBorder="1"/>
    <xf numFmtId="0" fontId="36" fillId="0" borderId="0" xfId="0" applyFont="1" applyAlignment="1">
      <alignment wrapText="1"/>
    </xf>
    <xf numFmtId="0" fontId="40" fillId="0" borderId="0" xfId="0" applyFont="1"/>
    <xf numFmtId="170" fontId="41" fillId="0" borderId="4" xfId="4" applyNumberFormat="1" applyFont="1" applyFill="1" applyBorder="1" applyAlignment="1">
      <alignment horizontal="center" wrapText="1"/>
    </xf>
    <xf numFmtId="167" fontId="41" fillId="0" borderId="0" xfId="4" applyNumberFormat="1" applyFont="1" applyFill="1" applyAlignment="1">
      <alignment wrapText="1"/>
    </xf>
    <xf numFmtId="167" fontId="42" fillId="0" borderId="0" xfId="4" applyNumberFormat="1" applyFont="1" applyFill="1" applyBorder="1"/>
    <xf numFmtId="167" fontId="42" fillId="0" borderId="0" xfId="4" applyNumberFormat="1" applyFont="1" applyFill="1"/>
    <xf numFmtId="166" fontId="42" fillId="0" borderId="0" xfId="4" applyNumberFormat="1" applyFont="1" applyFill="1" applyAlignment="1">
      <alignment wrapText="1"/>
    </xf>
    <xf numFmtId="166" fontId="42" fillId="0" borderId="0" xfId="4" applyNumberFormat="1" applyFont="1" applyFill="1" applyBorder="1"/>
    <xf numFmtId="169" fontId="42" fillId="0" borderId="0" xfId="1" applyNumberFormat="1" applyFont="1" applyFill="1" applyBorder="1"/>
    <xf numFmtId="169" fontId="41" fillId="0" borderId="0" xfId="1" applyNumberFormat="1" applyFont="1" applyFill="1" applyBorder="1"/>
    <xf numFmtId="169" fontId="42" fillId="0" borderId="2" xfId="1" applyNumberFormat="1" applyFont="1" applyFill="1" applyBorder="1" applyAlignment="1">
      <alignment horizontal="right" wrapText="1"/>
    </xf>
    <xf numFmtId="169" fontId="42" fillId="0" borderId="3" xfId="1" applyNumberFormat="1" applyFont="1" applyFill="1" applyBorder="1"/>
    <xf numFmtId="169" fontId="42" fillId="0" borderId="2" xfId="1" applyNumberFormat="1" applyFont="1" applyFill="1" applyBorder="1"/>
    <xf numFmtId="164" fontId="42" fillId="0" borderId="0" xfId="4" applyNumberFormat="1" applyFont="1" applyFill="1" applyBorder="1"/>
    <xf numFmtId="169" fontId="41" fillId="0" borderId="3" xfId="1" applyNumberFormat="1" applyFont="1" applyFill="1" applyBorder="1"/>
    <xf numFmtId="169" fontId="42" fillId="0" borderId="3" xfId="1" applyNumberFormat="1" applyFont="1" applyFill="1" applyBorder="1" applyAlignment="1">
      <alignment horizontal="right" wrapText="1"/>
    </xf>
    <xf numFmtId="43" fontId="42" fillId="0" borderId="0" xfId="1" applyFont="1" applyFill="1" applyBorder="1"/>
    <xf numFmtId="0" fontId="4" fillId="0" borderId="0" xfId="4" applyFont="1" applyFill="1" applyBorder="1"/>
    <xf numFmtId="43" fontId="43" fillId="3" borderId="12" xfId="0" applyNumberFormat="1" applyFont="1" applyFill="1" applyBorder="1"/>
    <xf numFmtId="43" fontId="43" fillId="0" borderId="12" xfId="1" applyFont="1" applyBorder="1"/>
    <xf numFmtId="0" fontId="44" fillId="0" borderId="13" xfId="11" applyFont="1" applyBorder="1"/>
    <xf numFmtId="0" fontId="44" fillId="0" borderId="0" xfId="11" applyFont="1"/>
    <xf numFmtId="6" fontId="44" fillId="0" borderId="13" xfId="11" applyNumberFormat="1" applyFont="1" applyBorder="1"/>
    <xf numFmtId="9" fontId="44" fillId="0" borderId="13" xfId="12" applyFont="1" applyBorder="1"/>
    <xf numFmtId="0" fontId="1" fillId="0" borderId="0" xfId="13"/>
    <xf numFmtId="0" fontId="45" fillId="0" borderId="0" xfId="13" applyFont="1"/>
    <xf numFmtId="10" fontId="1" fillId="0" borderId="0" xfId="13" applyNumberFormat="1"/>
    <xf numFmtId="0" fontId="46" fillId="0" borderId="0" xfId="13" applyFont="1"/>
    <xf numFmtId="2" fontId="47" fillId="0" borderId="0" xfId="13" applyNumberFormat="1" applyFont="1"/>
    <xf numFmtId="0" fontId="47" fillId="0" borderId="0" xfId="13" applyFont="1"/>
    <xf numFmtId="9" fontId="1" fillId="0" borderId="0" xfId="13" applyNumberFormat="1"/>
    <xf numFmtId="10" fontId="48" fillId="0" borderId="0" xfId="13" applyNumberFormat="1" applyFont="1"/>
    <xf numFmtId="3" fontId="47" fillId="0" borderId="0" xfId="13" applyNumberFormat="1" applyFont="1"/>
    <xf numFmtId="10" fontId="1" fillId="0" borderId="0" xfId="13" applyNumberFormat="1" applyAlignment="1">
      <alignment horizontal="right"/>
    </xf>
    <xf numFmtId="4" fontId="47" fillId="0" borderId="0" xfId="13" applyNumberFormat="1" applyFont="1"/>
    <xf numFmtId="0" fontId="49" fillId="0" borderId="0" xfId="13" applyFont="1"/>
    <xf numFmtId="10" fontId="50" fillId="0" borderId="0" xfId="13" applyNumberFormat="1" applyFont="1"/>
    <xf numFmtId="0" fontId="51" fillId="4" borderId="14" xfId="13" applyFont="1" applyFill="1" applyBorder="1" applyAlignment="1">
      <alignment horizontal="left" vertical="center" wrapText="1" readingOrder="1"/>
    </xf>
    <xf numFmtId="0" fontId="1" fillId="0" borderId="0" xfId="13" applyAlignment="1">
      <alignment horizontal="right"/>
    </xf>
    <xf numFmtId="10" fontId="0" fillId="0" borderId="0" xfId="14" applyNumberFormat="1" applyFont="1"/>
    <xf numFmtId="0" fontId="52" fillId="0" borderId="14" xfId="13" applyFont="1" applyBorder="1" applyAlignment="1">
      <alignment horizontal="left" vertical="center" wrapText="1" readingOrder="1"/>
    </xf>
    <xf numFmtId="0" fontId="51" fillId="4" borderId="0" xfId="13" applyFont="1" applyFill="1" applyAlignment="1">
      <alignment horizontal="left" vertical="center" wrapText="1" readingOrder="1"/>
    </xf>
    <xf numFmtId="0" fontId="23" fillId="0" borderId="0" xfId="0" applyFont="1" applyFill="1" applyBorder="1" applyAlignment="1">
      <alignment horizontal="center" wrapText="1"/>
    </xf>
    <xf numFmtId="0" fontId="23" fillId="0" borderId="0" xfId="0" applyFont="1" applyFill="1" applyBorder="1" applyAlignment="1">
      <alignment horizontal="center"/>
    </xf>
  </cellXfs>
  <cellStyles count="15">
    <cellStyle name="Comma" xfId="1" builtinId="3"/>
    <cellStyle name="Hyperlink" xfId="10" builtinId="8"/>
    <cellStyle name="Hyperlink 2" xfId="2" xr:uid="{00000000-0005-0000-0000-000001000000}"/>
    <cellStyle name="Hyperlink 2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11" xr:uid="{FB6E8658-148D-FB41-B7FC-5DECC9265CA2}"/>
    <cellStyle name="Normal 4" xfId="13" xr:uid="{E713094D-1E6F-CB4E-96A7-F99639CD70DD}"/>
    <cellStyle name="Normal_ADCF" xfId="6" xr:uid="{00000000-0005-0000-0000-000006000000}"/>
    <cellStyle name="Normal_BBY2002FinalSpr" xfId="7" xr:uid="{00000000-0005-0000-0000-000007000000}"/>
    <cellStyle name="Normal_BBYProforma" xfId="8" xr:uid="{00000000-0005-0000-0000-000008000000}"/>
    <cellStyle name="Percent" xfId="9" builtinId="5"/>
    <cellStyle name="Percent 2" xfId="12" xr:uid="{82CC5B98-E077-9444-AFFB-D612AECFDE57}"/>
    <cellStyle name="Percent 3" xfId="14" xr:uid="{00C26612-648B-D44B-B475-0232B71BA43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NI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'NI analysis'!$D$2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'NI analysis'!$C$3:$C$15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'NI analysis'!$D$3:$D$15</c:f>
              <c:numCache>
                <c:formatCode>"$"#,##0_);[Red]\("$"#,##0\)</c:formatCode>
                <c:ptCount val="13"/>
                <c:pt idx="0">
                  <c:v>8235</c:v>
                </c:pt>
                <c:pt idx="1">
                  <c:v>14013</c:v>
                </c:pt>
                <c:pt idx="2">
                  <c:v>25922</c:v>
                </c:pt>
                <c:pt idx="3">
                  <c:v>41733</c:v>
                </c:pt>
                <c:pt idx="4">
                  <c:v>37037</c:v>
                </c:pt>
                <c:pt idx="5">
                  <c:v>39510</c:v>
                </c:pt>
                <c:pt idx="6">
                  <c:v>53394</c:v>
                </c:pt>
                <c:pt idx="7">
                  <c:v>45687</c:v>
                </c:pt>
                <c:pt idx="8">
                  <c:v>48351</c:v>
                </c:pt>
                <c:pt idx="9">
                  <c:v>59531</c:v>
                </c:pt>
                <c:pt idx="10">
                  <c:v>55256</c:v>
                </c:pt>
                <c:pt idx="11">
                  <c:v>57411</c:v>
                </c:pt>
                <c:pt idx="12">
                  <c:v>94680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C-FC4E-B5CB-F828D423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NI Growth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'NI analysis'!$E$2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'NI analysis'!$C$4:$C$15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'NI analysis'!$E$4:$E$15</c:f>
              <c:numCache>
                <c:formatCode>0%</c:formatCode>
                <c:ptCount val="12"/>
                <c:pt idx="0">
                  <c:v>0.70163934426229513</c:v>
                </c:pt>
                <c:pt idx="1">
                  <c:v>0.84985370727181897</c:v>
                </c:pt>
                <c:pt idx="2">
                  <c:v>0.60994522027621323</c:v>
                </c:pt>
                <c:pt idx="3">
                  <c:v>-0.11252486042220784</c:v>
                </c:pt>
                <c:pt idx="4">
                  <c:v>6.677106677106677E-2</c:v>
                </c:pt>
                <c:pt idx="5">
                  <c:v>0.35140470766894455</c:v>
                </c:pt>
                <c:pt idx="6">
                  <c:v>-0.14434206090571974</c:v>
                </c:pt>
                <c:pt idx="7">
                  <c:v>5.8309803664061986E-2</c:v>
                </c:pt>
                <c:pt idx="8">
                  <c:v>0.23122582780087278</c:v>
                </c:pt>
                <c:pt idx="9">
                  <c:v>-7.1811325191916811E-2</c:v>
                </c:pt>
                <c:pt idx="10">
                  <c:v>3.9000289561314606E-2</c:v>
                </c:pt>
                <c:pt idx="11">
                  <c:v>0.64916131055024295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8-B641-BFE3-892B6A2A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 NI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 analysis'!$N$2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'NI analysis'!$M$3:$M$15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'NI analysis'!$N$3:$N$15</c:f>
              <c:numCache>
                <c:formatCode>"$"#,##0_);[Red]\("$"#,##0\)</c:formatCode>
                <c:ptCount val="13"/>
                <c:pt idx="0">
                  <c:v>6520</c:v>
                </c:pt>
                <c:pt idx="1">
                  <c:v>8505</c:v>
                </c:pt>
                <c:pt idx="2">
                  <c:v>9737</c:v>
                </c:pt>
                <c:pt idx="3">
                  <c:v>10737</c:v>
                </c:pt>
                <c:pt idx="4">
                  <c:v>12733</c:v>
                </c:pt>
                <c:pt idx="5">
                  <c:v>14136</c:v>
                </c:pt>
                <c:pt idx="6">
                  <c:v>15826</c:v>
                </c:pt>
                <c:pt idx="7">
                  <c:v>19478</c:v>
                </c:pt>
                <c:pt idx="8">
                  <c:v>12662</c:v>
                </c:pt>
                <c:pt idx="9">
                  <c:v>30736</c:v>
                </c:pt>
                <c:pt idx="10">
                  <c:v>34343</c:v>
                </c:pt>
                <c:pt idx="11">
                  <c:v>40269</c:v>
                </c:pt>
                <c:pt idx="12">
                  <c:v>76033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C-2F46-A670-C54BA2C3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 NI Growth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'NI analysis'!$O$2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'NI analysis'!$M$3:$M$15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'NI analysis'!$O$4:$O$15</c:f>
              <c:numCache>
                <c:formatCode>0%</c:formatCode>
                <c:ptCount val="12"/>
                <c:pt idx="0">
                  <c:v>0.30444785276073622</c:v>
                </c:pt>
                <c:pt idx="1">
                  <c:v>0.14485596707818929</c:v>
                </c:pt>
                <c:pt idx="2">
                  <c:v>0.10270103728047653</c:v>
                </c:pt>
                <c:pt idx="3">
                  <c:v>0.18589922697215236</c:v>
                </c:pt>
                <c:pt idx="4">
                  <c:v>0.11018613052697715</c:v>
                </c:pt>
                <c:pt idx="5">
                  <c:v>0.11955291454442558</c:v>
                </c:pt>
                <c:pt idx="6">
                  <c:v>0.23075950966763553</c:v>
                </c:pt>
                <c:pt idx="7">
                  <c:v>-0.34993325803470582</c:v>
                </c:pt>
                <c:pt idx="8">
                  <c:v>1.4274206286526616</c:v>
                </c:pt>
                <c:pt idx="9">
                  <c:v>0.11735424258198855</c:v>
                </c:pt>
                <c:pt idx="10">
                  <c:v>0.17255335876306671</c:v>
                </c:pt>
                <c:pt idx="11">
                  <c:v>0.88812734361419454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C-3543-9A1E-5F5CBEE2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SONY NI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'NI analysis'!$X$2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'NI analysis'!$W$3:$W$15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'NI analysis'!$X$3:$X$15</c:f>
              <c:numCache>
                <c:formatCode>"$"#,##0_);[Red]\("$"#,##0\)</c:formatCode>
                <c:ptCount val="13"/>
                <c:pt idx="0">
                  <c:v>-989</c:v>
                </c:pt>
                <c:pt idx="1">
                  <c:v>140</c:v>
                </c:pt>
                <c:pt idx="2">
                  <c:v>-2578</c:v>
                </c:pt>
                <c:pt idx="3">
                  <c:v>-5060</c:v>
                </c:pt>
                <c:pt idx="4">
                  <c:v>1108</c:v>
                </c:pt>
                <c:pt idx="5">
                  <c:v>-1284</c:v>
                </c:pt>
                <c:pt idx="6">
                  <c:v>-1146</c:v>
                </c:pt>
                <c:pt idx="7">
                  <c:v>1227</c:v>
                </c:pt>
                <c:pt idx="8">
                  <c:v>682</c:v>
                </c:pt>
                <c:pt idx="9">
                  <c:v>4417</c:v>
                </c:pt>
                <c:pt idx="10">
                  <c:v>8246</c:v>
                </c:pt>
                <c:pt idx="11">
                  <c:v>5356</c:v>
                </c:pt>
                <c:pt idx="12">
                  <c:v>11015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F-054B-8377-F3FD31E5E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SONY NI Growth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'NI analysis'!$Y$2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'NI analysis'!$W$4:$W$15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'NI analysis'!$Y$4:$Y$15</c:f>
              <c:numCache>
                <c:formatCode>0%</c:formatCode>
                <c:ptCount val="12"/>
                <c:pt idx="0">
                  <c:v>-1.1415571284125379</c:v>
                </c:pt>
                <c:pt idx="1">
                  <c:v>-19.414285714285715</c:v>
                </c:pt>
                <c:pt idx="2">
                  <c:v>0.96276183087664857</c:v>
                </c:pt>
                <c:pt idx="3">
                  <c:v>-1.2189723320158103</c:v>
                </c:pt>
                <c:pt idx="4">
                  <c:v>-2.1588447653429603</c:v>
                </c:pt>
                <c:pt idx="5">
                  <c:v>-0.10747663551401869</c:v>
                </c:pt>
                <c:pt idx="6">
                  <c:v>-2.0706806282722514</c:v>
                </c:pt>
                <c:pt idx="7">
                  <c:v>-0.44417277913610431</c:v>
                </c:pt>
                <c:pt idx="8">
                  <c:v>5.4765395894428153</c:v>
                </c:pt>
                <c:pt idx="9">
                  <c:v>0.86687797147385104</c:v>
                </c:pt>
                <c:pt idx="10">
                  <c:v>-0.35047295658501093</c:v>
                </c:pt>
                <c:pt idx="11">
                  <c:v>1.0565720687079911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7-3840-91F3-C9F17EAF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678352"/>
        <c:axId val="1264698928"/>
      </c:barChart>
      <c:catAx>
        <c:axId val="123867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698928"/>
        <c:crosses val="autoZero"/>
        <c:auto val="1"/>
        <c:lblAlgn val="ctr"/>
        <c:lblOffset val="100"/>
        <c:noMultiLvlLbl val="0"/>
      </c:catAx>
      <c:valAx>
        <c:axId val="12646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7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 Economic Profit'!$A$2</c:f>
              <c:strCache>
                <c:ptCount val="1"/>
                <c:pt idx="0">
                  <c:v>ROIC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'Apple Economic Profit'!$B$1:$G$1</c:f>
              <c:strCache>
                <c:ptCount val="6"/>
                <c:pt idx="0">
                  <c:v>2017-9</c:v>
                </c:pt>
                <c:pt idx="1">
                  <c:v>2018-9</c:v>
                </c:pt>
                <c:pt idx="2">
                  <c:v>2019-9</c:v>
                </c:pt>
                <c:pt idx="3">
                  <c:v>2020-9</c:v>
                </c:pt>
                <c:pt idx="4">
                  <c:v>2021-9</c:v>
                </c:pt>
                <c:pt idx="5">
                  <c:v>2022-04</c:v>
                </c:pt>
              </c:strCache>
            </c:strRef>
          </c:cat>
          <c:val>
            <c:numRef>
              <c:f>'Apple Economic Profit'!$B$2:$G$2</c:f>
              <c:numCache>
                <c:formatCode>0.00%</c:formatCode>
                <c:ptCount val="6"/>
                <c:pt idx="0">
                  <c:v>0.1721</c:v>
                </c:pt>
                <c:pt idx="1">
                  <c:v>0.19370000000000001</c:v>
                </c:pt>
                <c:pt idx="2">
                  <c:v>0.2029</c:v>
                </c:pt>
                <c:pt idx="3">
                  <c:v>0.23710000000000001</c:v>
                </c:pt>
                <c:pt idx="4">
                  <c:v>0.35630000000000001</c:v>
                </c:pt>
                <c:pt idx="5">
                  <c:v>0.3538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A-7244-BC22-760E60687FF6}"/>
            </c:ext>
          </c:extLst>
        </c:ser>
        <c:ser>
          <c:idx val="1"/>
          <c:order val="1"/>
          <c:tx>
            <c:strRef>
              <c:f>'Apple Economic Profit'!$A$3</c:f>
              <c:strCache>
                <c:ptCount val="1"/>
                <c:pt idx="0">
                  <c:v>WACC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'Apple Economic Profit'!$B$1:$G$1</c:f>
              <c:strCache>
                <c:ptCount val="6"/>
                <c:pt idx="0">
                  <c:v>2017-9</c:v>
                </c:pt>
                <c:pt idx="1">
                  <c:v>2018-9</c:v>
                </c:pt>
                <c:pt idx="2">
                  <c:v>2019-9</c:v>
                </c:pt>
                <c:pt idx="3">
                  <c:v>2020-9</c:v>
                </c:pt>
                <c:pt idx="4">
                  <c:v>2021-9</c:v>
                </c:pt>
                <c:pt idx="5">
                  <c:v>2022-04</c:v>
                </c:pt>
              </c:strCache>
            </c:strRef>
          </c:cat>
          <c:val>
            <c:numRef>
              <c:f>'Apple Economic Profit'!$B$3:$G$3</c:f>
              <c:numCache>
                <c:formatCode>0.00%</c:formatCode>
                <c:ptCount val="6"/>
                <c:pt idx="0">
                  <c:v>9.74E-2</c:v>
                </c:pt>
                <c:pt idx="1">
                  <c:v>9.8799999999999999E-2</c:v>
                </c:pt>
                <c:pt idx="2">
                  <c:v>7.6899999999999996E-2</c:v>
                </c:pt>
                <c:pt idx="3">
                  <c:v>8.0600000000000005E-2</c:v>
                </c:pt>
                <c:pt idx="4">
                  <c:v>8.8800000000000004E-2</c:v>
                </c:pt>
                <c:pt idx="5">
                  <c:v>0.1004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A-7244-BC22-760E60687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1955311"/>
        <c:axId val="962200671"/>
      </c:barChart>
      <c:lineChart>
        <c:grouping val="standard"/>
        <c:varyColors val="0"/>
        <c:ser>
          <c:idx val="2"/>
          <c:order val="2"/>
          <c:tx>
            <c:strRef>
              <c:f>'Apple Economic Profit'!$A$4</c:f>
              <c:strCache>
                <c:ptCount val="1"/>
                <c:pt idx="0">
                  <c:v>Economic Profit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'Apple Economic Profit'!$B$1:$G$1</c:f>
              <c:strCache>
                <c:ptCount val="6"/>
                <c:pt idx="0">
                  <c:v>2017-9</c:v>
                </c:pt>
                <c:pt idx="1">
                  <c:v>2018-9</c:v>
                </c:pt>
                <c:pt idx="2">
                  <c:v>2019-9</c:v>
                </c:pt>
                <c:pt idx="3">
                  <c:v>2020-9</c:v>
                </c:pt>
                <c:pt idx="4">
                  <c:v>2021-9</c:v>
                </c:pt>
                <c:pt idx="5">
                  <c:v>2022-04</c:v>
                </c:pt>
              </c:strCache>
            </c:strRef>
          </c:cat>
          <c:val>
            <c:numRef>
              <c:f>'Apple Economic Profit'!$B$4:$G$4</c:f>
              <c:numCache>
                <c:formatCode>0.00%</c:formatCode>
                <c:ptCount val="6"/>
                <c:pt idx="0">
                  <c:v>7.4700000000000003E-2</c:v>
                </c:pt>
                <c:pt idx="1">
                  <c:v>9.4900000000000012E-2</c:v>
                </c:pt>
                <c:pt idx="2">
                  <c:v>0.126</c:v>
                </c:pt>
                <c:pt idx="3">
                  <c:v>0.1565</c:v>
                </c:pt>
                <c:pt idx="4">
                  <c:v>0.26750000000000002</c:v>
                </c:pt>
                <c:pt idx="5">
                  <c:v>0.25340000000000001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A-7244-BC22-760E60687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1955311"/>
        <c:axId val="962200671"/>
      </c:lineChart>
      <c:catAx>
        <c:axId val="9619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00671"/>
        <c:crosses val="autoZero"/>
        <c:auto val="1"/>
        <c:lblAlgn val="ctr"/>
        <c:lblOffset val="100"/>
        <c:noMultiLvlLbl val="0"/>
      </c:catAx>
      <c:valAx>
        <c:axId val="9622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9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88489620615606"/>
          <c:y val="1.8292682926829267E-2"/>
          <c:w val="0.37223020758768788"/>
          <c:h val="0.182546091799500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'Competitor Economic Profit'!$A$35</c:f>
              <c:strCache>
                <c:ptCount val="1"/>
                <c:pt idx="0">
                  <c:v>APPLE</c:v>
                </c:pt>
              </c:strCache>
            </c:strRef>
          </c:tx>
          <c:spPr>
            <a:ln w="889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Profit'!$B$35:$G$35</c:f>
              <c:numCache>
                <c:formatCode>0.00%</c:formatCode>
                <c:ptCount val="6"/>
                <c:pt idx="0">
                  <c:v>7.4700000000000003E-2</c:v>
                </c:pt>
                <c:pt idx="1">
                  <c:v>9.4900000000000012E-2</c:v>
                </c:pt>
                <c:pt idx="2">
                  <c:v>0.126</c:v>
                </c:pt>
                <c:pt idx="3">
                  <c:v>0.1565</c:v>
                </c:pt>
                <c:pt idx="4">
                  <c:v>0.26750000000000002</c:v>
                </c:pt>
                <c:pt idx="5">
                  <c:v>0.25340000000000001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B64B-B664-C4DD21771361}"/>
            </c:ext>
          </c:extLst>
        </c:ser>
        <c:ser>
          <c:idx val="1"/>
          <c:order val="1"/>
          <c:tx>
            <c:strRef>
              <c:f>'Competitor Economic Profit'!$A$36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 cmpd="sng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Profit'!$B$36:$G$36</c:f>
              <c:numCache>
                <c:formatCode>0.00%</c:formatCode>
                <c:ptCount val="6"/>
                <c:pt idx="0">
                  <c:v>0.10940000000000001</c:v>
                </c:pt>
                <c:pt idx="1">
                  <c:v>2.23E-2</c:v>
                </c:pt>
                <c:pt idx="2">
                  <c:v>0.17920000000000003</c:v>
                </c:pt>
                <c:pt idx="3">
                  <c:v>0.20219999999999999</c:v>
                </c:pt>
                <c:pt idx="4">
                  <c:v>0.24340000000000001</c:v>
                </c:pt>
                <c:pt idx="5">
                  <c:v>0.25590000000000002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B64B-B664-C4DD21771361}"/>
            </c:ext>
          </c:extLst>
        </c:ser>
        <c:ser>
          <c:idx val="2"/>
          <c:order val="2"/>
          <c:tx>
            <c:strRef>
              <c:f>'Competitor Economic Profit'!$A$37</c:f>
              <c:strCache>
                <c:ptCount val="1"/>
                <c:pt idx="0">
                  <c:v>Alphabet(Google)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Profit'!$B$37:$G$37</c:f>
              <c:numCache>
                <c:formatCode>0.00%</c:formatCode>
                <c:ptCount val="6"/>
                <c:pt idx="0">
                  <c:v>9.3800000000000008E-2</c:v>
                </c:pt>
                <c:pt idx="1">
                  <c:v>0.19650000000000001</c:v>
                </c:pt>
                <c:pt idx="2">
                  <c:v>0.1613</c:v>
                </c:pt>
                <c:pt idx="3">
                  <c:v>0.15050000000000002</c:v>
                </c:pt>
                <c:pt idx="4">
                  <c:v>0.28160000000000002</c:v>
                </c:pt>
                <c:pt idx="5">
                  <c:v>0.29170000000000001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0-B64B-B664-C4DD21771361}"/>
            </c:ext>
          </c:extLst>
        </c:ser>
        <c:ser>
          <c:idx val="3"/>
          <c:order val="3"/>
          <c:tx>
            <c:strRef>
              <c:f>'Competitor Economic Profit'!$A$38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Profit'!$B$38:$G$38</c:f>
              <c:numCache>
                <c:formatCode>0.00%</c:formatCode>
                <c:ptCount val="6"/>
                <c:pt idx="0">
                  <c:v>-4.7399999999999998E-2</c:v>
                </c:pt>
                <c:pt idx="1">
                  <c:v>-3.5000000000000031E-3</c:v>
                </c:pt>
                <c:pt idx="2">
                  <c:v>-8.9999999999999941E-3</c:v>
                </c:pt>
                <c:pt idx="3">
                  <c:v>4.3299999999999991E-2</c:v>
                </c:pt>
                <c:pt idx="4">
                  <c:v>2.6699999999999988E-2</c:v>
                </c:pt>
                <c:pt idx="5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0-B64B-B664-C4DD21771361}"/>
            </c:ext>
          </c:extLst>
        </c:ser>
        <c:ser>
          <c:idx val="4"/>
          <c:order val="4"/>
          <c:tx>
            <c:strRef>
              <c:f>'Competitor Economic Profit'!$A$39</c:f>
              <c:strCache>
                <c:ptCount val="1"/>
                <c:pt idx="0">
                  <c:v>Samsung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Profit'!$B$39:$G$39</c:f>
              <c:numCache>
                <c:formatCode>0.00%</c:formatCode>
                <c:ptCount val="6"/>
                <c:pt idx="0">
                  <c:v>0.12229999999999999</c:v>
                </c:pt>
                <c:pt idx="1">
                  <c:v>0.129</c:v>
                </c:pt>
                <c:pt idx="2">
                  <c:v>1.0000000000000009E-3</c:v>
                </c:pt>
                <c:pt idx="3">
                  <c:v>3.73E-2</c:v>
                </c:pt>
                <c:pt idx="4">
                  <c:v>6.140000000000001E-2</c:v>
                </c:pt>
                <c:pt idx="5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0-B64B-B664-C4DD21771361}"/>
            </c:ext>
          </c:extLst>
        </c:ser>
        <c:ser>
          <c:idx val="5"/>
          <c:order val="5"/>
          <c:tx>
            <c:strRef>
              <c:f>'Competitor Economic Profit'!$A$40</c:f>
              <c:strCache>
                <c:ptCount val="1"/>
                <c:pt idx="0">
                  <c:v>Dell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Profit'!$B$40:$G$40</c:f>
              <c:numCache>
                <c:formatCode>0.00%</c:formatCode>
                <c:ptCount val="6"/>
                <c:pt idx="0">
                  <c:v>0</c:v>
                </c:pt>
                <c:pt idx="1">
                  <c:v>-5.1499999999999997E-2</c:v>
                </c:pt>
                <c:pt idx="2">
                  <c:v>-0.25040000000000001</c:v>
                </c:pt>
                <c:pt idx="3">
                  <c:v>8.2999999999999984E-3</c:v>
                </c:pt>
                <c:pt idx="4">
                  <c:v>-4.4000000000000011E-3</c:v>
                </c:pt>
                <c:pt idx="5">
                  <c:v>-2.2199999999999998E-2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0-B64B-B664-C4DD21771361}"/>
            </c:ext>
          </c:extLst>
        </c:ser>
        <c:ser>
          <c:idx val="6"/>
          <c:order val="6"/>
          <c:tx>
            <c:strRef>
              <c:f>'Competitor Economic Profit'!$A$41</c:f>
              <c:strCache>
                <c:ptCount val="1"/>
                <c:pt idx="0">
                  <c:v>Sony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Profit'!$B$41:$G$41</c:f>
              <c:numCache>
                <c:formatCode>0.00%</c:formatCode>
                <c:ptCount val="6"/>
                <c:pt idx="0">
                  <c:v>-5.3800000000000001E-2</c:v>
                </c:pt>
                <c:pt idx="1">
                  <c:v>-2.3200000000000005E-2</c:v>
                </c:pt>
                <c:pt idx="2">
                  <c:v>-2.0000000000000573E-4</c:v>
                </c:pt>
                <c:pt idx="3">
                  <c:v>-1.6800000000000002E-2</c:v>
                </c:pt>
                <c:pt idx="4">
                  <c:v>-2.0999999999999977E-3</c:v>
                </c:pt>
                <c:pt idx="5">
                  <c:v>-8.199999999999999E-3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0-B64B-B664-C4DD21771361}"/>
            </c:ext>
          </c:extLst>
        </c:ser>
        <c:ser>
          <c:idx val="7"/>
          <c:order val="7"/>
          <c:tx>
            <c:strRef>
              <c:f>'Competitor Economic Profit'!$A$42</c:f>
              <c:strCache>
                <c:ptCount val="1"/>
                <c:pt idx="0">
                  <c:v>Lenovo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'Competitor Economic Profit'!$B$34:$G$34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2022-04</c:v>
                </c:pt>
              </c:strCache>
            </c:strRef>
          </c:cat>
          <c:val>
            <c:numRef>
              <c:f>'Competitor Economic Profit'!$B$42:$G$42</c:f>
              <c:numCache>
                <c:formatCode>0.00%</c:formatCode>
                <c:ptCount val="6"/>
                <c:pt idx="0">
                  <c:v>-4.8000000000000001E-2</c:v>
                </c:pt>
                <c:pt idx="1">
                  <c:v>-9.6899999999999986E-2</c:v>
                </c:pt>
                <c:pt idx="2">
                  <c:v>-2.35E-2</c:v>
                </c:pt>
                <c:pt idx="3">
                  <c:v>-7.9000000000000042E-3</c:v>
                </c:pt>
                <c:pt idx="4">
                  <c:v>-1.490000000000001E-2</c:v>
                </c:pt>
                <c:pt idx="5">
                  <c:v>1.9299999999999998E-2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0-B64B-B664-C4DD2177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18111"/>
        <c:axId val="511779263"/>
      </c:lineChart>
      <c:catAx>
        <c:axId val="5127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79263"/>
        <c:crosses val="autoZero"/>
        <c:auto val="1"/>
        <c:lblAlgn val="ctr"/>
        <c:lblOffset val="100"/>
        <c:noMultiLvlLbl val="0"/>
      </c:catAx>
      <c:valAx>
        <c:axId val="511779263"/>
        <c:scaling>
          <c:orientation val="minMax"/>
          <c:max val="0.30000000000000004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9999969425860463E-2"/>
          <c:y val="1.3369901124141988E-2"/>
          <c:w val="0.89999993885172092"/>
          <c:h val="7.0199876512645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733764</xdr:colOff>
      <xdr:row>0</xdr:row>
      <xdr:rowOff>183366</xdr:rowOff>
    </xdr:from>
    <xdr:to>
      <xdr:col>11</xdr:col>
      <xdr:colOff>326358</xdr:colOff>
      <xdr:row>13</xdr:row>
      <xdr:rowOff>8480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FDBD73-6F44-8F49-8637-AA925E55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736025</xdr:colOff>
      <xdr:row>13</xdr:row>
      <xdr:rowOff>144319</xdr:rowOff>
    </xdr:from>
    <xdr:to>
      <xdr:col>11</xdr:col>
      <xdr:colOff>328619</xdr:colOff>
      <xdr:row>25</xdr:row>
      <xdr:rowOff>171479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D88E0-AB24-6347-89C7-76C5FF799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660400</xdr:colOff>
      <xdr:row>1</xdr:row>
      <xdr:rowOff>33867</xdr:rowOff>
    </xdr:from>
    <xdr:to>
      <xdr:col>21</xdr:col>
      <xdr:colOff>252994</xdr:colOff>
      <xdr:row>13</xdr:row>
      <xdr:rowOff>62181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3F90B1-385E-994E-ADF8-96775D3F2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648511</xdr:colOff>
      <xdr:row>14</xdr:row>
      <xdr:rowOff>108085</xdr:rowOff>
    </xdr:from>
    <xdr:to>
      <xdr:col>21</xdr:col>
      <xdr:colOff>241105</xdr:colOff>
      <xdr:row>26</xdr:row>
      <xdr:rowOff>136398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89076-4031-544A-AD3B-12DEB7BD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31</xdr:col>
      <xdr:colOff>423581</xdr:colOff>
      <xdr:row>13</xdr:row>
      <xdr:rowOff>28314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B8E431-CBFC-CC46-9F99-459C04D24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14</xdr:row>
      <xdr:rowOff>168089</xdr:rowOff>
    </xdr:from>
    <xdr:to>
      <xdr:col>31</xdr:col>
      <xdr:colOff>414358</xdr:colOff>
      <xdr:row>27</xdr:row>
      <xdr:rowOff>9637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4B14E2-6E95-6F4C-A20E-D420B4B96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7</xdr:row>
      <xdr:rowOff>152400</xdr:rowOff>
    </xdr:from>
    <xdr:to>
      <xdr:col>11</xdr:col>
      <xdr:colOff>774700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4E3F2-FC27-014A-9073-326FC6380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713154</xdr:colOff>
      <xdr:row>16</xdr:row>
      <xdr:rowOff>162168</xdr:rowOff>
    </xdr:from>
    <xdr:to>
      <xdr:col>18</xdr:col>
      <xdr:colOff>683845</xdr:colOff>
      <xdr:row>42</xdr:row>
      <xdr:rowOff>78152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50F9D-50DC-B04B-AE42-2053F07F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ngze Lin" id="{9416EC0D-B13D-A24E-BC6A-2E7177BD81FE}" userId="S::ml4722@columbia.edu::e3b70ce2-e413-453e-b8df-677152535f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2-03-14T16:56:13.42" personId="{9416EC0D-B13D-A24E-BC6A-2E7177BD81FE}" id="{D56BEB2B-A952-124B-8470-B4BB4AF23A3E}">
    <text xml:space="preserve">The effective tax rate is assumed to be the average of 2021 and 2020, 2019, 2018 tax rate
</text>
  </threadedComment>
  <threadedComment ref="B13" dT="2022-04-09T18:44:09.37" personId="{9416EC0D-B13D-A24E-BC6A-2E7177BD81FE}" id="{D4BE3662-E443-B64A-8B11-C41B4B18B02A}">
    <text xml:space="preserve">The prepaid expense is unavailable anywhere from Apple’s 10-k, thus assumed to 0.
</text>
  </threadedComment>
  <threadedComment ref="B16" dT="2022-03-14T17:02:21.43" personId="{9416EC0D-B13D-A24E-BC6A-2E7177BD81FE}" id="{F3F08FB3-6F61-FB4D-827F-F7BBDF46BB11}">
    <text>Apple stopped to disclose intangible assets since 2018, so the intangible amounts and growth are estimated.</text>
  </threadedComment>
  <threadedComment ref="B17" dT="2022-04-09T18:54:39.05" personId="{9416EC0D-B13D-A24E-BC6A-2E7177BD81FE}" id="{21CE335F-EFC6-3A44-B7C3-4E6DA8B87410}">
    <text xml:space="preserve">Deferred charges are not disclosed by Apple, so assumed to 0.
</text>
  </threadedComment>
  <threadedComment ref="B21" dT="2022-03-14T17:10:14.45" personId="{9416EC0D-B13D-A24E-BC6A-2E7177BD81FE}" id="{1352A896-3839-AF4E-9B7A-34B43320421A}">
    <text>Apple’s capital expenditure in 2021 is 10.388B, revenue is 365B, so CAPEX to sales = 10.388/365
https://finbox.com/NASDAQGS:AAPL/explorer/capex</text>
  </threadedComment>
  <threadedComment ref="C23" dT="2022-03-14T17:21:31.12" personId="{9416EC0D-B13D-A24E-BC6A-2E7177BD81FE}" id="{3B4AA54E-D705-F64D-9617-6CAF51A72DAF}">
    <text>Apple's dividends paid $14.1 billion for 2020 and $14.4 billion for 2021. The net income for 2020 was $57.4 billion, so dividend payout ratio at 25% for 2020.5 In 2021, the NI is 94.7, so the payout ratio was 15.2%. That ratio for 2018, 2019 is 23% and 26%. So the average is 22.3%.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9" dT="2022-03-14T17:36:15.36" personId="{9416EC0D-B13D-A24E-BC6A-2E7177BD81FE}" id="{6A908465-7FFA-1546-B776-667EA77C986C}">
    <text>According to GuruFocus, beta is 1.28, premium is 6%, risk free rate is 2.704%, Cost of Cost of Equity = 2.704% + 1.28 * 6% = 10.384%</text>
  </threadedComment>
  <threadedComment ref="D32" dT="2022-03-16T07:13:15.85" personId="{9416EC0D-B13D-A24E-BC6A-2E7177BD81FE}" id="{8F7662EF-B2E1-FA42-B8D5-783841BF5993}">
    <text>The EBITDA for 2021 is 120.2B, the EV (EV=Market Cap + Total Debt - Cash Equivalent)=2342+ 287.912-34.94=2594B by the end of 2021. So exit multiple = 2594 /120.2 is around 21.58</text>
  </threadedComment>
  <threadedComment ref="H32" dT="2022-03-16T07:52:04.11" personId="{9416EC0D-B13D-A24E-BC6A-2E7177BD81FE}" id="{644A7271-AD06-584E-9A89-09F36A5CA8F4}">
    <text xml:space="preserve">The net income for 2021 is 94.680B, the market cap by the Oct of 2021 
is 2342B, 2021 PE is 2342/94.680=24.73
2020 NI is 57.411B, MC is 1980B, 2020 PE is 1980/57.411=34
Simiarly, at the same period, PE for 2019 is around 22, for 2018 is around 22.
so avg PE from 2018 to 2021 is 25.68
</text>
  </threadedComment>
  <threadedComment ref="L32" dT="2022-03-14T17:44:55.39" personId="{9416EC0D-B13D-A24E-BC6A-2E7177BD81FE}" id="{4823266B-F7B9-EA43-8008-86ABA829F54A}">
    <text>Assume Growth rate of FCF now equals average us gdp growth rate in the past 5 years, which is (2.33+3+2.2-3.5+5.7)/5 = 1.94%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2.q4cdn.com/470004039/files/doc_financials/2021/q4/_10-K-2021-(As-Filed)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2"/>
  <sheetViews>
    <sheetView zoomScale="106" zoomScaleNormal="34" workbookViewId="0">
      <selection activeCell="B6" sqref="B6"/>
    </sheetView>
  </sheetViews>
  <sheetFormatPr baseColWidth="10" defaultColWidth="9.25" defaultRowHeight="15" customHeight="1" x14ac:dyDescent="0.15"/>
  <cols>
    <col min="1" max="1" width="64.25" style="16" customWidth="1"/>
    <col min="2" max="2" width="35.5" style="16" customWidth="1"/>
    <col min="3" max="3" width="32.75" style="24" customWidth="1"/>
    <col min="4" max="4" width="22.5" style="24" customWidth="1"/>
    <col min="5" max="5" width="24" style="24" customWidth="1"/>
    <col min="6" max="6" width="15" style="16" customWidth="1"/>
    <col min="7" max="7" width="13" style="16" bestFit="1" customWidth="1"/>
    <col min="8" max="8" width="16" style="16" customWidth="1"/>
    <col min="9" max="9" width="182.75" style="16" customWidth="1"/>
    <col min="10" max="16384" width="9.25" style="16"/>
  </cols>
  <sheetData>
    <row r="1" spans="1:10" ht="15" customHeight="1" thickBot="1" x14ac:dyDescent="0.2">
      <c r="A1" s="77" t="s">
        <v>124</v>
      </c>
      <c r="B1" s="77"/>
      <c r="C1" s="78"/>
      <c r="D1" s="78"/>
      <c r="E1" s="139" t="s">
        <v>175</v>
      </c>
    </row>
    <row r="2" spans="1:10" ht="15" customHeight="1" x14ac:dyDescent="0.15">
      <c r="H2" s="127"/>
      <c r="I2" s="127"/>
    </row>
    <row r="3" spans="1:10" s="1" customFormat="1" ht="13" x14ac:dyDescent="0.15">
      <c r="A3" s="132"/>
      <c r="B3" s="132"/>
      <c r="H3" s="7"/>
      <c r="I3" s="7"/>
    </row>
    <row r="4" spans="1:10" s="1" customFormat="1" ht="13" x14ac:dyDescent="0.15">
      <c r="A4" s="160" t="s">
        <v>52</v>
      </c>
      <c r="B4" s="160" t="s">
        <v>153</v>
      </c>
      <c r="C4" s="131"/>
      <c r="H4" s="7" t="s">
        <v>167</v>
      </c>
      <c r="I4" s="7"/>
    </row>
    <row r="5" spans="1:10" s="2" customFormat="1" ht="15" customHeight="1" x14ac:dyDescent="0.15">
      <c r="A5" s="3" t="s">
        <v>3</v>
      </c>
      <c r="B5" s="145">
        <v>43372</v>
      </c>
      <c r="C5" s="145">
        <v>43736</v>
      </c>
      <c r="D5" s="145">
        <v>44100</v>
      </c>
      <c r="E5" s="145">
        <v>44464</v>
      </c>
      <c r="F5" s="4"/>
      <c r="I5" s="7" t="s">
        <v>182</v>
      </c>
    </row>
    <row r="6" spans="1:10" s="5" customFormat="1" ht="15" customHeight="1" x14ac:dyDescent="0.15">
      <c r="A6" s="6" t="s">
        <v>51</v>
      </c>
      <c r="B6" s="146"/>
      <c r="C6" s="147"/>
      <c r="D6" s="148"/>
      <c r="E6" s="148"/>
      <c r="H6" s="7"/>
      <c r="I6" s="142" t="s">
        <v>166</v>
      </c>
    </row>
    <row r="7" spans="1:10" s="7" customFormat="1" ht="15" customHeight="1" x14ac:dyDescent="0.15">
      <c r="A7" s="8" t="s">
        <v>50</v>
      </c>
      <c r="B7" s="149">
        <v>25913</v>
      </c>
      <c r="C7" s="150">
        <v>48844</v>
      </c>
      <c r="D7" s="151">
        <v>38016</v>
      </c>
      <c r="E7" s="151">
        <v>34940</v>
      </c>
      <c r="F7" s="9"/>
      <c r="I7" s="142" t="s">
        <v>168</v>
      </c>
    </row>
    <row r="8" spans="1:10" s="7" customFormat="1" ht="15" customHeight="1" x14ac:dyDescent="0.15">
      <c r="A8" s="8" t="s">
        <v>140</v>
      </c>
      <c r="B8" s="149">
        <f>23186+25809</f>
        <v>48995</v>
      </c>
      <c r="C8" s="150">
        <f>22926+22878</f>
        <v>45804</v>
      </c>
      <c r="D8" s="151">
        <f>16120+21325</f>
        <v>37445</v>
      </c>
      <c r="E8" s="151">
        <f>26278+25228</f>
        <v>51506</v>
      </c>
      <c r="F8" s="9"/>
      <c r="H8" s="7" t="s">
        <v>179</v>
      </c>
    </row>
    <row r="9" spans="1:10" s="7" customFormat="1" ht="15" customHeight="1" x14ac:dyDescent="0.15">
      <c r="A9" s="8" t="s">
        <v>139</v>
      </c>
      <c r="B9" s="149">
        <v>3956</v>
      </c>
      <c r="C9" s="150">
        <v>4106</v>
      </c>
      <c r="D9" s="151">
        <v>4061</v>
      </c>
      <c r="E9" s="151">
        <v>6580</v>
      </c>
      <c r="F9" s="9"/>
      <c r="H9" s="137">
        <v>0</v>
      </c>
      <c r="I9" s="138" t="s">
        <v>160</v>
      </c>
    </row>
    <row r="10" spans="1:10" s="7" customFormat="1" ht="15" customHeight="1" x14ac:dyDescent="0.15">
      <c r="A10" s="8" t="s">
        <v>49</v>
      </c>
      <c r="B10" s="149">
        <v>0</v>
      </c>
      <c r="C10" s="150">
        <v>0</v>
      </c>
      <c r="D10" s="152">
        <v>0</v>
      </c>
      <c r="E10" s="152">
        <v>0</v>
      </c>
      <c r="F10" s="9"/>
      <c r="H10" s="137">
        <v>1</v>
      </c>
      <c r="I10" s="136" t="s">
        <v>155</v>
      </c>
    </row>
    <row r="11" spans="1:10" s="7" customFormat="1" ht="29" customHeight="1" x14ac:dyDescent="0.15">
      <c r="A11" s="8" t="s">
        <v>150</v>
      </c>
      <c r="B11" s="149">
        <f>12087+40388</f>
        <v>52475</v>
      </c>
      <c r="C11" s="150">
        <f>12352+51713</f>
        <v>64065</v>
      </c>
      <c r="D11" s="151">
        <f>52927+11264</f>
        <v>64191</v>
      </c>
      <c r="E11" s="151">
        <f>14111+27699</f>
        <v>41810</v>
      </c>
      <c r="F11" s="9"/>
      <c r="H11" s="137">
        <v>2</v>
      </c>
      <c r="I11" s="136" t="s">
        <v>157</v>
      </c>
    </row>
    <row r="12" spans="1:10" s="7" customFormat="1" ht="15" customHeight="1" x14ac:dyDescent="0.15">
      <c r="A12" s="10" t="s">
        <v>48</v>
      </c>
      <c r="B12" s="153">
        <f t="shared" ref="B12:C12" si="0">SUM(B7:B11)</f>
        <v>131339</v>
      </c>
      <c r="C12" s="153">
        <f t="shared" si="0"/>
        <v>162819</v>
      </c>
      <c r="D12" s="153">
        <f>SUM(D7:D11)</f>
        <v>143713</v>
      </c>
      <c r="E12" s="153">
        <f>SUM(E7:E11)</f>
        <v>134836</v>
      </c>
      <c r="F12" s="9"/>
      <c r="G12" s="9"/>
      <c r="H12" s="137">
        <v>3</v>
      </c>
      <c r="I12" s="138" t="s">
        <v>156</v>
      </c>
    </row>
    <row r="13" spans="1:10" s="7" customFormat="1" ht="15" customHeight="1" thickBot="1" x14ac:dyDescent="0.2">
      <c r="A13" s="11" t="s">
        <v>47</v>
      </c>
      <c r="B13" s="154">
        <v>41304</v>
      </c>
      <c r="C13" s="154">
        <v>37378</v>
      </c>
      <c r="D13" s="154">
        <v>36766</v>
      </c>
      <c r="E13" s="154">
        <v>39440</v>
      </c>
      <c r="F13" s="9"/>
      <c r="H13" s="137">
        <v>4</v>
      </c>
      <c r="I13" s="138" t="s">
        <v>159</v>
      </c>
    </row>
    <row r="14" spans="1:10" s="7" customFormat="1" ht="15" customHeight="1" thickTop="1" x14ac:dyDescent="0.15">
      <c r="A14" s="8" t="s">
        <v>46</v>
      </c>
      <c r="B14" s="149">
        <v>170799</v>
      </c>
      <c r="C14" s="150">
        <v>105341</v>
      </c>
      <c r="D14" s="151">
        <v>100887</v>
      </c>
      <c r="E14" s="151">
        <v>127877</v>
      </c>
      <c r="F14" s="9"/>
      <c r="H14" s="137">
        <v>5</v>
      </c>
      <c r="I14" s="138" t="s">
        <v>158</v>
      </c>
    </row>
    <row r="15" spans="1:10" s="7" customFormat="1" ht="15" customHeight="1" x14ac:dyDescent="0.15">
      <c r="A15" s="8" t="s">
        <v>45</v>
      </c>
      <c r="B15" s="151">
        <v>0</v>
      </c>
      <c r="C15" s="151">
        <v>0</v>
      </c>
      <c r="D15" s="151">
        <v>0</v>
      </c>
      <c r="E15" s="151">
        <v>0</v>
      </c>
      <c r="F15" s="9"/>
      <c r="H15" s="137">
        <v>6</v>
      </c>
      <c r="I15" s="7" t="s">
        <v>163</v>
      </c>
    </row>
    <row r="16" spans="1:10" s="7" customFormat="1" ht="15" customHeight="1" x14ac:dyDescent="0.15">
      <c r="A16" s="8" t="s">
        <v>44</v>
      </c>
      <c r="B16" s="151">
        <v>0</v>
      </c>
      <c r="C16" s="151">
        <v>0</v>
      </c>
      <c r="D16" s="151">
        <v>0</v>
      </c>
      <c r="E16" s="151">
        <v>0</v>
      </c>
      <c r="F16" s="9"/>
      <c r="H16" s="137">
        <v>7</v>
      </c>
      <c r="I16" s="7" t="s">
        <v>164</v>
      </c>
      <c r="J16" s="133"/>
    </row>
    <row r="17" spans="1:10" s="7" customFormat="1" ht="15" customHeight="1" x14ac:dyDescent="0.15">
      <c r="A17" s="8" t="s">
        <v>43</v>
      </c>
      <c r="B17" s="151">
        <v>22283</v>
      </c>
      <c r="C17" s="151">
        <v>32978</v>
      </c>
      <c r="D17" s="151">
        <v>42522</v>
      </c>
      <c r="E17" s="151">
        <v>48849</v>
      </c>
      <c r="F17" s="9"/>
      <c r="H17" s="137">
        <v>8</v>
      </c>
      <c r="I17" s="144" t="s">
        <v>180</v>
      </c>
    </row>
    <row r="18" spans="1:10" s="7" customFormat="1" ht="15" customHeight="1" thickBot="1" x14ac:dyDescent="0.2">
      <c r="A18" s="13" t="s">
        <v>42</v>
      </c>
      <c r="B18" s="154">
        <f>SUM(B12:B17)</f>
        <v>365725</v>
      </c>
      <c r="C18" s="154">
        <f>SUM(C12:C17)</f>
        <v>338516</v>
      </c>
      <c r="D18" s="154">
        <f>SUM(D12:D17)</f>
        <v>323888</v>
      </c>
      <c r="E18" s="154">
        <f>SUM(E12:E17)</f>
        <v>351002</v>
      </c>
      <c r="F18" s="9"/>
      <c r="H18" s="137">
        <v>9</v>
      </c>
      <c r="I18" s="7" t="s">
        <v>170</v>
      </c>
    </row>
    <row r="19" spans="1:10" s="7" customFormat="1" ht="15" customHeight="1" thickTop="1" x14ac:dyDescent="0.15">
      <c r="A19" s="14" t="s">
        <v>41</v>
      </c>
      <c r="B19" s="151"/>
      <c r="C19" s="151"/>
      <c r="D19" s="151"/>
      <c r="E19" s="151"/>
      <c r="F19" s="16"/>
      <c r="H19" s="137">
        <v>10</v>
      </c>
      <c r="I19" s="136" t="s">
        <v>171</v>
      </c>
      <c r="J19" s="7" t="s">
        <v>173</v>
      </c>
    </row>
    <row r="20" spans="1:10" s="7" customFormat="1" ht="15" customHeight="1" x14ac:dyDescent="0.15">
      <c r="A20" s="8" t="s">
        <v>40</v>
      </c>
      <c r="B20" s="151">
        <v>55888</v>
      </c>
      <c r="C20" s="151">
        <v>46236</v>
      </c>
      <c r="D20" s="151">
        <v>42296</v>
      </c>
      <c r="E20" s="151">
        <v>54763</v>
      </c>
      <c r="F20" s="9"/>
      <c r="H20" s="137">
        <v>11</v>
      </c>
      <c r="I20" s="135" t="s">
        <v>172</v>
      </c>
    </row>
    <row r="21" spans="1:10" s="7" customFormat="1" ht="17" customHeight="1" x14ac:dyDescent="0.15">
      <c r="A21" s="8" t="s">
        <v>39</v>
      </c>
      <c r="B21" s="151">
        <v>11964</v>
      </c>
      <c r="C21" s="151">
        <v>5980</v>
      </c>
      <c r="D21" s="151">
        <v>4996</v>
      </c>
      <c r="E21" s="151">
        <v>6000</v>
      </c>
      <c r="F21" s="9"/>
      <c r="H21" s="137">
        <v>12</v>
      </c>
      <c r="I21" s="144" t="s">
        <v>181</v>
      </c>
      <c r="J21" s="7" t="s">
        <v>174</v>
      </c>
    </row>
    <row r="22" spans="1:10" s="7" customFormat="1" ht="15" customHeight="1" x14ac:dyDescent="0.15">
      <c r="A22" s="8" t="s">
        <v>38</v>
      </c>
      <c r="B22" s="151">
        <v>0</v>
      </c>
      <c r="C22" s="151">
        <v>0</v>
      </c>
      <c r="D22" s="151">
        <v>0</v>
      </c>
      <c r="E22" s="151">
        <v>0</v>
      </c>
      <c r="F22" s="9"/>
      <c r="H22" s="141">
        <v>13</v>
      </c>
      <c r="I22" s="136" t="s">
        <v>176</v>
      </c>
      <c r="J22" s="7" t="s">
        <v>177</v>
      </c>
    </row>
    <row r="23" spans="1:10" s="7" customFormat="1" ht="15" customHeight="1" x14ac:dyDescent="0.15">
      <c r="A23" s="8" t="s">
        <v>37</v>
      </c>
      <c r="B23" s="151">
        <v>0</v>
      </c>
      <c r="C23" s="151">
        <v>0</v>
      </c>
      <c r="D23" s="151">
        <v>0</v>
      </c>
      <c r="E23" s="151">
        <v>0</v>
      </c>
      <c r="F23" s="9"/>
      <c r="H23" s="137">
        <v>14</v>
      </c>
      <c r="I23" s="136" t="s">
        <v>178</v>
      </c>
    </row>
    <row r="24" spans="1:10" s="7" customFormat="1" ht="15" customHeight="1" x14ac:dyDescent="0.15">
      <c r="A24" s="8" t="s">
        <v>154</v>
      </c>
      <c r="B24" s="151">
        <v>8784</v>
      </c>
      <c r="C24" s="151">
        <v>10260</v>
      </c>
      <c r="D24" s="151">
        <v>8773</v>
      </c>
      <c r="E24" s="151">
        <f>9613</f>
        <v>9613</v>
      </c>
      <c r="F24" s="9"/>
      <c r="H24" s="137">
        <v>15</v>
      </c>
      <c r="I24" s="143" t="s">
        <v>184</v>
      </c>
    </row>
    <row r="25" spans="1:10" s="7" customFormat="1" ht="15" customHeight="1" x14ac:dyDescent="0.15">
      <c r="A25" s="8" t="s">
        <v>36</v>
      </c>
      <c r="B25" s="151">
        <f>33327+5966</f>
        <v>39293</v>
      </c>
      <c r="C25" s="151">
        <f>37720+5522</f>
        <v>43242</v>
      </c>
      <c r="D25" s="151">
        <f>42684+6643</f>
        <v>49327</v>
      </c>
      <c r="E25" s="151">
        <f>47493+7612</f>
        <v>55105</v>
      </c>
      <c r="F25" s="9"/>
      <c r="H25" s="137">
        <v>16</v>
      </c>
      <c r="I25" s="136" t="s">
        <v>152</v>
      </c>
    </row>
    <row r="26" spans="1:10" s="7" customFormat="1" ht="15" customHeight="1" thickBot="1" x14ac:dyDescent="0.2">
      <c r="A26" s="13" t="s">
        <v>35</v>
      </c>
      <c r="B26" s="154">
        <f t="shared" ref="B26:C26" si="1">SUM(B20:B25)</f>
        <v>115929</v>
      </c>
      <c r="C26" s="154">
        <f t="shared" si="1"/>
        <v>105718</v>
      </c>
      <c r="D26" s="154">
        <f>SUM(D20:D25)</f>
        <v>105392</v>
      </c>
      <c r="E26" s="154">
        <f>SUM(E20:E25)</f>
        <v>125481</v>
      </c>
      <c r="F26" s="9"/>
    </row>
    <row r="27" spans="1:10" s="7" customFormat="1" ht="15" customHeight="1" thickTop="1" x14ac:dyDescent="0.15">
      <c r="A27" s="8" t="s">
        <v>34</v>
      </c>
      <c r="B27" s="151">
        <v>93735</v>
      </c>
      <c r="C27" s="151">
        <v>91807</v>
      </c>
      <c r="D27" s="151">
        <v>98667</v>
      </c>
      <c r="E27" s="151">
        <v>109106</v>
      </c>
      <c r="F27" s="9"/>
    </row>
    <row r="28" spans="1:10" s="7" customFormat="1" ht="15" customHeight="1" x14ac:dyDescent="0.15">
      <c r="A28" s="8" t="s">
        <v>33</v>
      </c>
      <c r="B28" s="151">
        <v>0</v>
      </c>
      <c r="C28" s="151">
        <v>0</v>
      </c>
      <c r="D28" s="151">
        <v>0</v>
      </c>
      <c r="E28" s="151">
        <v>0</v>
      </c>
      <c r="F28" s="9"/>
    </row>
    <row r="29" spans="1:10" s="7" customFormat="1" ht="15" customHeight="1" x14ac:dyDescent="0.15">
      <c r="A29" s="8" t="s">
        <v>32</v>
      </c>
      <c r="B29" s="151">
        <v>0</v>
      </c>
      <c r="C29" s="151">
        <v>0</v>
      </c>
      <c r="D29" s="151">
        <v>0</v>
      </c>
      <c r="E29" s="151">
        <v>0</v>
      </c>
      <c r="F29" s="9"/>
    </row>
    <row r="30" spans="1:10" s="7" customFormat="1" ht="15" customHeight="1" x14ac:dyDescent="0.15">
      <c r="A30" s="8" t="s">
        <v>13</v>
      </c>
      <c r="B30" s="151">
        <v>0</v>
      </c>
      <c r="C30" s="151">
        <v>0</v>
      </c>
      <c r="D30" s="151">
        <v>0</v>
      </c>
      <c r="E30" s="151">
        <v>0</v>
      </c>
      <c r="F30" s="9"/>
    </row>
    <row r="31" spans="1:10" s="7" customFormat="1" ht="26" customHeight="1" x14ac:dyDescent="0.15">
      <c r="A31" s="8" t="s">
        <v>151</v>
      </c>
      <c r="B31" s="151">
        <v>48914</v>
      </c>
      <c r="C31" s="151">
        <v>50503</v>
      </c>
      <c r="D31" s="151">
        <v>54490</v>
      </c>
      <c r="E31" s="151">
        <v>53325</v>
      </c>
      <c r="F31" s="9"/>
    </row>
    <row r="32" spans="1:10" s="7" customFormat="1" ht="15" customHeight="1" thickBot="1" x14ac:dyDescent="0.2">
      <c r="A32" s="13" t="s">
        <v>31</v>
      </c>
      <c r="B32" s="154">
        <f t="shared" ref="B32:C32" si="2">SUM(B26:B31)</f>
        <v>258578</v>
      </c>
      <c r="C32" s="154">
        <f t="shared" si="2"/>
        <v>248028</v>
      </c>
      <c r="D32" s="154">
        <f>SUM(D26:D31)</f>
        <v>258549</v>
      </c>
      <c r="E32" s="154">
        <f>SUM(E26:E31)</f>
        <v>287912</v>
      </c>
      <c r="F32" s="9"/>
    </row>
    <row r="33" spans="1:9" s="7" customFormat="1" ht="15" customHeight="1" thickTop="1" x14ac:dyDescent="0.15">
      <c r="A33" s="14" t="s">
        <v>30</v>
      </c>
      <c r="B33" s="151"/>
      <c r="C33" s="151"/>
      <c r="D33" s="151"/>
      <c r="E33" s="151"/>
      <c r="F33" s="16"/>
    </row>
    <row r="34" spans="1:9" s="7" customFormat="1" ht="15" customHeight="1" x14ac:dyDescent="0.15">
      <c r="A34" s="8" t="s">
        <v>29</v>
      </c>
      <c r="B34" s="151">
        <v>0</v>
      </c>
      <c r="C34" s="151">
        <v>0</v>
      </c>
      <c r="D34" s="151">
        <v>0</v>
      </c>
      <c r="E34" s="151">
        <v>0</v>
      </c>
      <c r="F34" s="9"/>
    </row>
    <row r="35" spans="1:9" s="7" customFormat="1" ht="47" customHeight="1" x14ac:dyDescent="0.15">
      <c r="A35" s="8" t="s">
        <v>162</v>
      </c>
      <c r="B35" s="151">
        <v>40201</v>
      </c>
      <c r="C35" s="151">
        <v>45174</v>
      </c>
      <c r="D35" s="151">
        <v>50779</v>
      </c>
      <c r="E35" s="151">
        <v>57365</v>
      </c>
      <c r="F35" s="9"/>
    </row>
    <row r="36" spans="1:9" s="7" customFormat="1" ht="15" customHeight="1" x14ac:dyDescent="0.15">
      <c r="A36" s="8" t="s">
        <v>28</v>
      </c>
      <c r="B36" s="151">
        <v>0</v>
      </c>
      <c r="C36" s="151">
        <v>0</v>
      </c>
      <c r="D36" s="151">
        <v>0</v>
      </c>
      <c r="E36" s="151">
        <v>0</v>
      </c>
      <c r="F36" s="9"/>
    </row>
    <row r="37" spans="1:9" s="7" customFormat="1" ht="15" customHeight="1" x14ac:dyDescent="0.15">
      <c r="A37" s="8" t="s">
        <v>27</v>
      </c>
      <c r="B37" s="151">
        <v>70400</v>
      </c>
      <c r="C37" s="151">
        <v>45898</v>
      </c>
      <c r="D37" s="151">
        <v>14966</v>
      </c>
      <c r="E37" s="151">
        <v>5562</v>
      </c>
      <c r="F37" s="9"/>
    </row>
    <row r="38" spans="1:9" s="7" customFormat="1" ht="15" customHeight="1" x14ac:dyDescent="0.15">
      <c r="A38" s="8" t="s">
        <v>147</v>
      </c>
      <c r="B38" s="151">
        <v>0</v>
      </c>
      <c r="C38" s="151">
        <v>0</v>
      </c>
      <c r="D38" s="151">
        <v>0</v>
      </c>
      <c r="E38" s="151">
        <v>0</v>
      </c>
      <c r="F38" s="9"/>
    </row>
    <row r="39" spans="1:9" s="7" customFormat="1" ht="15" customHeight="1" x14ac:dyDescent="0.15">
      <c r="A39" s="8" t="s">
        <v>161</v>
      </c>
      <c r="B39" s="151">
        <v>0</v>
      </c>
      <c r="C39" s="151">
        <v>0</v>
      </c>
      <c r="D39" s="151">
        <v>0</v>
      </c>
      <c r="E39" s="151">
        <v>0</v>
      </c>
      <c r="F39" s="9"/>
    </row>
    <row r="40" spans="1:9" s="7" customFormat="1" ht="15" customHeight="1" x14ac:dyDescent="0.2">
      <c r="A40" s="8" t="s">
        <v>146</v>
      </c>
      <c r="B40" s="151">
        <v>-3454</v>
      </c>
      <c r="C40" s="151">
        <v>-584</v>
      </c>
      <c r="D40" s="151">
        <v>-406</v>
      </c>
      <c r="E40" s="151">
        <v>163</v>
      </c>
      <c r="F40" s="9"/>
      <c r="H40" s="2"/>
      <c r="I40" s="140"/>
    </row>
    <row r="41" spans="1:9" s="7" customFormat="1" ht="15" customHeight="1" x14ac:dyDescent="0.2">
      <c r="A41" s="17" t="s">
        <v>26</v>
      </c>
      <c r="B41" s="155">
        <f t="shared" ref="B41:C41" si="3">SUM(B34:B40)</f>
        <v>107147</v>
      </c>
      <c r="C41" s="155">
        <f t="shared" si="3"/>
        <v>90488</v>
      </c>
      <c r="D41" s="155">
        <f>SUM(D34:D40)</f>
        <v>65339</v>
      </c>
      <c r="E41" s="155">
        <f>SUM(E34:E40)</f>
        <v>63090</v>
      </c>
      <c r="F41" s="9"/>
      <c r="I41" s="140"/>
    </row>
    <row r="42" spans="1:9" s="7" customFormat="1" ht="15" customHeight="1" thickBot="1" x14ac:dyDescent="0.2">
      <c r="A42" s="13" t="s">
        <v>25</v>
      </c>
      <c r="B42" s="154">
        <f t="shared" ref="B42:C42" si="4">B32+B41</f>
        <v>365725</v>
      </c>
      <c r="C42" s="154">
        <f t="shared" si="4"/>
        <v>338516</v>
      </c>
      <c r="D42" s="154">
        <f>D32+D41</f>
        <v>323888</v>
      </c>
      <c r="E42" s="154">
        <f>E32+E41</f>
        <v>351002</v>
      </c>
      <c r="F42" s="9"/>
    </row>
    <row r="43" spans="1:9" s="7" customFormat="1" ht="15" customHeight="1" thickTop="1" x14ac:dyDescent="0.15">
      <c r="B43" s="156"/>
      <c r="C43" s="156"/>
      <c r="D43" s="156"/>
      <c r="E43" s="156"/>
      <c r="F43" s="9"/>
    </row>
    <row r="44" spans="1:9" s="7" customFormat="1" ht="13" x14ac:dyDescent="0.15">
      <c r="A44" s="18" t="s">
        <v>24</v>
      </c>
      <c r="B44" s="150"/>
      <c r="C44" s="150"/>
      <c r="D44" s="150"/>
      <c r="E44" s="150" t="s">
        <v>2</v>
      </c>
    </row>
    <row r="45" spans="1:9" s="2" customFormat="1" ht="15" customHeight="1" x14ac:dyDescent="0.15">
      <c r="A45" s="3" t="s">
        <v>3</v>
      </c>
      <c r="B45" s="145">
        <f t="shared" ref="B45:C45" si="5">B5</f>
        <v>43372</v>
      </c>
      <c r="C45" s="145">
        <f t="shared" si="5"/>
        <v>43736</v>
      </c>
      <c r="D45" s="145">
        <f>D5</f>
        <v>44100</v>
      </c>
      <c r="E45" s="145">
        <f>E5</f>
        <v>44464</v>
      </c>
      <c r="F45" s="4"/>
      <c r="H45" s="7"/>
      <c r="I45" s="7"/>
    </row>
    <row r="46" spans="1:9" s="7" customFormat="1" ht="15" customHeight="1" x14ac:dyDescent="0.15">
      <c r="A46" s="8" t="s">
        <v>23</v>
      </c>
      <c r="B46" s="151">
        <v>265595</v>
      </c>
      <c r="C46" s="151">
        <v>260174</v>
      </c>
      <c r="D46" s="151">
        <v>274515</v>
      </c>
      <c r="E46" s="151">
        <v>365817</v>
      </c>
      <c r="F46" s="9"/>
    </row>
    <row r="47" spans="1:9" s="7" customFormat="1" ht="15" customHeight="1" x14ac:dyDescent="0.15">
      <c r="A47" s="8" t="s">
        <v>169</v>
      </c>
      <c r="B47" s="151">
        <f>163756-B52</f>
        <v>163619</v>
      </c>
      <c r="C47" s="151">
        <f>161782-C52</f>
        <v>150349</v>
      </c>
      <c r="D47" s="151">
        <f>169559-11056</f>
        <v>158503</v>
      </c>
      <c r="E47" s="151">
        <f>212981-11284</f>
        <v>201697</v>
      </c>
      <c r="F47" s="130"/>
    </row>
    <row r="48" spans="1:9" s="7" customFormat="1" ht="15" customHeight="1" thickBot="1" x14ac:dyDescent="0.2">
      <c r="A48" s="13" t="s">
        <v>22</v>
      </c>
      <c r="B48" s="157">
        <f t="shared" ref="B48:C48" si="6">B46-B47</f>
        <v>101976</v>
      </c>
      <c r="C48" s="157">
        <f t="shared" si="6"/>
        <v>109825</v>
      </c>
      <c r="D48" s="157">
        <f>D46-D47</f>
        <v>116012</v>
      </c>
      <c r="E48" s="157">
        <f>E46-E47</f>
        <v>164120</v>
      </c>
      <c r="F48" s="9"/>
    </row>
    <row r="49" spans="1:9" s="7" customFormat="1" ht="15" customHeight="1" thickTop="1" x14ac:dyDescent="0.15">
      <c r="A49" s="8" t="s">
        <v>21</v>
      </c>
      <c r="B49" s="151">
        <v>16705</v>
      </c>
      <c r="C49" s="151">
        <v>18245</v>
      </c>
      <c r="D49" s="151">
        <v>19916</v>
      </c>
      <c r="E49" s="151">
        <v>21973</v>
      </c>
      <c r="F49" s="9"/>
    </row>
    <row r="50" spans="1:9" s="7" customFormat="1" ht="15" customHeight="1" x14ac:dyDescent="0.15">
      <c r="A50" s="8" t="s">
        <v>149</v>
      </c>
      <c r="B50" s="151">
        <v>14236</v>
      </c>
      <c r="C50" s="151">
        <v>16217</v>
      </c>
      <c r="D50" s="151">
        <v>18752</v>
      </c>
      <c r="E50" s="151">
        <v>21914</v>
      </c>
      <c r="F50" s="9"/>
    </row>
    <row r="51" spans="1:9" s="7" customFormat="1" ht="15" customHeight="1" x14ac:dyDescent="0.15">
      <c r="A51" s="8" t="s">
        <v>20</v>
      </c>
      <c r="B51" s="151">
        <f>B48-B49-B50</f>
        <v>71035</v>
      </c>
      <c r="C51" s="151">
        <f>C48-C49-C50</f>
        <v>75363</v>
      </c>
      <c r="D51" s="151">
        <f>D48-D49-D50</f>
        <v>77344</v>
      </c>
      <c r="E51" s="151">
        <f>E48-E49-E50</f>
        <v>120233</v>
      </c>
      <c r="F51" s="9"/>
    </row>
    <row r="52" spans="1:9" s="7" customFormat="1" ht="15" customHeight="1" x14ac:dyDescent="0.15">
      <c r="A52" s="8" t="s">
        <v>19</v>
      </c>
      <c r="B52" s="151">
        <v>137</v>
      </c>
      <c r="C52" s="151">
        <v>11433</v>
      </c>
      <c r="D52" s="151">
        <v>11056</v>
      </c>
      <c r="E52" s="151">
        <v>11284</v>
      </c>
      <c r="F52" s="9"/>
    </row>
    <row r="53" spans="1:9" s="7" customFormat="1" ht="15" customHeight="1" thickBot="1" x14ac:dyDescent="0.2">
      <c r="A53" s="11" t="s">
        <v>18</v>
      </c>
      <c r="B53" s="154">
        <f t="shared" ref="B53:C53" si="7">B51-B52</f>
        <v>70898</v>
      </c>
      <c r="C53" s="154">
        <f t="shared" si="7"/>
        <v>63930</v>
      </c>
      <c r="D53" s="154">
        <f>D51-D52</f>
        <v>66288</v>
      </c>
      <c r="E53" s="154">
        <f>E51-E52</f>
        <v>108949</v>
      </c>
      <c r="F53" s="9"/>
      <c r="G53" s="130"/>
    </row>
    <row r="54" spans="1:9" s="7" customFormat="1" ht="15" customHeight="1" thickTop="1" x14ac:dyDescent="0.15">
      <c r="A54" s="8" t="s">
        <v>17</v>
      </c>
      <c r="B54" s="151">
        <f>3240-5686</f>
        <v>-2446</v>
      </c>
      <c r="C54" s="151">
        <f>3576-4961</f>
        <v>-1385</v>
      </c>
      <c r="D54" s="151">
        <f>2873-3763</f>
        <v>-890</v>
      </c>
      <c r="E54" s="151">
        <f>2645-2843</f>
        <v>-198</v>
      </c>
      <c r="F54" s="9"/>
    </row>
    <row r="55" spans="1:9" s="7" customFormat="1" ht="15" customHeight="1" x14ac:dyDescent="0.15">
      <c r="A55" s="8" t="s">
        <v>96</v>
      </c>
      <c r="B55" s="151">
        <v>-441</v>
      </c>
      <c r="C55" s="151">
        <v>422</v>
      </c>
      <c r="D55" s="151">
        <v>-87</v>
      </c>
      <c r="E55" s="151">
        <v>60</v>
      </c>
      <c r="F55" s="9"/>
    </row>
    <row r="56" spans="1:9" s="7" customFormat="1" ht="15" customHeight="1" x14ac:dyDescent="0.15">
      <c r="A56" s="8" t="s">
        <v>16</v>
      </c>
      <c r="B56" s="151">
        <v>0</v>
      </c>
      <c r="C56" s="151">
        <v>0</v>
      </c>
      <c r="D56" s="151">
        <v>0</v>
      </c>
      <c r="E56" s="151">
        <v>0</v>
      </c>
      <c r="F56" s="9"/>
    </row>
    <row r="57" spans="1:9" s="7" customFormat="1" ht="15" customHeight="1" thickBot="1" x14ac:dyDescent="0.2">
      <c r="A57" s="13" t="s">
        <v>15</v>
      </c>
      <c r="B57" s="158">
        <f t="shared" ref="B57:C57" si="8">B53-B54+B55-B56</f>
        <v>72903</v>
      </c>
      <c r="C57" s="158">
        <f t="shared" si="8"/>
        <v>65737</v>
      </c>
      <c r="D57" s="158">
        <f>D53-D54+D55-D56</f>
        <v>67091</v>
      </c>
      <c r="E57" s="158">
        <f>E53-E54+E55-E56</f>
        <v>109207</v>
      </c>
      <c r="F57" s="9"/>
    </row>
    <row r="58" spans="1:9" s="7" customFormat="1" ht="15" customHeight="1" thickTop="1" x14ac:dyDescent="0.15">
      <c r="A58" s="8" t="s">
        <v>14</v>
      </c>
      <c r="B58" s="151">
        <v>13372</v>
      </c>
      <c r="C58" s="151">
        <v>10481</v>
      </c>
      <c r="D58" s="151">
        <v>9680</v>
      </c>
      <c r="E58" s="151">
        <v>14527</v>
      </c>
      <c r="F58" s="9"/>
    </row>
    <row r="59" spans="1:9" s="7" customFormat="1" ht="15" customHeight="1" x14ac:dyDescent="0.15">
      <c r="A59" s="8" t="s">
        <v>13</v>
      </c>
      <c r="B59" s="151">
        <v>0</v>
      </c>
      <c r="C59" s="151">
        <v>0</v>
      </c>
      <c r="D59" s="151">
        <v>0</v>
      </c>
      <c r="E59" s="151">
        <v>0</v>
      </c>
      <c r="F59" s="9"/>
    </row>
    <row r="60" spans="1:9" s="7" customFormat="1" ht="15" customHeight="1" x14ac:dyDescent="0.15">
      <c r="A60" s="8" t="s">
        <v>12</v>
      </c>
      <c r="B60" s="151">
        <v>0</v>
      </c>
      <c r="C60" s="151">
        <v>0</v>
      </c>
      <c r="D60" s="151">
        <v>0</v>
      </c>
      <c r="E60" s="151">
        <v>0</v>
      </c>
      <c r="F60" s="9"/>
    </row>
    <row r="61" spans="1:9" s="7" customFormat="1" ht="15" customHeight="1" x14ac:dyDescent="0.15">
      <c r="A61" s="8" t="s">
        <v>11</v>
      </c>
      <c r="B61" s="151">
        <v>0</v>
      </c>
      <c r="C61" s="151">
        <v>0</v>
      </c>
      <c r="D61" s="151">
        <v>0</v>
      </c>
      <c r="E61" s="151">
        <v>0</v>
      </c>
      <c r="F61" s="9"/>
    </row>
    <row r="62" spans="1:9" s="7" customFormat="1" ht="15" customHeight="1" thickBot="1" x14ac:dyDescent="0.2">
      <c r="A62" s="13" t="s">
        <v>10</v>
      </c>
      <c r="B62" s="157">
        <f t="shared" ref="B62:C62" si="9">B57-SUM(B58:B60)+B61</f>
        <v>59531</v>
      </c>
      <c r="C62" s="157">
        <f t="shared" si="9"/>
        <v>55256</v>
      </c>
      <c r="D62" s="157">
        <f>D57-SUM(D58:D60)+D61</f>
        <v>57411</v>
      </c>
      <c r="E62" s="157">
        <f>E57-SUM(E58:E60)+E61</f>
        <v>94680</v>
      </c>
      <c r="F62" s="9"/>
      <c r="G62" s="121"/>
      <c r="H62" s="21"/>
      <c r="I62" s="21"/>
    </row>
    <row r="63" spans="1:9" s="7" customFormat="1" ht="15" customHeight="1" thickTop="1" x14ac:dyDescent="0.15">
      <c r="A63" s="8" t="s">
        <v>9</v>
      </c>
      <c r="B63" s="151">
        <v>0</v>
      </c>
      <c r="C63" s="151">
        <v>0</v>
      </c>
      <c r="D63" s="151">
        <v>0</v>
      </c>
      <c r="E63" s="151">
        <v>0</v>
      </c>
      <c r="F63" s="9"/>
      <c r="H63" s="21"/>
      <c r="I63" s="21"/>
    </row>
    <row r="64" spans="1:9" s="7" customFormat="1" ht="15" customHeight="1" x14ac:dyDescent="0.15">
      <c r="A64" s="8" t="s">
        <v>165</v>
      </c>
      <c r="B64" s="151">
        <f t="shared" ref="B64:C64" si="10">B62-B63</f>
        <v>59531</v>
      </c>
      <c r="C64" s="151">
        <f t="shared" si="10"/>
        <v>55256</v>
      </c>
      <c r="D64" s="151">
        <f>D62-D63</f>
        <v>57411</v>
      </c>
      <c r="E64" s="151">
        <f>E62-E63</f>
        <v>94680</v>
      </c>
      <c r="F64" s="9"/>
    </row>
    <row r="65" spans="1:9" s="7" customFormat="1" ht="15" customHeight="1" x14ac:dyDescent="0.15">
      <c r="A65" s="14" t="s">
        <v>8</v>
      </c>
      <c r="B65" s="156"/>
      <c r="C65" s="156"/>
      <c r="D65" s="156"/>
      <c r="E65" s="156"/>
      <c r="F65" s="16"/>
    </row>
    <row r="66" spans="1:9" s="7" customFormat="1" ht="15" customHeight="1" x14ac:dyDescent="0.15">
      <c r="A66" s="19" t="s">
        <v>141</v>
      </c>
      <c r="B66" s="159">
        <v>12.01</v>
      </c>
      <c r="C66" s="159">
        <v>11.97</v>
      </c>
      <c r="D66" s="159">
        <v>3.31</v>
      </c>
      <c r="E66" s="159">
        <v>5.67</v>
      </c>
      <c r="F66" s="20"/>
    </row>
    <row r="67" spans="1:9" s="21" customFormat="1" ht="15" customHeight="1" x14ac:dyDescent="0.15">
      <c r="A67" s="19" t="s">
        <v>142</v>
      </c>
      <c r="B67" s="159">
        <v>11.91</v>
      </c>
      <c r="C67" s="159">
        <v>11.89</v>
      </c>
      <c r="D67" s="159">
        <v>3.28</v>
      </c>
      <c r="E67" s="159">
        <v>5.61</v>
      </c>
      <c r="F67" s="20"/>
      <c r="G67" s="7"/>
      <c r="H67" s="7"/>
      <c r="I67" s="7"/>
    </row>
    <row r="68" spans="1:9" s="21" customFormat="1" ht="15" customHeight="1" x14ac:dyDescent="0.15">
      <c r="A68" s="8" t="s">
        <v>7</v>
      </c>
      <c r="B68" s="156"/>
      <c r="C68" s="156"/>
      <c r="D68" s="156"/>
      <c r="E68" s="156"/>
      <c r="F68" s="16"/>
      <c r="H68" s="16"/>
      <c r="I68" s="16"/>
    </row>
    <row r="69" spans="1:9" s="7" customFormat="1" ht="15" customHeight="1" x14ac:dyDescent="0.15">
      <c r="A69" s="8" t="s">
        <v>6</v>
      </c>
      <c r="B69" s="151">
        <f>4955377/1000</f>
        <v>4955.3770000000004</v>
      </c>
      <c r="C69" s="151">
        <f>4617834/1000</f>
        <v>4617.8339999999998</v>
      </c>
      <c r="D69" s="151">
        <f>17352119/1000</f>
        <v>17352.118999999999</v>
      </c>
      <c r="E69" s="151">
        <f>16701272/1000</f>
        <v>16701.272000000001</v>
      </c>
      <c r="F69" s="9"/>
      <c r="H69" s="16"/>
      <c r="I69" s="16"/>
    </row>
    <row r="70" spans="1:9" s="7" customFormat="1" ht="15" customHeight="1" x14ac:dyDescent="0.15">
      <c r="A70" s="8" t="s">
        <v>5</v>
      </c>
      <c r="B70" s="151">
        <f>5000109/1000</f>
        <v>5000.1090000000004</v>
      </c>
      <c r="C70" s="151">
        <f>4648913/1000</f>
        <v>4648.9129999999996</v>
      </c>
      <c r="D70" s="151">
        <f>17528214/1000</f>
        <v>17528.214</v>
      </c>
      <c r="E70" s="151">
        <f>16864919/1000</f>
        <v>16864.919000000002</v>
      </c>
      <c r="F70" s="9"/>
      <c r="H70" s="16"/>
      <c r="I70" s="16"/>
    </row>
    <row r="71" spans="1:9" s="7" customFormat="1" ht="15" customHeight="1" x14ac:dyDescent="0.15">
      <c r="A71" s="8" t="s">
        <v>4</v>
      </c>
      <c r="B71" s="151">
        <f>4745398000/1000/1000</f>
        <v>4745.3980000000001</v>
      </c>
      <c r="C71" s="151">
        <f>4443265000/1000/1000</f>
        <v>4443.2650000000003</v>
      </c>
      <c r="D71" s="151">
        <f>17001802/1000</f>
        <v>17001.802</v>
      </c>
      <c r="E71" s="151">
        <f>16406397/1000</f>
        <v>16406.397000000001</v>
      </c>
      <c r="F71" s="9"/>
      <c r="H71" s="16"/>
      <c r="I71" s="16"/>
    </row>
    <row r="72" spans="1:9" s="7" customFormat="1" ht="15" customHeight="1" x14ac:dyDescent="0.15">
      <c r="C72" s="8"/>
      <c r="D72" s="22"/>
      <c r="E72" s="22"/>
      <c r="F72" s="23"/>
      <c r="H72" s="16"/>
      <c r="I72" s="16"/>
    </row>
  </sheetData>
  <phoneticPr fontId="10" type="noConversion"/>
  <hyperlinks>
    <hyperlink ref="I6" r:id="rId1" xr:uid="{064AE2EB-C8C9-2546-B26C-83748E92CFAC}"/>
  </hyperlinks>
  <printOptions headings="1" gridLines="1"/>
  <pageMargins left="0.75" right="0.75" top="1" bottom="1" header="0.5" footer="0.5"/>
  <pageSetup scale="33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G23"/>
  <sheetViews>
    <sheetView zoomScale="131" zoomScaleNormal="184" workbookViewId="0">
      <selection activeCell="B6" sqref="B6"/>
    </sheetView>
  </sheetViews>
  <sheetFormatPr baseColWidth="10" defaultColWidth="9.25" defaultRowHeight="13" x14ac:dyDescent="0.15"/>
  <cols>
    <col min="1" max="1" width="52" style="80" bestFit="1" customWidth="1"/>
    <col min="2" max="2" width="12.25" style="80" bestFit="1" customWidth="1"/>
    <col min="3" max="3" width="14.25" style="80" customWidth="1"/>
    <col min="4" max="7" width="13.75" style="80" bestFit="1" customWidth="1"/>
    <col min="8" max="16384" width="9.25" style="80"/>
  </cols>
  <sheetData>
    <row r="1" spans="1:7" ht="14" thickBot="1" x14ac:dyDescent="0.2">
      <c r="A1" s="75" t="s">
        <v>67</v>
      </c>
      <c r="B1" s="79"/>
      <c r="C1" s="79"/>
      <c r="D1" s="79"/>
      <c r="E1" s="79"/>
      <c r="F1" s="79"/>
      <c r="G1" s="120" t="s">
        <v>148</v>
      </c>
    </row>
    <row r="3" spans="1:7" x14ac:dyDescent="0.15">
      <c r="B3" s="105" t="s">
        <v>97</v>
      </c>
      <c r="C3" s="81" t="s">
        <v>98</v>
      </c>
      <c r="D3" s="81"/>
      <c r="E3" s="81"/>
      <c r="F3" s="81"/>
      <c r="G3" s="81"/>
    </row>
    <row r="4" spans="1:7" x14ac:dyDescent="0.15">
      <c r="B4" s="46">
        <f>'Historical Financials'!E5</f>
        <v>44464</v>
      </c>
      <c r="C4" s="32">
        <f>B4+365</f>
        <v>44829</v>
      </c>
      <c r="D4" s="32">
        <f>C4+365</f>
        <v>45194</v>
      </c>
      <c r="E4" s="32">
        <f>D4+366</f>
        <v>45560</v>
      </c>
      <c r="F4" s="32">
        <f>E4+365</f>
        <v>45925</v>
      </c>
      <c r="G4" s="32">
        <f>F4+365</f>
        <v>46290</v>
      </c>
    </row>
    <row r="5" spans="1:7" x14ac:dyDescent="0.15">
      <c r="A5" s="34" t="s">
        <v>0</v>
      </c>
      <c r="B5" s="43">
        <f>('Historical Financials'!E46/'Historical Financials'!B46-1)/3</f>
        <v>0.1257829903926404</v>
      </c>
      <c r="C5" s="45">
        <f>B5</f>
        <v>0.1257829903926404</v>
      </c>
      <c r="D5" s="42">
        <f t="shared" ref="D5:G15" si="0">C5</f>
        <v>0.1257829903926404</v>
      </c>
      <c r="E5" s="42">
        <f t="shared" si="0"/>
        <v>0.1257829903926404</v>
      </c>
      <c r="F5" s="42">
        <f t="shared" si="0"/>
        <v>0.1257829903926404</v>
      </c>
      <c r="G5" s="42">
        <f t="shared" si="0"/>
        <v>0.1257829903926404</v>
      </c>
    </row>
    <row r="6" spans="1:7" x14ac:dyDescent="0.15">
      <c r="A6" s="27" t="s">
        <v>143</v>
      </c>
      <c r="B6" s="41">
        <f>1-'Historical Financials'!E47/'Historical Financials'!E46</f>
        <v>0.44863962035662641</v>
      </c>
      <c r="C6" s="45">
        <f>B6</f>
        <v>0.44863962035662641</v>
      </c>
      <c r="D6" s="42">
        <f t="shared" si="0"/>
        <v>0.44863962035662641</v>
      </c>
      <c r="E6" s="42">
        <f t="shared" si="0"/>
        <v>0.44863962035662641</v>
      </c>
      <c r="F6" s="42">
        <f t="shared" si="0"/>
        <v>0.44863962035662641</v>
      </c>
      <c r="G6" s="42">
        <f t="shared" si="0"/>
        <v>0.44863962035662641</v>
      </c>
    </row>
    <row r="7" spans="1:7" x14ac:dyDescent="0.15">
      <c r="A7" s="27" t="s">
        <v>66</v>
      </c>
      <c r="B7" s="41">
        <f>'Historical Financials'!E49/'Historical Financials'!E46</f>
        <v>6.006555190163388E-2</v>
      </c>
      <c r="C7" s="45">
        <f>B7</f>
        <v>6.006555190163388E-2</v>
      </c>
      <c r="D7" s="45">
        <f t="shared" si="0"/>
        <v>6.006555190163388E-2</v>
      </c>
      <c r="E7" s="45">
        <f t="shared" si="0"/>
        <v>6.006555190163388E-2</v>
      </c>
      <c r="F7" s="45">
        <f t="shared" si="0"/>
        <v>6.006555190163388E-2</v>
      </c>
      <c r="G7" s="45">
        <f t="shared" si="0"/>
        <v>6.006555190163388E-2</v>
      </c>
    </row>
    <row r="8" spans="1:7" x14ac:dyDescent="0.15">
      <c r="A8" s="27" t="s">
        <v>65</v>
      </c>
      <c r="B8" s="41">
        <f>(('Historical Financials'!E52/'Historical Financials'!D13)+('Historical Financials'!D52/'Historical Financials'!C13)+('Historical Financials'!C52/'Historical Financials'!B13))/3</f>
        <v>0.29316808057525701</v>
      </c>
      <c r="C8" s="45">
        <f>B8</f>
        <v>0.29316808057525701</v>
      </c>
      <c r="D8" s="45">
        <f t="shared" si="0"/>
        <v>0.29316808057525701</v>
      </c>
      <c r="E8" s="45">
        <f t="shared" si="0"/>
        <v>0.29316808057525701</v>
      </c>
      <c r="F8" s="45">
        <f t="shared" si="0"/>
        <v>0.29316808057525701</v>
      </c>
      <c r="G8" s="45">
        <f t="shared" si="0"/>
        <v>0.29316808057525701</v>
      </c>
    </row>
    <row r="9" spans="1:7" x14ac:dyDescent="0.15">
      <c r="A9" s="27" t="s">
        <v>134</v>
      </c>
      <c r="B9" s="41">
        <f>(('Historical Financials'!E55/'Historical Financials'!D7)+('Historical Financials'!D55/'Historical Financials'!C7)+('Historical Financials'!C55/'Historical Financials'!B7))/3</f>
        <v>5.3607880498040576E-3</v>
      </c>
      <c r="C9" s="45">
        <f t="shared" ref="C9:C16" si="1">B9</f>
        <v>5.3607880498040576E-3</v>
      </c>
      <c r="D9" s="45">
        <f t="shared" si="0"/>
        <v>5.3607880498040576E-3</v>
      </c>
      <c r="E9" s="45">
        <f t="shared" si="0"/>
        <v>5.3607880498040576E-3</v>
      </c>
      <c r="F9" s="45">
        <f t="shared" si="0"/>
        <v>5.3607880498040576E-3</v>
      </c>
      <c r="G9" s="45">
        <f t="shared" si="0"/>
        <v>5.3607880498040576E-3</v>
      </c>
    </row>
    <row r="10" spans="1:7" x14ac:dyDescent="0.15">
      <c r="A10" s="27" t="s">
        <v>64</v>
      </c>
      <c r="B10" s="123">
        <f>(13.3%+14.4%+15.9%+18.3%)/4</f>
        <v>0.15475</v>
      </c>
      <c r="C10" s="45">
        <f t="shared" si="1"/>
        <v>0.15475</v>
      </c>
      <c r="D10" s="45">
        <f t="shared" si="0"/>
        <v>0.15475</v>
      </c>
      <c r="E10" s="45">
        <f t="shared" si="0"/>
        <v>0.15475</v>
      </c>
      <c r="F10" s="45">
        <f t="shared" si="0"/>
        <v>0.15475</v>
      </c>
      <c r="G10" s="45">
        <f t="shared" si="0"/>
        <v>0.15475</v>
      </c>
    </row>
    <row r="11" spans="1:7" x14ac:dyDescent="0.15">
      <c r="A11" s="27" t="s">
        <v>63</v>
      </c>
      <c r="B11" s="41">
        <f>'Historical Financials'!E8/'Historical Financials'!E46</f>
        <v>0.14079717454355592</v>
      </c>
      <c r="C11" s="45">
        <f t="shared" si="1"/>
        <v>0.14079717454355592</v>
      </c>
      <c r="D11" s="45">
        <f t="shared" si="0"/>
        <v>0.14079717454355592</v>
      </c>
      <c r="E11" s="45">
        <f t="shared" si="0"/>
        <v>0.14079717454355592</v>
      </c>
      <c r="F11" s="45">
        <f t="shared" si="0"/>
        <v>0.14079717454355592</v>
      </c>
      <c r="G11" s="45">
        <f t="shared" si="0"/>
        <v>0.14079717454355592</v>
      </c>
    </row>
    <row r="12" spans="1:7" x14ac:dyDescent="0.15">
      <c r="A12" s="27" t="s">
        <v>62</v>
      </c>
      <c r="B12" s="41">
        <f>'Historical Financials'!E9/'Historical Financials'!E47</f>
        <v>3.2623192214063672E-2</v>
      </c>
      <c r="C12" s="45">
        <f t="shared" si="1"/>
        <v>3.2623192214063672E-2</v>
      </c>
      <c r="D12" s="45">
        <f t="shared" si="0"/>
        <v>3.2623192214063672E-2</v>
      </c>
      <c r="E12" s="45">
        <f t="shared" si="0"/>
        <v>3.2623192214063672E-2</v>
      </c>
      <c r="F12" s="45">
        <f t="shared" si="0"/>
        <v>3.2623192214063672E-2</v>
      </c>
      <c r="G12" s="45">
        <f t="shared" si="0"/>
        <v>3.2623192214063672E-2</v>
      </c>
    </row>
    <row r="13" spans="1:7" x14ac:dyDescent="0.15">
      <c r="A13" s="27" t="s">
        <v>61</v>
      </c>
      <c r="B13" s="41">
        <f>'Historical Financials'!E10/'Historical Financials'!E46</f>
        <v>0</v>
      </c>
      <c r="C13" s="45">
        <f t="shared" si="1"/>
        <v>0</v>
      </c>
      <c r="D13" s="45">
        <f t="shared" si="0"/>
        <v>0</v>
      </c>
      <c r="E13" s="45">
        <f t="shared" si="0"/>
        <v>0</v>
      </c>
      <c r="F13" s="45">
        <f t="shared" si="0"/>
        <v>0</v>
      </c>
      <c r="G13" s="45">
        <f t="shared" si="0"/>
        <v>0</v>
      </c>
    </row>
    <row r="14" spans="1:7" x14ac:dyDescent="0.15">
      <c r="A14" s="27" t="s">
        <v>60</v>
      </c>
      <c r="B14" s="41">
        <f>'Historical Financials'!E11/'Historical Financials'!E46</f>
        <v>0.11429211873696411</v>
      </c>
      <c r="C14" s="45">
        <f t="shared" si="1"/>
        <v>0.11429211873696411</v>
      </c>
      <c r="D14" s="45">
        <f t="shared" si="0"/>
        <v>0.11429211873696411</v>
      </c>
      <c r="E14" s="45">
        <f t="shared" si="0"/>
        <v>0.11429211873696411</v>
      </c>
      <c r="F14" s="45">
        <f t="shared" si="0"/>
        <v>0.11429211873696411</v>
      </c>
      <c r="G14" s="45">
        <f t="shared" si="0"/>
        <v>0.11429211873696411</v>
      </c>
    </row>
    <row r="15" spans="1:7" x14ac:dyDescent="0.15">
      <c r="A15" s="27" t="s">
        <v>59</v>
      </c>
      <c r="B15" s="41">
        <f>'Historical Financials'!E14/'Historical Financials'!E46</f>
        <v>0.3495654931290782</v>
      </c>
      <c r="C15" s="45">
        <f t="shared" si="1"/>
        <v>0.3495654931290782</v>
      </c>
      <c r="D15" s="45">
        <f t="shared" si="0"/>
        <v>0.3495654931290782</v>
      </c>
      <c r="E15" s="45">
        <f t="shared" si="0"/>
        <v>0.3495654931290782</v>
      </c>
      <c r="F15" s="45">
        <f t="shared" si="0"/>
        <v>0.3495654931290782</v>
      </c>
      <c r="G15" s="45">
        <f t="shared" si="0"/>
        <v>0.3495654931290782</v>
      </c>
    </row>
    <row r="16" spans="1:7" x14ac:dyDescent="0.15">
      <c r="A16" s="27" t="s">
        <v>58</v>
      </c>
      <c r="B16" s="134">
        <v>0.17699999999999999</v>
      </c>
      <c r="C16" s="45">
        <f t="shared" si="1"/>
        <v>0.17699999999999999</v>
      </c>
      <c r="D16" s="45">
        <f>C16</f>
        <v>0.17699999999999999</v>
      </c>
      <c r="E16" s="45">
        <f>D16</f>
        <v>0.17699999999999999</v>
      </c>
      <c r="F16" s="45">
        <f>E16</f>
        <v>0.17699999999999999</v>
      </c>
      <c r="G16" s="45">
        <f>F16</f>
        <v>0.17699999999999999</v>
      </c>
    </row>
    <row r="17" spans="1:7" x14ac:dyDescent="0.15">
      <c r="A17" s="27" t="s">
        <v>57</v>
      </c>
      <c r="B17" s="41">
        <f>'Historical Financials'!E16/'Historical Financials'!E46</f>
        <v>0</v>
      </c>
      <c r="C17" s="45">
        <f t="shared" ref="C17:G21" si="2">B17</f>
        <v>0</v>
      </c>
      <c r="D17" s="45">
        <f t="shared" si="2"/>
        <v>0</v>
      </c>
      <c r="E17" s="45">
        <f t="shared" si="2"/>
        <v>0</v>
      </c>
      <c r="F17" s="45">
        <f t="shared" si="2"/>
        <v>0</v>
      </c>
      <c r="G17" s="45">
        <f t="shared" si="2"/>
        <v>0</v>
      </c>
    </row>
    <row r="18" spans="1:7" x14ac:dyDescent="0.15">
      <c r="A18" s="27" t="s">
        <v>56</v>
      </c>
      <c r="B18" s="41">
        <f>'Historical Financials'!E17/'Historical Financials'!E13</f>
        <v>1.2385649087221096</v>
      </c>
      <c r="C18" s="45">
        <f t="shared" si="2"/>
        <v>1.2385649087221096</v>
      </c>
      <c r="D18" s="45">
        <f t="shared" si="2"/>
        <v>1.2385649087221096</v>
      </c>
      <c r="E18" s="45">
        <f t="shared" si="2"/>
        <v>1.2385649087221096</v>
      </c>
      <c r="F18" s="45">
        <f t="shared" si="2"/>
        <v>1.2385649087221096</v>
      </c>
      <c r="G18" s="45">
        <f t="shared" si="2"/>
        <v>1.2385649087221096</v>
      </c>
    </row>
    <row r="19" spans="1:7" x14ac:dyDescent="0.15">
      <c r="A19" s="27" t="s">
        <v>55</v>
      </c>
      <c r="B19" s="41">
        <f>('Historical Financials'!E20+'Historical Financials'!E28+'Historical Financials'!E22+'Historical Financials'!E23+'Historical Financials'!E25+'Historical Financials'!E31)/('Historical Financials'!E49+'Historical Financials'!E47)</f>
        <v>0.7296150578977959</v>
      </c>
      <c r="C19" s="45">
        <f t="shared" si="2"/>
        <v>0.7296150578977959</v>
      </c>
      <c r="D19" s="45">
        <f t="shared" si="2"/>
        <v>0.7296150578977959</v>
      </c>
      <c r="E19" s="45">
        <f t="shared" si="2"/>
        <v>0.7296150578977959</v>
      </c>
      <c r="F19" s="45">
        <f t="shared" si="2"/>
        <v>0.7296150578977959</v>
      </c>
      <c r="G19" s="45">
        <f t="shared" si="2"/>
        <v>0.7296150578977959</v>
      </c>
    </row>
    <row r="20" spans="1:7" x14ac:dyDescent="0.15">
      <c r="A20" s="27" t="s">
        <v>125</v>
      </c>
      <c r="B20" s="41">
        <f>('Historical Financials'!E54/('Historical Financials'!D27+'Historical Financials'!D24)+'Historical Financials'!D54/('Historical Financials'!C27+'Historical Financials'!C24)+'Historical Financials'!C54/('Historical Financials'!B27+'Historical Financials'!B24))/3</f>
        <v>-8.0241141499544973E-3</v>
      </c>
      <c r="C20" s="45">
        <f t="shared" si="2"/>
        <v>-8.0241141499544973E-3</v>
      </c>
      <c r="D20" s="45">
        <f t="shared" si="2"/>
        <v>-8.0241141499544973E-3</v>
      </c>
      <c r="E20" s="45">
        <f t="shared" si="2"/>
        <v>-8.0241141499544973E-3</v>
      </c>
      <c r="F20" s="45">
        <f t="shared" si="2"/>
        <v>-8.0241141499544973E-3</v>
      </c>
      <c r="G20" s="45">
        <f t="shared" si="2"/>
        <v>-8.0241141499544973E-3</v>
      </c>
    </row>
    <row r="21" spans="1:7" x14ac:dyDescent="0.15">
      <c r="A21" s="27" t="s">
        <v>54</v>
      </c>
      <c r="B21" s="123">
        <v>2.83967E-2</v>
      </c>
      <c r="C21" s="45">
        <f t="shared" si="2"/>
        <v>2.83967E-2</v>
      </c>
      <c r="D21" s="45">
        <f t="shared" si="2"/>
        <v>2.83967E-2</v>
      </c>
      <c r="E21" s="45">
        <f t="shared" si="2"/>
        <v>2.83967E-2</v>
      </c>
      <c r="F21" s="45">
        <f t="shared" si="2"/>
        <v>2.83967E-2</v>
      </c>
      <c r="G21" s="45">
        <f t="shared" si="2"/>
        <v>2.83967E-2</v>
      </c>
    </row>
    <row r="22" spans="1:7" x14ac:dyDescent="0.15">
      <c r="A22" s="31" t="s">
        <v>53</v>
      </c>
      <c r="B22" s="40" t="s">
        <v>2</v>
      </c>
      <c r="C22" s="122">
        <f>C21*Projections!C6</f>
        <v>11694.628755144144</v>
      </c>
      <c r="D22" s="25">
        <f>D21*Projections!D6</f>
        <v>13165.614131497936</v>
      </c>
      <c r="E22" s="25">
        <f>E21*Projections!E6</f>
        <v>14821.624447313352</v>
      </c>
      <c r="F22" s="25">
        <f>F21*Projections!F6</f>
        <v>16685.932692773091</v>
      </c>
      <c r="G22" s="25">
        <f>G21*Projections!G6</f>
        <v>18784.739204360416</v>
      </c>
    </row>
    <row r="23" spans="1:7" x14ac:dyDescent="0.15">
      <c r="A23" s="80" t="s">
        <v>129</v>
      </c>
      <c r="C23" s="124">
        <v>0.223</v>
      </c>
      <c r="D23" s="117">
        <f>C23</f>
        <v>0.223</v>
      </c>
      <c r="E23" s="117">
        <f>D23</f>
        <v>0.223</v>
      </c>
      <c r="F23" s="117">
        <f>E23</f>
        <v>0.223</v>
      </c>
      <c r="G23" s="117">
        <f>F23</f>
        <v>0.223</v>
      </c>
    </row>
  </sheetData>
  <phoneticPr fontId="10" type="noConversion"/>
  <pageMargins left="0.7" right="0.7" top="0.75" bottom="0.75" header="0.3" footer="0.3"/>
  <pageSetup orientation="portrait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M68"/>
  <sheetViews>
    <sheetView zoomScale="59" zoomScaleNormal="100" workbookViewId="0">
      <selection activeCell="B6" sqref="B6"/>
    </sheetView>
  </sheetViews>
  <sheetFormatPr baseColWidth="10" defaultColWidth="9.25" defaultRowHeight="13" x14ac:dyDescent="0.15"/>
  <cols>
    <col min="1" max="1" width="38.5" style="29" customWidth="1"/>
    <col min="2" max="2" width="21.5" style="29" customWidth="1"/>
    <col min="3" max="3" width="26.75" style="29" customWidth="1"/>
    <col min="4" max="4" width="22" style="29" customWidth="1"/>
    <col min="5" max="5" width="32.5" style="29" customWidth="1"/>
    <col min="6" max="6" width="27" style="29" customWidth="1"/>
    <col min="7" max="7" width="26.75" style="29" customWidth="1"/>
    <col min="8" max="13" width="15.75" style="29" customWidth="1"/>
    <col min="14" max="16384" width="9.25" style="27"/>
  </cols>
  <sheetData>
    <row r="1" spans="1:13" ht="14" thickBot="1" x14ac:dyDescent="0.2">
      <c r="A1" s="75" t="s">
        <v>123</v>
      </c>
      <c r="B1" s="76"/>
      <c r="C1" s="76"/>
      <c r="D1" s="76"/>
      <c r="E1" s="76"/>
      <c r="F1" s="76"/>
      <c r="G1" s="120" t="s">
        <v>148</v>
      </c>
    </row>
    <row r="3" spans="1:13" s="30" customFormat="1" ht="15" customHeight="1" x14ac:dyDescent="0.15">
      <c r="A3" s="57"/>
      <c r="B3" s="55" t="s">
        <v>97</v>
      </c>
      <c r="C3" s="54" t="str">
        <f>Assumptions!C3</f>
        <v>Projected for the Fiscal Year Ended</v>
      </c>
      <c r="D3" s="54"/>
      <c r="E3" s="54"/>
      <c r="F3" s="54"/>
      <c r="G3" s="54"/>
      <c r="H3" s="47"/>
      <c r="I3" s="51"/>
      <c r="J3" s="51"/>
      <c r="K3" s="51"/>
      <c r="L3" s="51"/>
      <c r="M3" s="51"/>
    </row>
    <row r="4" spans="1:13" ht="15" customHeight="1" x14ac:dyDescent="0.15">
      <c r="A4" s="52"/>
      <c r="B4" s="46">
        <f>Assumptions!B4</f>
        <v>44464</v>
      </c>
      <c r="C4" s="32">
        <f>Assumptions!C4</f>
        <v>44829</v>
      </c>
      <c r="D4" s="32">
        <f>Assumptions!D4</f>
        <v>45194</v>
      </c>
      <c r="E4" s="32">
        <f>Assumptions!E4</f>
        <v>45560</v>
      </c>
      <c r="F4" s="32">
        <f>Assumptions!F4</f>
        <v>45925</v>
      </c>
      <c r="G4" s="32">
        <f>Assumptions!G4</f>
        <v>46290</v>
      </c>
      <c r="H4" s="52"/>
      <c r="I4" s="51"/>
      <c r="J4" s="51"/>
      <c r="K4" s="51"/>
      <c r="L4" s="51"/>
      <c r="M4" s="51"/>
    </row>
    <row r="5" spans="1:13" ht="15" customHeight="1" x14ac:dyDescent="0.15">
      <c r="A5" s="26" t="s">
        <v>90</v>
      </c>
      <c r="B5" s="56"/>
      <c r="C5" s="29" t="s">
        <v>2</v>
      </c>
      <c r="D5" s="29" t="s">
        <v>2</v>
      </c>
      <c r="E5" s="29" t="s">
        <v>2</v>
      </c>
      <c r="F5" s="29" t="s">
        <v>2</v>
      </c>
      <c r="G5" s="29" t="s">
        <v>2</v>
      </c>
      <c r="H5" s="27"/>
      <c r="I5" s="51"/>
      <c r="J5" s="51"/>
      <c r="K5" s="51"/>
      <c r="L5" s="51"/>
      <c r="M5" s="51"/>
    </row>
    <row r="6" spans="1:13" ht="15" customHeight="1" x14ac:dyDescent="0.15">
      <c r="A6" s="29" t="s">
        <v>89</v>
      </c>
      <c r="B6" s="69">
        <f>'Historical Financials'!E46</f>
        <v>365817</v>
      </c>
      <c r="C6" s="70">
        <f>B6*(1+Assumptions!C5)</f>
        <v>411830.55619646452</v>
      </c>
      <c r="D6" s="70">
        <f>C6*(1+Assumptions!D5)</f>
        <v>463631.83508992015</v>
      </c>
      <c r="E6" s="70">
        <f>D6*(1+Assumptions!E5)</f>
        <v>521948.83374875784</v>
      </c>
      <c r="F6" s="70">
        <f>E6*(1+Assumptions!F5)</f>
        <v>587601.11888962775</v>
      </c>
      <c r="G6" s="70">
        <f>F6*(1+Assumptions!G5)</f>
        <v>661511.3447816266</v>
      </c>
      <c r="H6" s="51"/>
      <c r="I6" s="51"/>
      <c r="J6" s="51"/>
      <c r="K6" s="51"/>
      <c r="L6" s="51"/>
      <c r="M6" s="51"/>
    </row>
    <row r="7" spans="1:13" ht="15" customHeight="1" x14ac:dyDescent="0.15">
      <c r="A7" s="58" t="s">
        <v>126</v>
      </c>
      <c r="B7" s="69">
        <f>'Historical Financials'!E47</f>
        <v>201697</v>
      </c>
      <c r="C7" s="70">
        <f>C6*(1-Assumptions!C6)</f>
        <v>227067.05181322439</v>
      </c>
      <c r="D7" s="70">
        <f>D6*(1-Assumptions!D6)</f>
        <v>255628.22460993234</v>
      </c>
      <c r="E7" s="70">
        <f>E6*(1-Assumptions!E6)</f>
        <v>287781.90713013121</v>
      </c>
      <c r="F7" s="70">
        <f>F6*(1-Assumptions!F6)</f>
        <v>323979.97598985623</v>
      </c>
      <c r="G7" s="70">
        <f>G6*(1-Assumptions!G6)</f>
        <v>364731.14619719621</v>
      </c>
      <c r="H7" s="51"/>
      <c r="I7" s="51"/>
      <c r="J7" s="51"/>
      <c r="K7" s="51"/>
      <c r="L7" s="51"/>
      <c r="M7" s="51"/>
    </row>
    <row r="8" spans="1:13" ht="15" customHeight="1" x14ac:dyDescent="0.15">
      <c r="A8" s="58" t="s">
        <v>88</v>
      </c>
      <c r="B8" s="69">
        <f>'Historical Financials'!E49</f>
        <v>21973</v>
      </c>
      <c r="C8" s="70">
        <f>C6*Assumptions!C7</f>
        <v>24736.829647897488</v>
      </c>
      <c r="D8" s="70">
        <f>D6*Assumptions!D7</f>
        <v>27848.302053843359</v>
      </c>
      <c r="E8" s="70">
        <f>E6*Assumptions!E7</f>
        <v>31351.144763533288</v>
      </c>
      <c r="F8" s="70">
        <f>F6*Assumptions!F7</f>
        <v>35294.585504123075</v>
      </c>
      <c r="G8" s="70">
        <f>G6*Assumptions!G7</f>
        <v>39734.044013500417</v>
      </c>
      <c r="H8" s="51"/>
      <c r="I8" s="49"/>
      <c r="J8" s="49"/>
      <c r="K8" s="49"/>
      <c r="L8" s="49"/>
      <c r="M8" s="49"/>
    </row>
    <row r="9" spans="1:13" ht="15" customHeight="1" x14ac:dyDescent="0.15">
      <c r="A9" s="58" t="s">
        <v>87</v>
      </c>
      <c r="B9" s="71">
        <f>'Historical Financials'!E52</f>
        <v>11284</v>
      </c>
      <c r="C9" s="72">
        <f>Assumptions!C8*B26</f>
        <v>11562.549097888137</v>
      </c>
      <c r="D9" s="72">
        <f>Assumptions!D8*C26</f>
        <v>11601.270637488919</v>
      </c>
      <c r="E9" s="72">
        <f>Assumptions!E8*D26</f>
        <v>12059.886216987932</v>
      </c>
      <c r="F9" s="72">
        <f>Assumptions!F8*E26</f>
        <v>12869.539713023742</v>
      </c>
      <c r="G9" s="72">
        <f>Assumptions!G8*F26</f>
        <v>13988.384317617743</v>
      </c>
      <c r="H9" s="51"/>
      <c r="I9" s="27"/>
      <c r="J9" s="27"/>
      <c r="K9" s="27"/>
      <c r="L9" s="27"/>
      <c r="M9" s="27"/>
    </row>
    <row r="10" spans="1:13" ht="15" customHeight="1" x14ac:dyDescent="0.15">
      <c r="A10" s="59" t="s">
        <v>1</v>
      </c>
      <c r="B10" s="69">
        <f>B6-SUM(B7:B9)</f>
        <v>130863</v>
      </c>
      <c r="C10" s="25">
        <f t="shared" ref="C10:G10" si="0">C6-SUM(C7:C9)</f>
        <v>148464.1256374545</v>
      </c>
      <c r="D10" s="25">
        <f t="shared" si="0"/>
        <v>168554.03778865555</v>
      </c>
      <c r="E10" s="25">
        <f t="shared" si="0"/>
        <v>190755.8956381054</v>
      </c>
      <c r="F10" s="25">
        <f t="shared" si="0"/>
        <v>215457.01768262469</v>
      </c>
      <c r="G10" s="25">
        <f t="shared" si="0"/>
        <v>243057.77025331219</v>
      </c>
      <c r="H10" s="51"/>
      <c r="I10" s="51"/>
      <c r="J10" s="51"/>
      <c r="K10" s="51"/>
      <c r="L10" s="51"/>
      <c r="M10" s="51"/>
    </row>
    <row r="11" spans="1:13" ht="15" customHeight="1" x14ac:dyDescent="0.15">
      <c r="A11" s="48" t="s">
        <v>17</v>
      </c>
      <c r="B11" s="69">
        <f>'Historical Financials'!E54</f>
        <v>-198</v>
      </c>
      <c r="C11" s="25">
        <f>SUM(B36:B38)*Assumptions!C20</f>
        <v>-1000.759492668175</v>
      </c>
      <c r="D11" s="25">
        <f>SUM(C36:C38)*Assumptions!D20</f>
        <v>-1000.759492668175</v>
      </c>
      <c r="E11" s="25">
        <f>SUM(D36:D38)*Assumptions!E20</f>
        <v>-1000.759492668175</v>
      </c>
      <c r="F11" s="25">
        <f>SUM(E36:E38)*Assumptions!F20</f>
        <v>-1000.759492668175</v>
      </c>
      <c r="G11" s="25">
        <f>SUM(F36:F38)*Assumptions!G20</f>
        <v>-1000.759492668175</v>
      </c>
      <c r="H11" s="51"/>
      <c r="I11" s="51"/>
      <c r="J11" s="51"/>
      <c r="K11" s="51"/>
      <c r="L11" s="51"/>
      <c r="M11" s="51"/>
    </row>
    <row r="12" spans="1:13" ht="15" customHeight="1" x14ac:dyDescent="0.15">
      <c r="A12" s="27" t="s">
        <v>86</v>
      </c>
      <c r="B12" s="71">
        <f>'Historical Financials'!E55</f>
        <v>60</v>
      </c>
      <c r="C12" s="72">
        <f>Assumptions!C9*B20</f>
        <v>187.30593446015376</v>
      </c>
      <c r="D12" s="72">
        <f>Assumptions!D9*C20</f>
        <v>669.82821656250576</v>
      </c>
      <c r="E12" s="72">
        <f>Assumptions!E9*D20</f>
        <v>1202.4266727664872</v>
      </c>
      <c r="F12" s="72">
        <f>Assumptions!F9*E20</f>
        <v>1794.8750963321881</v>
      </c>
      <c r="G12" s="72">
        <f>Assumptions!G9*F20</f>
        <v>2457.1593901246688</v>
      </c>
      <c r="H12" s="51"/>
      <c r="I12" s="51"/>
      <c r="J12" s="51"/>
      <c r="K12" s="51"/>
      <c r="L12" s="51"/>
      <c r="M12" s="51"/>
    </row>
    <row r="13" spans="1:13" ht="15" customHeight="1" x14ac:dyDescent="0.15">
      <c r="A13" s="60" t="s">
        <v>85</v>
      </c>
      <c r="B13" s="69">
        <f>B10-B11+B12</f>
        <v>131121</v>
      </c>
      <c r="C13" s="25">
        <f t="shared" ref="C13:G13" si="1">C10-C11+C12</f>
        <v>149652.19106458285</v>
      </c>
      <c r="D13" s="25">
        <f t="shared" si="1"/>
        <v>170224.62549788624</v>
      </c>
      <c r="E13" s="25">
        <f t="shared" si="1"/>
        <v>192959.08180354006</v>
      </c>
      <c r="F13" s="25">
        <f t="shared" si="1"/>
        <v>218252.65227162506</v>
      </c>
      <c r="G13" s="25">
        <f t="shared" si="1"/>
        <v>246515.68913610504</v>
      </c>
      <c r="H13" s="51"/>
      <c r="I13" s="51"/>
      <c r="J13" s="51"/>
      <c r="K13" s="51"/>
      <c r="L13" s="51"/>
      <c r="M13" s="51"/>
    </row>
    <row r="14" spans="1:13" ht="15" customHeight="1" x14ac:dyDescent="0.15">
      <c r="A14" s="48" t="s">
        <v>84</v>
      </c>
      <c r="B14" s="69">
        <f>B10*Assumptions!B10</f>
        <v>20251.04925</v>
      </c>
      <c r="C14" s="25">
        <f>C10*Assumptions!C10</f>
        <v>22974.823442396086</v>
      </c>
      <c r="D14" s="25">
        <f>D10*Assumptions!D10</f>
        <v>26083.737347794446</v>
      </c>
      <c r="E14" s="25">
        <f>E10*Assumptions!E10</f>
        <v>29519.474849996812</v>
      </c>
      <c r="F14" s="25">
        <f>F10*Assumptions!F10</f>
        <v>33341.973486386174</v>
      </c>
      <c r="G14" s="25">
        <f>G10*Assumptions!G10</f>
        <v>37613.189946700062</v>
      </c>
      <c r="H14" s="51"/>
      <c r="I14" s="51"/>
      <c r="J14" s="51"/>
      <c r="K14" s="51"/>
      <c r="L14" s="51"/>
      <c r="M14" s="51"/>
    </row>
    <row r="15" spans="1:13" ht="15" customHeight="1" thickBot="1" x14ac:dyDescent="0.2">
      <c r="A15" s="61" t="s">
        <v>83</v>
      </c>
      <c r="B15" s="73">
        <f>B13-B14</f>
        <v>110869.95075</v>
      </c>
      <c r="C15" s="12">
        <f>C13-C14</f>
        <v>126677.36762218676</v>
      </c>
      <c r="D15" s="12">
        <f t="shared" ref="D15:G15" si="2">D13-D14</f>
        <v>144140.88815009181</v>
      </c>
      <c r="E15" s="12">
        <f t="shared" si="2"/>
        <v>163439.60695354326</v>
      </c>
      <c r="F15" s="12">
        <f t="shared" si="2"/>
        <v>184910.67878523888</v>
      </c>
      <c r="G15" s="12">
        <f t="shared" si="2"/>
        <v>208902.49918940497</v>
      </c>
      <c r="H15" s="49"/>
      <c r="I15" s="51"/>
      <c r="J15" s="51"/>
      <c r="K15" s="51"/>
      <c r="L15" s="51"/>
      <c r="M15" s="51"/>
    </row>
    <row r="16" spans="1:13" ht="15" customHeight="1" thickTop="1" x14ac:dyDescent="0.15">
      <c r="A16" s="116" t="s">
        <v>128</v>
      </c>
      <c r="B16" s="69"/>
      <c r="C16" s="25">
        <f>C15*Assumptions!C23</f>
        <v>28249.052979747648</v>
      </c>
      <c r="D16" s="25">
        <f>D15*Assumptions!D23</f>
        <v>32143.418057470473</v>
      </c>
      <c r="E16" s="25">
        <f>E15*Assumptions!E23</f>
        <v>36447.032350640147</v>
      </c>
      <c r="F16" s="25">
        <f>F15*Assumptions!F23</f>
        <v>41235.081369108273</v>
      </c>
      <c r="G16" s="25">
        <f>G15*Assumptions!G23</f>
        <v>46585.257319237309</v>
      </c>
      <c r="H16" s="49"/>
      <c r="I16" s="51"/>
      <c r="J16" s="51"/>
      <c r="K16" s="51"/>
      <c r="L16" s="51"/>
      <c r="M16" s="51"/>
    </row>
    <row r="17" spans="1:13" ht="15" customHeight="1" x14ac:dyDescent="0.15">
      <c r="B17" s="69"/>
      <c r="C17" s="70"/>
      <c r="D17" s="70"/>
      <c r="E17" s="70"/>
      <c r="F17" s="70"/>
      <c r="G17" s="70"/>
      <c r="H17" s="51"/>
      <c r="I17" s="51"/>
      <c r="J17" s="51"/>
      <c r="K17" s="51"/>
      <c r="L17" s="51"/>
      <c r="M17" s="51"/>
    </row>
    <row r="18" spans="1:13" ht="15" customHeight="1" x14ac:dyDescent="0.15">
      <c r="A18" s="26" t="s">
        <v>101</v>
      </c>
      <c r="B18" s="74"/>
      <c r="C18" s="25"/>
      <c r="D18" s="25"/>
      <c r="E18" s="25"/>
      <c r="F18" s="25"/>
      <c r="G18" s="25"/>
      <c r="H18" s="51"/>
      <c r="I18" s="51"/>
      <c r="J18" s="51"/>
      <c r="K18" s="51"/>
      <c r="L18" s="51"/>
      <c r="M18" s="51"/>
    </row>
    <row r="19" spans="1:13" ht="15" customHeight="1" x14ac:dyDescent="0.15">
      <c r="A19" s="62" t="s">
        <v>82</v>
      </c>
      <c r="B19" s="69"/>
      <c r="C19" s="70"/>
      <c r="D19" s="70"/>
      <c r="E19" s="70"/>
      <c r="F19" s="70"/>
      <c r="G19" s="70"/>
      <c r="H19" s="51"/>
      <c r="I19" s="51"/>
      <c r="J19" s="51"/>
      <c r="K19" s="51"/>
      <c r="L19" s="51"/>
      <c r="M19" s="51"/>
    </row>
    <row r="20" spans="1:13" ht="15" customHeight="1" x14ac:dyDescent="0.15">
      <c r="A20" s="29" t="s">
        <v>81</v>
      </c>
      <c r="B20" s="69">
        <f>'Historical Financials'!E7</f>
        <v>34940</v>
      </c>
      <c r="C20" s="70">
        <f>MAX(0,C45)</f>
        <v>124949.58023699309</v>
      </c>
      <c r="D20" s="70">
        <f>MAX(0,D45)</f>
        <v>224300.35688697617</v>
      </c>
      <c r="E20" s="70">
        <f>MAX(0,E45)</f>
        <v>334815.53078708134</v>
      </c>
      <c r="F20" s="70">
        <f>MAX(0,F45)</f>
        <v>458357.86964464682</v>
      </c>
      <c r="G20" s="70">
        <f>MAX(0,G45)</f>
        <v>596890.31785432622</v>
      </c>
      <c r="H20" s="51"/>
      <c r="I20" s="51"/>
      <c r="J20" s="51"/>
      <c r="K20" s="51"/>
      <c r="L20" s="51"/>
      <c r="M20" s="51"/>
    </row>
    <row r="21" spans="1:13" ht="15" customHeight="1" x14ac:dyDescent="0.15">
      <c r="A21" s="29" t="s">
        <v>80</v>
      </c>
      <c r="B21" s="69">
        <f>'Historical Financials'!E8</f>
        <v>51506</v>
      </c>
      <c r="C21" s="70">
        <f>Assumptions!C11*C6</f>
        <v>57984.57870316333</v>
      </c>
      <c r="D21" s="70">
        <f>Assumptions!D11*D6</f>
        <v>65278.052409104625</v>
      </c>
      <c r="E21" s="70">
        <f>Assumptions!E11*E6</f>
        <v>73488.921048129312</v>
      </c>
      <c r="F21" s="70">
        <f>Assumptions!F11*F6</f>
        <v>82732.577298291668</v>
      </c>
      <c r="G21" s="70">
        <f>Assumptions!G11*G6</f>
        <v>93138.928273761077</v>
      </c>
      <c r="H21" s="51"/>
      <c r="I21" s="51"/>
      <c r="J21" s="51"/>
      <c r="K21" s="51"/>
      <c r="L21" s="51"/>
      <c r="M21" s="51"/>
    </row>
    <row r="22" spans="1:13" ht="15" customHeight="1" x14ac:dyDescent="0.15">
      <c r="A22" s="29" t="s">
        <v>79</v>
      </c>
      <c r="B22" s="69">
        <f>'Historical Financials'!E9</f>
        <v>6580</v>
      </c>
      <c r="C22" s="70">
        <f>Assumptions!C12*C7</f>
        <v>7407.6520767835746</v>
      </c>
      <c r="D22" s="70">
        <f>Assumptions!D12*D7</f>
        <v>8339.4087067896635</v>
      </c>
      <c r="E22" s="70">
        <f>Assumptions!E12*E7</f>
        <v>9388.3644720360917</v>
      </c>
      <c r="F22" s="70">
        <f>Assumptions!F12*F7</f>
        <v>10569.261030224814</v>
      </c>
      <c r="G22" s="70">
        <f>Assumptions!G12*G7</f>
        <v>11898.694288846891</v>
      </c>
      <c r="H22" s="51"/>
      <c r="I22" s="51"/>
      <c r="J22" s="51"/>
      <c r="K22" s="51"/>
      <c r="L22" s="51"/>
      <c r="M22" s="51"/>
    </row>
    <row r="23" spans="1:13" ht="15" customHeight="1" x14ac:dyDescent="0.15">
      <c r="A23" s="29" t="s">
        <v>78</v>
      </c>
      <c r="B23" s="69">
        <f>'Historical Financials'!E10</f>
        <v>0</v>
      </c>
      <c r="C23" s="70">
        <f>Assumptions!C13*C6</f>
        <v>0</v>
      </c>
      <c r="D23" s="70">
        <f>Assumptions!D13*D6</f>
        <v>0</v>
      </c>
      <c r="E23" s="70">
        <f>Assumptions!E13*E6</f>
        <v>0</v>
      </c>
      <c r="F23" s="70">
        <f>Assumptions!F13*F6</f>
        <v>0</v>
      </c>
      <c r="G23" s="70">
        <f>Assumptions!G13*G6</f>
        <v>0</v>
      </c>
      <c r="H23" s="51"/>
      <c r="I23" s="51"/>
      <c r="J23" s="51"/>
      <c r="K23" s="51"/>
      <c r="L23" s="51"/>
      <c r="M23" s="51"/>
    </row>
    <row r="24" spans="1:13" ht="15" customHeight="1" x14ac:dyDescent="0.15">
      <c r="A24" s="27" t="s">
        <v>77</v>
      </c>
      <c r="B24" s="71">
        <f>'Historical Financials'!E11</f>
        <v>41810</v>
      </c>
      <c r="C24" s="72">
        <f>Assumptions!C14*C6</f>
        <v>47068.986828316294</v>
      </c>
      <c r="D24" s="72">
        <f>Assumptions!D14*D6</f>
        <v>52989.464746333717</v>
      </c>
      <c r="E24" s="72">
        <f>Assumptions!E14*E6</f>
        <v>59654.638081432975</v>
      </c>
      <c r="F24" s="72">
        <f>Assumptions!F14*F6</f>
        <v>67158.176850106305</v>
      </c>
      <c r="G24" s="72">
        <f>Assumptions!G14*G6</f>
        <v>75605.533163630476</v>
      </c>
      <c r="H24" s="51"/>
      <c r="I24" s="51"/>
      <c r="J24" s="51"/>
      <c r="K24" s="51"/>
      <c r="L24" s="51"/>
      <c r="M24" s="51"/>
    </row>
    <row r="25" spans="1:13" ht="15" customHeight="1" x14ac:dyDescent="0.15">
      <c r="A25" s="60" t="s">
        <v>99</v>
      </c>
      <c r="B25" s="69">
        <f t="shared" ref="B25:G25" si="3">SUM(B20:B24)</f>
        <v>134836</v>
      </c>
      <c r="C25" s="25">
        <f t="shared" si="3"/>
        <v>237410.79784525628</v>
      </c>
      <c r="D25" s="25">
        <f t="shared" si="3"/>
        <v>350907.2827492042</v>
      </c>
      <c r="E25" s="25">
        <f t="shared" si="3"/>
        <v>477347.4543886797</v>
      </c>
      <c r="F25" s="25">
        <f t="shared" si="3"/>
        <v>618817.88482326968</v>
      </c>
      <c r="G25" s="25">
        <f t="shared" si="3"/>
        <v>777533.47358056472</v>
      </c>
      <c r="H25" s="51"/>
      <c r="I25" s="44"/>
      <c r="J25" s="44"/>
      <c r="K25" s="44"/>
      <c r="L25" s="44"/>
      <c r="M25" s="44"/>
    </row>
    <row r="26" spans="1:13" ht="15" customHeight="1" x14ac:dyDescent="0.15">
      <c r="A26" s="27" t="s">
        <v>76</v>
      </c>
      <c r="B26" s="69">
        <f>'Historical Financials'!E13</f>
        <v>39440</v>
      </c>
      <c r="C26" s="25">
        <f>B26+Assumptions!C22-C9</f>
        <v>39572.079657256007</v>
      </c>
      <c r="D26" s="25">
        <f>C26+Assumptions!D22-D9</f>
        <v>41136.423151265022</v>
      </c>
      <c r="E26" s="25">
        <f>D26+Assumptions!E22-E9</f>
        <v>43898.161381590442</v>
      </c>
      <c r="F26" s="25">
        <f>E26+Assumptions!F22-F9</f>
        <v>47714.554361339789</v>
      </c>
      <c r="G26" s="25">
        <f>F26+Assumptions!G22-G9</f>
        <v>52510.909248082462</v>
      </c>
      <c r="H26" s="51"/>
      <c r="I26" s="51"/>
      <c r="J26" s="51"/>
      <c r="K26" s="51"/>
      <c r="L26" s="51"/>
      <c r="M26" s="51"/>
    </row>
    <row r="27" spans="1:13" ht="15" customHeight="1" x14ac:dyDescent="0.15">
      <c r="A27" s="27" t="s">
        <v>75</v>
      </c>
      <c r="B27" s="69">
        <f>'Historical Financials'!E14</f>
        <v>127877</v>
      </c>
      <c r="C27" s="25">
        <f>Assumptions!C15*C6</f>
        <v>143961.75146243966</v>
      </c>
      <c r="D27" s="25">
        <f>Assumptions!D15*D6</f>
        <v>162069.69106354739</v>
      </c>
      <c r="E27" s="25">
        <f>Assumptions!E15*E6</f>
        <v>182455.30145753178</v>
      </c>
      <c r="F27" s="25">
        <f>Assumptions!F15*F6</f>
        <v>205405.07488785082</v>
      </c>
      <c r="G27" s="25">
        <f>Assumptions!G15*G6</f>
        <v>231241.53944906898</v>
      </c>
      <c r="H27" s="51"/>
      <c r="I27" s="51"/>
      <c r="J27" s="51"/>
      <c r="K27" s="51"/>
      <c r="L27" s="51"/>
      <c r="M27" s="51"/>
    </row>
    <row r="28" spans="1:13" ht="15" customHeight="1" x14ac:dyDescent="0.15">
      <c r="A28" s="27" t="s">
        <v>74</v>
      </c>
      <c r="B28" s="69">
        <f>'Historical Financials'!E15</f>
        <v>0</v>
      </c>
      <c r="C28" s="25">
        <f>B28*(1+Assumptions!C16)</f>
        <v>0</v>
      </c>
      <c r="D28" s="25">
        <f>C28*(1+Assumptions!D16)</f>
        <v>0</v>
      </c>
      <c r="E28" s="25">
        <f>D28*(1+Assumptions!E16)</f>
        <v>0</v>
      </c>
      <c r="F28" s="25">
        <f>E28*(1+Assumptions!F16)</f>
        <v>0</v>
      </c>
      <c r="G28" s="25">
        <f>F28*(1+Assumptions!G16)</f>
        <v>0</v>
      </c>
      <c r="H28" s="51"/>
      <c r="I28" s="51"/>
      <c r="J28" s="51"/>
      <c r="K28" s="51"/>
      <c r="L28" s="51"/>
      <c r="M28" s="51"/>
    </row>
    <row r="29" spans="1:13" ht="15" customHeight="1" x14ac:dyDescent="0.15">
      <c r="A29" s="27" t="s">
        <v>44</v>
      </c>
      <c r="B29" s="69">
        <f>'Historical Financials'!E16</f>
        <v>0</v>
      </c>
      <c r="C29" s="25">
        <f>Assumptions!C17*C6</f>
        <v>0</v>
      </c>
      <c r="D29" s="25">
        <f>Assumptions!D17*D6</f>
        <v>0</v>
      </c>
      <c r="E29" s="25">
        <f>Assumptions!E17*E6</f>
        <v>0</v>
      </c>
      <c r="F29" s="25">
        <f>Assumptions!F17*F6</f>
        <v>0</v>
      </c>
      <c r="G29" s="25">
        <f>Assumptions!G17*G6</f>
        <v>0</v>
      </c>
      <c r="H29" s="51"/>
      <c r="I29" s="51"/>
      <c r="J29" s="51"/>
      <c r="K29" s="51"/>
      <c r="L29" s="51"/>
      <c r="M29" s="51"/>
    </row>
    <row r="30" spans="1:13" ht="15" customHeight="1" x14ac:dyDescent="0.15">
      <c r="A30" s="27" t="s">
        <v>73</v>
      </c>
      <c r="B30" s="69">
        <f>'Historical Financials'!E17</f>
        <v>48849</v>
      </c>
      <c r="C30" s="25">
        <f>Assumptions!C18*C26</f>
        <v>49012.589228633333</v>
      </c>
      <c r="D30" s="25">
        <f>Assumptions!D18*D26</f>
        <v>50950.130185500639</v>
      </c>
      <c r="E30" s="25">
        <f>Assumptions!E18*E26</f>
        <v>54370.722244657998</v>
      </c>
      <c r="F30" s="25">
        <f>Assumptions!F18*F26</f>
        <v>59097.572667268949</v>
      </c>
      <c r="G30" s="25">
        <f>Assumptions!G18*G26</f>
        <v>65038.169519766234</v>
      </c>
      <c r="H30" s="51"/>
      <c r="I30" s="51"/>
      <c r="J30" s="51"/>
      <c r="K30" s="51"/>
      <c r="L30" s="51"/>
      <c r="M30" s="51"/>
    </row>
    <row r="31" spans="1:13" ht="15" customHeight="1" thickBot="1" x14ac:dyDescent="0.2">
      <c r="A31" s="63" t="s">
        <v>72</v>
      </c>
      <c r="B31" s="73">
        <f>SUM(B25:B30)</f>
        <v>351002</v>
      </c>
      <c r="C31" s="12">
        <f t="shared" ref="C31:G31" si="4">SUM(C25:C30)</f>
        <v>469957.21819358529</v>
      </c>
      <c r="D31" s="12">
        <f t="shared" si="4"/>
        <v>605063.52714951721</v>
      </c>
      <c r="E31" s="12">
        <f t="shared" si="4"/>
        <v>758071.63947245991</v>
      </c>
      <c r="F31" s="12">
        <f t="shared" si="4"/>
        <v>931035.08673972916</v>
      </c>
      <c r="G31" s="12">
        <f t="shared" si="4"/>
        <v>1126324.0917974825</v>
      </c>
      <c r="H31" s="51"/>
      <c r="I31" s="51"/>
      <c r="J31" s="51"/>
      <c r="K31" s="51"/>
      <c r="L31" s="51"/>
      <c r="M31" s="51"/>
    </row>
    <row r="32" spans="1:13" s="44" customFormat="1" ht="15" customHeight="1" thickTop="1" x14ac:dyDescent="0.15">
      <c r="A32" s="64"/>
      <c r="B32" s="69"/>
      <c r="C32" s="25" t="s">
        <v>2</v>
      </c>
      <c r="D32" s="25" t="s">
        <v>2</v>
      </c>
      <c r="E32" s="25" t="s">
        <v>2</v>
      </c>
      <c r="F32" s="25" t="s">
        <v>2</v>
      </c>
      <c r="G32" s="25" t="s">
        <v>2</v>
      </c>
      <c r="I32" s="51"/>
      <c r="J32" s="51"/>
      <c r="K32" s="51"/>
      <c r="L32" s="51"/>
      <c r="M32" s="51"/>
    </row>
    <row r="33" spans="1:13" ht="15" customHeight="1" x14ac:dyDescent="0.15">
      <c r="A33" s="65" t="s">
        <v>71</v>
      </c>
      <c r="B33" s="69"/>
      <c r="C33" s="25"/>
      <c r="D33" s="25"/>
      <c r="E33" s="25"/>
      <c r="F33" s="25"/>
      <c r="G33" s="25"/>
      <c r="H33" s="51"/>
      <c r="I33" s="51"/>
      <c r="J33" s="51"/>
      <c r="K33" s="51"/>
      <c r="L33" s="51"/>
      <c r="M33" s="51"/>
    </row>
    <row r="34" spans="1:13" ht="15" customHeight="1" x14ac:dyDescent="0.15">
      <c r="A34" s="27" t="s">
        <v>70</v>
      </c>
      <c r="B34" s="69">
        <f>'Historical Financials'!E20+'Historical Financials'!E22+'Historical Financials'!E23+'Historical Financials'!E25+'Historical Financials'!E28+'Historical Financials'!E29+'Historical Financials'!E31</f>
        <v>163193</v>
      </c>
      <c r="C34" s="25">
        <f>Assumptions!C19*(C7+C8)</f>
        <v>183719.90355114616</v>
      </c>
      <c r="D34" s="25">
        <f>Assumptions!D19*(D7+D8)</f>
        <v>206828.74241445676</v>
      </c>
      <c r="E34" s="25">
        <f>Assumptions!E19*(E7+E8)</f>
        <v>232844.28013449634</v>
      </c>
      <c r="F34" s="25">
        <f>Assumptions!F19*(F7+F8)</f>
        <v>262132.12998563494</v>
      </c>
      <c r="G34" s="25">
        <f>Assumptions!G19*(G7+G8)</f>
        <v>295103.89317322045</v>
      </c>
      <c r="H34" s="51"/>
      <c r="I34" s="51"/>
      <c r="J34" s="51"/>
      <c r="K34" s="51"/>
      <c r="L34" s="51"/>
      <c r="M34" s="51"/>
    </row>
    <row r="35" spans="1:13" ht="15" customHeight="1" x14ac:dyDescent="0.15">
      <c r="A35" s="27" t="s">
        <v>133</v>
      </c>
      <c r="B35" s="119">
        <v>0</v>
      </c>
      <c r="C35" s="25">
        <f>MAX(0,-C45)</f>
        <v>0</v>
      </c>
      <c r="D35" s="25">
        <f>MAX(0,-D45)</f>
        <v>0</v>
      </c>
      <c r="E35" s="25">
        <f>MAX(0,-E45)</f>
        <v>0</v>
      </c>
      <c r="F35" s="25">
        <f>MAX(0,-F45)</f>
        <v>0</v>
      </c>
      <c r="G35" s="25">
        <f>MAX(0,-G45)</f>
        <v>0</v>
      </c>
      <c r="H35" s="51"/>
      <c r="I35" s="51"/>
      <c r="J35" s="51"/>
      <c r="K35" s="51"/>
      <c r="L35" s="51"/>
      <c r="M35" s="51"/>
    </row>
    <row r="36" spans="1:13" ht="15" customHeight="1" x14ac:dyDescent="0.15">
      <c r="A36" s="27" t="s">
        <v>94</v>
      </c>
      <c r="B36" s="69">
        <f>'Historical Financials'!E24</f>
        <v>9613</v>
      </c>
      <c r="C36" s="25">
        <f t="shared" ref="C36:G38" si="5">B36</f>
        <v>9613</v>
      </c>
      <c r="D36" s="25">
        <f t="shared" si="5"/>
        <v>9613</v>
      </c>
      <c r="E36" s="25">
        <f t="shared" si="5"/>
        <v>9613</v>
      </c>
      <c r="F36" s="25">
        <f t="shared" si="5"/>
        <v>9613</v>
      </c>
      <c r="G36" s="25">
        <f t="shared" si="5"/>
        <v>9613</v>
      </c>
      <c r="H36" s="50"/>
      <c r="I36" s="50"/>
      <c r="J36" s="50"/>
      <c r="K36" s="50"/>
      <c r="L36" s="50"/>
      <c r="M36" s="50"/>
    </row>
    <row r="37" spans="1:13" ht="15" customHeight="1" x14ac:dyDescent="0.15">
      <c r="A37" s="27" t="s">
        <v>39</v>
      </c>
      <c r="B37" s="69">
        <f>'Historical Financials'!E21</f>
        <v>6000</v>
      </c>
      <c r="C37" s="25">
        <f t="shared" si="5"/>
        <v>6000</v>
      </c>
      <c r="D37" s="25">
        <f t="shared" si="5"/>
        <v>6000</v>
      </c>
      <c r="E37" s="25">
        <f t="shared" si="5"/>
        <v>6000</v>
      </c>
      <c r="F37" s="25">
        <f t="shared" si="5"/>
        <v>6000</v>
      </c>
      <c r="G37" s="25">
        <f t="shared" si="5"/>
        <v>6000</v>
      </c>
      <c r="H37" s="50"/>
      <c r="I37" s="50"/>
      <c r="J37" s="50"/>
      <c r="K37" s="50"/>
      <c r="L37" s="50"/>
      <c r="M37" s="50"/>
    </row>
    <row r="38" spans="1:13" ht="15" customHeight="1" x14ac:dyDescent="0.15">
      <c r="A38" s="27" t="s">
        <v>34</v>
      </c>
      <c r="B38" s="71">
        <f>'Historical Financials'!E27</f>
        <v>109106</v>
      </c>
      <c r="C38" s="72">
        <f t="shared" si="5"/>
        <v>109106</v>
      </c>
      <c r="D38" s="72">
        <f t="shared" si="5"/>
        <v>109106</v>
      </c>
      <c r="E38" s="72">
        <f t="shared" si="5"/>
        <v>109106</v>
      </c>
      <c r="F38" s="72">
        <f t="shared" si="5"/>
        <v>109106</v>
      </c>
      <c r="G38" s="72">
        <f t="shared" si="5"/>
        <v>109106</v>
      </c>
      <c r="H38" s="50"/>
      <c r="I38" s="50"/>
      <c r="J38" s="50"/>
      <c r="K38" s="50"/>
      <c r="L38" s="50"/>
      <c r="M38" s="50"/>
    </row>
    <row r="39" spans="1:13" ht="15" customHeight="1" x14ac:dyDescent="0.15">
      <c r="A39" s="60" t="s">
        <v>95</v>
      </c>
      <c r="B39" s="69">
        <f>SUM(B36:B38)</f>
        <v>124719</v>
      </c>
      <c r="C39" s="25">
        <f>SUM(C35:C38)</f>
        <v>124719</v>
      </c>
      <c r="D39" s="25">
        <f>SUM(D35:D38)</f>
        <v>124719</v>
      </c>
      <c r="E39" s="25">
        <f>SUM(E35:E38)</f>
        <v>124719</v>
      </c>
      <c r="F39" s="25">
        <f>SUM(F35:F38)</f>
        <v>124719</v>
      </c>
      <c r="G39" s="25">
        <f>SUM(G35:G38)</f>
        <v>124719</v>
      </c>
      <c r="H39" s="50"/>
      <c r="I39" s="50"/>
      <c r="J39" s="50"/>
      <c r="K39" s="50"/>
      <c r="L39" s="50"/>
      <c r="M39" s="50"/>
    </row>
    <row r="40" spans="1:13" ht="15" customHeight="1" x14ac:dyDescent="0.15">
      <c r="A40" s="27" t="s">
        <v>69</v>
      </c>
      <c r="B40" s="69">
        <f>'Historical Financials'!E41</f>
        <v>63090</v>
      </c>
      <c r="C40" s="25">
        <f>B40+C15-C16</f>
        <v>161518.31464243913</v>
      </c>
      <c r="D40" s="25">
        <f>C40+D15-D16</f>
        <v>273515.78473506047</v>
      </c>
      <c r="E40" s="25">
        <f>D40+E15-E16</f>
        <v>400508.35933796357</v>
      </c>
      <c r="F40" s="25">
        <f>E40+F15-F16</f>
        <v>544183.95675409422</v>
      </c>
      <c r="G40" s="25">
        <f>F40+G15-G16</f>
        <v>706501.19862426189</v>
      </c>
      <c r="H40" s="51"/>
      <c r="I40" s="52"/>
      <c r="J40" s="52"/>
      <c r="K40" s="52"/>
      <c r="L40" s="52"/>
      <c r="M40" s="52"/>
    </row>
    <row r="41" spans="1:13" ht="15" customHeight="1" thickBot="1" x14ac:dyDescent="0.2">
      <c r="A41" s="63" t="s">
        <v>100</v>
      </c>
      <c r="B41" s="73">
        <f>B34+B39+B40</f>
        <v>351002</v>
      </c>
      <c r="C41" s="12">
        <f t="shared" ref="C41:G41" si="6">C34+C39+C40</f>
        <v>469957.21819358529</v>
      </c>
      <c r="D41" s="12">
        <f t="shared" si="6"/>
        <v>605063.52714951732</v>
      </c>
      <c r="E41" s="12">
        <f t="shared" si="6"/>
        <v>758071.63947245991</v>
      </c>
      <c r="F41" s="12">
        <f t="shared" si="6"/>
        <v>931035.08673972916</v>
      </c>
      <c r="G41" s="12">
        <f t="shared" si="6"/>
        <v>1126324.0917974822</v>
      </c>
      <c r="H41" s="51"/>
      <c r="I41" s="27"/>
      <c r="J41" s="27"/>
      <c r="K41" s="27"/>
      <c r="L41" s="27"/>
      <c r="M41" s="27"/>
    </row>
    <row r="42" spans="1:13" ht="15" customHeight="1" thickTop="1" x14ac:dyDescent="0.15">
      <c r="A42" s="66"/>
      <c r="B42" s="15"/>
      <c r="C42" s="70"/>
      <c r="D42" s="70"/>
      <c r="E42" s="70"/>
      <c r="F42" s="70"/>
      <c r="G42" s="70"/>
      <c r="H42" s="51"/>
      <c r="I42" s="67"/>
      <c r="J42" s="67"/>
      <c r="K42" s="67"/>
      <c r="L42" s="67"/>
      <c r="M42" s="67"/>
    </row>
    <row r="43" spans="1:13" ht="15" customHeight="1" x14ac:dyDescent="0.15">
      <c r="A43" s="68" t="s">
        <v>131</v>
      </c>
      <c r="B43" s="25"/>
      <c r="C43" s="70">
        <f>B45</f>
        <v>34940</v>
      </c>
      <c r="D43" s="70">
        <f>C45</f>
        <v>124949.58023699309</v>
      </c>
      <c r="E43" s="70">
        <f>D45</f>
        <v>224300.35688697617</v>
      </c>
      <c r="F43" s="70">
        <f>E45</f>
        <v>334815.53078708134</v>
      </c>
      <c r="G43" s="70">
        <f>F45</f>
        <v>458357.86964464682</v>
      </c>
      <c r="H43" s="51"/>
      <c r="I43" s="47"/>
      <c r="J43" s="47"/>
      <c r="K43" s="47"/>
      <c r="L43" s="47"/>
      <c r="M43" s="47"/>
    </row>
    <row r="44" spans="1:13" ht="15" customHeight="1" x14ac:dyDescent="0.15">
      <c r="A44" s="68" t="s">
        <v>130</v>
      </c>
      <c r="B44" s="72"/>
      <c r="C44" s="72">
        <f>SUM(Valuation!E6:E17)-C16+(SUM(C36:C38)-SUM(B36:B38))</f>
        <v>90009.58023699309</v>
      </c>
      <c r="D44" s="72">
        <f>SUM(Valuation!F6:F17)-D16+(SUM(D36:D38)-SUM(C36:C38))</f>
        <v>99350.776649983076</v>
      </c>
      <c r="E44" s="72">
        <f>SUM(Valuation!G6:G17)-E16+(SUM(E36:E38)-SUM(D36:D38))</f>
        <v>110515.17390010519</v>
      </c>
      <c r="F44" s="72">
        <f>SUM(Valuation!H6:H17)-F16+(SUM(F36:F38)-SUM(E36:E38))</f>
        <v>123542.3388575655</v>
      </c>
      <c r="G44" s="72">
        <f>SUM(Valuation!I6:I17)-G16+(SUM(G36:G38)-SUM(F36:F38))</f>
        <v>138532.44820967939</v>
      </c>
      <c r="H44" s="51"/>
      <c r="I44" s="27"/>
      <c r="J44" s="27"/>
      <c r="K44" s="27"/>
      <c r="L44" s="27"/>
      <c r="M44" s="27"/>
    </row>
    <row r="45" spans="1:13" s="30" customFormat="1" ht="15" customHeight="1" x14ac:dyDescent="0.15">
      <c r="A45" s="118" t="s">
        <v>132</v>
      </c>
      <c r="B45" s="25">
        <f>B20</f>
        <v>34940</v>
      </c>
      <c r="C45" s="70">
        <f>SUM(C43:C44)</f>
        <v>124949.58023699309</v>
      </c>
      <c r="D45" s="70">
        <f>SUM(D43:D44)</f>
        <v>224300.35688697617</v>
      </c>
      <c r="E45" s="70">
        <f>SUM(E43:E44)</f>
        <v>334815.53078708134</v>
      </c>
      <c r="F45" s="70">
        <f>SUM(F43:F44)</f>
        <v>458357.86964464682</v>
      </c>
      <c r="G45" s="70">
        <f>SUM(G43:G44)</f>
        <v>596890.31785432622</v>
      </c>
      <c r="H45" s="47"/>
    </row>
    <row r="46" spans="1:13" ht="15" customHeight="1" x14ac:dyDescent="0.15">
      <c r="A46" s="27"/>
      <c r="B46" s="53"/>
      <c r="C46" s="27"/>
      <c r="D46" s="27"/>
      <c r="E46" s="27"/>
      <c r="F46" s="27"/>
      <c r="G46" s="27"/>
      <c r="H46" s="27"/>
      <c r="I46" s="30"/>
      <c r="J46" s="30"/>
      <c r="K46" s="30"/>
      <c r="L46" s="30"/>
      <c r="M46" s="30"/>
    </row>
    <row r="47" spans="1:13" s="28" customFormat="1" ht="15" customHeight="1" x14ac:dyDescent="0.15">
      <c r="A47" s="34"/>
      <c r="B47" s="35"/>
      <c r="C47" s="33"/>
      <c r="D47" s="33"/>
      <c r="E47" s="33"/>
      <c r="F47" s="33"/>
      <c r="G47" s="33"/>
      <c r="H47" s="33"/>
      <c r="I47" s="30"/>
      <c r="J47" s="30"/>
      <c r="K47" s="30"/>
      <c r="L47" s="30"/>
      <c r="M47" s="30"/>
    </row>
    <row r="48" spans="1:13" ht="15" customHeight="1" x14ac:dyDescent="0.15">
      <c r="A48" s="27"/>
      <c r="B48" s="36"/>
      <c r="C48" s="37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ht="15" customHeight="1" x14ac:dyDescent="0.15">
      <c r="A49" s="27"/>
      <c r="B49" s="36"/>
      <c r="C49" s="37"/>
      <c r="D49" s="30"/>
      <c r="E49" s="30"/>
      <c r="F49" s="30"/>
      <c r="G49" s="30"/>
      <c r="H49" s="30"/>
      <c r="I49" s="30"/>
      <c r="J49" s="30"/>
      <c r="K49" s="30"/>
      <c r="L49" s="30"/>
      <c r="M49" s="30"/>
    </row>
    <row r="50" spans="1:13" ht="15" customHeight="1" x14ac:dyDescent="0.15">
      <c r="A50" s="27"/>
      <c r="B50" s="36"/>
      <c r="C50" s="37"/>
      <c r="D50" s="30"/>
      <c r="E50" s="30"/>
      <c r="F50" s="30"/>
      <c r="G50" s="30"/>
      <c r="H50" s="30"/>
      <c r="I50" s="30"/>
      <c r="J50" s="30"/>
      <c r="K50" s="30"/>
      <c r="L50" s="30"/>
      <c r="M50" s="30"/>
    </row>
    <row r="51" spans="1:13" ht="15" customHeight="1" x14ac:dyDescent="0.15">
      <c r="A51" s="27"/>
      <c r="B51" s="36"/>
      <c r="C51" s="37"/>
      <c r="D51" s="30"/>
      <c r="E51" s="30"/>
      <c r="F51" s="30"/>
      <c r="G51" s="30"/>
      <c r="H51" s="30"/>
      <c r="I51" s="30"/>
      <c r="J51" s="30"/>
      <c r="K51" s="30"/>
      <c r="L51" s="30"/>
      <c r="M51" s="30"/>
    </row>
    <row r="52" spans="1:13" ht="15" customHeight="1" x14ac:dyDescent="0.15">
      <c r="A52" s="27"/>
      <c r="B52" s="36"/>
      <c r="C52" s="37"/>
      <c r="D52" s="30"/>
      <c r="E52" s="30"/>
      <c r="F52" s="30"/>
      <c r="G52" s="30"/>
      <c r="H52" s="30"/>
      <c r="I52" s="30"/>
      <c r="J52" s="30"/>
      <c r="K52" s="30"/>
      <c r="L52" s="30"/>
      <c r="M52" s="30"/>
    </row>
    <row r="53" spans="1:13" ht="15" customHeight="1" x14ac:dyDescent="0.15">
      <c r="A53" s="27"/>
      <c r="B53" s="36"/>
      <c r="C53" s="37"/>
      <c r="D53" s="30"/>
      <c r="E53" s="30"/>
      <c r="F53" s="30"/>
      <c r="G53" s="30"/>
      <c r="H53" s="30"/>
      <c r="I53" s="30"/>
      <c r="J53" s="30"/>
      <c r="K53" s="30"/>
      <c r="L53" s="30"/>
      <c r="M53" s="30"/>
    </row>
    <row r="54" spans="1:13" ht="15" customHeight="1" x14ac:dyDescent="0.15">
      <c r="A54" s="27"/>
      <c r="B54" s="36"/>
      <c r="C54" s="37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ht="15" customHeight="1" x14ac:dyDescent="0.15">
      <c r="A55" s="27"/>
      <c r="B55" s="36"/>
      <c r="C55" s="37"/>
      <c r="D55" s="30"/>
      <c r="E55" s="30"/>
      <c r="F55" s="30"/>
      <c r="G55" s="30"/>
      <c r="H55" s="30"/>
      <c r="I55" s="30"/>
      <c r="J55" s="30"/>
      <c r="K55" s="30"/>
      <c r="L55" s="30"/>
      <c r="M55" s="30"/>
    </row>
    <row r="56" spans="1:13" ht="15" customHeight="1" x14ac:dyDescent="0.15">
      <c r="A56" s="27"/>
      <c r="B56" s="36"/>
      <c r="C56" s="37"/>
      <c r="D56" s="30"/>
      <c r="E56" s="30"/>
      <c r="F56" s="30"/>
      <c r="G56" s="30"/>
      <c r="H56" s="30"/>
      <c r="I56" s="30"/>
      <c r="J56" s="30"/>
      <c r="K56" s="30"/>
      <c r="L56" s="30"/>
      <c r="M56" s="30"/>
    </row>
    <row r="57" spans="1:13" ht="15" customHeight="1" x14ac:dyDescent="0.15">
      <c r="A57" s="27"/>
      <c r="B57" s="36"/>
      <c r="C57" s="37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 ht="15" customHeight="1" x14ac:dyDescent="0.15">
      <c r="A58" s="27"/>
      <c r="B58" s="36"/>
      <c r="C58" s="37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13" ht="15" customHeight="1" x14ac:dyDescent="0.15">
      <c r="A59" s="27"/>
      <c r="B59" s="36"/>
      <c r="C59" s="37"/>
      <c r="D59" s="30"/>
      <c r="E59" s="30"/>
      <c r="F59" s="30"/>
      <c r="G59" s="30"/>
      <c r="H59" s="30"/>
      <c r="I59" s="31"/>
      <c r="J59" s="31"/>
      <c r="K59" s="31"/>
      <c r="L59" s="31"/>
      <c r="M59" s="31"/>
    </row>
    <row r="60" spans="1:13" ht="15" customHeight="1" x14ac:dyDescent="0.15">
      <c r="A60" s="27"/>
      <c r="B60" s="36"/>
      <c r="C60" s="37"/>
      <c r="D60" s="30"/>
      <c r="E60" s="30"/>
      <c r="F60" s="30"/>
      <c r="G60" s="30"/>
      <c r="H60" s="30"/>
    </row>
    <row r="61" spans="1:13" ht="15" customHeight="1" x14ac:dyDescent="0.15">
      <c r="A61" s="27"/>
      <c r="B61" s="36"/>
      <c r="C61" s="37"/>
      <c r="D61" s="30"/>
      <c r="E61" s="30"/>
      <c r="F61" s="30"/>
      <c r="G61" s="30"/>
      <c r="H61" s="30"/>
    </row>
    <row r="62" spans="1:13" ht="15" customHeight="1" x14ac:dyDescent="0.15">
      <c r="A62" s="27"/>
      <c r="B62" s="36"/>
      <c r="C62" s="37"/>
      <c r="D62" s="30"/>
      <c r="E62" s="30"/>
      <c r="F62" s="30"/>
      <c r="G62" s="30"/>
      <c r="H62" s="30"/>
    </row>
    <row r="63" spans="1:13" ht="15" customHeight="1" x14ac:dyDescent="0.15">
      <c r="A63" s="27"/>
      <c r="B63" s="36"/>
      <c r="C63" s="37"/>
      <c r="D63" s="30"/>
      <c r="E63" s="30"/>
      <c r="F63" s="30"/>
      <c r="G63" s="30"/>
      <c r="H63" s="30"/>
    </row>
    <row r="64" spans="1:13" ht="15" customHeight="1" x14ac:dyDescent="0.15">
      <c r="A64" s="27"/>
      <c r="B64" s="36"/>
      <c r="C64" s="37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" customHeight="1" x14ac:dyDescent="0.15">
      <c r="A65" s="27"/>
      <c r="B65" s="36"/>
      <c r="C65" s="37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5" customHeight="1" x14ac:dyDescent="0.15">
      <c r="A66" s="27"/>
      <c r="B66" s="36"/>
      <c r="C66" s="37"/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1:13" ht="15" customHeight="1" x14ac:dyDescent="0.15">
      <c r="A67" s="27"/>
      <c r="B67" s="36"/>
      <c r="C67" s="37"/>
      <c r="D67" s="30"/>
      <c r="E67" s="30"/>
      <c r="F67" s="30"/>
      <c r="G67" s="30"/>
      <c r="H67" s="30"/>
    </row>
    <row r="68" spans="1:13" s="31" customFormat="1" ht="15" customHeight="1" x14ac:dyDescent="0.15">
      <c r="B68" s="38"/>
      <c r="C68" s="39"/>
      <c r="I68" s="29"/>
      <c r="J68" s="29"/>
      <c r="K68" s="29"/>
      <c r="L68" s="29"/>
      <c r="M68" s="29"/>
    </row>
  </sheetData>
  <phoneticPr fontId="10" type="noConversion"/>
  <pageMargins left="0.75" right="0.75" top="1" bottom="1" header="0.5" footer="0.5"/>
  <pageSetup scale="4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P56"/>
  <sheetViews>
    <sheetView showGridLines="0" zoomScale="89" zoomScaleNormal="57" workbookViewId="0">
      <selection activeCell="B6" sqref="B6"/>
    </sheetView>
  </sheetViews>
  <sheetFormatPr baseColWidth="10" defaultColWidth="9.25" defaultRowHeight="12" x14ac:dyDescent="0.15"/>
  <cols>
    <col min="1" max="1" width="18" style="84" customWidth="1"/>
    <col min="2" max="2" width="9.25" style="84"/>
    <col min="3" max="3" width="10" style="84" customWidth="1"/>
    <col min="4" max="4" width="17.5" style="84" customWidth="1"/>
    <col min="5" max="5" width="16.5" style="84" customWidth="1"/>
    <col min="6" max="6" width="14.25" style="84" customWidth="1"/>
    <col min="7" max="7" width="13" style="84" customWidth="1"/>
    <col min="8" max="8" width="15.25" style="84" customWidth="1"/>
    <col min="9" max="9" width="20.5" style="84" customWidth="1"/>
    <col min="10" max="11" width="9.25" style="84"/>
    <col min="12" max="12" width="15.5" style="84" customWidth="1"/>
    <col min="13" max="16384" width="9.25" style="84"/>
  </cols>
  <sheetData>
    <row r="1" spans="1:9" ht="14" thickBot="1" x14ac:dyDescent="0.2">
      <c r="A1" s="129" t="s">
        <v>145</v>
      </c>
      <c r="B1" s="83"/>
      <c r="C1" s="83"/>
      <c r="D1" s="83"/>
      <c r="E1" s="83"/>
      <c r="F1" s="83"/>
      <c r="G1" s="83"/>
      <c r="H1" s="83"/>
      <c r="I1" s="120" t="s">
        <v>148</v>
      </c>
    </row>
    <row r="2" spans="1:9" x14ac:dyDescent="0.15">
      <c r="A2" s="85"/>
      <c r="B2" s="86"/>
      <c r="C2" s="86"/>
      <c r="D2" s="86"/>
      <c r="E2" s="87"/>
      <c r="F2" s="87"/>
      <c r="G2" s="87"/>
      <c r="H2" s="87"/>
      <c r="I2" s="87"/>
    </row>
    <row r="3" spans="1:9" x14ac:dyDescent="0.15">
      <c r="A3" s="88"/>
      <c r="E3" s="89" t="s">
        <v>114</v>
      </c>
      <c r="F3" s="89"/>
      <c r="G3" s="89"/>
      <c r="H3" s="89"/>
      <c r="I3" s="89"/>
    </row>
    <row r="4" spans="1:9" x14ac:dyDescent="0.15">
      <c r="E4" s="90">
        <f>Assumptions!C4</f>
        <v>44829</v>
      </c>
      <c r="F4" s="90">
        <f>Assumptions!D4</f>
        <v>45194</v>
      </c>
      <c r="G4" s="90">
        <f>Assumptions!E4</f>
        <v>45560</v>
      </c>
      <c r="H4" s="90">
        <f>Assumptions!F4</f>
        <v>45925</v>
      </c>
      <c r="I4" s="90">
        <f>Assumptions!G4</f>
        <v>46290</v>
      </c>
    </row>
    <row r="6" spans="1:9" x14ac:dyDescent="0.15">
      <c r="A6" s="84" t="s">
        <v>83</v>
      </c>
      <c r="E6" s="91">
        <f>Projections!C15</f>
        <v>126677.36762218676</v>
      </c>
      <c r="F6" s="91">
        <f>Projections!D15</f>
        <v>144140.88815009181</v>
      </c>
      <c r="G6" s="91">
        <f>Projections!E15</f>
        <v>163439.60695354326</v>
      </c>
      <c r="H6" s="91">
        <f>Projections!F15</f>
        <v>184910.67878523888</v>
      </c>
      <c r="I6" s="91">
        <f>Projections!G15</f>
        <v>208902.49918940497</v>
      </c>
    </row>
    <row r="7" spans="1:9" x14ac:dyDescent="0.15">
      <c r="A7" s="84" t="s">
        <v>107</v>
      </c>
      <c r="E7" s="91">
        <f>Projections!C9</f>
        <v>11562.549097888137</v>
      </c>
      <c r="F7" s="91">
        <f>Projections!D9</f>
        <v>11601.270637488919</v>
      </c>
      <c r="G7" s="91">
        <f>Projections!E9</f>
        <v>12059.886216987932</v>
      </c>
      <c r="H7" s="91">
        <f>Projections!F9</f>
        <v>12869.539713023742</v>
      </c>
      <c r="I7" s="91">
        <f>Projections!G9</f>
        <v>13988.384317617743</v>
      </c>
    </row>
    <row r="8" spans="1:9" x14ac:dyDescent="0.15">
      <c r="A8" s="92" t="s">
        <v>102</v>
      </c>
      <c r="E8" s="91">
        <f>Projections!B21-Projections!C21</f>
        <v>-6478.5787031633299</v>
      </c>
      <c r="F8" s="91">
        <f>Projections!C21-Projections!D21</f>
        <v>-7293.4737059412946</v>
      </c>
      <c r="G8" s="91">
        <f>Projections!D21-Projections!E21</f>
        <v>-8210.8686390246876</v>
      </c>
      <c r="H8" s="91">
        <f>Projections!E21-Projections!F21</f>
        <v>-9243.6562501623557</v>
      </c>
      <c r="I8" s="91">
        <f>Projections!F21-Projections!G21</f>
        <v>-10406.35097546941</v>
      </c>
    </row>
    <row r="9" spans="1:9" x14ac:dyDescent="0.15">
      <c r="A9" s="92" t="s">
        <v>103</v>
      </c>
      <c r="E9" s="91">
        <f>Projections!B22-Projections!C22</f>
        <v>-827.65207678357456</v>
      </c>
      <c r="F9" s="91">
        <f>Projections!C22-Projections!D22</f>
        <v>-931.75663000608893</v>
      </c>
      <c r="G9" s="91">
        <f>Projections!D22-Projections!E22</f>
        <v>-1048.9557652464282</v>
      </c>
      <c r="H9" s="91">
        <f>Projections!E22-Projections!F22</f>
        <v>-1180.8965581887223</v>
      </c>
      <c r="I9" s="91">
        <f>Projections!F22-Projections!G22</f>
        <v>-1329.4332586220771</v>
      </c>
    </row>
    <row r="10" spans="1:9" x14ac:dyDescent="0.15">
      <c r="A10" s="92" t="s">
        <v>104</v>
      </c>
      <c r="E10" s="91">
        <f>Projections!B23-Projections!C23</f>
        <v>0</v>
      </c>
      <c r="F10" s="91">
        <f>Projections!C23-Projections!D23</f>
        <v>0</v>
      </c>
      <c r="G10" s="91">
        <f>Projections!D23-Projections!E23</f>
        <v>0</v>
      </c>
      <c r="H10" s="91">
        <f>Projections!E23-Projections!F23</f>
        <v>0</v>
      </c>
      <c r="I10" s="91">
        <f>Projections!F23-Projections!G23</f>
        <v>0</v>
      </c>
    </row>
    <row r="11" spans="1:9" x14ac:dyDescent="0.15">
      <c r="A11" s="92" t="s">
        <v>105</v>
      </c>
      <c r="E11" s="91">
        <f>Projections!B24-Projections!C24</f>
        <v>-5258.9868283162941</v>
      </c>
      <c r="F11" s="91">
        <f>Projections!C24-Projections!D24</f>
        <v>-5920.4779180174228</v>
      </c>
      <c r="G11" s="91">
        <f>Projections!D24-Projections!E24</f>
        <v>-6665.1733350992581</v>
      </c>
      <c r="H11" s="91">
        <f>Projections!E24-Projections!F24</f>
        <v>-7503.5387686733302</v>
      </c>
      <c r="I11" s="91">
        <f>Projections!F24-Projections!G24</f>
        <v>-8447.3563135241711</v>
      </c>
    </row>
    <row r="12" spans="1:9" x14ac:dyDescent="0.15">
      <c r="A12" s="92" t="s">
        <v>106</v>
      </c>
      <c r="E12" s="91">
        <f>Projections!C34-Projections!B34</f>
        <v>20526.903551146155</v>
      </c>
      <c r="F12" s="91">
        <f>Projections!D34-Projections!C34</f>
        <v>23108.838863310608</v>
      </c>
      <c r="G12" s="91">
        <f>Projections!E34-Projections!D34</f>
        <v>26015.537720039574</v>
      </c>
      <c r="H12" s="91">
        <f>Projections!F34-Projections!E34</f>
        <v>29287.849851138599</v>
      </c>
      <c r="I12" s="91">
        <f>Projections!G34-Projections!F34</f>
        <v>32971.763187585515</v>
      </c>
    </row>
    <row r="13" spans="1:9" x14ac:dyDescent="0.15">
      <c r="A13" s="92" t="s">
        <v>108</v>
      </c>
      <c r="E13" s="91">
        <f>-Assumptions!C22</f>
        <v>-11694.628755144144</v>
      </c>
      <c r="F13" s="91">
        <f>-Assumptions!D22</f>
        <v>-13165.614131497936</v>
      </c>
      <c r="G13" s="91">
        <f>-Assumptions!E22</f>
        <v>-14821.624447313352</v>
      </c>
      <c r="H13" s="91">
        <f>-Assumptions!F22</f>
        <v>-16685.932692773091</v>
      </c>
      <c r="I13" s="91">
        <f>-Assumptions!G22</f>
        <v>-18784.739204360416</v>
      </c>
    </row>
    <row r="14" spans="1:9" x14ac:dyDescent="0.15">
      <c r="A14" s="92" t="s">
        <v>109</v>
      </c>
      <c r="E14" s="91">
        <f>Projections!B27-Projections!C27</f>
        <v>-16084.751462439657</v>
      </c>
      <c r="F14" s="91">
        <f>Projections!C27-Projections!D27</f>
        <v>-18107.939601107733</v>
      </c>
      <c r="G14" s="91">
        <f>Projections!D27-Projections!E27</f>
        <v>-20385.610393984389</v>
      </c>
      <c r="H14" s="91">
        <f>Projections!E27-Projections!F27</f>
        <v>-22949.773430319037</v>
      </c>
      <c r="I14" s="91">
        <f>Projections!F27-Projections!G27</f>
        <v>-25836.464561218163</v>
      </c>
    </row>
    <row r="15" spans="1:9" x14ac:dyDescent="0.15">
      <c r="A15" s="92" t="s">
        <v>110</v>
      </c>
      <c r="E15" s="91">
        <f>Projections!B28-Projections!C28</f>
        <v>0</v>
      </c>
      <c r="F15" s="91">
        <f>Projections!C28-Projections!D28</f>
        <v>0</v>
      </c>
      <c r="G15" s="91">
        <f>Projections!D28-Projections!E28</f>
        <v>0</v>
      </c>
      <c r="H15" s="91">
        <f>Projections!E28-Projections!F28</f>
        <v>0</v>
      </c>
      <c r="I15" s="91">
        <f>Projections!F28-Projections!G28</f>
        <v>0</v>
      </c>
    </row>
    <row r="16" spans="1:9" x14ac:dyDescent="0.15">
      <c r="A16" s="92" t="s">
        <v>111</v>
      </c>
      <c r="E16" s="91">
        <f>Projections!B29-Projections!C29</f>
        <v>0</v>
      </c>
      <c r="F16" s="91">
        <f>Projections!C29-Projections!D29</f>
        <v>0</v>
      </c>
      <c r="G16" s="91">
        <f>Projections!D29-Projections!E29</f>
        <v>0</v>
      </c>
      <c r="H16" s="91">
        <f>Projections!E29-Projections!F29</f>
        <v>0</v>
      </c>
      <c r="I16" s="91">
        <f>Projections!F29-Projections!G29</f>
        <v>0</v>
      </c>
    </row>
    <row r="17" spans="1:12" x14ac:dyDescent="0.15">
      <c r="A17" s="92" t="s">
        <v>112</v>
      </c>
      <c r="E17" s="93">
        <f>Projections!B30-Projections!C30</f>
        <v>-163.58922863333282</v>
      </c>
      <c r="F17" s="93">
        <f>Projections!C30-Projections!D30</f>
        <v>-1937.5409568673058</v>
      </c>
      <c r="G17" s="93">
        <f>Projections!D30-Projections!E30</f>
        <v>-3420.5920591573595</v>
      </c>
      <c r="H17" s="93">
        <f>Projections!E30-Projections!F30</f>
        <v>-4726.8504226109508</v>
      </c>
      <c r="I17" s="93">
        <f>Projections!F30-Projections!G30</f>
        <v>-5940.596852497285</v>
      </c>
    </row>
    <row r="18" spans="1:12" ht="13" thickBot="1" x14ac:dyDescent="0.2">
      <c r="A18" s="94" t="s">
        <v>115</v>
      </c>
      <c r="E18" s="95">
        <f>SUM(E6:E17)</f>
        <v>118258.63321674074</v>
      </c>
      <c r="F18" s="95">
        <f>SUM(F6:F17)</f>
        <v>131494.19470745354</v>
      </c>
      <c r="G18" s="95">
        <f>SUM(G6:G17)</f>
        <v>146962.20625074534</v>
      </c>
      <c r="H18" s="95">
        <f>SUM(H6:H17)</f>
        <v>164777.42022667377</v>
      </c>
      <c r="I18" s="95">
        <f>SUM(I6:I17)</f>
        <v>185117.7055289167</v>
      </c>
    </row>
    <row r="19" spans="1:12" ht="13" thickTop="1" x14ac:dyDescent="0.15">
      <c r="A19" s="96" t="s">
        <v>113</v>
      </c>
      <c r="F19" s="97">
        <f>F18/E18-1</f>
        <v>0.11192046729015614</v>
      </c>
      <c r="G19" s="97">
        <f>G18/F18-1</f>
        <v>0.11763265730251304</v>
      </c>
      <c r="H19" s="97">
        <f>H18/G18-1</f>
        <v>0.12122309830822964</v>
      </c>
      <c r="I19" s="97">
        <f>I18/H18-1</f>
        <v>0.1234409743414</v>
      </c>
    </row>
    <row r="20" spans="1:12" x14ac:dyDescent="0.15">
      <c r="A20" s="98" t="s">
        <v>135</v>
      </c>
      <c r="E20" s="91">
        <f>Projections!C16</f>
        <v>28249.052979747648</v>
      </c>
      <c r="F20" s="91">
        <f>Projections!D16</f>
        <v>32143.418057470473</v>
      </c>
      <c r="G20" s="91">
        <f>Projections!E16</f>
        <v>36447.032350640147</v>
      </c>
      <c r="H20" s="91">
        <f>Projections!F16</f>
        <v>41235.081369108273</v>
      </c>
      <c r="I20" s="91">
        <f>Projections!G16</f>
        <v>46585.257319237309</v>
      </c>
    </row>
    <row r="21" spans="1:12" x14ac:dyDescent="0.15">
      <c r="A21" s="98" t="s">
        <v>136</v>
      </c>
      <c r="E21" s="91">
        <f>E18-E20</f>
        <v>90009.58023699309</v>
      </c>
      <c r="F21" s="91">
        <f>F18-F20</f>
        <v>99350.776649983076</v>
      </c>
      <c r="G21" s="91">
        <f>G18-G20</f>
        <v>110515.17390010519</v>
      </c>
      <c r="H21" s="91">
        <f>H18-H20</f>
        <v>123542.3388575655</v>
      </c>
      <c r="I21" s="91">
        <f>I18-I20</f>
        <v>138532.44820967939</v>
      </c>
    </row>
    <row r="22" spans="1:12" x14ac:dyDescent="0.15">
      <c r="A22" s="98" t="s">
        <v>68</v>
      </c>
      <c r="E22" s="99">
        <v>1</v>
      </c>
      <c r="F22" s="91">
        <f>E22+1</f>
        <v>2</v>
      </c>
      <c r="G22" s="91">
        <f>F22+1</f>
        <v>3</v>
      </c>
      <c r="H22" s="91">
        <f>G22+1</f>
        <v>4</v>
      </c>
      <c r="I22" s="91">
        <f>H22+1</f>
        <v>5</v>
      </c>
    </row>
    <row r="23" spans="1:12" x14ac:dyDescent="0.15">
      <c r="A23" s="94" t="s">
        <v>137</v>
      </c>
      <c r="E23" s="99">
        <f>E20/(1+$D$29)^E22</f>
        <v>25591.619238066793</v>
      </c>
      <c r="F23" s="99">
        <f>F20/(1+$D$29)^F22</f>
        <v>26380.304341305316</v>
      </c>
      <c r="G23" s="99">
        <f>G20/(1+$D$29)^G22</f>
        <v>27098.408756817254</v>
      </c>
      <c r="H23" s="99">
        <f>H20/(1+$D$29)^H22</f>
        <v>27774.250329455073</v>
      </c>
      <c r="I23" s="99">
        <f>I20/(1+$D$29)^I22</f>
        <v>28426.13804102908</v>
      </c>
    </row>
    <row r="24" spans="1:12" x14ac:dyDescent="0.15">
      <c r="A24" s="94"/>
      <c r="E24" s="99"/>
      <c r="F24" s="99"/>
      <c r="G24" s="99"/>
      <c r="H24" s="99"/>
      <c r="I24" s="99"/>
    </row>
    <row r="25" spans="1:12" ht="13" thickBot="1" x14ac:dyDescent="0.2">
      <c r="A25" s="82" t="s">
        <v>91</v>
      </c>
      <c r="B25" s="83"/>
      <c r="C25" s="83"/>
      <c r="D25" s="83"/>
      <c r="E25" s="83"/>
      <c r="F25" s="83"/>
      <c r="G25" s="83"/>
      <c r="H25" s="83"/>
      <c r="I25" s="83"/>
    </row>
    <row r="26" spans="1:12" x14ac:dyDescent="0.15">
      <c r="A26" s="85"/>
      <c r="B26" s="86"/>
      <c r="C26" s="86"/>
      <c r="D26" s="86"/>
      <c r="E26" s="86"/>
      <c r="F26" s="86"/>
      <c r="G26" s="86"/>
      <c r="H26" s="86"/>
      <c r="I26" s="86"/>
    </row>
    <row r="27" spans="1:12" x14ac:dyDescent="0.15">
      <c r="A27" s="106" t="s">
        <v>144</v>
      </c>
      <c r="B27" s="107"/>
      <c r="C27" s="107"/>
      <c r="D27" s="107"/>
      <c r="E27" s="100" t="s">
        <v>121</v>
      </c>
      <c r="F27" s="87"/>
      <c r="G27" s="87"/>
      <c r="H27" s="87"/>
      <c r="I27" s="100" t="s">
        <v>122</v>
      </c>
      <c r="J27" s="87"/>
      <c r="K27" s="87"/>
      <c r="L27" s="87"/>
    </row>
    <row r="29" spans="1:12" x14ac:dyDescent="0.15">
      <c r="A29" s="84" t="s">
        <v>93</v>
      </c>
      <c r="D29" s="125">
        <v>0.10384</v>
      </c>
      <c r="E29" s="84" t="s">
        <v>93</v>
      </c>
      <c r="H29" s="101">
        <f>D29</f>
        <v>0.10384</v>
      </c>
      <c r="I29" s="84" t="s">
        <v>93</v>
      </c>
      <c r="L29" s="101">
        <f>D29</f>
        <v>0.10384</v>
      </c>
    </row>
    <row r="30" spans="1:12" x14ac:dyDescent="0.15">
      <c r="A30" s="84" t="s">
        <v>138</v>
      </c>
      <c r="D30" s="102">
        <f>SUM(E23:I23)</f>
        <v>135270.72070667351</v>
      </c>
      <c r="E30" s="84" t="s">
        <v>138</v>
      </c>
      <c r="H30" s="102">
        <f>SUM(E23:I23)</f>
        <v>135270.72070667351</v>
      </c>
      <c r="I30" s="84" t="s">
        <v>138</v>
      </c>
      <c r="L30" s="102">
        <f>SUM(E23:I23)</f>
        <v>135270.72070667351</v>
      </c>
    </row>
    <row r="32" spans="1:12" x14ac:dyDescent="0.15">
      <c r="A32" s="84" t="s">
        <v>116</v>
      </c>
      <c r="D32" s="126">
        <v>21.58</v>
      </c>
      <c r="E32" s="84" t="s">
        <v>116</v>
      </c>
      <c r="H32" s="126">
        <v>25.68</v>
      </c>
      <c r="I32" s="84" t="str">
        <f>"Growth Rate of FCF after "&amp;TEXT(I4,"yyyy")</f>
        <v>Growth Rate of FCF after 2026</v>
      </c>
      <c r="L32" s="125">
        <v>1.9400000000000001E-2</v>
      </c>
    </row>
    <row r="33" spans="1:16" x14ac:dyDescent="0.15">
      <c r="A33" s="84" t="str">
        <f>"Ent. Terminal Value in "&amp;TEXT(I4,"yyyy")</f>
        <v>Ent. Terminal Value in 2026</v>
      </c>
      <c r="D33" s="102">
        <f>D32*(Projections!G10+Projections!G9)</f>
        <v>5547056.0156406676</v>
      </c>
      <c r="E33" s="84" t="str">
        <f>"Terminal Value in "&amp;TEXT(I4,"yyyy")</f>
        <v>Terminal Value in 2026</v>
      </c>
      <c r="H33" s="102">
        <f>H32*Projections!G15</f>
        <v>5364616.1791839199</v>
      </c>
      <c r="I33" s="84" t="s">
        <v>117</v>
      </c>
      <c r="L33" s="102">
        <f>(I18*(1+L32))/(L29-L32)</f>
        <v>2234829.334630243</v>
      </c>
    </row>
    <row r="34" spans="1:16" x14ac:dyDescent="0.15">
      <c r="A34" s="84" t="s">
        <v>127</v>
      </c>
      <c r="D34" s="115">
        <f>-(SUM(Projections!G36:G38)-Projections!G20)</f>
        <v>472171.31785432622</v>
      </c>
      <c r="E34" s="84" t="s">
        <v>118</v>
      </c>
      <c r="H34" s="102">
        <f>H33/(1+H29)^I22</f>
        <v>3273467.3762046043</v>
      </c>
      <c r="I34" s="84" t="s">
        <v>118</v>
      </c>
      <c r="L34" s="102">
        <f>L33/(1+L29)^I22</f>
        <v>1363683.9382253846</v>
      </c>
    </row>
    <row r="35" spans="1:16" x14ac:dyDescent="0.15">
      <c r="A35" s="84" t="str">
        <f>"Equity Terminal Value in "&amp;TEXT(I4,"yyyy")</f>
        <v>Equity Terminal Value in 2026</v>
      </c>
      <c r="D35" s="102">
        <f>D33+D34</f>
        <v>6019227.3334949939</v>
      </c>
    </row>
    <row r="36" spans="1:16" x14ac:dyDescent="0.15">
      <c r="A36" s="84" t="s">
        <v>118</v>
      </c>
      <c r="D36" s="102">
        <f>D35/(1+D29)^I22</f>
        <v>3672908.4892616272</v>
      </c>
      <c r="E36" s="84" t="s">
        <v>92</v>
      </c>
      <c r="H36" s="102">
        <f>H34+H30</f>
        <v>3408738.0969112776</v>
      </c>
      <c r="I36" s="84" t="s">
        <v>92</v>
      </c>
      <c r="L36" s="102">
        <f>L34+L30</f>
        <v>1498954.6589320581</v>
      </c>
    </row>
    <row r="37" spans="1:16" x14ac:dyDescent="0.15">
      <c r="E37" s="84" t="s">
        <v>119</v>
      </c>
      <c r="H37" s="102">
        <f>'Historical Financials'!E70</f>
        <v>16864.919000000002</v>
      </c>
      <c r="I37" s="84" t="s">
        <v>119</v>
      </c>
      <c r="L37" s="102">
        <f>D39</f>
        <v>16864.919000000002</v>
      </c>
    </row>
    <row r="38" spans="1:16" x14ac:dyDescent="0.15">
      <c r="A38" s="84" t="s">
        <v>92</v>
      </c>
      <c r="D38" s="102">
        <f>D36+D30</f>
        <v>3808179.2099683005</v>
      </c>
      <c r="E38" s="103" t="s">
        <v>120</v>
      </c>
      <c r="F38" s="104"/>
      <c r="G38" s="104"/>
      <c r="H38" s="161">
        <f>H36/H37</f>
        <v>202.1200396462786</v>
      </c>
      <c r="I38" s="103" t="s">
        <v>120</v>
      </c>
      <c r="J38" s="104"/>
      <c r="K38" s="104"/>
      <c r="L38" s="162">
        <f>L36/L37</f>
        <v>88.880039028474314</v>
      </c>
    </row>
    <row r="39" spans="1:16" x14ac:dyDescent="0.15">
      <c r="A39" s="84" t="s">
        <v>119</v>
      </c>
      <c r="D39" s="102">
        <f>'Historical Financials'!E70</f>
        <v>16864.919000000002</v>
      </c>
    </row>
    <row r="40" spans="1:16" x14ac:dyDescent="0.15">
      <c r="A40" s="103" t="s">
        <v>120</v>
      </c>
      <c r="B40" s="104"/>
      <c r="C40" s="104"/>
      <c r="D40" s="161">
        <f>D38/D39</f>
        <v>225.80477320811917</v>
      </c>
      <c r="G40" s="111"/>
      <c r="H40" s="111"/>
      <c r="I40" s="111"/>
      <c r="J40" s="111"/>
    </row>
    <row r="41" spans="1:16" x14ac:dyDescent="0.15">
      <c r="G41" s="111"/>
      <c r="H41" s="111"/>
      <c r="I41" s="111"/>
      <c r="J41" s="111"/>
    </row>
    <row r="42" spans="1:16" x14ac:dyDescent="0.15">
      <c r="G42" s="111"/>
      <c r="H42" s="111"/>
      <c r="I42" s="112"/>
      <c r="J42" s="111"/>
    </row>
    <row r="43" spans="1:16" x14ac:dyDescent="0.15">
      <c r="F43" s="108"/>
      <c r="G43" s="111"/>
      <c r="H43" s="111"/>
      <c r="I43" s="113"/>
      <c r="J43" s="111"/>
    </row>
    <row r="44" spans="1:16" x14ac:dyDescent="0.15">
      <c r="F44" s="109"/>
      <c r="G44" s="111"/>
      <c r="H44" s="111"/>
      <c r="I44" s="114"/>
      <c r="J44" s="111"/>
    </row>
    <row r="45" spans="1:16" x14ac:dyDescent="0.15">
      <c r="F45" s="185"/>
      <c r="G45" s="186"/>
      <c r="H45" s="186"/>
      <c r="I45" s="186"/>
      <c r="J45" s="186"/>
      <c r="K45" s="186"/>
      <c r="L45" s="186"/>
      <c r="M45" s="186"/>
      <c r="N45" s="186"/>
      <c r="O45" s="186"/>
      <c r="P45" s="186"/>
    </row>
    <row r="46" spans="1:16" x14ac:dyDescent="0.15"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</row>
    <row r="47" spans="1:16" x14ac:dyDescent="0.15"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</row>
    <row r="48" spans="1:16" x14ac:dyDescent="0.15"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</row>
    <row r="49" spans="5:16" x14ac:dyDescent="0.15"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</row>
    <row r="50" spans="5:16" x14ac:dyDescent="0.15">
      <c r="E50" s="110" t="s">
        <v>185</v>
      </c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</row>
    <row r="51" spans="5:16" x14ac:dyDescent="0.15">
      <c r="E51" s="128"/>
      <c r="F51" s="185"/>
      <c r="G51" s="186"/>
      <c r="H51" s="186"/>
      <c r="I51" s="186"/>
      <c r="J51" s="186"/>
      <c r="K51" s="186"/>
      <c r="L51" s="186"/>
      <c r="M51" s="186"/>
      <c r="N51" s="186"/>
      <c r="O51" s="186"/>
      <c r="P51" s="186"/>
    </row>
    <row r="52" spans="5:16" x14ac:dyDescent="0.15">
      <c r="E52" s="128" t="s">
        <v>183</v>
      </c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</row>
    <row r="53" spans="5:16" x14ac:dyDescent="0.15"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</row>
    <row r="54" spans="5:16" x14ac:dyDescent="0.15"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</row>
    <row r="55" spans="5:16" x14ac:dyDescent="0.15"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</row>
    <row r="56" spans="5:16" x14ac:dyDescent="0.15"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</row>
  </sheetData>
  <mergeCells count="2">
    <mergeCell ref="F45:P50"/>
    <mergeCell ref="F51:P56"/>
  </mergeCells>
  <phoneticPr fontId="10" type="noConversion"/>
  <pageMargins left="0.7" right="0.7" top="0.75" bottom="0.75" header="0.3" footer="0.3"/>
  <pageSetup orientation="portrait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1040-3E8A-944A-9F53-0164E8B6AF58}">
  <sheetPr>
    <tabColor rgb="FFFFFF00"/>
  </sheetPr>
  <dimension ref="C2:Y45"/>
  <sheetViews>
    <sheetView zoomScale="75" workbookViewId="0">
      <selection activeCell="Q30" sqref="Q30"/>
    </sheetView>
  </sheetViews>
  <sheetFormatPr baseColWidth="10" defaultRowHeight="14" x14ac:dyDescent="0.15"/>
  <cols>
    <col min="1" max="2" width="10.75" style="164"/>
    <col min="3" max="3" width="11" style="164" bestFit="1" customWidth="1"/>
    <col min="4" max="4" width="12.5" style="164" bestFit="1" customWidth="1"/>
    <col min="5" max="5" width="11" style="164" bestFit="1" customWidth="1"/>
    <col min="6" max="7" width="10.75" style="164"/>
    <col min="8" max="8" width="11" style="164" bestFit="1" customWidth="1"/>
    <col min="9" max="9" width="16.25" style="164" customWidth="1"/>
    <col min="10" max="10" width="11" style="164" bestFit="1" customWidth="1"/>
    <col min="11" max="11" width="12.5" style="164" bestFit="1" customWidth="1"/>
    <col min="12" max="12" width="11" style="164" bestFit="1" customWidth="1"/>
    <col min="13" max="13" width="12.5" style="164" bestFit="1" customWidth="1"/>
    <col min="14" max="14" width="16.75" style="164" customWidth="1"/>
    <col min="15" max="15" width="11" style="164" bestFit="1" customWidth="1"/>
    <col min="16" max="22" width="10.75" style="164"/>
    <col min="23" max="23" width="11" style="164" bestFit="1" customWidth="1"/>
    <col min="24" max="24" width="12.5" style="164" bestFit="1" customWidth="1"/>
    <col min="25" max="25" width="11.25" style="164" bestFit="1" customWidth="1"/>
    <col min="26" max="16384" width="10.75" style="164"/>
  </cols>
  <sheetData>
    <row r="2" spans="3:25" x14ac:dyDescent="0.15">
      <c r="C2" s="163" t="s">
        <v>186</v>
      </c>
      <c r="D2" s="163" t="s">
        <v>83</v>
      </c>
      <c r="E2" s="163" t="s">
        <v>187</v>
      </c>
      <c r="M2" s="163" t="s">
        <v>186</v>
      </c>
      <c r="N2" s="163" t="s">
        <v>83</v>
      </c>
      <c r="O2" s="163" t="s">
        <v>187</v>
      </c>
      <c r="W2" s="163" t="s">
        <v>186</v>
      </c>
      <c r="X2" s="163" t="s">
        <v>83</v>
      </c>
      <c r="Y2" s="163" t="s">
        <v>187</v>
      </c>
    </row>
    <row r="3" spans="3:25" x14ac:dyDescent="0.15">
      <c r="C3" s="163">
        <v>2009</v>
      </c>
      <c r="D3" s="165">
        <v>8235</v>
      </c>
      <c r="E3" s="163"/>
      <c r="M3" s="163">
        <v>2009</v>
      </c>
      <c r="N3" s="165">
        <v>6520</v>
      </c>
      <c r="O3" s="163"/>
      <c r="W3" s="163">
        <v>2009</v>
      </c>
      <c r="X3" s="165">
        <v>-989</v>
      </c>
      <c r="Y3" s="163"/>
    </row>
    <row r="4" spans="3:25" x14ac:dyDescent="0.15">
      <c r="C4" s="163">
        <v>2010</v>
      </c>
      <c r="D4" s="165">
        <v>14013</v>
      </c>
      <c r="E4" s="166">
        <f>(D4-D3)/D3</f>
        <v>0.70163934426229513</v>
      </c>
      <c r="M4" s="163">
        <v>2010</v>
      </c>
      <c r="N4" s="165">
        <v>8505</v>
      </c>
      <c r="O4" s="166">
        <f>(N4-N3)/N3</f>
        <v>0.30444785276073622</v>
      </c>
      <c r="W4" s="163">
        <v>2010</v>
      </c>
      <c r="X4" s="165">
        <v>140</v>
      </c>
      <c r="Y4" s="166">
        <f>(X4-X3)/X3</f>
        <v>-1.1415571284125379</v>
      </c>
    </row>
    <row r="5" spans="3:25" x14ac:dyDescent="0.15">
      <c r="C5" s="163">
        <v>2011</v>
      </c>
      <c r="D5" s="165">
        <v>25922</v>
      </c>
      <c r="E5" s="166">
        <f t="shared" ref="E5:E15" si="0">(D5-D4)/D4</f>
        <v>0.84985370727181897</v>
      </c>
      <c r="M5" s="163">
        <v>2011</v>
      </c>
      <c r="N5" s="165">
        <v>9737</v>
      </c>
      <c r="O5" s="166">
        <f t="shared" ref="O5:O15" si="1">(N5-N4)/N4</f>
        <v>0.14485596707818929</v>
      </c>
      <c r="W5" s="163">
        <v>2011</v>
      </c>
      <c r="X5" s="165">
        <v>-2578</v>
      </c>
      <c r="Y5" s="166">
        <f>(X5-X4)/X4</f>
        <v>-19.414285714285715</v>
      </c>
    </row>
    <row r="6" spans="3:25" x14ac:dyDescent="0.15">
      <c r="C6" s="163">
        <v>2012</v>
      </c>
      <c r="D6" s="165">
        <v>41733</v>
      </c>
      <c r="E6" s="166">
        <f t="shared" si="0"/>
        <v>0.60994522027621323</v>
      </c>
      <c r="M6" s="163">
        <v>2012</v>
      </c>
      <c r="N6" s="165">
        <v>10737</v>
      </c>
      <c r="O6" s="166">
        <f t="shared" si="1"/>
        <v>0.10270103728047653</v>
      </c>
      <c r="W6" s="163">
        <v>2012</v>
      </c>
      <c r="X6" s="165">
        <v>-5060</v>
      </c>
      <c r="Y6" s="166">
        <f t="shared" ref="Y6:Y15" si="2">(X6-X5)/X5</f>
        <v>0.96276183087664857</v>
      </c>
    </row>
    <row r="7" spans="3:25" x14ac:dyDescent="0.15">
      <c r="C7" s="163">
        <v>2013</v>
      </c>
      <c r="D7" s="165">
        <v>37037</v>
      </c>
      <c r="E7" s="166">
        <f t="shared" si="0"/>
        <v>-0.11252486042220784</v>
      </c>
      <c r="M7" s="163">
        <v>2013</v>
      </c>
      <c r="N7" s="165">
        <v>12733</v>
      </c>
      <c r="O7" s="166">
        <f t="shared" si="1"/>
        <v>0.18589922697215236</v>
      </c>
      <c r="W7" s="163">
        <v>2013</v>
      </c>
      <c r="X7" s="165">
        <v>1108</v>
      </c>
      <c r="Y7" s="166">
        <f t="shared" si="2"/>
        <v>-1.2189723320158103</v>
      </c>
    </row>
    <row r="8" spans="3:25" x14ac:dyDescent="0.15">
      <c r="C8" s="163">
        <v>2014</v>
      </c>
      <c r="D8" s="165">
        <v>39510</v>
      </c>
      <c r="E8" s="166">
        <f t="shared" si="0"/>
        <v>6.677106677106677E-2</v>
      </c>
      <c r="M8" s="163">
        <v>2014</v>
      </c>
      <c r="N8" s="165">
        <v>14136</v>
      </c>
      <c r="O8" s="166">
        <f t="shared" si="1"/>
        <v>0.11018613052697715</v>
      </c>
      <c r="W8" s="163">
        <v>2014</v>
      </c>
      <c r="X8" s="165">
        <v>-1284</v>
      </c>
      <c r="Y8" s="166">
        <f t="shared" si="2"/>
        <v>-2.1588447653429603</v>
      </c>
    </row>
    <row r="9" spans="3:25" x14ac:dyDescent="0.15">
      <c r="C9" s="163">
        <v>2015</v>
      </c>
      <c r="D9" s="165">
        <v>53394</v>
      </c>
      <c r="E9" s="166">
        <f t="shared" si="0"/>
        <v>0.35140470766894455</v>
      </c>
      <c r="M9" s="163">
        <v>2015</v>
      </c>
      <c r="N9" s="165">
        <v>15826</v>
      </c>
      <c r="O9" s="166">
        <f t="shared" si="1"/>
        <v>0.11955291454442558</v>
      </c>
      <c r="W9" s="163">
        <v>2015</v>
      </c>
      <c r="X9" s="165">
        <v>-1146</v>
      </c>
      <c r="Y9" s="166">
        <f t="shared" si="2"/>
        <v>-0.10747663551401869</v>
      </c>
    </row>
    <row r="10" spans="3:25" x14ac:dyDescent="0.15">
      <c r="C10" s="163">
        <v>2016</v>
      </c>
      <c r="D10" s="165">
        <v>45687</v>
      </c>
      <c r="E10" s="166">
        <f t="shared" si="0"/>
        <v>-0.14434206090571974</v>
      </c>
      <c r="M10" s="163">
        <v>2016</v>
      </c>
      <c r="N10" s="165">
        <v>19478</v>
      </c>
      <c r="O10" s="166">
        <f t="shared" si="1"/>
        <v>0.23075950966763553</v>
      </c>
      <c r="W10" s="163">
        <v>2016</v>
      </c>
      <c r="X10" s="165">
        <v>1227</v>
      </c>
      <c r="Y10" s="166">
        <f t="shared" si="2"/>
        <v>-2.0706806282722514</v>
      </c>
    </row>
    <row r="11" spans="3:25" x14ac:dyDescent="0.15">
      <c r="C11" s="163">
        <v>2017</v>
      </c>
      <c r="D11" s="165">
        <v>48351</v>
      </c>
      <c r="E11" s="166">
        <f t="shared" si="0"/>
        <v>5.8309803664061986E-2</v>
      </c>
      <c r="M11" s="163">
        <v>2017</v>
      </c>
      <c r="N11" s="165">
        <v>12662</v>
      </c>
      <c r="O11" s="166">
        <f t="shared" si="1"/>
        <v>-0.34993325803470582</v>
      </c>
      <c r="W11" s="163">
        <v>2017</v>
      </c>
      <c r="X11" s="165">
        <v>682</v>
      </c>
      <c r="Y11" s="166">
        <f t="shared" si="2"/>
        <v>-0.44417277913610431</v>
      </c>
    </row>
    <row r="12" spans="3:25" x14ac:dyDescent="0.15">
      <c r="C12" s="163">
        <v>2018</v>
      </c>
      <c r="D12" s="165">
        <v>59531</v>
      </c>
      <c r="E12" s="166">
        <f t="shared" si="0"/>
        <v>0.23122582780087278</v>
      </c>
      <c r="M12" s="163">
        <v>2018</v>
      </c>
      <c r="N12" s="165">
        <v>30736</v>
      </c>
      <c r="O12" s="166">
        <f t="shared" si="1"/>
        <v>1.4274206286526616</v>
      </c>
      <c r="W12" s="163">
        <v>2018</v>
      </c>
      <c r="X12" s="165">
        <v>4417</v>
      </c>
      <c r="Y12" s="166">
        <f t="shared" si="2"/>
        <v>5.4765395894428153</v>
      </c>
    </row>
    <row r="13" spans="3:25" x14ac:dyDescent="0.15">
      <c r="C13" s="163">
        <v>2019</v>
      </c>
      <c r="D13" s="165">
        <v>55256</v>
      </c>
      <c r="E13" s="166">
        <f t="shared" si="0"/>
        <v>-7.1811325191916811E-2</v>
      </c>
      <c r="M13" s="163">
        <v>2019</v>
      </c>
      <c r="N13" s="165">
        <v>34343</v>
      </c>
      <c r="O13" s="166">
        <f t="shared" si="1"/>
        <v>0.11735424258198855</v>
      </c>
      <c r="W13" s="163">
        <v>2019</v>
      </c>
      <c r="X13" s="165">
        <v>8246</v>
      </c>
      <c r="Y13" s="166">
        <f t="shared" si="2"/>
        <v>0.86687797147385104</v>
      </c>
    </row>
    <row r="14" spans="3:25" x14ac:dyDescent="0.15">
      <c r="C14" s="163">
        <v>2020</v>
      </c>
      <c r="D14" s="165">
        <v>57411</v>
      </c>
      <c r="E14" s="166">
        <f t="shared" si="0"/>
        <v>3.9000289561314606E-2</v>
      </c>
      <c r="M14" s="163">
        <v>2020</v>
      </c>
      <c r="N14" s="165">
        <v>40269</v>
      </c>
      <c r="O14" s="166">
        <f t="shared" si="1"/>
        <v>0.17255335876306671</v>
      </c>
      <c r="W14" s="163">
        <v>2020</v>
      </c>
      <c r="X14" s="165">
        <v>5356</v>
      </c>
      <c r="Y14" s="166">
        <f t="shared" si="2"/>
        <v>-0.35047295658501093</v>
      </c>
    </row>
    <row r="15" spans="3:25" x14ac:dyDescent="0.15">
      <c r="C15" s="163">
        <v>2021</v>
      </c>
      <c r="D15" s="165">
        <v>94680</v>
      </c>
      <c r="E15" s="166">
        <f t="shared" si="0"/>
        <v>0.64916131055024295</v>
      </c>
      <c r="M15" s="163">
        <v>2021</v>
      </c>
      <c r="N15" s="165">
        <v>76033</v>
      </c>
      <c r="O15" s="166">
        <f t="shared" si="1"/>
        <v>0.88812734361419454</v>
      </c>
      <c r="W15" s="163">
        <v>2021</v>
      </c>
      <c r="X15" s="165">
        <v>11015</v>
      </c>
      <c r="Y15" s="166">
        <f t="shared" si="2"/>
        <v>1.0565720687079911</v>
      </c>
    </row>
    <row r="32" spans="8:14" x14ac:dyDescent="0.15">
      <c r="H32" s="163" t="s">
        <v>186</v>
      </c>
      <c r="I32" s="163" t="s">
        <v>188</v>
      </c>
      <c r="J32" s="163" t="s">
        <v>187</v>
      </c>
      <c r="K32" s="163" t="s">
        <v>189</v>
      </c>
      <c r="L32" s="163" t="s">
        <v>187</v>
      </c>
      <c r="M32" s="163" t="s">
        <v>190</v>
      </c>
      <c r="N32" s="163" t="s">
        <v>187</v>
      </c>
    </row>
    <row r="33" spans="8:14" x14ac:dyDescent="0.15">
      <c r="H33" s="163">
        <v>2009</v>
      </c>
      <c r="I33" s="165">
        <v>8235</v>
      </c>
      <c r="J33" s="163" t="s">
        <v>191</v>
      </c>
      <c r="K33" s="165">
        <v>6520</v>
      </c>
      <c r="L33" s="163" t="s">
        <v>191</v>
      </c>
      <c r="M33" s="165">
        <v>-989</v>
      </c>
      <c r="N33" s="163" t="s">
        <v>191</v>
      </c>
    </row>
    <row r="34" spans="8:14" x14ac:dyDescent="0.15">
      <c r="H34" s="163">
        <v>2010</v>
      </c>
      <c r="I34" s="165">
        <v>14013</v>
      </c>
      <c r="J34" s="166">
        <f>(I34-I33)/I33</f>
        <v>0.70163934426229513</v>
      </c>
      <c r="K34" s="165">
        <v>8505</v>
      </c>
      <c r="L34" s="166">
        <f>(K34-K33)/K33</f>
        <v>0.30444785276073622</v>
      </c>
      <c r="M34" s="165">
        <v>140</v>
      </c>
      <c r="N34" s="166">
        <f>(M34-M33)/M33</f>
        <v>-1.1415571284125379</v>
      </c>
    </row>
    <row r="35" spans="8:14" x14ac:dyDescent="0.15">
      <c r="H35" s="163">
        <v>2011</v>
      </c>
      <c r="I35" s="165">
        <v>25922</v>
      </c>
      <c r="J35" s="166">
        <f t="shared" ref="J35:J45" si="3">(I35-I34)/I34</f>
        <v>0.84985370727181897</v>
      </c>
      <c r="K35" s="165">
        <v>9737</v>
      </c>
      <c r="L35" s="166">
        <f t="shared" ref="L35:L45" si="4">(K35-K34)/K34</f>
        <v>0.14485596707818929</v>
      </c>
      <c r="M35" s="165">
        <v>-2578</v>
      </c>
      <c r="N35" s="166">
        <f>(M35-M34)/M34</f>
        <v>-19.414285714285715</v>
      </c>
    </row>
    <row r="36" spans="8:14" x14ac:dyDescent="0.15">
      <c r="H36" s="163">
        <v>2012</v>
      </c>
      <c r="I36" s="165">
        <v>41733</v>
      </c>
      <c r="J36" s="166">
        <f t="shared" si="3"/>
        <v>0.60994522027621323</v>
      </c>
      <c r="K36" s="165">
        <v>10737</v>
      </c>
      <c r="L36" s="166">
        <f t="shared" si="4"/>
        <v>0.10270103728047653</v>
      </c>
      <c r="M36" s="165">
        <v>-5060</v>
      </c>
      <c r="N36" s="166">
        <f t="shared" ref="N36:N45" si="5">(M36-M35)/M35</f>
        <v>0.96276183087664857</v>
      </c>
    </row>
    <row r="37" spans="8:14" x14ac:dyDescent="0.15">
      <c r="H37" s="163">
        <v>2013</v>
      </c>
      <c r="I37" s="165">
        <v>37037</v>
      </c>
      <c r="J37" s="166">
        <f t="shared" si="3"/>
        <v>-0.11252486042220784</v>
      </c>
      <c r="K37" s="165">
        <v>12733</v>
      </c>
      <c r="L37" s="166">
        <f t="shared" si="4"/>
        <v>0.18589922697215236</v>
      </c>
      <c r="M37" s="165">
        <v>1108</v>
      </c>
      <c r="N37" s="166">
        <f t="shared" si="5"/>
        <v>-1.2189723320158103</v>
      </c>
    </row>
    <row r="38" spans="8:14" x14ac:dyDescent="0.15">
      <c r="H38" s="163">
        <v>2014</v>
      </c>
      <c r="I38" s="165">
        <v>39510</v>
      </c>
      <c r="J38" s="166">
        <f t="shared" si="3"/>
        <v>6.677106677106677E-2</v>
      </c>
      <c r="K38" s="165">
        <v>14136</v>
      </c>
      <c r="L38" s="166">
        <f t="shared" si="4"/>
        <v>0.11018613052697715</v>
      </c>
      <c r="M38" s="165">
        <v>-1284</v>
      </c>
      <c r="N38" s="166">
        <f t="shared" si="5"/>
        <v>-2.1588447653429603</v>
      </c>
    </row>
    <row r="39" spans="8:14" x14ac:dyDescent="0.15">
      <c r="H39" s="163">
        <v>2015</v>
      </c>
      <c r="I39" s="165">
        <v>53394</v>
      </c>
      <c r="J39" s="166">
        <f t="shared" si="3"/>
        <v>0.35140470766894455</v>
      </c>
      <c r="K39" s="165">
        <v>15826</v>
      </c>
      <c r="L39" s="166">
        <f t="shared" si="4"/>
        <v>0.11955291454442558</v>
      </c>
      <c r="M39" s="165">
        <v>-1146</v>
      </c>
      <c r="N39" s="166">
        <f t="shared" si="5"/>
        <v>-0.10747663551401869</v>
      </c>
    </row>
    <row r="40" spans="8:14" x14ac:dyDescent="0.15">
      <c r="H40" s="163">
        <v>2016</v>
      </c>
      <c r="I40" s="165">
        <v>45687</v>
      </c>
      <c r="J40" s="166">
        <f t="shared" si="3"/>
        <v>-0.14434206090571974</v>
      </c>
      <c r="K40" s="165">
        <v>19478</v>
      </c>
      <c r="L40" s="166">
        <f t="shared" si="4"/>
        <v>0.23075950966763553</v>
      </c>
      <c r="M40" s="165">
        <v>1227</v>
      </c>
      <c r="N40" s="166">
        <f t="shared" si="5"/>
        <v>-2.0706806282722514</v>
      </c>
    </row>
    <row r="41" spans="8:14" x14ac:dyDescent="0.15">
      <c r="H41" s="163">
        <v>2017</v>
      </c>
      <c r="I41" s="165">
        <v>48351</v>
      </c>
      <c r="J41" s="166">
        <f t="shared" si="3"/>
        <v>5.8309803664061986E-2</v>
      </c>
      <c r="K41" s="165">
        <v>12662</v>
      </c>
      <c r="L41" s="166">
        <f t="shared" si="4"/>
        <v>-0.34993325803470582</v>
      </c>
      <c r="M41" s="165">
        <v>682</v>
      </c>
      <c r="N41" s="166">
        <f t="shared" si="5"/>
        <v>-0.44417277913610431</v>
      </c>
    </row>
    <row r="42" spans="8:14" x14ac:dyDescent="0.15">
      <c r="H42" s="163">
        <v>2018</v>
      </c>
      <c r="I42" s="165">
        <v>59531</v>
      </c>
      <c r="J42" s="166">
        <f t="shared" si="3"/>
        <v>0.23122582780087278</v>
      </c>
      <c r="K42" s="165">
        <v>30736</v>
      </c>
      <c r="L42" s="166">
        <f t="shared" si="4"/>
        <v>1.4274206286526616</v>
      </c>
      <c r="M42" s="165">
        <v>4417</v>
      </c>
      <c r="N42" s="166">
        <f t="shared" si="5"/>
        <v>5.4765395894428153</v>
      </c>
    </row>
    <row r="43" spans="8:14" x14ac:dyDescent="0.15">
      <c r="H43" s="163">
        <v>2019</v>
      </c>
      <c r="I43" s="165">
        <v>55256</v>
      </c>
      <c r="J43" s="166">
        <f t="shared" si="3"/>
        <v>-7.1811325191916811E-2</v>
      </c>
      <c r="K43" s="165">
        <v>34343</v>
      </c>
      <c r="L43" s="166">
        <f t="shared" si="4"/>
        <v>0.11735424258198855</v>
      </c>
      <c r="M43" s="165">
        <v>8246</v>
      </c>
      <c r="N43" s="166">
        <f t="shared" si="5"/>
        <v>0.86687797147385104</v>
      </c>
    </row>
    <row r="44" spans="8:14" x14ac:dyDescent="0.15">
      <c r="H44" s="163">
        <v>2020</v>
      </c>
      <c r="I44" s="165">
        <v>57411</v>
      </c>
      <c r="J44" s="166">
        <f t="shared" si="3"/>
        <v>3.9000289561314606E-2</v>
      </c>
      <c r="K44" s="165">
        <v>40269</v>
      </c>
      <c r="L44" s="166">
        <f t="shared" si="4"/>
        <v>0.17255335876306671</v>
      </c>
      <c r="M44" s="165">
        <v>5356</v>
      </c>
      <c r="N44" s="166">
        <f t="shared" si="5"/>
        <v>-0.35047295658501093</v>
      </c>
    </row>
    <row r="45" spans="8:14" x14ac:dyDescent="0.15">
      <c r="H45" s="163">
        <v>2021</v>
      </c>
      <c r="I45" s="165">
        <v>94680</v>
      </c>
      <c r="J45" s="166">
        <f t="shared" si="3"/>
        <v>0.64916131055024295</v>
      </c>
      <c r="K45" s="165">
        <v>76033</v>
      </c>
      <c r="L45" s="166">
        <f t="shared" si="4"/>
        <v>0.88812734361419454</v>
      </c>
      <c r="M45" s="165">
        <v>11015</v>
      </c>
      <c r="N45" s="166">
        <f t="shared" si="5"/>
        <v>1.0565720687079911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E474-A57F-D24C-978B-FF8CB1B08329}">
  <sheetPr>
    <tabColor theme="4"/>
  </sheetPr>
  <dimension ref="A1:H11"/>
  <sheetViews>
    <sheetView tabSelected="1" workbookViewId="0">
      <selection activeCell="L16" sqref="L16"/>
    </sheetView>
  </sheetViews>
  <sheetFormatPr baseColWidth="10" defaultRowHeight="16" x14ac:dyDescent="0.2"/>
  <cols>
    <col min="1" max="1" width="38.25" style="167" customWidth="1"/>
    <col min="2" max="4" width="10.75" style="167"/>
    <col min="5" max="5" width="23.25" style="167" customWidth="1"/>
    <col min="6" max="6" width="26" style="167" customWidth="1"/>
    <col min="7" max="7" width="22.25" style="167" customWidth="1"/>
    <col min="8" max="16384" width="10.75" style="167"/>
  </cols>
  <sheetData>
    <row r="1" spans="1:8" ht="60" customHeight="1" thickBot="1" x14ac:dyDescent="0.25">
      <c r="A1" s="180" t="s">
        <v>207</v>
      </c>
      <c r="B1" s="180" t="s">
        <v>206</v>
      </c>
      <c r="C1" s="180" t="s">
        <v>205</v>
      </c>
      <c r="D1" s="180" t="s">
        <v>204</v>
      </c>
      <c r="E1" s="180" t="s">
        <v>203</v>
      </c>
      <c r="F1" s="180" t="s">
        <v>202</v>
      </c>
      <c r="G1" s="180" t="s">
        <v>201</v>
      </c>
      <c r="H1" s="180" t="s">
        <v>200</v>
      </c>
    </row>
    <row r="2" spans="1:8" ht="20" thickTop="1" x14ac:dyDescent="0.25">
      <c r="A2" s="170" t="s">
        <v>199</v>
      </c>
      <c r="B2" s="179">
        <v>0.3538</v>
      </c>
      <c r="C2" s="179">
        <v>0.1004</v>
      </c>
      <c r="D2" s="169">
        <f t="shared" ref="D2:D9" si="0">B2-C2</f>
        <v>0.25340000000000001</v>
      </c>
      <c r="E2" s="169">
        <v>0.13750000000000001</v>
      </c>
      <c r="F2" s="169">
        <v>0.22620000000000001</v>
      </c>
      <c r="G2" s="171">
        <v>167.66</v>
      </c>
      <c r="H2" s="171">
        <v>66.650000000000006</v>
      </c>
    </row>
    <row r="3" spans="1:8" ht="19" x14ac:dyDescent="0.25">
      <c r="A3" s="178" t="s">
        <v>198</v>
      </c>
      <c r="B3" s="169">
        <v>0.33479999999999999</v>
      </c>
      <c r="C3" s="169">
        <v>7.7299999999999994E-2</v>
      </c>
      <c r="D3" s="169">
        <f t="shared" si="0"/>
        <v>0.25750000000000001</v>
      </c>
      <c r="E3" s="169">
        <v>0.1598</v>
      </c>
      <c r="F3" s="169">
        <v>0.25790000000000002</v>
      </c>
      <c r="G3" s="172">
        <v>282.06</v>
      </c>
      <c r="H3" s="171">
        <v>95.02</v>
      </c>
    </row>
    <row r="4" spans="1:8" ht="19" x14ac:dyDescent="0.25">
      <c r="A4" s="178" t="s">
        <v>197</v>
      </c>
      <c r="B4" s="169">
        <v>0.35670000000000002</v>
      </c>
      <c r="C4" s="169">
        <v>8.6499999999999994E-2</v>
      </c>
      <c r="D4" s="169">
        <f t="shared" si="0"/>
        <v>0.2702</v>
      </c>
      <c r="E4" s="169">
        <v>0.2346</v>
      </c>
      <c r="F4" s="169">
        <v>0.1731</v>
      </c>
      <c r="G4" s="177">
        <v>2554.29</v>
      </c>
      <c r="H4" s="171">
        <v>1077.94</v>
      </c>
    </row>
    <row r="5" spans="1:8" ht="19" x14ac:dyDescent="0.25">
      <c r="A5" s="170" t="s">
        <v>196</v>
      </c>
      <c r="B5" s="169">
        <v>9.3299999999999994E-2</v>
      </c>
      <c r="C5" s="169">
        <v>7.6600000000000001E-2</v>
      </c>
      <c r="D5" s="169">
        <f t="shared" si="0"/>
        <v>1.6699999999999993E-2</v>
      </c>
      <c r="E5" s="169">
        <v>0.26329999999999998</v>
      </c>
      <c r="F5" s="169">
        <v>0.32019999999999998</v>
      </c>
      <c r="G5" s="177">
        <v>3015.75</v>
      </c>
      <c r="H5" s="171">
        <v>547.64</v>
      </c>
    </row>
    <row r="6" spans="1:8" ht="19" x14ac:dyDescent="0.25">
      <c r="A6" s="170" t="s">
        <v>195</v>
      </c>
      <c r="B6" s="169">
        <v>0.12939999999999999</v>
      </c>
      <c r="C6" s="169">
        <v>6.5600000000000006E-2</v>
      </c>
      <c r="D6" s="169">
        <f t="shared" si="0"/>
        <v>6.3799999999999982E-2</v>
      </c>
      <c r="E6" s="169">
        <v>4.6399999999999997E-2</v>
      </c>
      <c r="F6" s="176">
        <v>0.1057</v>
      </c>
      <c r="G6" s="175">
        <v>67500</v>
      </c>
      <c r="H6" s="171">
        <v>44.82</v>
      </c>
    </row>
    <row r="7" spans="1:8" ht="19" x14ac:dyDescent="0.25">
      <c r="A7" s="170" t="s">
        <v>194</v>
      </c>
      <c r="B7" s="169">
        <v>3.95E-2</v>
      </c>
      <c r="C7" s="169">
        <v>6.0999999999999999E-2</v>
      </c>
      <c r="D7" s="169">
        <f t="shared" si="0"/>
        <v>-2.1499999999999998E-2</v>
      </c>
      <c r="E7" s="169">
        <v>3.7600000000000001E-2</v>
      </c>
      <c r="F7" s="174">
        <v>0.1971</v>
      </c>
      <c r="G7" s="172">
        <v>47.1</v>
      </c>
      <c r="H7" s="171">
        <v>69.52</v>
      </c>
    </row>
    <row r="8" spans="1:8" ht="19" x14ac:dyDescent="0.25">
      <c r="A8" s="170" t="s">
        <v>193</v>
      </c>
      <c r="B8" s="169">
        <v>3.1899999999999998E-2</v>
      </c>
      <c r="C8" s="173">
        <v>0.04</v>
      </c>
      <c r="D8" s="169">
        <f t="shared" si="0"/>
        <v>-8.100000000000003E-3</v>
      </c>
      <c r="E8" s="169">
        <v>5.1799999999999999E-2</v>
      </c>
      <c r="F8" s="169">
        <v>0.17399999999999999</v>
      </c>
      <c r="G8" s="172">
        <v>90.83</v>
      </c>
      <c r="H8" s="171">
        <v>104.81</v>
      </c>
    </row>
    <row r="9" spans="1:8" ht="19" x14ac:dyDescent="0.25">
      <c r="A9" s="170" t="s">
        <v>192</v>
      </c>
      <c r="B9" s="169">
        <v>8.2500000000000004E-2</v>
      </c>
      <c r="C9" s="169">
        <v>6.2600000000000003E-2</v>
      </c>
      <c r="D9" s="169">
        <f t="shared" si="0"/>
        <v>1.9900000000000001E-2</v>
      </c>
      <c r="E9" s="169">
        <v>0.12180000000000001</v>
      </c>
      <c r="F9" s="169">
        <v>2.75E-2</v>
      </c>
      <c r="G9" s="172">
        <v>19.72</v>
      </c>
      <c r="H9" s="171">
        <v>18.71</v>
      </c>
    </row>
    <row r="10" spans="1:8" ht="21" x14ac:dyDescent="0.25">
      <c r="A10" s="170"/>
      <c r="D10" s="169"/>
      <c r="F10" s="168"/>
    </row>
    <row r="11" spans="1:8" ht="20" x14ac:dyDescent="0.2">
      <c r="A11" s="168"/>
      <c r="F11" s="168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408D-BD62-744C-B6FB-507A590DE32A}">
  <sheetPr>
    <tabColor theme="4"/>
  </sheetPr>
  <dimension ref="A1:G5"/>
  <sheetViews>
    <sheetView zoomScale="167" workbookViewId="0">
      <selection activeCell="L16" sqref="L16"/>
    </sheetView>
  </sheetViews>
  <sheetFormatPr baseColWidth="10" defaultRowHeight="16" x14ac:dyDescent="0.2"/>
  <cols>
    <col min="1" max="1" width="23" style="167" customWidth="1"/>
    <col min="2" max="16384" width="10.75" style="167"/>
  </cols>
  <sheetData>
    <row r="1" spans="1:7" ht="17" thickBot="1" x14ac:dyDescent="0.25">
      <c r="B1" s="181" t="s">
        <v>213</v>
      </c>
      <c r="C1" s="181" t="s">
        <v>212</v>
      </c>
      <c r="D1" s="181" t="s">
        <v>211</v>
      </c>
      <c r="E1" s="181" t="s">
        <v>210</v>
      </c>
      <c r="F1" s="181" t="s">
        <v>209</v>
      </c>
      <c r="G1" s="181" t="s">
        <v>208</v>
      </c>
    </row>
    <row r="2" spans="1:7" ht="19" thickBot="1" x14ac:dyDescent="0.25">
      <c r="A2" s="180" t="s">
        <v>206</v>
      </c>
      <c r="B2" s="176">
        <v>0.1721</v>
      </c>
      <c r="C2" s="176">
        <v>0.19370000000000001</v>
      </c>
      <c r="D2" s="176">
        <v>0.2029</v>
      </c>
      <c r="E2" s="176">
        <v>0.23710000000000001</v>
      </c>
      <c r="F2" s="176">
        <v>0.35630000000000001</v>
      </c>
      <c r="G2" s="176">
        <v>0.3538</v>
      </c>
    </row>
    <row r="3" spans="1:7" ht="20" thickTop="1" thickBot="1" x14ac:dyDescent="0.25">
      <c r="A3" s="180" t="s">
        <v>205</v>
      </c>
      <c r="B3" s="176">
        <v>9.74E-2</v>
      </c>
      <c r="C3" s="176">
        <v>9.8799999999999999E-2</v>
      </c>
      <c r="D3" s="176">
        <v>7.6899999999999996E-2</v>
      </c>
      <c r="E3" s="176">
        <v>8.0600000000000005E-2</v>
      </c>
      <c r="F3" s="176">
        <v>8.8800000000000004E-2</v>
      </c>
      <c r="G3" s="176">
        <v>0.1004</v>
      </c>
    </row>
    <row r="4" spans="1:7" ht="38" thickTop="1" thickBot="1" x14ac:dyDescent="0.25">
      <c r="A4" s="180" t="s">
        <v>204</v>
      </c>
      <c r="B4" s="176">
        <f t="shared" ref="B4:G4" si="0">B2-B3</f>
        <v>7.4700000000000003E-2</v>
      </c>
      <c r="C4" s="176">
        <f t="shared" si="0"/>
        <v>9.4900000000000012E-2</v>
      </c>
      <c r="D4" s="176">
        <f t="shared" si="0"/>
        <v>0.126</v>
      </c>
      <c r="E4" s="176">
        <f t="shared" si="0"/>
        <v>0.1565</v>
      </c>
      <c r="F4" s="176">
        <f t="shared" si="0"/>
        <v>0.26750000000000002</v>
      </c>
      <c r="G4" s="176">
        <f t="shared" si="0"/>
        <v>0.25340000000000001</v>
      </c>
    </row>
    <row r="5" spans="1:7" ht="17" thickTop="1" x14ac:dyDescent="0.2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CE4B-24A9-154D-9437-1C95A6F21954}">
  <sheetPr>
    <tabColor theme="4"/>
  </sheetPr>
  <dimension ref="A1:G42"/>
  <sheetViews>
    <sheetView topLeftCell="A10" zoomScale="65" workbookViewId="0">
      <selection activeCell="L16" sqref="L16"/>
    </sheetView>
  </sheetViews>
  <sheetFormatPr baseColWidth="10" defaultRowHeight="16" x14ac:dyDescent="0.2"/>
  <cols>
    <col min="1" max="1" width="29.5" style="167" customWidth="1"/>
    <col min="2" max="2" width="28.25" style="167" customWidth="1"/>
    <col min="3" max="3" width="27.5" style="167" customWidth="1"/>
    <col min="4" max="16384" width="10.75" style="167"/>
  </cols>
  <sheetData>
    <row r="1" spans="1:7" ht="17" thickBot="1" x14ac:dyDescent="0.25">
      <c r="B1" s="181">
        <v>2017</v>
      </c>
      <c r="C1" s="181">
        <v>2018</v>
      </c>
      <c r="D1" s="181">
        <v>2019</v>
      </c>
      <c r="E1" s="181">
        <v>2020</v>
      </c>
      <c r="F1" s="181">
        <v>2021</v>
      </c>
      <c r="G1" s="181" t="s">
        <v>208</v>
      </c>
    </row>
    <row r="2" spans="1:7" ht="19" thickBot="1" x14ac:dyDescent="0.25">
      <c r="A2" s="180" t="s">
        <v>206</v>
      </c>
      <c r="B2" s="176">
        <v>0.1721</v>
      </c>
      <c r="C2" s="176">
        <v>0.19370000000000001</v>
      </c>
      <c r="D2" s="176">
        <v>0.2029</v>
      </c>
      <c r="E2" s="176">
        <v>0.23710000000000001</v>
      </c>
      <c r="F2" s="176">
        <v>0.35630000000000001</v>
      </c>
      <c r="G2" s="176">
        <v>0.3538</v>
      </c>
    </row>
    <row r="3" spans="1:7" ht="20" thickTop="1" thickBot="1" x14ac:dyDescent="0.25">
      <c r="A3" s="180" t="s">
        <v>205</v>
      </c>
      <c r="B3" s="176">
        <v>9.74E-2</v>
      </c>
      <c r="C3" s="176">
        <v>9.8799999999999999E-2</v>
      </c>
      <c r="D3" s="176">
        <v>7.6899999999999996E-2</v>
      </c>
      <c r="E3" s="176">
        <v>8.0600000000000005E-2</v>
      </c>
      <c r="F3" s="176">
        <v>8.8800000000000004E-2</v>
      </c>
      <c r="G3" s="176">
        <v>0.1004</v>
      </c>
    </row>
    <row r="4" spans="1:7" ht="20" thickTop="1" thickBot="1" x14ac:dyDescent="0.25">
      <c r="A4" s="183" t="s">
        <v>215</v>
      </c>
      <c r="B4" s="176">
        <f t="shared" ref="B4:G4" si="0">B2-B3</f>
        <v>7.4700000000000003E-2</v>
      </c>
      <c r="C4" s="176">
        <f t="shared" si="0"/>
        <v>9.4900000000000012E-2</v>
      </c>
      <c r="D4" s="176">
        <f t="shared" si="0"/>
        <v>0.126</v>
      </c>
      <c r="E4" s="176">
        <f t="shared" si="0"/>
        <v>0.1565</v>
      </c>
      <c r="F4" s="176">
        <f t="shared" si="0"/>
        <v>0.26750000000000002</v>
      </c>
      <c r="G4" s="176">
        <f t="shared" si="0"/>
        <v>0.25340000000000001</v>
      </c>
    </row>
    <row r="5" spans="1:7" ht="19" thickTop="1" x14ac:dyDescent="0.2">
      <c r="A5" s="184" t="s">
        <v>217</v>
      </c>
      <c r="B5" s="176">
        <v>0.20780000000000001</v>
      </c>
      <c r="C5" s="176">
        <v>0.11700000000000001</v>
      </c>
      <c r="D5" s="176">
        <v>0.25530000000000003</v>
      </c>
      <c r="E5" s="176">
        <v>0.25829999999999997</v>
      </c>
      <c r="F5" s="176">
        <v>0.3029</v>
      </c>
      <c r="G5" s="176">
        <v>0.33479999999999999</v>
      </c>
    </row>
    <row r="6" spans="1:7" ht="18" x14ac:dyDescent="0.2">
      <c r="A6" s="184" t="s">
        <v>216</v>
      </c>
      <c r="B6" s="176">
        <v>9.8400000000000001E-2</v>
      </c>
      <c r="C6" s="176">
        <v>9.4700000000000006E-2</v>
      </c>
      <c r="D6" s="176">
        <v>7.6100000000000001E-2</v>
      </c>
      <c r="E6" s="176">
        <v>5.6099999999999997E-2</v>
      </c>
      <c r="F6" s="176">
        <v>5.9499999999999997E-2</v>
      </c>
      <c r="G6" s="176">
        <v>7.8899999999999998E-2</v>
      </c>
    </row>
    <row r="7" spans="1:7" ht="19" x14ac:dyDescent="0.25">
      <c r="A7" s="178" t="s">
        <v>198</v>
      </c>
      <c r="B7" s="169">
        <f t="shared" ref="B7:G7" si="1">B5-B6</f>
        <v>0.10940000000000001</v>
      </c>
      <c r="C7" s="169">
        <f t="shared" si="1"/>
        <v>2.23E-2</v>
      </c>
      <c r="D7" s="169">
        <f t="shared" si="1"/>
        <v>0.17920000000000003</v>
      </c>
      <c r="E7" s="169">
        <f t="shared" si="1"/>
        <v>0.20219999999999999</v>
      </c>
      <c r="F7" s="169">
        <f t="shared" si="1"/>
        <v>0.24340000000000001</v>
      </c>
      <c r="G7" s="169">
        <f t="shared" si="1"/>
        <v>0.25590000000000002</v>
      </c>
    </row>
    <row r="8" spans="1:7" ht="18" x14ac:dyDescent="0.2">
      <c r="A8" s="184" t="s">
        <v>217</v>
      </c>
      <c r="B8" s="169">
        <v>0.1779</v>
      </c>
      <c r="C8" s="169">
        <v>0.29380000000000001</v>
      </c>
      <c r="D8" s="169">
        <v>0.24149999999999999</v>
      </c>
      <c r="E8" s="169">
        <v>0.21890000000000001</v>
      </c>
      <c r="F8" s="176">
        <v>0.35520000000000002</v>
      </c>
      <c r="G8" s="169">
        <v>0.37890000000000001</v>
      </c>
    </row>
    <row r="9" spans="1:7" ht="18" x14ac:dyDescent="0.2">
      <c r="A9" s="184" t="s">
        <v>216</v>
      </c>
      <c r="B9" s="169">
        <v>8.4099999999999994E-2</v>
      </c>
      <c r="C9" s="169">
        <v>9.7299999999999998E-2</v>
      </c>
      <c r="D9" s="169">
        <v>8.0199999999999994E-2</v>
      </c>
      <c r="E9" s="169">
        <v>6.8400000000000002E-2</v>
      </c>
      <c r="F9" s="169">
        <v>7.3599999999999999E-2</v>
      </c>
      <c r="G9" s="169">
        <v>8.72E-2</v>
      </c>
    </row>
    <row r="10" spans="1:7" ht="19" x14ac:dyDescent="0.25">
      <c r="A10" s="178" t="s">
        <v>197</v>
      </c>
      <c r="B10" s="169">
        <f t="shared" ref="B10:G10" si="2">B8-B9</f>
        <v>9.3800000000000008E-2</v>
      </c>
      <c r="C10" s="169">
        <f t="shared" si="2"/>
        <v>0.19650000000000001</v>
      </c>
      <c r="D10" s="169">
        <f t="shared" si="2"/>
        <v>0.1613</v>
      </c>
      <c r="E10" s="169">
        <f t="shared" si="2"/>
        <v>0.15050000000000002</v>
      </c>
      <c r="F10" s="169">
        <f t="shared" si="2"/>
        <v>0.28160000000000002</v>
      </c>
      <c r="G10" s="169">
        <f t="shared" si="2"/>
        <v>0.29170000000000001</v>
      </c>
    </row>
    <row r="11" spans="1:7" ht="18" x14ac:dyDescent="0.2">
      <c r="A11" s="184" t="s">
        <v>217</v>
      </c>
      <c r="B11" s="169">
        <v>5.5300000000000002E-2</v>
      </c>
      <c r="C11" s="169">
        <v>0.13039999999999999</v>
      </c>
      <c r="D11" s="169">
        <v>0.10440000000000001</v>
      </c>
      <c r="E11" s="169">
        <v>0.12039999999999999</v>
      </c>
      <c r="F11" s="169">
        <v>9.2799999999999994E-2</v>
      </c>
      <c r="G11" s="169">
        <v>9.3299999999999994E-2</v>
      </c>
    </row>
    <row r="12" spans="1:7" ht="18" x14ac:dyDescent="0.2">
      <c r="A12" s="184" t="s">
        <v>216</v>
      </c>
      <c r="B12" s="169">
        <v>0.1027</v>
      </c>
      <c r="C12" s="169">
        <v>0.13389999999999999</v>
      </c>
      <c r="D12" s="169">
        <v>0.1134</v>
      </c>
      <c r="E12" s="169">
        <v>7.7100000000000002E-2</v>
      </c>
      <c r="F12" s="169">
        <v>6.6100000000000006E-2</v>
      </c>
      <c r="G12" s="169">
        <v>7.7799999999999994E-2</v>
      </c>
    </row>
    <row r="13" spans="1:7" ht="19" x14ac:dyDescent="0.25">
      <c r="A13" s="170" t="s">
        <v>196</v>
      </c>
      <c r="B13" s="169">
        <f t="shared" ref="B13:G13" si="3">B11-B12</f>
        <v>-4.7399999999999998E-2</v>
      </c>
      <c r="C13" s="169">
        <f t="shared" si="3"/>
        <v>-3.5000000000000031E-3</v>
      </c>
      <c r="D13" s="169">
        <f t="shared" si="3"/>
        <v>-8.9999999999999941E-3</v>
      </c>
      <c r="E13" s="169">
        <f t="shared" si="3"/>
        <v>4.3299999999999991E-2</v>
      </c>
      <c r="F13" s="169">
        <f t="shared" si="3"/>
        <v>2.6699999999999988E-2</v>
      </c>
      <c r="G13" s="169">
        <f t="shared" si="3"/>
        <v>1.55E-2</v>
      </c>
    </row>
    <row r="14" spans="1:7" ht="18" x14ac:dyDescent="0.2">
      <c r="A14" s="184" t="s">
        <v>217</v>
      </c>
      <c r="B14" s="169">
        <v>0.24179999999999999</v>
      </c>
      <c r="C14" s="169">
        <v>0.20880000000000001</v>
      </c>
      <c r="D14" s="169">
        <v>8.9800000000000005E-2</v>
      </c>
      <c r="E14" s="173">
        <v>0.12</v>
      </c>
      <c r="F14" s="169">
        <v>0.14990000000000001</v>
      </c>
      <c r="G14" s="169">
        <v>0.15659999999999999</v>
      </c>
    </row>
    <row r="15" spans="1:7" ht="18" x14ac:dyDescent="0.2">
      <c r="A15" s="184" t="s">
        <v>216</v>
      </c>
      <c r="B15" s="169">
        <v>0.1195</v>
      </c>
      <c r="C15" s="169">
        <v>7.9799999999999996E-2</v>
      </c>
      <c r="D15" s="169">
        <v>8.8800000000000004E-2</v>
      </c>
      <c r="E15" s="169">
        <v>8.2699999999999996E-2</v>
      </c>
      <c r="F15" s="169">
        <v>8.8499999999999995E-2</v>
      </c>
      <c r="G15" s="169">
        <v>3.7600000000000001E-2</v>
      </c>
    </row>
    <row r="16" spans="1:7" ht="19" x14ac:dyDescent="0.25">
      <c r="A16" s="170" t="s">
        <v>195</v>
      </c>
      <c r="B16" s="169">
        <f t="shared" ref="B16:G16" si="4">B14-B15</f>
        <v>0.12229999999999999</v>
      </c>
      <c r="C16" s="169">
        <f t="shared" si="4"/>
        <v>0.129</v>
      </c>
      <c r="D16" s="169">
        <f t="shared" si="4"/>
        <v>1.0000000000000009E-3</v>
      </c>
      <c r="E16" s="169">
        <f t="shared" si="4"/>
        <v>3.73E-2</v>
      </c>
      <c r="F16" s="169">
        <f t="shared" si="4"/>
        <v>6.140000000000001E-2</v>
      </c>
      <c r="G16" s="169">
        <f t="shared" si="4"/>
        <v>0.11899999999999999</v>
      </c>
    </row>
    <row r="17" spans="1:7" ht="18" x14ac:dyDescent="0.2">
      <c r="A17" s="184" t="s">
        <v>217</v>
      </c>
      <c r="B17" s="169">
        <v>-1.35E-2</v>
      </c>
      <c r="C17" s="169">
        <v>-1.6999999999999999E-3</v>
      </c>
      <c r="D17" s="169">
        <v>-0.23089999999999999</v>
      </c>
      <c r="E17" s="169">
        <v>3.2899999999999999E-2</v>
      </c>
      <c r="F17" s="169">
        <v>4.53E-2</v>
      </c>
      <c r="G17" s="169">
        <v>3.95E-2</v>
      </c>
    </row>
    <row r="18" spans="1:7" ht="18" x14ac:dyDescent="0.2">
      <c r="A18" s="184" t="s">
        <v>216</v>
      </c>
      <c r="B18" s="167" t="s">
        <v>214</v>
      </c>
      <c r="C18" s="169">
        <v>4.9799999999999997E-2</v>
      </c>
      <c r="D18" s="169">
        <v>1.95E-2</v>
      </c>
      <c r="E18" s="169">
        <v>2.46E-2</v>
      </c>
      <c r="F18" s="169">
        <v>4.9700000000000001E-2</v>
      </c>
      <c r="G18" s="169">
        <v>6.1699999999999998E-2</v>
      </c>
    </row>
    <row r="19" spans="1:7" ht="19" x14ac:dyDescent="0.25">
      <c r="A19" s="170" t="s">
        <v>194</v>
      </c>
      <c r="B19" s="169" t="s">
        <v>214</v>
      </c>
      <c r="C19" s="169">
        <f>C17-C18</f>
        <v>-5.1499999999999997E-2</v>
      </c>
      <c r="D19" s="169">
        <f>D17-D18</f>
        <v>-0.25040000000000001</v>
      </c>
      <c r="E19" s="169">
        <f>E17-E18</f>
        <v>8.2999999999999984E-3</v>
      </c>
      <c r="F19" s="169">
        <f>F17-F18</f>
        <v>-4.4000000000000011E-3</v>
      </c>
      <c r="G19" s="169">
        <f>G17-G18</f>
        <v>-2.2199999999999998E-2</v>
      </c>
    </row>
    <row r="20" spans="1:7" ht="18" x14ac:dyDescent="0.2">
      <c r="A20" s="184" t="s">
        <v>217</v>
      </c>
      <c r="B20" s="169">
        <v>1.3899999999999999E-2</v>
      </c>
      <c r="C20" s="169">
        <v>3.4799999999999998E-2</v>
      </c>
      <c r="D20" s="169">
        <v>4.1799999999999997E-2</v>
      </c>
      <c r="E20" s="169">
        <v>3.2199999999999999E-2</v>
      </c>
      <c r="F20" s="169">
        <v>4.2000000000000003E-2</v>
      </c>
      <c r="G20" s="169">
        <v>3.1899999999999998E-2</v>
      </c>
    </row>
    <row r="21" spans="1:7" ht="18" x14ac:dyDescent="0.2">
      <c r="A21" s="184" t="s">
        <v>216</v>
      </c>
      <c r="B21" s="169">
        <v>6.7699999999999996E-2</v>
      </c>
      <c r="C21" s="169">
        <v>5.8000000000000003E-2</v>
      </c>
      <c r="D21" s="169">
        <v>4.2000000000000003E-2</v>
      </c>
      <c r="E21" s="169">
        <v>4.9000000000000002E-2</v>
      </c>
      <c r="F21" s="169">
        <v>4.41E-2</v>
      </c>
      <c r="G21" s="169">
        <v>4.0099999999999997E-2</v>
      </c>
    </row>
    <row r="22" spans="1:7" ht="19" x14ac:dyDescent="0.25">
      <c r="A22" s="170" t="s">
        <v>193</v>
      </c>
      <c r="B22" s="169">
        <f t="shared" ref="B22:G22" si="5">B20-B21</f>
        <v>-5.3800000000000001E-2</v>
      </c>
      <c r="C22" s="169">
        <f t="shared" si="5"/>
        <v>-2.3200000000000005E-2</v>
      </c>
      <c r="D22" s="169">
        <f t="shared" si="5"/>
        <v>-2.0000000000000573E-4</v>
      </c>
      <c r="E22" s="169">
        <f t="shared" si="5"/>
        <v>-1.6800000000000002E-2</v>
      </c>
      <c r="F22" s="169">
        <f t="shared" si="5"/>
        <v>-2.0999999999999977E-3</v>
      </c>
      <c r="G22" s="169">
        <f t="shared" si="5"/>
        <v>-8.199999999999999E-3</v>
      </c>
    </row>
    <row r="23" spans="1:7" ht="18" x14ac:dyDescent="0.2">
      <c r="A23" s="184" t="s">
        <v>217</v>
      </c>
      <c r="B23" s="169">
        <v>3.7400000000000003E-2</v>
      </c>
      <c r="C23" s="169">
        <v>-1.6199999999999999E-2</v>
      </c>
      <c r="D23" s="169">
        <v>4.3299999999999998E-2</v>
      </c>
      <c r="E23" s="169">
        <v>5.0099999999999999E-2</v>
      </c>
      <c r="F23" s="169">
        <v>6.6699999999999995E-2</v>
      </c>
      <c r="G23" s="169">
        <v>8.2500000000000004E-2</v>
      </c>
    </row>
    <row r="24" spans="1:7" ht="18" x14ac:dyDescent="0.2">
      <c r="A24" s="184" t="s">
        <v>216</v>
      </c>
      <c r="B24" s="169">
        <v>8.5400000000000004E-2</v>
      </c>
      <c r="C24" s="169">
        <v>8.0699999999999994E-2</v>
      </c>
      <c r="D24" s="169">
        <v>6.6799999999999998E-2</v>
      </c>
      <c r="E24" s="169">
        <v>5.8000000000000003E-2</v>
      </c>
      <c r="F24" s="169">
        <v>8.1600000000000006E-2</v>
      </c>
      <c r="G24" s="169">
        <v>6.3200000000000006E-2</v>
      </c>
    </row>
    <row r="25" spans="1:7" ht="19" x14ac:dyDescent="0.25">
      <c r="A25" s="170" t="s">
        <v>192</v>
      </c>
      <c r="B25" s="169">
        <f t="shared" ref="B25:G25" si="6">B23-B24</f>
        <v>-4.8000000000000001E-2</v>
      </c>
      <c r="C25" s="169">
        <f t="shared" si="6"/>
        <v>-9.6899999999999986E-2</v>
      </c>
      <c r="D25" s="169">
        <f t="shared" si="6"/>
        <v>-2.35E-2</v>
      </c>
      <c r="E25" s="169">
        <f t="shared" si="6"/>
        <v>-7.9000000000000042E-3</v>
      </c>
      <c r="F25" s="169">
        <f t="shared" si="6"/>
        <v>-1.490000000000001E-2</v>
      </c>
      <c r="G25" s="169">
        <f t="shared" si="6"/>
        <v>1.9299999999999998E-2</v>
      </c>
    </row>
    <row r="33" spans="1:7" x14ac:dyDescent="0.2">
      <c r="B33" s="181"/>
      <c r="C33" s="181"/>
      <c r="D33" s="181"/>
      <c r="E33" s="181"/>
      <c r="F33" s="181"/>
      <c r="G33" s="181"/>
    </row>
    <row r="34" spans="1:7" ht="17" thickBot="1" x14ac:dyDescent="0.25">
      <c r="A34" s="167" t="s">
        <v>186</v>
      </c>
      <c r="B34" s="181">
        <v>2017</v>
      </c>
      <c r="C34" s="181">
        <v>2018</v>
      </c>
      <c r="D34" s="181">
        <v>2019</v>
      </c>
      <c r="E34" s="181">
        <v>2020</v>
      </c>
      <c r="F34" s="181">
        <v>2021</v>
      </c>
      <c r="G34" s="181" t="s">
        <v>208</v>
      </c>
    </row>
    <row r="35" spans="1:7" ht="19" thickBot="1" x14ac:dyDescent="0.25">
      <c r="A35" s="183" t="s">
        <v>215</v>
      </c>
      <c r="B35" s="176">
        <v>7.4700000000000003E-2</v>
      </c>
      <c r="C35" s="176">
        <v>9.4900000000000012E-2</v>
      </c>
      <c r="D35" s="176">
        <v>0.126</v>
      </c>
      <c r="E35" s="176">
        <v>0.1565</v>
      </c>
      <c r="F35" s="176">
        <v>0.26750000000000002</v>
      </c>
      <c r="G35" s="176">
        <v>0.25340000000000001</v>
      </c>
    </row>
    <row r="36" spans="1:7" ht="20" thickTop="1" x14ac:dyDescent="0.25">
      <c r="A36" s="178" t="s">
        <v>198</v>
      </c>
      <c r="B36" s="182">
        <v>0.10940000000000001</v>
      </c>
      <c r="C36" s="182">
        <v>2.23E-2</v>
      </c>
      <c r="D36" s="182">
        <v>0.17920000000000003</v>
      </c>
      <c r="E36" s="182">
        <v>0.20219999999999999</v>
      </c>
      <c r="F36" s="182">
        <v>0.24340000000000001</v>
      </c>
      <c r="G36" s="182">
        <v>0.25590000000000002</v>
      </c>
    </row>
    <row r="37" spans="1:7" ht="19" x14ac:dyDescent="0.25">
      <c r="A37" s="178" t="s">
        <v>197</v>
      </c>
      <c r="B37" s="182">
        <v>9.3800000000000008E-2</v>
      </c>
      <c r="C37" s="182">
        <v>0.19650000000000001</v>
      </c>
      <c r="D37" s="182">
        <v>0.1613</v>
      </c>
      <c r="E37" s="182">
        <v>0.15050000000000002</v>
      </c>
      <c r="F37" s="182">
        <v>0.28160000000000002</v>
      </c>
      <c r="G37" s="182">
        <v>0.29170000000000001</v>
      </c>
    </row>
    <row r="38" spans="1:7" ht="19" x14ac:dyDescent="0.25">
      <c r="A38" s="170" t="s">
        <v>196</v>
      </c>
      <c r="B38" s="182">
        <v>-4.7399999999999998E-2</v>
      </c>
      <c r="C38" s="182">
        <v>-3.5000000000000031E-3</v>
      </c>
      <c r="D38" s="182">
        <v>-8.9999999999999941E-3</v>
      </c>
      <c r="E38" s="182">
        <v>4.3299999999999991E-2</v>
      </c>
      <c r="F38" s="182">
        <v>2.6699999999999988E-2</v>
      </c>
      <c r="G38" s="182">
        <v>1.55E-2</v>
      </c>
    </row>
    <row r="39" spans="1:7" ht="19" x14ac:dyDescent="0.25">
      <c r="A39" s="170" t="s">
        <v>195</v>
      </c>
      <c r="B39" s="169">
        <v>0.12229999999999999</v>
      </c>
      <c r="C39" s="169">
        <v>0.129</v>
      </c>
      <c r="D39" s="169">
        <v>1.0000000000000009E-3</v>
      </c>
      <c r="E39" s="169">
        <v>3.73E-2</v>
      </c>
      <c r="F39" s="169">
        <v>6.140000000000001E-2</v>
      </c>
      <c r="G39" s="169">
        <v>0.11899999999999999</v>
      </c>
    </row>
    <row r="40" spans="1:7" ht="19" x14ac:dyDescent="0.25">
      <c r="A40" s="170" t="s">
        <v>194</v>
      </c>
      <c r="B40" s="169" t="s">
        <v>214</v>
      </c>
      <c r="C40" s="169">
        <v>-5.1499999999999997E-2</v>
      </c>
      <c r="D40" s="169">
        <v>-0.25040000000000001</v>
      </c>
      <c r="E40" s="169">
        <v>8.2999999999999984E-3</v>
      </c>
      <c r="F40" s="169">
        <v>-4.4000000000000011E-3</v>
      </c>
      <c r="G40" s="169">
        <v>-2.2199999999999998E-2</v>
      </c>
    </row>
    <row r="41" spans="1:7" ht="19" x14ac:dyDescent="0.25">
      <c r="A41" s="170" t="s">
        <v>193</v>
      </c>
      <c r="B41" s="169">
        <v>-5.3800000000000001E-2</v>
      </c>
      <c r="C41" s="169">
        <v>-2.3200000000000005E-2</v>
      </c>
      <c r="D41" s="169">
        <v>-2.0000000000000573E-4</v>
      </c>
      <c r="E41" s="169">
        <v>-1.6800000000000002E-2</v>
      </c>
      <c r="F41" s="169">
        <v>-2.0999999999999977E-3</v>
      </c>
      <c r="G41" s="169">
        <v>-8.199999999999999E-3</v>
      </c>
    </row>
    <row r="42" spans="1:7" ht="19" x14ac:dyDescent="0.25">
      <c r="A42" s="170" t="s">
        <v>192</v>
      </c>
      <c r="B42" s="169">
        <v>-4.8000000000000001E-2</v>
      </c>
      <c r="C42" s="169">
        <v>-9.6899999999999986E-2</v>
      </c>
      <c r="D42" s="169">
        <v>-2.35E-2</v>
      </c>
      <c r="E42" s="169">
        <v>-7.9000000000000042E-3</v>
      </c>
      <c r="F42" s="169">
        <v>-1.490000000000001E-2</v>
      </c>
      <c r="G42" s="169">
        <v>1.9299999999999998E-2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Historical Financials</vt:lpstr>
      <vt:lpstr>Assumptions</vt:lpstr>
      <vt:lpstr>Projections</vt:lpstr>
      <vt:lpstr>Valuation</vt:lpstr>
      <vt:lpstr>NI analysis</vt:lpstr>
      <vt:lpstr>Apple Competitor Analysis</vt:lpstr>
      <vt:lpstr>Apple Economic Profit</vt:lpstr>
      <vt:lpstr>Competitor Economic 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Arty1mp</dc:creator>
  <cp:lastModifiedBy>Microsoft Office User</cp:lastModifiedBy>
  <dcterms:created xsi:type="dcterms:W3CDTF">2009-12-04T13:49:36Z</dcterms:created>
  <dcterms:modified xsi:type="dcterms:W3CDTF">2022-04-29T03:07:24Z</dcterms:modified>
</cp:coreProperties>
</file>