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\Summer 2021 (10-05 to 04-09)\MAS219\"/>
    </mc:Choice>
  </mc:AlternateContent>
  <bookViews>
    <workbookView xWindow="0" yWindow="0" windowWidth="17256" windowHeight="6984" activeTab="1"/>
  </bookViews>
  <sheets>
    <sheet name="Week 1 2 3" sheetId="1" r:id="rId1"/>
    <sheet name="Week 4 5 6 7 8 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2" i="2" l="1"/>
  <c r="C291" i="2"/>
  <c r="D290" i="2"/>
  <c r="D289" i="2"/>
  <c r="D286" i="2"/>
  <c r="E286" i="2"/>
  <c r="F286" i="2"/>
  <c r="C286" i="2"/>
  <c r="D288" i="2"/>
  <c r="D287" i="2"/>
  <c r="D285" i="2"/>
  <c r="E285" i="2"/>
  <c r="F285" i="2"/>
  <c r="C285" i="2"/>
  <c r="D284" i="2"/>
  <c r="E284" i="2"/>
  <c r="F284" i="2"/>
  <c r="C284" i="2"/>
  <c r="D283" i="2"/>
  <c r="E283" i="2"/>
  <c r="F283" i="2"/>
  <c r="C283" i="2"/>
  <c r="D282" i="2"/>
  <c r="E282" i="2"/>
  <c r="F282" i="2"/>
  <c r="C282" i="2"/>
  <c r="C281" i="2"/>
  <c r="C280" i="2"/>
  <c r="G269" i="2"/>
  <c r="G270" i="2" s="1"/>
  <c r="G260" i="2"/>
  <c r="G261" i="2" s="1"/>
  <c r="D273" i="2"/>
  <c r="D264" i="2"/>
  <c r="G254" i="2"/>
  <c r="G246" i="2"/>
  <c r="D245" i="2"/>
  <c r="D248" i="2" s="1"/>
  <c r="G237" i="2"/>
  <c r="D236" i="2"/>
  <c r="D239" i="2" s="1"/>
  <c r="G221" i="2"/>
  <c r="G231" i="2" s="1"/>
  <c r="G210" i="2"/>
  <c r="D231" i="2"/>
  <c r="D226" i="2"/>
  <c r="D215" i="2"/>
  <c r="G201" i="2"/>
  <c r="D201" i="2"/>
  <c r="D202" i="2"/>
  <c r="D203" i="2" s="1"/>
  <c r="D197" i="2"/>
  <c r="D198" i="2" s="1"/>
  <c r="D196" i="2"/>
  <c r="G191" i="2"/>
  <c r="G180" i="2"/>
  <c r="D185" i="2"/>
  <c r="D186" i="2" s="1"/>
  <c r="D187" i="2" s="1"/>
  <c r="H162" i="2"/>
  <c r="H163" i="2" s="1"/>
  <c r="E162" i="2"/>
  <c r="F173" i="2"/>
  <c r="G169" i="2"/>
  <c r="E172" i="2" s="1"/>
  <c r="H152" i="2"/>
  <c r="H153" i="2" s="1"/>
  <c r="E152" i="2"/>
  <c r="E155" i="2"/>
  <c r="E146" i="2"/>
  <c r="E145" i="2"/>
  <c r="H143" i="2"/>
  <c r="H142" i="2"/>
  <c r="E138" i="2"/>
  <c r="H135" i="2"/>
  <c r="H136" i="2"/>
  <c r="E139" i="2" s="1"/>
  <c r="H117" i="2"/>
  <c r="E122" i="2" s="1"/>
  <c r="H126" i="2"/>
  <c r="E130" i="2" s="1"/>
  <c r="E112" i="2"/>
  <c r="H109" i="2"/>
  <c r="E106" i="2"/>
  <c r="E105" i="2"/>
  <c r="H93" i="2"/>
  <c r="H94" i="2" s="1"/>
  <c r="H101" i="2"/>
  <c r="H102" i="2" s="1"/>
  <c r="E97" i="2"/>
  <c r="E98" i="2"/>
  <c r="D83" i="2"/>
  <c r="E83" i="2"/>
  <c r="F83" i="2"/>
  <c r="G83" i="2"/>
  <c r="H83" i="2"/>
  <c r="C83" i="2"/>
  <c r="C85" i="2"/>
  <c r="D79" i="2"/>
  <c r="I70" i="2"/>
  <c r="C72" i="2" s="1"/>
  <c r="C73" i="2" s="1"/>
  <c r="J70" i="2"/>
  <c r="D61" i="2"/>
  <c r="D62" i="2" s="1"/>
  <c r="C53" i="2"/>
  <c r="D54" i="2" s="1"/>
  <c r="D48" i="2"/>
  <c r="D47" i="2"/>
  <c r="D46" i="2"/>
  <c r="D45" i="2"/>
  <c r="D40" i="2"/>
  <c r="D35" i="2"/>
  <c r="D36" i="2"/>
  <c r="D26" i="2"/>
  <c r="D27" i="2"/>
  <c r="D16" i="2"/>
  <c r="D28" i="2"/>
  <c r="D17" i="2"/>
  <c r="D18" i="2"/>
  <c r="C8" i="2"/>
  <c r="C9" i="2" s="1"/>
  <c r="C7" i="2"/>
  <c r="C106" i="1"/>
  <c r="J103" i="1"/>
  <c r="J102" i="1"/>
  <c r="G106" i="1"/>
  <c r="E106" i="1"/>
  <c r="F106" i="1"/>
  <c r="D106" i="1"/>
  <c r="C107" i="1"/>
  <c r="C108" i="1" s="1"/>
  <c r="G99" i="1"/>
  <c r="G98" i="1"/>
  <c r="G92" i="1"/>
  <c r="G93" i="1"/>
  <c r="G94" i="1"/>
  <c r="G95" i="1"/>
  <c r="G96" i="1"/>
  <c r="G97" i="1"/>
  <c r="F93" i="1"/>
  <c r="F94" i="1"/>
  <c r="F95" i="1"/>
  <c r="F96" i="1"/>
  <c r="F97" i="1"/>
  <c r="F92" i="1"/>
  <c r="E93" i="1"/>
  <c r="E94" i="1"/>
  <c r="E95" i="1"/>
  <c r="E96" i="1"/>
  <c r="E97" i="1"/>
  <c r="E92" i="1"/>
  <c r="D98" i="1"/>
  <c r="D93" i="1"/>
  <c r="D94" i="1"/>
  <c r="D95" i="1"/>
  <c r="D96" i="1"/>
  <c r="D97" i="1"/>
  <c r="D92" i="1"/>
  <c r="C77" i="1"/>
  <c r="H73" i="1"/>
  <c r="H72" i="1"/>
  <c r="F77" i="1"/>
  <c r="G77" i="1"/>
  <c r="H77" i="1"/>
  <c r="I77" i="1"/>
  <c r="E77" i="1"/>
  <c r="D77" i="1"/>
  <c r="H64" i="1"/>
  <c r="H63" i="1"/>
  <c r="H55" i="1"/>
  <c r="D68" i="1"/>
  <c r="E68" i="1"/>
  <c r="F68" i="1"/>
  <c r="G68" i="1"/>
  <c r="H68" i="1"/>
  <c r="I68" i="1"/>
  <c r="C68" i="1"/>
  <c r="H56" i="1"/>
  <c r="D87" i="1"/>
  <c r="E87" i="1"/>
  <c r="F87" i="1"/>
  <c r="G87" i="1"/>
  <c r="H87" i="1"/>
  <c r="C87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E60" i="1"/>
  <c r="D60" i="1"/>
  <c r="C60" i="1"/>
  <c r="D49" i="1"/>
  <c r="D48" i="1"/>
  <c r="D47" i="1"/>
  <c r="E42" i="1"/>
  <c r="H36" i="1"/>
  <c r="I36" i="1"/>
  <c r="J36" i="1"/>
  <c r="G36" i="1"/>
  <c r="F36" i="1"/>
  <c r="E31" i="1"/>
  <c r="K23" i="1"/>
  <c r="E23" i="1"/>
  <c r="E27" i="1"/>
  <c r="H18" i="1"/>
  <c r="E19" i="1"/>
  <c r="I9" i="1"/>
  <c r="H9" i="1"/>
  <c r="H3" i="1"/>
  <c r="I3" i="1"/>
  <c r="F6" i="1"/>
  <c r="G6" i="1"/>
  <c r="H6" i="1"/>
  <c r="E6" i="1"/>
  <c r="D250" i="2" l="1"/>
  <c r="D254" i="2"/>
  <c r="E157" i="2"/>
  <c r="D241" i="2"/>
  <c r="H54" i="2"/>
  <c r="I54" i="2"/>
  <c r="C86" i="2"/>
  <c r="F54" i="2"/>
  <c r="D29" i="2"/>
  <c r="C54" i="2"/>
  <c r="G54" i="2"/>
  <c r="D63" i="2"/>
  <c r="E54" i="2"/>
  <c r="C74" i="2"/>
  <c r="E156" i="2"/>
  <c r="E165" i="2"/>
  <c r="E166" i="2" s="1"/>
  <c r="H118" i="2"/>
  <c r="E121" i="2" s="1"/>
  <c r="H127" i="2"/>
  <c r="E131" i="2" s="1"/>
  <c r="D19" i="2"/>
  <c r="B86" i="1"/>
  <c r="D50" i="1"/>
  <c r="D51" i="1" s="1"/>
  <c r="F37" i="1"/>
  <c r="C55" i="2" l="1"/>
  <c r="E167" i="2"/>
  <c r="E51" i="1"/>
  <c r="F38" i="1"/>
  <c r="G38" i="1"/>
  <c r="I38" i="1"/>
  <c r="H38" i="1"/>
  <c r="J38" i="1"/>
</calcChain>
</file>

<file path=xl/sharedStrings.xml><?xml version="1.0" encoding="utf-8"?>
<sst xmlns="http://schemas.openxmlformats.org/spreadsheetml/2006/main" count="445" uniqueCount="252">
  <si>
    <t>Chebysev</t>
  </si>
  <si>
    <t>k</t>
  </si>
  <si>
    <t>% observe</t>
  </si>
  <si>
    <t>Mean</t>
  </si>
  <si>
    <t>Độ lệch chuẩn</t>
  </si>
  <si>
    <t>Khoảng 1</t>
  </si>
  <si>
    <t>Khoảng 2</t>
  </si>
  <si>
    <t>k(bên trái)</t>
  </si>
  <si>
    <t>k(bên phải)</t>
  </si>
  <si>
    <t>Từ đó chọn k = 2, so sánh bảng bên dưới</t>
  </si>
  <si>
    <t>Phân Phối chuẩn</t>
  </si>
  <si>
    <t>Probability</t>
  </si>
  <si>
    <t>LỆCH</t>
  </si>
  <si>
    <t>COMPLEMENT RULE</t>
  </si>
  <si>
    <t>A</t>
  </si>
  <si>
    <t>P(A)</t>
  </si>
  <si>
    <t>B</t>
  </si>
  <si>
    <t>P(~A)</t>
  </si>
  <si>
    <t>Addition Rule</t>
  </si>
  <si>
    <t>P(B)</t>
  </si>
  <si>
    <t>P(A and B)</t>
  </si>
  <si>
    <t>2-events</t>
  </si>
  <si>
    <t>P(A or B)</t>
  </si>
  <si>
    <t>Independence</t>
  </si>
  <si>
    <t>3-events</t>
  </si>
  <si>
    <t>P(C)</t>
  </si>
  <si>
    <t>P(A and C)</t>
  </si>
  <si>
    <t>P(C and B)</t>
  </si>
  <si>
    <t>P(A and B and C)</t>
  </si>
  <si>
    <t>Sum</t>
  </si>
  <si>
    <t>Average</t>
  </si>
  <si>
    <t>Running Total</t>
  </si>
  <si>
    <t>Count</t>
  </si>
  <si>
    <t>P(A or B or C)</t>
  </si>
  <si>
    <t>Mult. Rule</t>
  </si>
  <si>
    <t>P(A1)</t>
  </si>
  <si>
    <t>P(A2/A1)</t>
  </si>
  <si>
    <t>P(A3/A1A2)</t>
  </si>
  <si>
    <t>P(A4/A1-3)</t>
  </si>
  <si>
    <t>P(A5/A1-4)</t>
  </si>
  <si>
    <t>P(A1A2A3)</t>
  </si>
  <si>
    <t>H[i] - i-th part</t>
  </si>
  <si>
    <t>P(H[i])</t>
  </si>
  <si>
    <t>P(A|H[i])</t>
  </si>
  <si>
    <t>TOTAL PROB</t>
  </si>
  <si>
    <t>Bayes</t>
  </si>
  <si>
    <t>P(H[i]|A)</t>
  </si>
  <si>
    <t>N</t>
  </si>
  <si>
    <t>K</t>
  </si>
  <si>
    <t>Combinator</t>
  </si>
  <si>
    <t>IQR</t>
  </si>
  <si>
    <t>n</t>
  </si>
  <si>
    <t xml:space="preserve">Number </t>
  </si>
  <si>
    <t>Q2</t>
  </si>
  <si>
    <t>Q1</t>
  </si>
  <si>
    <t>Q3</t>
  </si>
  <si>
    <t>Range</t>
  </si>
  <si>
    <t>Binomial distribution</t>
  </si>
  <si>
    <t>Number of independent trials</t>
  </si>
  <si>
    <t>Probability of success on each trial</t>
  </si>
  <si>
    <t>Number of successes in trials</t>
  </si>
  <si>
    <t>x</t>
  </si>
  <si>
    <t>Probability of exactly x of 18 trials being successful</t>
  </si>
  <si>
    <t>P(X=x)</t>
  </si>
  <si>
    <t>HyperGeometric distribution</t>
  </si>
  <si>
    <t>Number of successes in the population</t>
  </si>
  <si>
    <t>Population size</t>
  </si>
  <si>
    <t>Sample size</t>
  </si>
  <si>
    <t>Number of successes in the sample</t>
  </si>
  <si>
    <t>Probability of a given number of sample successes</t>
  </si>
  <si>
    <t>𝜎</t>
  </si>
  <si>
    <t>𝜎^2</t>
  </si>
  <si>
    <t>Geometric and Negative Binomial Distribution</t>
  </si>
  <si>
    <t>Negative Binomial Distribution</t>
  </si>
  <si>
    <t>Probability of number of trails until first success</t>
  </si>
  <si>
    <t>r</t>
  </si>
  <si>
    <t>Probability of number of trails until r success</t>
  </si>
  <si>
    <t>x is number of independent trials</t>
  </si>
  <si>
    <t>MEAN, VARIANCE and Standard deviation</t>
  </si>
  <si>
    <t>x.P(x)</t>
  </si>
  <si>
    <t>x-M</t>
  </si>
  <si>
    <t>(x-M)^2</t>
  </si>
  <si>
    <t>(x-M)^2.P(x)</t>
  </si>
  <si>
    <t>Var</t>
  </si>
  <si>
    <t>Standard deviation</t>
  </si>
  <si>
    <t>POISSON.DIST function</t>
  </si>
  <si>
    <t>Number of events</t>
  </si>
  <si>
    <t>Expected mean</t>
  </si>
  <si>
    <t>Predicting the number of events over a specific time</t>
  </si>
  <si>
    <t>P</t>
  </si>
  <si>
    <t>Sum P</t>
  </si>
  <si>
    <t>-P</t>
  </si>
  <si>
    <t>Lamda</t>
  </si>
  <si>
    <t>CONTINUOUS UNIFORM RANDOM VARIABLE</t>
  </si>
  <si>
    <t>a</t>
  </si>
  <si>
    <t>b</t>
  </si>
  <si>
    <t>mean</t>
  </si>
  <si>
    <t>𝜎^2'</t>
  </si>
  <si>
    <t>Normal Distribution</t>
  </si>
  <si>
    <t>Standard Normal Random Variable Z ~ N(0,1)</t>
  </si>
  <si>
    <t>Z</t>
  </si>
  <si>
    <t>z1</t>
  </si>
  <si>
    <t>z2</t>
  </si>
  <si>
    <t>P(z1&lt;X&lt;z2)</t>
  </si>
  <si>
    <t>P(X&lt;z2)</t>
  </si>
  <si>
    <t>P(X&lt;z1)</t>
  </si>
  <si>
    <t>Standard Normal Random Variable Z ~ N(µ,𝜎^2)</t>
  </si>
  <si>
    <t>X</t>
  </si>
  <si>
    <t>µ</t>
  </si>
  <si>
    <t>X1</t>
  </si>
  <si>
    <t>X2</t>
  </si>
  <si>
    <t>P(X&lt;X1)</t>
  </si>
  <si>
    <t>P(X1&lt;X&lt;X2)</t>
  </si>
  <si>
    <t>P(X&lt;X2)</t>
  </si>
  <si>
    <t>P(X&gt;z1)</t>
  </si>
  <si>
    <t>P(X&gt;X1)</t>
  </si>
  <si>
    <t>Standard Normal  Approximation to the Binomial Distribution Z ~ B(n,p)</t>
  </si>
  <si>
    <t>p</t>
  </si>
  <si>
    <t>Normal Approximation to the Poisson Distribution</t>
  </si>
  <si>
    <t>lamda</t>
  </si>
  <si>
    <t>EXPONENTIAL DISTRIBUTION</t>
  </si>
  <si>
    <t>SAMPLING DISTRIBUTIONS</t>
  </si>
  <si>
    <t>(a+b)/2</t>
  </si>
  <si>
    <t>(b-a)</t>
  </si>
  <si>
    <t>s^2</t>
  </si>
  <si>
    <t>(Xi-𝑋)^2</t>
  </si>
  <si>
    <t>𝜎x</t>
  </si>
  <si>
    <t>Z=(X-µ)/𝜎x</t>
  </si>
  <si>
    <t>P(x&lt;Z)</t>
  </si>
  <si>
    <t>Central Limit Theorem</t>
  </si>
  <si>
    <t>X~{X1,X2,..Xn}</t>
  </si>
  <si>
    <t>independent</t>
  </si>
  <si>
    <t>Sample mean [1]</t>
  </si>
  <si>
    <t>Difference</t>
  </si>
  <si>
    <t>Mean [2] -[1]</t>
  </si>
  <si>
    <t>P(X&gt;Z)</t>
  </si>
  <si>
    <t>P(X&lt;Z)</t>
  </si>
  <si>
    <t>STANDARD ERROR</t>
  </si>
  <si>
    <t>METHOD OF MOMENTS</t>
  </si>
  <si>
    <t>EX</t>
  </si>
  <si>
    <t>EX^2</t>
  </si>
  <si>
    <t>X^2</t>
  </si>
  <si>
    <t>Confidence interval</t>
  </si>
  <si>
    <t>CI ON µ OF A N(µ, σ2): σ2 KNOWN</t>
  </si>
  <si>
    <t>α</t>
  </si>
  <si>
    <t>zα/2</t>
  </si>
  <si>
    <t>-zα/2</t>
  </si>
  <si>
    <t>Khoảng dưới</t>
  </si>
  <si>
    <t>Khoảng trên</t>
  </si>
  <si>
    <t>=NORM.INV(α/2;µ;𝜎/SQRT(n))</t>
  </si>
  <si>
    <t>=NORM.INV(1-α/2;µ;𝜎/SQRT(n))</t>
  </si>
  <si>
    <t>Bài toán cho n, µ, 𝜎 α tìm CI two sided</t>
  </si>
  <si>
    <t xml:space="preserve"> Bài toán cho n, µ, 𝜎 α tìm upper and lower-confident one-sided</t>
  </si>
  <si>
    <t>upper-confi</t>
  </si>
  <si>
    <t>lower-confi</t>
  </si>
  <si>
    <t>zα</t>
  </si>
  <si>
    <t>-zα</t>
  </si>
  <si>
    <t>=NORM.INV(α;µ;𝜎/SQRT(n))</t>
  </si>
  <si>
    <t>=NORM.INV(1-α;µ;𝜎/SQRT(n))</t>
  </si>
  <si>
    <t>Bài toán cho 𝜎 α , error E tìm n</t>
  </si>
  <si>
    <t>E</t>
  </si>
  <si>
    <t>=((zα/2*𝜎)/E)^2</t>
  </si>
  <si>
    <t>CI ON µ OF A N(µ, σ2): σ2 UnKNOWN</t>
  </si>
  <si>
    <t>tα,n-1</t>
  </si>
  <si>
    <t>tα/2,n-1</t>
  </si>
  <si>
    <t>-tα/2,n-1</t>
  </si>
  <si>
    <t>S</t>
  </si>
  <si>
    <t>Bài toán cho n, X ngang, S α tìm CI two sided</t>
  </si>
  <si>
    <t xml:space="preserve"> Bài toán cho n, X ngang, S α tìm upper and lower-confident one-sided</t>
  </si>
  <si>
    <t>= x ngang + tα/2,n-1 * s / sqrt(n)</t>
  </si>
  <si>
    <t>= x ngang - tα/2,n-1 * s / sqrt(n)</t>
  </si>
  <si>
    <t>-tα,n-1</t>
  </si>
  <si>
    <t>=x ngang + tα,n-1* s / sqrt(n)</t>
  </si>
  <si>
    <t>=x ngang - tα,n-1* s / sqrt(n)</t>
  </si>
  <si>
    <t>CI ON σ2 OF A NORMAL</t>
  </si>
  <si>
    <t>Bài toán cho n, S,  α tìm  upper and lower-confident bound cho 𝜎 ^2   one-sided</t>
  </si>
  <si>
    <t>Xα,n-1</t>
  </si>
  <si>
    <t>X(1-α),n-1</t>
  </si>
  <si>
    <t>X^2(α/2),n-1</t>
  </si>
  <si>
    <t>X^2(1-α/2),n-1</t>
  </si>
  <si>
    <t>=(n-1)*s^2/(X^2(α/2),n-1)</t>
  </si>
  <si>
    <t>=(n-1)*s^2/(X^2(1-α/2),n-1)</t>
  </si>
  <si>
    <t>CI FOR p: A LARGE-SAMPLE</t>
  </si>
  <si>
    <t>Bài toán cho n, S, C tìm CI cho 𝜎 ^2   two-sided</t>
  </si>
  <si>
    <t>f</t>
  </si>
  <si>
    <t>=f-zα/2*𝜎</t>
  </si>
  <si>
    <t>=f+zα/2*𝜎</t>
  </si>
  <si>
    <t>Bài toán cho p  ,α,  error E tìm n</t>
  </si>
  <si>
    <t>upper bound on n</t>
  </si>
  <si>
    <t>=(z(α/2)/2E)^2</t>
  </si>
  <si>
    <t>=(z(α/2)/E)^2*p*(1-p)</t>
  </si>
  <si>
    <t>Bài toán cho f , n ,α,  khi đó  Z ~ N(f,sqrt(f(1-f)/n)) tìm CI two-sided</t>
  </si>
  <si>
    <t>Bài toán cho f , n ,α,  khi đó  Z ~ N(f,sqrt(f(1-f)/n)) tìm upper and lower-confidence one-sided</t>
  </si>
  <si>
    <t>=f+zα*𝜎</t>
  </si>
  <si>
    <t>=f-zα*𝜎</t>
  </si>
  <si>
    <t>TEST ON THE μ OF NORMDIST: σ2 KNOWN</t>
  </si>
  <si>
    <t>two-sided test</t>
  </si>
  <si>
    <t>one-sied test</t>
  </si>
  <si>
    <t>phi(z)</t>
  </si>
  <si>
    <t>P-value</t>
  </si>
  <si>
    <t>X &gt; µ</t>
  </si>
  <si>
    <t>X &lt; µ</t>
  </si>
  <si>
    <t>Reject</t>
  </si>
  <si>
    <t>Z0</t>
  </si>
  <si>
    <t>abs(Z0) &gt; zα/2</t>
  </si>
  <si>
    <t>Z0 &gt; zα</t>
  </si>
  <si>
    <t>Z0 &lt; -zα</t>
  </si>
  <si>
    <t>TEST ON THE μ OF NORMDIST: σ2 UNKNOWN</t>
  </si>
  <si>
    <t>T0</t>
  </si>
  <si>
    <t>T</t>
  </si>
  <si>
    <t>abs(T0) &gt; Tα/2,n-1</t>
  </si>
  <si>
    <t>T0 &gt; Tα,n-1</t>
  </si>
  <si>
    <t>T0 &lt; -Tα,n-1</t>
  </si>
  <si>
    <t xml:space="preserve"> Tα/2,n-1</t>
  </si>
  <si>
    <t>Tα,n-1</t>
  </si>
  <si>
    <t>-Tα,n-1</t>
  </si>
  <si>
    <t>TEST ON THE p: LARGE-SAMPLE</t>
  </si>
  <si>
    <t>p0</t>
  </si>
  <si>
    <t>P &gt; p0</t>
  </si>
  <si>
    <t>abs(Z0) &gt; zα</t>
  </si>
  <si>
    <t>P &lt; p0</t>
  </si>
  <si>
    <t>TESTS ON THE VARIANCE AND STANDARD DEVIATION OF A NORMAL DISTRIBUTION</t>
  </si>
  <si>
    <t>X^2 &gt;X^2(α/2),n-1</t>
  </si>
  <si>
    <t>or</t>
  </si>
  <si>
    <t>X^2 &lt; - X^2(α/2),n-1</t>
  </si>
  <si>
    <t>-X^2(α/2),n-1</t>
  </si>
  <si>
    <t>X^2(α),n-1</t>
  </si>
  <si>
    <t>-X^2(α),n-1</t>
  </si>
  <si>
    <t>𝜎0</t>
  </si>
  <si>
    <t>lớn hơn</t>
  </si>
  <si>
    <t>X^2 &gt; X^2(α),n-1</t>
  </si>
  <si>
    <t>bé hơn</t>
  </si>
  <si>
    <t>X^2 &lt; - X^2(α),n-1</t>
  </si>
  <si>
    <t>Simple Linear Regression</t>
  </si>
  <si>
    <t>y</t>
  </si>
  <si>
    <t>Sxy</t>
  </si>
  <si>
    <t>Sxx</t>
  </si>
  <si>
    <t>X-xMean</t>
  </si>
  <si>
    <t>xMean</t>
  </si>
  <si>
    <t>yMean</t>
  </si>
  <si>
    <t>(X-xMean)^2</t>
  </si>
  <si>
    <t>Y-yMean</t>
  </si>
  <si>
    <t>(Y-yMean)^2</t>
  </si>
  <si>
    <t>Syy</t>
  </si>
  <si>
    <t>(Y-yMean)*(X-xMean)</t>
  </si>
  <si>
    <t>R-Pearson</t>
  </si>
  <si>
    <t>B1</t>
  </si>
  <si>
    <t>B0</t>
  </si>
  <si>
    <t>=Sxy/Sxx</t>
  </si>
  <si>
    <t>=Sxy/sqrt(Sxx*Syy)</t>
  </si>
  <si>
    <t>=yMean-B1*xMean</t>
  </si>
  <si>
    <t>y=B1x+B0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</si>
</sst>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2"/>
      <color rgb="FF555555"/>
      <name val="Arial"/>
      <family val="2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/>
    <xf numFmtId="0" fontId="5" fillId="8" borderId="0" xfId="1" applyFill="1"/>
    <xf numFmtId="0" fontId="4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5" fillId="0" borderId="0" xfId="1" applyFill="1"/>
    <xf numFmtId="0" fontId="5" fillId="0" borderId="0" xfId="1"/>
    <xf numFmtId="0" fontId="5" fillId="3" borderId="0" xfId="1" applyFill="1"/>
    <xf numFmtId="0" fontId="5" fillId="4" borderId="0" xfId="1" applyFill="1"/>
    <xf numFmtId="0" fontId="4" fillId="2" borderId="0" xfId="1" applyFont="1" applyFill="1"/>
    <xf numFmtId="0" fontId="4" fillId="3" borderId="0" xfId="1" applyFont="1" applyFill="1"/>
    <xf numFmtId="0" fontId="5" fillId="0" borderId="1" xfId="1" applyBorder="1"/>
    <xf numFmtId="0" fontId="5" fillId="0" borderId="0" xfId="1"/>
    <xf numFmtId="0" fontId="5" fillId="4" borderId="0" xfId="1" applyFill="1"/>
    <xf numFmtId="0" fontId="6" fillId="0" borderId="0" xfId="1" applyFont="1" applyFill="1"/>
    <xf numFmtId="0" fontId="5" fillId="0" borderId="0" xfId="1"/>
    <xf numFmtId="0" fontId="5" fillId="0" borderId="0" xfId="1"/>
    <xf numFmtId="0" fontId="5" fillId="0" borderId="0" xfId="1"/>
    <xf numFmtId="0" fontId="5" fillId="3" borderId="0" xfId="1" applyFill="1"/>
    <xf numFmtId="0" fontId="5" fillId="4" borderId="0" xfId="1" applyFill="1"/>
    <xf numFmtId="0" fontId="4" fillId="2" borderId="0" xfId="1" applyFont="1" applyFill="1"/>
    <xf numFmtId="0" fontId="5" fillId="0" borderId="1" xfId="1" applyBorder="1"/>
    <xf numFmtId="0" fontId="5" fillId="0" borderId="1" xfId="1" applyNumberFormat="1" applyBorder="1"/>
    <xf numFmtId="0" fontId="5" fillId="4" borderId="0" xfId="1" applyFill="1" applyAlignment="1">
      <alignment horizontal="center"/>
    </xf>
    <xf numFmtId="0" fontId="5" fillId="0" borderId="0" xfId="1"/>
    <xf numFmtId="0" fontId="5" fillId="0" borderId="1" xfId="1" applyBorder="1"/>
    <xf numFmtId="0" fontId="8" fillId="7" borderId="0" xfId="1" applyFont="1" applyFill="1"/>
    <xf numFmtId="0" fontId="5" fillId="0" borderId="0" xfId="1"/>
    <xf numFmtId="0" fontId="5" fillId="3" borderId="0" xfId="1" applyFill="1"/>
    <xf numFmtId="0" fontId="6" fillId="4" borderId="0" xfId="1" applyFont="1" applyFill="1"/>
    <xf numFmtId="0" fontId="4" fillId="3" borderId="0" xfId="1" applyFont="1" applyFill="1"/>
    <xf numFmtId="0" fontId="5" fillId="5" borderId="0" xfId="1" applyFill="1"/>
    <xf numFmtId="0" fontId="5" fillId="6" borderId="0" xfId="1" applyFill="1"/>
    <xf numFmtId="0" fontId="7" fillId="6" borderId="0" xfId="1" applyFont="1" applyFill="1"/>
    <xf numFmtId="0" fontId="8" fillId="7" borderId="0" xfId="1" applyFont="1" applyFill="1"/>
    <xf numFmtId="0" fontId="5" fillId="0" borderId="0" xfId="1"/>
    <xf numFmtId="0" fontId="5" fillId="4" borderId="0" xfId="1" applyFill="1"/>
    <xf numFmtId="0" fontId="5" fillId="0" borderId="1" xfId="1" applyBorder="1"/>
    <xf numFmtId="0" fontId="2" fillId="3" borderId="0" xfId="1" applyFont="1" applyFill="1"/>
    <xf numFmtId="0" fontId="4" fillId="0" borderId="0" xfId="0" applyFont="1" applyAlignment="1"/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0" borderId="0" xfId="1"/>
    <xf numFmtId="0" fontId="5" fillId="0" borderId="1" xfId="1" applyBorder="1"/>
    <xf numFmtId="0" fontId="2" fillId="3" borderId="0" xfId="1" applyFont="1" applyFill="1"/>
    <xf numFmtId="0" fontId="3" fillId="0" borderId="0" xfId="1" applyFont="1" applyAlignment="1">
      <alignment horizontal="left" vertical="center" readingOrder="1"/>
    </xf>
    <xf numFmtId="0" fontId="5" fillId="9" borderId="1" xfId="1" applyFill="1" applyBorder="1"/>
    <xf numFmtId="0" fontId="5" fillId="0" borderId="3" xfId="1" applyFill="1" applyBorder="1"/>
    <xf numFmtId="0" fontId="5" fillId="3" borderId="1" xfId="1" applyFill="1" applyBorder="1"/>
    <xf numFmtId="0" fontId="5" fillId="3" borderId="3" xfId="1" applyFill="1" applyBorder="1"/>
    <xf numFmtId="0" fontId="5" fillId="0" borderId="0" xfId="1"/>
    <xf numFmtId="0" fontId="5" fillId="0" borderId="1" xfId="1" applyBorder="1"/>
    <xf numFmtId="0" fontId="5" fillId="0" borderId="0" xfId="1" applyBorder="1"/>
    <xf numFmtId="0" fontId="2" fillId="3" borderId="0" xfId="1" applyFont="1" applyFill="1"/>
    <xf numFmtId="0" fontId="3" fillId="0" borderId="0" xfId="1" applyFont="1" applyAlignment="1">
      <alignment horizontal="left" vertical="center" readingOrder="1"/>
    </xf>
    <xf numFmtId="0" fontId="5" fillId="9" borderId="1" xfId="1" applyFill="1" applyBorder="1"/>
    <xf numFmtId="0" fontId="5" fillId="0" borderId="3" xfId="1" applyFill="1" applyBorder="1"/>
    <xf numFmtId="0" fontId="5" fillId="0" borderId="0" xfId="1" applyFill="1" applyBorder="1"/>
    <xf numFmtId="0" fontId="0" fillId="0" borderId="0" xfId="0" quotePrefix="1"/>
    <xf numFmtId="0" fontId="5" fillId="0" borderId="0" xfId="1"/>
    <xf numFmtId="0" fontId="5" fillId="0" borderId="1" xfId="1" applyBorder="1"/>
    <xf numFmtId="0" fontId="2" fillId="3" borderId="0" xfId="1" applyFont="1" applyFill="1"/>
    <xf numFmtId="0" fontId="3" fillId="0" borderId="0" xfId="1" applyFont="1" applyAlignment="1">
      <alignment horizontal="left" vertical="center" readingOrder="1"/>
    </xf>
    <xf numFmtId="0" fontId="5" fillId="0" borderId="2" xfId="1" applyFill="1" applyBorder="1"/>
    <xf numFmtId="0" fontId="5" fillId="0" borderId="0" xfId="1"/>
    <xf numFmtId="0" fontId="4" fillId="3" borderId="0" xfId="1" applyFont="1" applyFill="1"/>
    <xf numFmtId="0" fontId="9" fillId="0" borderId="0" xfId="1" applyFont="1"/>
    <xf numFmtId="0" fontId="3" fillId="0" borderId="0" xfId="1" applyFont="1" applyAlignment="1">
      <alignment horizontal="left" vertical="center" readingOrder="1"/>
    </xf>
    <xf numFmtId="0" fontId="10" fillId="0" borderId="0" xfId="1" applyFont="1"/>
    <xf numFmtId="0" fontId="9" fillId="0" borderId="0" xfId="0" applyFont="1"/>
    <xf numFmtId="0" fontId="9" fillId="0" borderId="0" xfId="0" quotePrefix="1" applyFont="1"/>
    <xf numFmtId="0" fontId="1" fillId="0" borderId="0" xfId="0" applyFont="1"/>
    <xf numFmtId="0" fontId="4" fillId="0" borderId="0" xfId="0" applyFont="1"/>
    <xf numFmtId="0" fontId="9" fillId="0" borderId="0" xfId="0" applyFont="1" applyFill="1" applyBorder="1"/>
    <xf numFmtId="0" fontId="9" fillId="0" borderId="0" xfId="0" applyFont="1" applyAlignment="1"/>
    <xf numFmtId="0" fontId="9" fillId="0" borderId="0" xfId="0" applyFont="1" applyFill="1" applyBorder="1" applyAlignment="1"/>
    <xf numFmtId="0" fontId="9" fillId="0" borderId="1" xfId="0" applyFont="1" applyBorder="1"/>
    <xf numFmtId="0" fontId="0" fillId="0" borderId="1" xfId="0" applyBorder="1"/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1" fillId="0" borderId="0" xfId="0" applyFont="1"/>
    <xf numFmtId="0" fontId="4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640080</xdr:colOff>
      <xdr:row>57</xdr:row>
      <xdr:rowOff>45720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10942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640080</xdr:colOff>
      <xdr:row>65</xdr:row>
      <xdr:rowOff>45720</xdr:rowOff>
    </xdr:from>
    <xdr:ext cx="65" cy="172227"/>
    <xdr:sp macro="" textlink="">
      <xdr:nvSpPr>
        <xdr:cNvPr id="3" name="TextBox 2"/>
        <xdr:cNvSpPr txBox="1"/>
      </xdr:nvSpPr>
      <xdr:spPr>
        <a:xfrm>
          <a:off x="6758940" y="10942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52</xdr:row>
      <xdr:rowOff>0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09600" y="986028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09600" y="986028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203835</xdr:colOff>
      <xdr:row>53</xdr:row>
      <xdr:rowOff>5715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813435" y="994981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813435" y="994981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83820</xdr:colOff>
      <xdr:row>70</xdr:row>
      <xdr:rowOff>30480</xdr:rowOff>
    </xdr:from>
    <xdr:ext cx="551368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93420" y="13296900"/>
              <a:ext cx="55136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1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93420" y="13296900"/>
              <a:ext cx="55136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r>
                <a:rPr lang="en-US" sz="1100" b="1" i="0">
                  <a:latin typeface="Cambria Math" panose="02040503050406030204" pitchFamily="18" charset="0"/>
                </a:rPr>
                <a:t>𝟐</a:t>
              </a:r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 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118</xdr:row>
      <xdr:rowOff>0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042160" y="2238756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042160" y="2238756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127</xdr:row>
      <xdr:rowOff>0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2042160" y="2238756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2042160" y="2238756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167640</xdr:colOff>
      <xdr:row>119</xdr:row>
      <xdr:rowOff>175260</xdr:rowOff>
    </xdr:from>
    <xdr:ext cx="65" cy="172227"/>
    <xdr:sp macro="" textlink="">
      <xdr:nvSpPr>
        <xdr:cNvPr id="9" name="TextBox 8"/>
        <xdr:cNvSpPr txBox="1"/>
      </xdr:nvSpPr>
      <xdr:spPr>
        <a:xfrm>
          <a:off x="3642360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8"/>
  <sheetViews>
    <sheetView zoomScale="115" zoomScaleNormal="115" workbookViewId="0">
      <selection activeCell="I103" sqref="I103"/>
    </sheetView>
  </sheetViews>
  <sheetFormatPr defaultRowHeight="14.4" x14ac:dyDescent="0.3"/>
  <cols>
    <col min="1" max="2" width="8.88671875" customWidth="1"/>
    <col min="4" max="4" width="12" bestFit="1" customWidth="1"/>
    <col min="5" max="5" width="12.44140625" bestFit="1" customWidth="1"/>
    <col min="6" max="6" width="8.44140625" bestFit="1" customWidth="1"/>
    <col min="7" max="7" width="10.21875" bestFit="1" customWidth="1"/>
    <col min="8" max="8" width="9.77734375" bestFit="1" customWidth="1"/>
    <col min="9" max="9" width="9.88671875" bestFit="1" customWidth="1"/>
    <col min="10" max="10" width="12.5546875" customWidth="1"/>
  </cols>
  <sheetData>
    <row r="1" spans="2:10" ht="23.4" customHeight="1" x14ac:dyDescent="0.45">
      <c r="B1" s="2" t="s">
        <v>0</v>
      </c>
      <c r="C1" s="3"/>
    </row>
    <row r="2" spans="2:10" x14ac:dyDescent="0.3">
      <c r="B2" s="6"/>
      <c r="C2" s="6"/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10" x14ac:dyDescent="0.3">
      <c r="B3" s="6"/>
      <c r="C3" s="6"/>
      <c r="D3">
        <v>187</v>
      </c>
      <c r="E3">
        <v>22</v>
      </c>
      <c r="F3">
        <v>143</v>
      </c>
      <c r="G3">
        <v>231</v>
      </c>
      <c r="H3">
        <f>(F3-D3)/E3</f>
        <v>-2</v>
      </c>
      <c r="I3">
        <f>(G3-D3)/E3</f>
        <v>2</v>
      </c>
      <c r="J3" t="s">
        <v>9</v>
      </c>
    </row>
    <row r="4" spans="2:10" x14ac:dyDescent="0.3">
      <c r="B4" s="6"/>
      <c r="C4" s="6"/>
    </row>
    <row r="5" spans="2:10" x14ac:dyDescent="0.3">
      <c r="D5" s="5" t="s">
        <v>1</v>
      </c>
      <c r="E5" s="4">
        <v>1.5</v>
      </c>
      <c r="F5" s="4">
        <v>2</v>
      </c>
      <c r="G5" s="4">
        <v>3</v>
      </c>
      <c r="H5" s="4">
        <v>4</v>
      </c>
    </row>
    <row r="6" spans="2:10" x14ac:dyDescent="0.3">
      <c r="D6" s="4" t="s">
        <v>2</v>
      </c>
      <c r="E6" s="4">
        <f>ROUND((1-1/(E5*E5))*100,2)</f>
        <v>55.56</v>
      </c>
      <c r="F6" s="4">
        <f t="shared" ref="F6:H6" si="0">ROUND((1-1/(F5*F5))*100,2)</f>
        <v>75</v>
      </c>
      <c r="G6" s="4">
        <f t="shared" si="0"/>
        <v>88.89</v>
      </c>
      <c r="H6" s="4">
        <f t="shared" si="0"/>
        <v>93.75</v>
      </c>
    </row>
    <row r="7" spans="2:10" x14ac:dyDescent="0.3">
      <c r="C7" s="8" t="s">
        <v>10</v>
      </c>
      <c r="D7" s="1"/>
    </row>
    <row r="8" spans="2:10" x14ac:dyDescent="0.3"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2:10" x14ac:dyDescent="0.3">
      <c r="D9">
        <v>40</v>
      </c>
      <c r="E9">
        <v>12</v>
      </c>
      <c r="F9">
        <v>16</v>
      </c>
      <c r="G9">
        <v>64</v>
      </c>
      <c r="H9">
        <f>(F9-D9)/E9</f>
        <v>-2</v>
      </c>
      <c r="I9">
        <f>(G9-D9)/E9</f>
        <v>2</v>
      </c>
    </row>
    <row r="11" spans="2:10" x14ac:dyDescent="0.3">
      <c r="D11" s="5" t="s">
        <v>1</v>
      </c>
      <c r="E11" s="4">
        <v>1</v>
      </c>
      <c r="F11" s="4">
        <v>2</v>
      </c>
      <c r="G11" s="4">
        <v>3</v>
      </c>
      <c r="H11" s="4"/>
    </row>
    <row r="12" spans="2:10" x14ac:dyDescent="0.3">
      <c r="D12" t="s">
        <v>2</v>
      </c>
      <c r="E12">
        <v>68</v>
      </c>
      <c r="F12">
        <v>95</v>
      </c>
      <c r="G12">
        <v>99.7</v>
      </c>
    </row>
    <row r="14" spans="2:10" ht="23.4" x14ac:dyDescent="0.45">
      <c r="B14" s="2" t="s">
        <v>11</v>
      </c>
      <c r="C14" s="3"/>
    </row>
    <row r="16" spans="2:10" x14ac:dyDescent="0.3">
      <c r="D16" s="12" t="s">
        <v>12</v>
      </c>
      <c r="E16" s="10"/>
      <c r="F16" s="10"/>
      <c r="G16" s="27" t="s">
        <v>13</v>
      </c>
      <c r="H16" s="27"/>
    </row>
    <row r="17" spans="4:17" x14ac:dyDescent="0.3">
      <c r="D17" s="10" t="s">
        <v>14</v>
      </c>
      <c r="E17" s="15">
        <v>0.24509800000000001</v>
      </c>
      <c r="F17" s="10"/>
      <c r="G17" s="10" t="s">
        <v>15</v>
      </c>
      <c r="H17" s="15">
        <v>0.1071</v>
      </c>
    </row>
    <row r="18" spans="4:17" x14ac:dyDescent="0.3">
      <c r="D18" s="10" t="s">
        <v>16</v>
      </c>
      <c r="E18" s="15">
        <v>0.25</v>
      </c>
      <c r="F18" s="10"/>
      <c r="G18" s="11" t="s">
        <v>17</v>
      </c>
      <c r="H18" s="14">
        <f>1-H17</f>
        <v>0.89290000000000003</v>
      </c>
    </row>
    <row r="19" spans="4:17" x14ac:dyDescent="0.3">
      <c r="D19" s="10"/>
      <c r="E19" s="13">
        <f>ABS(E17-E18)</f>
        <v>4.9019999999999897E-3</v>
      </c>
      <c r="F19" s="10"/>
      <c r="G19" s="10"/>
      <c r="H19" s="10"/>
    </row>
    <row r="21" spans="4:17" x14ac:dyDescent="0.3">
      <c r="D21" s="17" t="s">
        <v>18</v>
      </c>
      <c r="E21" s="16" t="s">
        <v>15</v>
      </c>
      <c r="F21" s="16" t="s">
        <v>19</v>
      </c>
      <c r="G21" s="16" t="s">
        <v>20</v>
      </c>
      <c r="H21" s="9"/>
      <c r="K21" s="19" t="s">
        <v>15</v>
      </c>
      <c r="L21" s="19" t="s">
        <v>19</v>
      </c>
      <c r="M21" s="19" t="s">
        <v>25</v>
      </c>
      <c r="N21" s="19" t="s">
        <v>20</v>
      </c>
      <c r="O21" s="19" t="s">
        <v>26</v>
      </c>
      <c r="P21" s="19" t="s">
        <v>27</v>
      </c>
      <c r="Q21" s="20" t="s">
        <v>28</v>
      </c>
    </row>
    <row r="22" spans="4:17" x14ac:dyDescent="0.3">
      <c r="D22" s="16" t="s">
        <v>21</v>
      </c>
      <c r="E22" s="18">
        <v>0.2</v>
      </c>
      <c r="F22" s="16">
        <v>0.6</v>
      </c>
      <c r="G22" s="16">
        <v>0.05</v>
      </c>
      <c r="J22" t="s">
        <v>24</v>
      </c>
      <c r="K22">
        <v>0.43</v>
      </c>
      <c r="L22">
        <v>0.28999999999999998</v>
      </c>
      <c r="M22">
        <v>0.3</v>
      </c>
      <c r="N22">
        <v>0.13</v>
      </c>
      <c r="O22">
        <v>0.15</v>
      </c>
      <c r="P22">
        <v>7.0000000000000007E-2</v>
      </c>
      <c r="Q22">
        <v>0.03</v>
      </c>
    </row>
    <row r="23" spans="4:17" x14ac:dyDescent="0.3">
      <c r="D23" s="20" t="s">
        <v>22</v>
      </c>
      <c r="E23">
        <f>E22+F22-G22</f>
        <v>0.75</v>
      </c>
      <c r="F23" s="16"/>
      <c r="G23" s="16"/>
      <c r="J23" t="s">
        <v>33</v>
      </c>
      <c r="K23">
        <f>K22+L22+M22-N22-O22-P22+Q22</f>
        <v>0.7</v>
      </c>
    </row>
    <row r="24" spans="4:17" x14ac:dyDescent="0.3">
      <c r="D24" s="20"/>
      <c r="F24" s="20"/>
      <c r="G24" s="20"/>
    </row>
    <row r="25" spans="4:17" x14ac:dyDescent="0.3">
      <c r="D25" s="17" t="s">
        <v>23</v>
      </c>
      <c r="E25" s="16" t="s">
        <v>15</v>
      </c>
      <c r="F25" s="16" t="s">
        <v>19</v>
      </c>
      <c r="K25" s="20"/>
      <c r="L25" s="20"/>
      <c r="M25" s="20"/>
      <c r="N25" s="20"/>
      <c r="O25" s="20"/>
      <c r="P25" s="20"/>
      <c r="Q25" s="20"/>
    </row>
    <row r="26" spans="4:17" x14ac:dyDescent="0.3">
      <c r="D26" t="s">
        <v>21</v>
      </c>
      <c r="E26" s="18">
        <v>0.2</v>
      </c>
      <c r="F26" s="16">
        <v>0.6</v>
      </c>
    </row>
    <row r="27" spans="4:17" x14ac:dyDescent="0.3">
      <c r="D27" s="16" t="s">
        <v>20</v>
      </c>
      <c r="E27" s="16">
        <f>E26*F26</f>
        <v>0.12</v>
      </c>
    </row>
    <row r="29" spans="4:17" x14ac:dyDescent="0.3">
      <c r="D29" s="23" t="s">
        <v>34</v>
      </c>
      <c r="E29" s="21" t="s">
        <v>35</v>
      </c>
      <c r="F29" s="21" t="s">
        <v>36</v>
      </c>
      <c r="G29" s="21" t="s">
        <v>37</v>
      </c>
      <c r="H29" s="21" t="s">
        <v>38</v>
      </c>
      <c r="I29" s="21" t="s">
        <v>39</v>
      </c>
    </row>
    <row r="30" spans="4:17" x14ac:dyDescent="0.3">
      <c r="D30" s="21"/>
      <c r="E30" s="26">
        <v>0.9</v>
      </c>
      <c r="F30" s="25">
        <v>0.05</v>
      </c>
      <c r="G30" s="25">
        <v>7.0000000000000007E-2</v>
      </c>
      <c r="H30" s="25">
        <v>0.02</v>
      </c>
      <c r="I30" s="25">
        <v>0.03</v>
      </c>
    </row>
    <row r="31" spans="4:17" x14ac:dyDescent="0.3">
      <c r="D31" s="22" t="s">
        <v>40</v>
      </c>
      <c r="E31" s="24">
        <f>PRODUCT(E30:I30)</f>
        <v>1.8900000000000003E-6</v>
      </c>
      <c r="F31" s="21"/>
      <c r="G31" s="21"/>
      <c r="H31" s="21"/>
      <c r="I31" s="21"/>
    </row>
    <row r="33" spans="2:20" x14ac:dyDescent="0.3">
      <c r="E33" s="28" t="s">
        <v>41</v>
      </c>
      <c r="F33" s="28">
        <v>1</v>
      </c>
      <c r="G33" s="28">
        <v>2</v>
      </c>
      <c r="H33" s="28">
        <v>3</v>
      </c>
      <c r="I33" s="28">
        <v>4</v>
      </c>
      <c r="J33" s="28">
        <v>5</v>
      </c>
      <c r="K33" s="28"/>
    </row>
    <row r="34" spans="2:20" x14ac:dyDescent="0.3">
      <c r="E34" s="28" t="s">
        <v>42</v>
      </c>
      <c r="F34" s="29">
        <v>0.25</v>
      </c>
      <c r="G34" s="29">
        <v>0.75</v>
      </c>
      <c r="H34" s="29"/>
      <c r="I34" s="29"/>
      <c r="J34" s="29"/>
      <c r="K34" s="30">
        <v>1</v>
      </c>
    </row>
    <row r="35" spans="2:20" x14ac:dyDescent="0.3">
      <c r="E35" s="28" t="s">
        <v>43</v>
      </c>
      <c r="F35" s="29">
        <v>0.99</v>
      </c>
      <c r="G35" s="29">
        <v>0.17</v>
      </c>
      <c r="H35" s="29"/>
      <c r="I35" s="29"/>
      <c r="J35" s="29"/>
      <c r="K35" s="28"/>
    </row>
    <row r="36" spans="2:20" x14ac:dyDescent="0.3">
      <c r="F36">
        <f>F34*F35</f>
        <v>0.2475</v>
      </c>
      <c r="G36">
        <f>G34*G35</f>
        <v>0.1275</v>
      </c>
      <c r="H36">
        <f t="shared" ref="H36:J36" si="1">H34*H35</f>
        <v>0</v>
      </c>
      <c r="I36">
        <f t="shared" si="1"/>
        <v>0</v>
      </c>
      <c r="J36">
        <f t="shared" si="1"/>
        <v>0</v>
      </c>
    </row>
    <row r="37" spans="2:20" x14ac:dyDescent="0.3">
      <c r="D37" s="33" t="s">
        <v>44</v>
      </c>
      <c r="E37" s="32" t="s">
        <v>15</v>
      </c>
      <c r="F37" s="34">
        <f>SUM(F36:J36)</f>
        <v>0.375</v>
      </c>
      <c r="G37" s="31"/>
      <c r="H37" s="31"/>
      <c r="I37" s="31"/>
      <c r="J37" s="31"/>
      <c r="K37" s="31"/>
    </row>
    <row r="38" spans="2:20" x14ac:dyDescent="0.3">
      <c r="D38" s="35" t="s">
        <v>45</v>
      </c>
      <c r="E38" s="36" t="s">
        <v>46</v>
      </c>
      <c r="F38" s="37">
        <f>F36/$F37</f>
        <v>0.66</v>
      </c>
      <c r="G38" s="37">
        <f t="shared" ref="G38:J38" si="2">G36/$F37</f>
        <v>0.34</v>
      </c>
      <c r="H38" s="37">
        <f t="shared" si="2"/>
        <v>0</v>
      </c>
      <c r="I38" s="37">
        <f t="shared" si="2"/>
        <v>0</v>
      </c>
      <c r="J38" s="37">
        <f t="shared" si="2"/>
        <v>0</v>
      </c>
      <c r="K38" s="38">
        <v>1</v>
      </c>
    </row>
    <row r="40" spans="2:20" x14ac:dyDescent="0.3">
      <c r="D40" s="39"/>
      <c r="E40" s="41" t="s">
        <v>47</v>
      </c>
      <c r="F40" s="41" t="s">
        <v>48</v>
      </c>
    </row>
    <row r="41" spans="2:20" x14ac:dyDescent="0.3">
      <c r="D41" s="39"/>
      <c r="E41" s="41"/>
      <c r="F41" s="41"/>
    </row>
    <row r="42" spans="2:20" x14ac:dyDescent="0.3">
      <c r="D42" s="40" t="s">
        <v>49</v>
      </c>
      <c r="E42" s="42">
        <f>COMBIN(E41,F41)</f>
        <v>1</v>
      </c>
      <c r="F42" s="39"/>
    </row>
    <row r="44" spans="2:20" ht="24" thickBot="1" x14ac:dyDescent="0.5">
      <c r="B44" s="2" t="s">
        <v>50</v>
      </c>
      <c r="C44" s="3"/>
    </row>
    <row r="45" spans="2:20" ht="15" thickBot="1" x14ac:dyDescent="0.35">
      <c r="E45" s="44">
        <v>5</v>
      </c>
      <c r="F45" s="45">
        <v>7</v>
      </c>
      <c r="G45" s="45">
        <v>9</v>
      </c>
      <c r="H45" s="45">
        <v>10</v>
      </c>
      <c r="I45" s="45">
        <v>11</v>
      </c>
      <c r="J45" s="45">
        <v>13</v>
      </c>
      <c r="K45" s="45">
        <v>14</v>
      </c>
      <c r="L45" s="45">
        <v>15</v>
      </c>
      <c r="M45" s="45">
        <v>16</v>
      </c>
      <c r="N45" s="45">
        <v>17</v>
      </c>
      <c r="O45" s="45">
        <v>18</v>
      </c>
      <c r="P45" s="45">
        <v>18</v>
      </c>
      <c r="Q45" s="45">
        <v>20</v>
      </c>
      <c r="R45" s="45">
        <v>21</v>
      </c>
      <c r="S45" s="45">
        <v>37</v>
      </c>
      <c r="T45" s="45">
        <v>39</v>
      </c>
    </row>
    <row r="46" spans="2:20" x14ac:dyDescent="0.3">
      <c r="C46" t="s">
        <v>52</v>
      </c>
      <c r="D46">
        <v>16</v>
      </c>
    </row>
    <row r="47" spans="2:20" x14ac:dyDescent="0.3">
      <c r="C47" t="s">
        <v>53</v>
      </c>
      <c r="D47">
        <f>_xlfn.QUARTILE.EXC(E45:T45,2)</f>
        <v>15.5</v>
      </c>
    </row>
    <row r="48" spans="2:20" x14ac:dyDescent="0.3">
      <c r="C48" t="s">
        <v>54</v>
      </c>
      <c r="D48">
        <f>_xlfn.QUARTILE.EXC(E45:T45,1)</f>
        <v>10.25</v>
      </c>
    </row>
    <row r="49" spans="2:21" x14ac:dyDescent="0.3">
      <c r="C49" t="s">
        <v>55</v>
      </c>
      <c r="D49">
        <f>_xlfn.QUARTILE.EXC(E45:T45,3)</f>
        <v>19.5</v>
      </c>
    </row>
    <row r="50" spans="2:21" x14ac:dyDescent="0.3">
      <c r="C50" t="s">
        <v>50</v>
      </c>
      <c r="D50">
        <f>D49-D48</f>
        <v>9.25</v>
      </c>
    </row>
    <row r="51" spans="2:21" x14ac:dyDescent="0.3">
      <c r="C51" t="s">
        <v>56</v>
      </c>
      <c r="D51">
        <f>D48-1.5*D50</f>
        <v>-3.625</v>
      </c>
      <c r="E51">
        <f>D49+1.5*D50</f>
        <v>33.375</v>
      </c>
    </row>
    <row r="54" spans="2:21" ht="23.4" x14ac:dyDescent="0.3">
      <c r="B54" s="49" t="s">
        <v>57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2:21" x14ac:dyDescent="0.3">
      <c r="B55" s="46"/>
      <c r="C55" s="50">
        <v>18</v>
      </c>
      <c r="D55" s="46" t="s">
        <v>58</v>
      </c>
      <c r="E55" s="46"/>
      <c r="F55" s="46"/>
      <c r="G55" s="46" t="s">
        <v>3</v>
      </c>
      <c r="H55" s="46">
        <f>C55*C56</f>
        <v>1.8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2:21" x14ac:dyDescent="0.3">
      <c r="B56" s="46"/>
      <c r="C56" s="50">
        <v>0.1</v>
      </c>
      <c r="D56" s="46" t="s">
        <v>59</v>
      </c>
      <c r="E56" s="46"/>
      <c r="F56" s="46"/>
      <c r="G56" s="46" t="s">
        <v>71</v>
      </c>
      <c r="H56" s="46">
        <f>C55*C56*(1-C56)</f>
        <v>1.62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2:21" x14ac:dyDescent="0.3">
      <c r="B57" s="46"/>
      <c r="C57" s="46" t="s">
        <v>60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2:21" x14ac:dyDescent="0.3">
      <c r="B58" s="46" t="s">
        <v>61</v>
      </c>
      <c r="C58" s="47">
        <v>0</v>
      </c>
      <c r="D58" s="47">
        <v>1</v>
      </c>
      <c r="E58" s="47">
        <v>2</v>
      </c>
      <c r="F58" s="52">
        <v>3</v>
      </c>
      <c r="G58" s="53">
        <v>4</v>
      </c>
      <c r="H58" s="53">
        <v>5</v>
      </c>
      <c r="I58" s="53">
        <v>6</v>
      </c>
      <c r="J58" s="51">
        <v>7</v>
      </c>
      <c r="K58" s="53">
        <v>8</v>
      </c>
      <c r="L58" s="51">
        <v>9</v>
      </c>
      <c r="M58" s="53">
        <v>10</v>
      </c>
      <c r="N58" s="51">
        <v>11</v>
      </c>
      <c r="O58" s="53">
        <v>12</v>
      </c>
      <c r="P58" s="51">
        <v>13</v>
      </c>
      <c r="Q58" s="53">
        <v>14</v>
      </c>
      <c r="R58" s="51">
        <v>15</v>
      </c>
      <c r="S58" s="53">
        <v>16</v>
      </c>
      <c r="T58" s="51">
        <v>17</v>
      </c>
      <c r="U58" s="53">
        <v>18</v>
      </c>
    </row>
    <row r="59" spans="2:21" x14ac:dyDescent="0.3">
      <c r="B59" s="46"/>
      <c r="C59" s="46" t="s">
        <v>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2:21" x14ac:dyDescent="0.3">
      <c r="B60" s="46" t="s">
        <v>63</v>
      </c>
      <c r="C60" s="48">
        <f>_xlfn.BINOM.DIST(C58,$C55,$C$56,FALSE)</f>
        <v>0.1500946352969991</v>
      </c>
      <c r="D60" s="48">
        <f>_xlfn.BINOM.DIST(D58,$C55,$C$56,FALSE)</f>
        <v>0.30018927059399814</v>
      </c>
      <c r="E60" s="48">
        <f>_xlfn.BINOM.DIST(E58,$C55,$C$56,FALSE)</f>
        <v>0.28351208889433166</v>
      </c>
      <c r="F60" s="48">
        <f t="shared" ref="F60:U60" si="3">_xlfn.BINOM.DIST(F58,$C55,$C$56,FALSE)</f>
        <v>0.16800716378923355</v>
      </c>
      <c r="G60" s="48">
        <f t="shared" si="3"/>
        <v>7.0002984912180655E-2</v>
      </c>
      <c r="H60" s="48">
        <f t="shared" si="3"/>
        <v>2.1778706417122904E-2</v>
      </c>
      <c r="I60" s="48">
        <f t="shared" si="3"/>
        <v>5.2430219152332881E-3</v>
      </c>
      <c r="J60" s="48">
        <f t="shared" si="3"/>
        <v>9.98670840996817E-4</v>
      </c>
      <c r="K60" s="48">
        <f t="shared" si="3"/>
        <v>1.5257471181895783E-4</v>
      </c>
      <c r="L60" s="48">
        <f t="shared" si="3"/>
        <v>1.8836384175180025E-5</v>
      </c>
      <c r="M60" s="48">
        <f t="shared" si="3"/>
        <v>1.8836384175179989E-6</v>
      </c>
      <c r="N60" s="48">
        <f t="shared" si="3"/>
        <v>1.5221320545600044E-7</v>
      </c>
      <c r="O60" s="48">
        <f t="shared" si="3"/>
        <v>9.8656707239999967E-9</v>
      </c>
      <c r="P60" s="48">
        <f t="shared" si="3"/>
        <v>5.0593183199999886E-10</v>
      </c>
      <c r="Q60" s="48">
        <f t="shared" si="3"/>
        <v>2.0076660000000014E-11</v>
      </c>
      <c r="R60" s="48">
        <f t="shared" si="3"/>
        <v>5.9486400000000014E-13</v>
      </c>
      <c r="S60" s="48">
        <f t="shared" si="3"/>
        <v>1.2393000000000056E-14</v>
      </c>
      <c r="T60" s="48">
        <f t="shared" si="3"/>
        <v>1.6199999999999965E-16</v>
      </c>
      <c r="U60" s="48">
        <f t="shared" si="3"/>
        <v>1.0000000000000014E-18</v>
      </c>
    </row>
    <row r="61" spans="2:21" x14ac:dyDescent="0.3">
      <c r="B61" s="54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</row>
    <row r="62" spans="2:21" ht="23.4" x14ac:dyDescent="0.3">
      <c r="B62" s="58" t="s">
        <v>72</v>
      </c>
    </row>
    <row r="63" spans="2:21" ht="16.8" customHeight="1" x14ac:dyDescent="0.3">
      <c r="B63" s="54"/>
      <c r="C63" s="59">
        <v>18</v>
      </c>
      <c r="D63" s="54" t="s">
        <v>58</v>
      </c>
      <c r="E63" s="54"/>
      <c r="F63" s="54"/>
      <c r="G63" s="54" t="s">
        <v>3</v>
      </c>
      <c r="H63" s="54">
        <f>1/C64</f>
        <v>10</v>
      </c>
      <c r="I63" s="54"/>
      <c r="J63" s="54"/>
    </row>
    <row r="64" spans="2:21" ht="14.4" customHeight="1" x14ac:dyDescent="0.3">
      <c r="B64" s="54"/>
      <c r="C64" s="59">
        <v>0.1</v>
      </c>
      <c r="D64" s="54" t="s">
        <v>59</v>
      </c>
      <c r="E64" s="54"/>
      <c r="F64" s="54"/>
      <c r="G64" s="54" t="s">
        <v>71</v>
      </c>
      <c r="H64" s="54">
        <f>(1-C64)/C64*C64</f>
        <v>0.9</v>
      </c>
      <c r="I64" s="54"/>
      <c r="J64" s="54"/>
    </row>
    <row r="65" spans="2:10" ht="15.6" customHeight="1" x14ac:dyDescent="0.3">
      <c r="B65" s="54"/>
      <c r="C65" s="54" t="s">
        <v>60</v>
      </c>
      <c r="D65" s="54"/>
      <c r="E65" s="54"/>
      <c r="F65" s="54"/>
      <c r="G65" s="54"/>
      <c r="H65" s="54"/>
      <c r="I65" s="54"/>
      <c r="J65" s="54"/>
    </row>
    <row r="66" spans="2:10" ht="13.8" customHeight="1" x14ac:dyDescent="0.3">
      <c r="B66" s="54" t="s">
        <v>61</v>
      </c>
      <c r="C66" s="55">
        <v>1</v>
      </c>
      <c r="D66" s="55">
        <v>2</v>
      </c>
      <c r="E66" s="55">
        <v>3</v>
      </c>
      <c r="F66">
        <v>4</v>
      </c>
      <c r="G66">
        <v>5</v>
      </c>
      <c r="H66">
        <v>6</v>
      </c>
      <c r="I66">
        <v>7</v>
      </c>
      <c r="J66" s="60"/>
    </row>
    <row r="67" spans="2:10" ht="13.8" customHeight="1" x14ac:dyDescent="0.3">
      <c r="B67" s="54"/>
      <c r="C67" s="54" t="s">
        <v>74</v>
      </c>
      <c r="D67" s="54"/>
      <c r="E67" s="54"/>
      <c r="F67" s="54"/>
      <c r="J67" s="61"/>
    </row>
    <row r="68" spans="2:10" ht="13.8" customHeight="1" x14ac:dyDescent="0.3">
      <c r="B68" s="54" t="s">
        <v>63</v>
      </c>
      <c r="C68" s="56">
        <f>POWER(1-$C$64,C66-1)*$C$64</f>
        <v>0.1</v>
      </c>
      <c r="D68" s="56">
        <f t="shared" ref="D68:I68" si="4">POWER(1-$C$64,D66-1)*$C$64</f>
        <v>9.0000000000000011E-2</v>
      </c>
      <c r="E68" s="56">
        <f t="shared" si="4"/>
        <v>8.1000000000000016E-2</v>
      </c>
      <c r="F68" s="56">
        <f t="shared" si="4"/>
        <v>7.2900000000000006E-2</v>
      </c>
      <c r="G68" s="56">
        <f t="shared" si="4"/>
        <v>6.5610000000000016E-2</v>
      </c>
      <c r="H68" s="56">
        <f t="shared" si="4"/>
        <v>5.9049000000000018E-2</v>
      </c>
      <c r="I68" s="56">
        <f t="shared" si="4"/>
        <v>5.314410000000002E-2</v>
      </c>
      <c r="J68" s="61"/>
    </row>
    <row r="69" spans="2:10" ht="14.4" customHeight="1" x14ac:dyDescent="0.3">
      <c r="B69" s="54"/>
      <c r="G69" s="54"/>
      <c r="H69" s="54"/>
      <c r="I69" s="54"/>
      <c r="J69" s="54"/>
    </row>
    <row r="71" spans="2:10" ht="23.4" x14ac:dyDescent="0.3">
      <c r="B71" s="58" t="s">
        <v>73</v>
      </c>
    </row>
    <row r="72" spans="2:10" x14ac:dyDescent="0.3">
      <c r="B72" s="54"/>
      <c r="C72" s="59" t="s">
        <v>77</v>
      </c>
      <c r="D72" s="54"/>
      <c r="E72" s="54"/>
      <c r="F72" s="54"/>
      <c r="G72" s="54" t="s">
        <v>3</v>
      </c>
      <c r="H72" s="54">
        <f>C74/C73</f>
        <v>6000</v>
      </c>
      <c r="I72" s="54"/>
    </row>
    <row r="73" spans="2:10" x14ac:dyDescent="0.3">
      <c r="B73" s="54"/>
      <c r="C73" s="59">
        <v>5.0000000000000001E-4</v>
      </c>
      <c r="D73" s="54" t="s">
        <v>59</v>
      </c>
      <c r="E73" s="54"/>
      <c r="F73" s="54"/>
      <c r="G73" s="54" t="s">
        <v>71</v>
      </c>
      <c r="H73" s="54">
        <f>C74*(1-C73)/(C73*C73)</f>
        <v>11994000</v>
      </c>
      <c r="I73" s="54"/>
    </row>
    <row r="74" spans="2:10" x14ac:dyDescent="0.3">
      <c r="B74" s="54" t="s">
        <v>75</v>
      </c>
      <c r="C74" s="54">
        <v>3</v>
      </c>
      <c r="D74" s="54"/>
      <c r="E74" s="54"/>
      <c r="F74" s="54"/>
      <c r="G74" s="54"/>
      <c r="H74" s="54"/>
      <c r="I74" s="54"/>
    </row>
    <row r="75" spans="2:10" x14ac:dyDescent="0.3">
      <c r="B75" s="54" t="s">
        <v>61</v>
      </c>
      <c r="C75" s="55">
        <v>3</v>
      </c>
      <c r="D75" s="55">
        <v>4</v>
      </c>
      <c r="E75" s="55">
        <v>5</v>
      </c>
      <c r="F75">
        <v>6</v>
      </c>
      <c r="G75">
        <v>7</v>
      </c>
      <c r="H75">
        <v>8</v>
      </c>
      <c r="I75">
        <v>9</v>
      </c>
    </row>
    <row r="76" spans="2:10" x14ac:dyDescent="0.3">
      <c r="B76" s="54"/>
      <c r="C76" s="54" t="s">
        <v>76</v>
      </c>
      <c r="D76" s="54"/>
      <c r="E76" s="54"/>
      <c r="F76" s="54"/>
    </row>
    <row r="77" spans="2:10" x14ac:dyDescent="0.3">
      <c r="B77" s="54" t="s">
        <v>63</v>
      </c>
      <c r="C77" s="56">
        <f>_xlfn.NEGBINOM.DIST(C75-$C$74,$C$74,$C$73,FALSE)</f>
        <v>1.2500000000000027E-10</v>
      </c>
      <c r="D77" s="56">
        <f>_xlfn.NEGBINOM.DIST(D75-$C$74,$C$74,$C$73,FALSE)</f>
        <v>3.7481249999999973E-10</v>
      </c>
      <c r="E77" s="56">
        <f>_xlfn.NEGBINOM.DIST(E75-$C$74,$C$74,$C$73,FALSE)</f>
        <v>7.4925018750000034E-10</v>
      </c>
      <c r="F77" s="56">
        <f>_xlfn.NEGBINOM.DIST(F75-$C$74,$C$74,$C$73,FALSE)</f>
        <v>1.2481259373437525E-9</v>
      </c>
      <c r="G77" s="56">
        <f>_xlfn.NEGBINOM.DIST(G75-$C$74,$C$74,$C$73,FALSE)</f>
        <v>1.8712528115626216E-9</v>
      </c>
      <c r="H77" s="56">
        <f>_xlfn.NEGBINOM.DIST(H75-$C$74,$C$74,$C$73,FALSE)</f>
        <v>2.6184440592195694E-9</v>
      </c>
      <c r="I77" s="56">
        <f>_xlfn.NEGBINOM.DIST(I75-$C$74,$C$74,$C$73,FALSE)</f>
        <v>3.4895131162532826E-9</v>
      </c>
    </row>
    <row r="80" spans="2:10" ht="23.4" x14ac:dyDescent="0.3">
      <c r="B80" s="58" t="s">
        <v>64</v>
      </c>
      <c r="C80" s="54"/>
      <c r="D80" s="54"/>
      <c r="E80" s="54"/>
      <c r="F80" s="54"/>
      <c r="G80" s="54"/>
      <c r="H80" s="54"/>
    </row>
    <row r="81" spans="2:8" x14ac:dyDescent="0.3">
      <c r="B81" s="54"/>
      <c r="C81" s="55">
        <v>6</v>
      </c>
      <c r="D81" s="54" t="s">
        <v>65</v>
      </c>
      <c r="E81" s="54"/>
      <c r="F81" s="54"/>
      <c r="G81" s="54"/>
      <c r="H81" s="54"/>
    </row>
    <row r="82" spans="2:8" x14ac:dyDescent="0.3">
      <c r="B82" s="54"/>
      <c r="C82" s="55">
        <v>13</v>
      </c>
      <c r="D82" s="54" t="s">
        <v>66</v>
      </c>
      <c r="E82" s="54"/>
      <c r="F82" s="54"/>
      <c r="G82" s="54"/>
      <c r="H82" s="54"/>
    </row>
    <row r="83" spans="2:8" x14ac:dyDescent="0.3">
      <c r="B83" s="54"/>
      <c r="C83" s="55">
        <v>5</v>
      </c>
      <c r="D83" s="54" t="s">
        <v>67</v>
      </c>
      <c r="E83" s="54"/>
      <c r="F83" s="54"/>
      <c r="G83" s="54"/>
      <c r="H83" s="54"/>
    </row>
    <row r="84" spans="2:8" x14ac:dyDescent="0.3">
      <c r="B84" s="54"/>
      <c r="C84" s="54" t="s">
        <v>68</v>
      </c>
      <c r="D84" s="54"/>
      <c r="E84" s="54"/>
      <c r="F84" s="54"/>
      <c r="G84" s="54"/>
      <c r="H84" s="54"/>
    </row>
    <row r="85" spans="2:8" x14ac:dyDescent="0.3">
      <c r="B85" s="54" t="s">
        <v>61</v>
      </c>
      <c r="C85" s="55">
        <v>0</v>
      </c>
      <c r="D85" s="55">
        <v>1</v>
      </c>
      <c r="E85" s="55">
        <v>2</v>
      </c>
      <c r="F85" s="55">
        <v>3</v>
      </c>
      <c r="G85" s="55">
        <v>4</v>
      </c>
      <c r="H85" s="55">
        <v>5</v>
      </c>
    </row>
    <row r="86" spans="2:8" x14ac:dyDescent="0.3">
      <c r="B86" s="54">
        <f>SUM(C87:H87)</f>
        <v>1.0000000000000002</v>
      </c>
      <c r="C86" s="54" t="s">
        <v>69</v>
      </c>
      <c r="D86" s="54"/>
      <c r="E86" s="54"/>
      <c r="F86" s="54"/>
      <c r="G86" s="54"/>
      <c r="H86" s="54"/>
    </row>
    <row r="87" spans="2:8" x14ac:dyDescent="0.3">
      <c r="B87" s="54" t="s">
        <v>63</v>
      </c>
      <c r="C87" s="57">
        <f>_xlfn.HYPGEOM.DIST(C85,$C83,$C81,$C82,FALSE)</f>
        <v>1.6317016317016313E-2</v>
      </c>
      <c r="D87" s="57">
        <f>_xlfn.HYPGEOM.DIST(D85,$C83,$C81,$C82,FALSE)</f>
        <v>0.16317016317016322</v>
      </c>
      <c r="E87" s="57">
        <f>_xlfn.HYPGEOM.DIST(E85,$C83,$C81,$C82,FALSE)</f>
        <v>0.40792540792540788</v>
      </c>
      <c r="F87" s="57">
        <f>_xlfn.HYPGEOM.DIST(F85,$C83,$C81,$C82,FALSE)</f>
        <v>0.32634032634032656</v>
      </c>
      <c r="G87" s="57">
        <f>_xlfn.HYPGEOM.DIST(G85,$C83,$C81,$C82,FALSE)</f>
        <v>8.1585081585081584E-2</v>
      </c>
      <c r="H87" s="57">
        <f>_xlfn.HYPGEOM.DIST(H85,$C83,$C81,$C82,FALSE)</f>
        <v>4.662004662004662E-3</v>
      </c>
    </row>
    <row r="90" spans="2:8" ht="23.4" x14ac:dyDescent="0.3">
      <c r="B90" s="66" t="s">
        <v>78</v>
      </c>
      <c r="C90" s="63"/>
      <c r="D90" s="63"/>
      <c r="E90" s="63"/>
      <c r="F90" s="63"/>
      <c r="G90" s="63"/>
    </row>
    <row r="91" spans="2:8" x14ac:dyDescent="0.3">
      <c r="B91" s="63" t="s">
        <v>61</v>
      </c>
      <c r="C91" s="63" t="s">
        <v>63</v>
      </c>
      <c r="D91" s="63" t="s">
        <v>79</v>
      </c>
      <c r="E91" s="63" t="s">
        <v>80</v>
      </c>
      <c r="F91" s="63" t="s">
        <v>81</v>
      </c>
      <c r="G91" s="63" t="s">
        <v>82</v>
      </c>
    </row>
    <row r="92" spans="2:8" x14ac:dyDescent="0.3">
      <c r="B92" s="64">
        <v>10</v>
      </c>
      <c r="C92" s="64">
        <v>0.08</v>
      </c>
      <c r="D92" s="63">
        <f>B92*C92</f>
        <v>0.8</v>
      </c>
      <c r="E92" s="63">
        <f>B92-$D$98</f>
        <v>-2.5000000000000018</v>
      </c>
      <c r="F92" s="63">
        <f>POWER(E92,2)</f>
        <v>6.2500000000000089</v>
      </c>
      <c r="G92" s="63">
        <f>F92*C92</f>
        <v>0.50000000000000067</v>
      </c>
    </row>
    <row r="93" spans="2:8" x14ac:dyDescent="0.3">
      <c r="B93" s="64">
        <v>11</v>
      </c>
      <c r="C93" s="64">
        <v>0.15</v>
      </c>
      <c r="D93" s="63">
        <f t="shared" ref="D93:D97" si="5">B93*C93</f>
        <v>1.65</v>
      </c>
      <c r="E93" s="63">
        <f t="shared" ref="E93:E97" si="6">B93-$D$98</f>
        <v>-1.5000000000000018</v>
      </c>
      <c r="F93" s="63">
        <f t="shared" ref="F93:F97" si="7">POWER(E93,2)</f>
        <v>2.2500000000000053</v>
      </c>
      <c r="G93" s="63">
        <f t="shared" ref="G93:G97" si="8">F93*C93</f>
        <v>0.3375000000000008</v>
      </c>
    </row>
    <row r="94" spans="2:8" x14ac:dyDescent="0.3">
      <c r="B94" s="64">
        <v>12</v>
      </c>
      <c r="C94" s="64">
        <v>0.3</v>
      </c>
      <c r="D94" s="63">
        <f t="shared" si="5"/>
        <v>3.5999999999999996</v>
      </c>
      <c r="E94" s="63">
        <f t="shared" si="6"/>
        <v>-0.50000000000000178</v>
      </c>
      <c r="F94" s="63">
        <f t="shared" si="7"/>
        <v>0.25000000000000178</v>
      </c>
      <c r="G94" s="63">
        <f t="shared" si="8"/>
        <v>7.5000000000000525E-2</v>
      </c>
    </row>
    <row r="95" spans="2:8" x14ac:dyDescent="0.3">
      <c r="B95" s="64">
        <v>13</v>
      </c>
      <c r="C95" s="64">
        <v>0.2</v>
      </c>
      <c r="D95" s="63">
        <f t="shared" si="5"/>
        <v>2.6</v>
      </c>
      <c r="E95" s="63">
        <f t="shared" si="6"/>
        <v>0.49999999999999822</v>
      </c>
      <c r="F95" s="63">
        <f t="shared" si="7"/>
        <v>0.24999999999999822</v>
      </c>
      <c r="G95" s="63">
        <f t="shared" si="8"/>
        <v>4.9999999999999649E-2</v>
      </c>
    </row>
    <row r="96" spans="2:8" x14ac:dyDescent="0.3">
      <c r="B96" s="64">
        <v>14</v>
      </c>
      <c r="C96" s="64">
        <v>0.2</v>
      </c>
      <c r="D96" s="63">
        <f t="shared" si="5"/>
        <v>2.8000000000000003</v>
      </c>
      <c r="E96" s="63">
        <f t="shared" si="6"/>
        <v>1.4999999999999982</v>
      </c>
      <c r="F96" s="63">
        <f t="shared" si="7"/>
        <v>2.2499999999999947</v>
      </c>
      <c r="G96" s="63">
        <f t="shared" si="8"/>
        <v>0.44999999999999896</v>
      </c>
    </row>
    <row r="97" spans="2:10" x14ac:dyDescent="0.3">
      <c r="B97" s="64">
        <v>15</v>
      </c>
      <c r="C97" s="67">
        <v>7.0000000000000007E-2</v>
      </c>
      <c r="D97" s="63">
        <f t="shared" si="5"/>
        <v>1.05</v>
      </c>
      <c r="E97" s="63">
        <f t="shared" si="6"/>
        <v>2.4999999999999982</v>
      </c>
      <c r="F97" s="63">
        <f t="shared" si="7"/>
        <v>6.2499999999999911</v>
      </c>
      <c r="G97" s="63">
        <f t="shared" si="8"/>
        <v>0.43749999999999944</v>
      </c>
    </row>
    <row r="98" spans="2:10" x14ac:dyDescent="0.3">
      <c r="B98" s="63"/>
      <c r="C98" s="63" t="s">
        <v>3</v>
      </c>
      <c r="D98" s="65">
        <f>SUM(D92:D97)</f>
        <v>12.500000000000002</v>
      </c>
      <c r="E98" s="63"/>
      <c r="F98" s="63" t="s">
        <v>83</v>
      </c>
      <c r="G98" s="65">
        <f>SUM(G92:G97)</f>
        <v>1.85</v>
      </c>
    </row>
    <row r="99" spans="2:10" x14ac:dyDescent="0.3">
      <c r="B99" s="63"/>
      <c r="C99" s="63"/>
      <c r="D99" s="63"/>
      <c r="E99" s="63" t="s">
        <v>84</v>
      </c>
      <c r="F99" s="63"/>
      <c r="G99" s="65">
        <f>SQRT(G98)</f>
        <v>1.3601470508735443</v>
      </c>
    </row>
    <row r="101" spans="2:10" ht="23.4" x14ac:dyDescent="0.3">
      <c r="B101" s="71" t="s">
        <v>85</v>
      </c>
      <c r="C101" s="68"/>
      <c r="D101" s="68"/>
      <c r="E101" s="68"/>
      <c r="F101" s="68"/>
      <c r="G101" s="68"/>
    </row>
    <row r="102" spans="2:10" x14ac:dyDescent="0.3">
      <c r="C102" s="70" t="s">
        <v>86</v>
      </c>
      <c r="D102" s="70"/>
      <c r="E102" s="68"/>
      <c r="F102" s="68"/>
      <c r="G102" s="68"/>
      <c r="H102" s="68"/>
      <c r="I102" s="68" t="s">
        <v>3</v>
      </c>
      <c r="J102" s="68">
        <f>C104</f>
        <v>2</v>
      </c>
    </row>
    <row r="103" spans="2:10" x14ac:dyDescent="0.3">
      <c r="C103" s="68">
        <v>4</v>
      </c>
      <c r="D103" s="68">
        <v>3</v>
      </c>
      <c r="E103" s="68">
        <v>2</v>
      </c>
      <c r="F103" s="68">
        <v>1</v>
      </c>
      <c r="G103" s="68">
        <v>0</v>
      </c>
      <c r="I103" s="68" t="s">
        <v>71</v>
      </c>
      <c r="J103" s="68">
        <f>C104</f>
        <v>2</v>
      </c>
    </row>
    <row r="104" spans="2:10" x14ac:dyDescent="0.3">
      <c r="B104" s="73" t="s">
        <v>92</v>
      </c>
      <c r="C104" s="68">
        <v>2</v>
      </c>
      <c r="D104" s="68" t="s">
        <v>87</v>
      </c>
      <c r="E104" s="68"/>
      <c r="F104" s="68"/>
    </row>
    <row r="105" spans="2:10" ht="16.8" x14ac:dyDescent="0.3">
      <c r="B105" s="68"/>
      <c r="C105" s="72" t="s">
        <v>88</v>
      </c>
      <c r="D105" s="68"/>
      <c r="E105" s="68"/>
      <c r="F105" s="68"/>
    </row>
    <row r="106" spans="2:10" x14ac:dyDescent="0.3">
      <c r="B106" s="73" t="s">
        <v>89</v>
      </c>
      <c r="C106" s="69">
        <f>_xlfn.POISSON.DIST(C103,$C$104,FALSE)</f>
        <v>9.022352215774182E-2</v>
      </c>
      <c r="D106" s="69">
        <f>_xlfn.POISSON.DIST(D103,$C$104,FALSE)</f>
        <v>0.18044704431548364</v>
      </c>
      <c r="E106" s="69">
        <f>_xlfn.POISSON.DIST(E103,$C$104,FALSE)</f>
        <v>0.27067056647322546</v>
      </c>
      <c r="F106" s="69">
        <f>_xlfn.POISSON.DIST(F103,$C$104,FALSE)</f>
        <v>0.27067056647322535</v>
      </c>
      <c r="G106" s="69">
        <f>_xlfn.POISSON.DIST(G103,$C$104,FALSE)</f>
        <v>0.1353352832366127</v>
      </c>
    </row>
    <row r="107" spans="2:10" x14ac:dyDescent="0.3">
      <c r="B107" s="73" t="s">
        <v>90</v>
      </c>
      <c r="C107" s="68">
        <f>SUM(C106:G106)</f>
        <v>0.94734698265628892</v>
      </c>
      <c r="D107" s="68"/>
      <c r="E107" s="68"/>
      <c r="F107" s="68"/>
      <c r="G107" s="68"/>
    </row>
    <row r="108" spans="2:10" x14ac:dyDescent="0.3">
      <c r="B108" s="74" t="s">
        <v>91</v>
      </c>
      <c r="C108" s="68">
        <f>1-C107</f>
        <v>5.2653017343711084E-2</v>
      </c>
      <c r="D108" s="68"/>
      <c r="E108" s="68"/>
      <c r="F108" s="68"/>
      <c r="G108" s="68"/>
    </row>
  </sheetData>
  <mergeCells count="5">
    <mergeCell ref="B44:C44"/>
    <mergeCell ref="B1:C1"/>
    <mergeCell ref="C7:D7"/>
    <mergeCell ref="B14:C14"/>
    <mergeCell ref="G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3"/>
  <sheetViews>
    <sheetView tabSelected="1" topLeftCell="A268" zoomScaleNormal="100" workbookViewId="0">
      <selection activeCell="B294" sqref="B294"/>
    </sheetView>
  </sheetViews>
  <sheetFormatPr defaultRowHeight="14.4" x14ac:dyDescent="0.3"/>
  <cols>
    <col min="2" max="2" width="18.88671875" customWidth="1"/>
    <col min="3" max="4" width="12" bestFit="1" customWidth="1"/>
    <col min="5" max="5" width="8.88671875" customWidth="1"/>
    <col min="6" max="6" width="14.77734375" customWidth="1"/>
    <col min="7" max="7" width="12.77734375" customWidth="1"/>
    <col min="8" max="8" width="12" bestFit="1" customWidth="1"/>
  </cols>
  <sheetData>
    <row r="2" spans="2:7" ht="23.4" x14ac:dyDescent="0.3">
      <c r="B2" s="71" t="s">
        <v>93</v>
      </c>
    </row>
    <row r="4" spans="2:7" x14ac:dyDescent="0.3">
      <c r="B4" s="73" t="s">
        <v>94</v>
      </c>
      <c r="C4" s="73" t="s">
        <v>95</v>
      </c>
      <c r="D4" s="73" t="s">
        <v>51</v>
      </c>
    </row>
    <row r="5" spans="2:7" x14ac:dyDescent="0.3">
      <c r="B5">
        <v>4</v>
      </c>
      <c r="C5">
        <v>6</v>
      </c>
      <c r="D5">
        <v>20</v>
      </c>
    </row>
    <row r="7" spans="2:7" x14ac:dyDescent="0.3">
      <c r="B7" s="73" t="s">
        <v>96</v>
      </c>
      <c r="C7">
        <f>(B5+C5)/2</f>
        <v>5</v>
      </c>
      <c r="D7" t="s">
        <v>122</v>
      </c>
    </row>
    <row r="8" spans="2:7" x14ac:dyDescent="0.3">
      <c r="B8" s="70" t="s">
        <v>71</v>
      </c>
      <c r="C8">
        <f>POWER((C5-B5),2)/12</f>
        <v>0.33333333333333331</v>
      </c>
      <c r="D8" t="s">
        <v>123</v>
      </c>
    </row>
    <row r="9" spans="2:7" x14ac:dyDescent="0.3">
      <c r="B9" s="73" t="s">
        <v>97</v>
      </c>
      <c r="C9" s="76">
        <f>C8/D5</f>
        <v>1.6666666666666666E-2</v>
      </c>
    </row>
    <row r="11" spans="2:7" ht="23.4" x14ac:dyDescent="0.3">
      <c r="B11" s="71" t="s">
        <v>98</v>
      </c>
    </row>
    <row r="13" spans="2:7" x14ac:dyDescent="0.3">
      <c r="C13" s="8" t="s">
        <v>99</v>
      </c>
      <c r="D13" s="8"/>
      <c r="E13" s="8"/>
      <c r="F13" s="8"/>
      <c r="G13" s="8"/>
    </row>
    <row r="14" spans="2:7" s="7" customFormat="1" x14ac:dyDescent="0.3">
      <c r="C14" s="73" t="s">
        <v>101</v>
      </c>
      <c r="D14" s="7">
        <v>0.8</v>
      </c>
    </row>
    <row r="15" spans="2:7" s="7" customFormat="1" x14ac:dyDescent="0.3">
      <c r="C15" s="73" t="s">
        <v>102</v>
      </c>
      <c r="D15" s="7">
        <v>2.5</v>
      </c>
    </row>
    <row r="16" spans="2:7" s="7" customFormat="1" x14ac:dyDescent="0.3">
      <c r="C16" s="73" t="s">
        <v>114</v>
      </c>
      <c r="D16" s="7">
        <f>1-_xlfn.NORM.S.DIST(D14,TRUE)</f>
        <v>0.21185539858339664</v>
      </c>
    </row>
    <row r="17" spans="3:10" x14ac:dyDescent="0.3">
      <c r="C17" s="73" t="s">
        <v>105</v>
      </c>
      <c r="D17">
        <f>_xlfn.NORM.S.DIST(D14,TRUE)</f>
        <v>0.78814460141660336</v>
      </c>
    </row>
    <row r="18" spans="3:10" x14ac:dyDescent="0.3">
      <c r="C18" s="73" t="s">
        <v>104</v>
      </c>
      <c r="D18">
        <f>_xlfn.NORM.S.DIST(D15,TRUE)</f>
        <v>0.99379033467422384</v>
      </c>
    </row>
    <row r="19" spans="3:10" x14ac:dyDescent="0.3">
      <c r="C19" s="73" t="s">
        <v>103</v>
      </c>
      <c r="D19" s="76">
        <f>D18-D17</f>
        <v>0.20564573325762048</v>
      </c>
    </row>
    <row r="21" spans="3:10" x14ac:dyDescent="0.3">
      <c r="C21" s="8" t="s">
        <v>106</v>
      </c>
      <c r="D21" s="8"/>
      <c r="E21" s="8"/>
      <c r="F21" s="8"/>
      <c r="G21" s="8"/>
    </row>
    <row r="22" spans="3:10" x14ac:dyDescent="0.3">
      <c r="C22" s="77" t="s">
        <v>109</v>
      </c>
      <c r="D22">
        <v>24</v>
      </c>
    </row>
    <row r="23" spans="3:10" x14ac:dyDescent="0.3">
      <c r="C23" s="77" t="s">
        <v>110</v>
      </c>
      <c r="D23">
        <v>37</v>
      </c>
    </row>
    <row r="24" spans="3:10" x14ac:dyDescent="0.3">
      <c r="C24" s="73" t="s">
        <v>108</v>
      </c>
      <c r="D24">
        <v>34</v>
      </c>
    </row>
    <row r="25" spans="3:10" x14ac:dyDescent="0.3">
      <c r="C25" s="73" t="s">
        <v>71</v>
      </c>
      <c r="D25">
        <v>144</v>
      </c>
    </row>
    <row r="26" spans="3:10" x14ac:dyDescent="0.3">
      <c r="C26" s="76" t="s">
        <v>115</v>
      </c>
      <c r="D26">
        <f>1-_xlfn.NORM.DIST(D22,D24,SQRT(D25),TRUE)</f>
        <v>0.79767161903635697</v>
      </c>
    </row>
    <row r="27" spans="3:10" x14ac:dyDescent="0.3">
      <c r="C27" s="76" t="s">
        <v>111</v>
      </c>
      <c r="D27">
        <f>_xlfn.NORM.DIST(D22,D24,SQRT(D25),TRUE)</f>
        <v>0.20232838096364303</v>
      </c>
    </row>
    <row r="28" spans="3:10" x14ac:dyDescent="0.3">
      <c r="C28" s="76" t="s">
        <v>113</v>
      </c>
      <c r="D28">
        <f>_xlfn.NORM.DIST(D23,D24,SQRT(D25),TRUE)</f>
        <v>0.5987063256829237</v>
      </c>
    </row>
    <row r="29" spans="3:10" x14ac:dyDescent="0.3">
      <c r="C29" s="76" t="s">
        <v>112</v>
      </c>
      <c r="D29">
        <f>D28-D27</f>
        <v>0.39637794471928067</v>
      </c>
    </row>
    <row r="31" spans="3:10" x14ac:dyDescent="0.3">
      <c r="C31" s="8" t="s">
        <v>116</v>
      </c>
      <c r="D31" s="8"/>
      <c r="E31" s="8"/>
      <c r="F31" s="8"/>
      <c r="G31" s="8"/>
      <c r="H31" s="8"/>
      <c r="I31" s="8"/>
      <c r="J31" s="8"/>
    </row>
    <row r="32" spans="3:10" x14ac:dyDescent="0.3">
      <c r="C32" s="78" t="s">
        <v>109</v>
      </c>
      <c r="D32">
        <v>151</v>
      </c>
    </row>
    <row r="33" spans="3:10" x14ac:dyDescent="0.3">
      <c r="C33" s="78" t="s">
        <v>51</v>
      </c>
      <c r="D33">
        <v>16000000</v>
      </c>
    </row>
    <row r="34" spans="3:10" x14ac:dyDescent="0.3">
      <c r="C34" s="78" t="s">
        <v>117</v>
      </c>
      <c r="D34">
        <v>1.0000000000000001E-5</v>
      </c>
    </row>
    <row r="35" spans="3:10" x14ac:dyDescent="0.3">
      <c r="C35" s="43" t="s">
        <v>111</v>
      </c>
      <c r="D35">
        <f>_xlfn.NORM.DIST(D32+0.5,D33*D34,SQRT(D33*D34*(1-D34)),TRUE)</f>
        <v>0.25079587074210485</v>
      </c>
    </row>
    <row r="36" spans="3:10" x14ac:dyDescent="0.3">
      <c r="C36" s="43" t="s">
        <v>115</v>
      </c>
      <c r="D36">
        <f>1-NORMDIST(D32-0.5,D33*D34,SQRT(D33*D34*(1-D34)),TRUE)</f>
        <v>0.77368712248212101</v>
      </c>
    </row>
    <row r="37" spans="3:10" x14ac:dyDescent="0.3">
      <c r="C37" s="8" t="s">
        <v>118</v>
      </c>
      <c r="D37" s="8"/>
      <c r="E37" s="8"/>
      <c r="F37" s="8"/>
      <c r="G37" s="8"/>
      <c r="H37" s="8"/>
      <c r="I37" s="8"/>
      <c r="J37" s="8"/>
    </row>
    <row r="38" spans="3:10" x14ac:dyDescent="0.3">
      <c r="C38" s="79" t="s">
        <v>109</v>
      </c>
      <c r="D38">
        <v>950</v>
      </c>
    </row>
    <row r="39" spans="3:10" x14ac:dyDescent="0.3">
      <c r="C39" s="79" t="s">
        <v>119</v>
      </c>
      <c r="D39">
        <v>1000</v>
      </c>
    </row>
    <row r="40" spans="3:10" x14ac:dyDescent="0.3">
      <c r="C40" s="86" t="s">
        <v>111</v>
      </c>
      <c r="D40">
        <f>_xlfn.NORM.DIST(D38,D39,SQRT(D39),TRUE)</f>
        <v>5.692314900332901E-2</v>
      </c>
    </row>
    <row r="42" spans="3:10" x14ac:dyDescent="0.3">
      <c r="C42" s="8" t="s">
        <v>120</v>
      </c>
      <c r="D42" s="8"/>
      <c r="E42" s="8"/>
      <c r="F42" s="8"/>
      <c r="G42" s="8"/>
      <c r="H42" s="8"/>
      <c r="I42" s="8"/>
      <c r="J42" s="8"/>
    </row>
    <row r="43" spans="3:10" x14ac:dyDescent="0.3">
      <c r="C43" s="79" t="s">
        <v>109</v>
      </c>
      <c r="D43">
        <v>0.1</v>
      </c>
    </row>
    <row r="44" spans="3:10" x14ac:dyDescent="0.3">
      <c r="C44" s="79" t="s">
        <v>119</v>
      </c>
      <c r="D44">
        <v>25</v>
      </c>
    </row>
    <row r="45" spans="3:10" x14ac:dyDescent="0.3">
      <c r="C45" s="73" t="s">
        <v>108</v>
      </c>
      <c r="D45">
        <f>1/D44</f>
        <v>0.04</v>
      </c>
    </row>
    <row r="46" spans="3:10" x14ac:dyDescent="0.3">
      <c r="C46" s="73" t="s">
        <v>71</v>
      </c>
      <c r="D46">
        <f>1/(D44*D44)</f>
        <v>1.6000000000000001E-3</v>
      </c>
    </row>
    <row r="47" spans="3:10" x14ac:dyDescent="0.3">
      <c r="C47" s="76" t="s">
        <v>111</v>
      </c>
      <c r="D47">
        <f>EXPONDIST(D43,D44,TRUE)</f>
        <v>0.91791500137610116</v>
      </c>
    </row>
    <row r="48" spans="3:10" x14ac:dyDescent="0.3">
      <c r="C48" s="76" t="s">
        <v>115</v>
      </c>
      <c r="D48">
        <f>1-_xlfn.EXPON.DIST(D43,D44,TRUE)</f>
        <v>8.2084998623898842E-2</v>
      </c>
    </row>
    <row r="50" spans="2:9" ht="23.4" x14ac:dyDescent="0.3">
      <c r="B50" s="71" t="s">
        <v>121</v>
      </c>
    </row>
    <row r="51" spans="2:9" x14ac:dyDescent="0.3">
      <c r="B51" t="s">
        <v>61</v>
      </c>
      <c r="C51">
        <v>11.77</v>
      </c>
      <c r="D51">
        <v>11.9</v>
      </c>
      <c r="E51">
        <v>11.64</v>
      </c>
      <c r="F51">
        <v>11.84</v>
      </c>
      <c r="G51">
        <v>12.13</v>
      </c>
      <c r="H51">
        <v>11.99</v>
      </c>
      <c r="I51">
        <v>11.77</v>
      </c>
    </row>
    <row r="52" spans="2:9" ht="15" customHeight="1" x14ac:dyDescent="0.3">
      <c r="B52" t="s">
        <v>51</v>
      </c>
      <c r="C52">
        <v>7</v>
      </c>
    </row>
    <row r="53" spans="2:9" x14ac:dyDescent="0.3">
      <c r="B53" s="73"/>
      <c r="C53">
        <f>AVERAGE(C51:I51)</f>
        <v>11.862857142857143</v>
      </c>
    </row>
    <row r="54" spans="2:9" x14ac:dyDescent="0.3">
      <c r="B54" s="76" t="s">
        <v>125</v>
      </c>
      <c r="C54">
        <f>POWER((C51-$C$53),2)</f>
        <v>8.6224489795919401E-3</v>
      </c>
      <c r="D54">
        <f t="shared" ref="D54:I54" si="0">POWER((D51-$C$53),2)</f>
        <v>1.3795918367347105E-3</v>
      </c>
      <c r="E54">
        <f t="shared" si="0"/>
        <v>4.9665306122448787E-2</v>
      </c>
      <c r="F54">
        <f t="shared" si="0"/>
        <v>5.2244897959184927E-4</v>
      </c>
      <c r="G54">
        <f t="shared" si="0"/>
        <v>7.1365306122449332E-2</v>
      </c>
      <c r="H54">
        <f t="shared" si="0"/>
        <v>1.6165306122449E-2</v>
      </c>
      <c r="I54">
        <f t="shared" si="0"/>
        <v>8.6224489795919401E-3</v>
      </c>
    </row>
    <row r="55" spans="2:9" x14ac:dyDescent="0.3">
      <c r="B55" s="76" t="s">
        <v>124</v>
      </c>
      <c r="C55">
        <f>SUM(C54:I54)/(C52-1)</f>
        <v>2.6057142857142921E-2</v>
      </c>
    </row>
    <row r="57" spans="2:9" x14ac:dyDescent="0.3">
      <c r="C57" s="73" t="s">
        <v>51</v>
      </c>
      <c r="D57">
        <v>25</v>
      </c>
    </row>
    <row r="58" spans="2:9" x14ac:dyDescent="0.3">
      <c r="C58" s="73" t="s">
        <v>70</v>
      </c>
      <c r="D58">
        <v>10</v>
      </c>
    </row>
    <row r="59" spans="2:9" x14ac:dyDescent="0.3">
      <c r="C59" s="73" t="s">
        <v>108</v>
      </c>
      <c r="D59">
        <v>100</v>
      </c>
    </row>
    <row r="60" spans="2:9" x14ac:dyDescent="0.3">
      <c r="C60" s="73" t="s">
        <v>107</v>
      </c>
      <c r="D60">
        <v>95</v>
      </c>
    </row>
    <row r="61" spans="2:9" x14ac:dyDescent="0.3">
      <c r="C61" s="76" t="s">
        <v>126</v>
      </c>
      <c r="D61">
        <f>D58/SQRT(D57)</f>
        <v>2</v>
      </c>
    </row>
    <row r="62" spans="2:9" x14ac:dyDescent="0.3">
      <c r="C62" s="76" t="s">
        <v>100</v>
      </c>
      <c r="D62">
        <f>(D60-D59)/D61</f>
        <v>-2.5</v>
      </c>
      <c r="E62" t="s">
        <v>127</v>
      </c>
    </row>
    <row r="63" spans="2:9" x14ac:dyDescent="0.3">
      <c r="C63" s="76" t="s">
        <v>128</v>
      </c>
      <c r="D63">
        <f>_xlfn.NORM.DIST(D60,D59,D61,TRUE)</f>
        <v>6.2096653257761331E-3</v>
      </c>
    </row>
    <row r="66" spans="2:10" ht="23.4" x14ac:dyDescent="0.3">
      <c r="B66" s="71" t="s">
        <v>129</v>
      </c>
    </row>
    <row r="67" spans="2:10" x14ac:dyDescent="0.3">
      <c r="B67" s="1" t="s">
        <v>130</v>
      </c>
      <c r="C67" s="1"/>
    </row>
    <row r="68" spans="2:10" x14ac:dyDescent="0.3">
      <c r="B68" t="s">
        <v>131</v>
      </c>
      <c r="D68" s="73" t="s">
        <v>108</v>
      </c>
      <c r="E68" s="73" t="s">
        <v>70</v>
      </c>
      <c r="F68" s="73" t="s">
        <v>51</v>
      </c>
    </row>
    <row r="69" spans="2:10" x14ac:dyDescent="0.3">
      <c r="B69" s="8" t="s">
        <v>132</v>
      </c>
      <c r="C69" s="8"/>
      <c r="D69">
        <v>5000</v>
      </c>
      <c r="E69">
        <v>40</v>
      </c>
      <c r="F69">
        <v>16</v>
      </c>
      <c r="H69" s="80" t="s">
        <v>133</v>
      </c>
      <c r="I69" s="81" t="s">
        <v>108</v>
      </c>
      <c r="J69" s="81" t="s">
        <v>70</v>
      </c>
    </row>
    <row r="70" spans="2:10" x14ac:dyDescent="0.3">
      <c r="B70" s="8" t="s">
        <v>132</v>
      </c>
      <c r="C70" s="8"/>
      <c r="D70">
        <v>5050</v>
      </c>
      <c r="E70">
        <v>30</v>
      </c>
      <c r="F70">
        <v>25</v>
      </c>
      <c r="H70" s="81" t="s">
        <v>134</v>
      </c>
      <c r="I70" s="81">
        <f>D70-D69</f>
        <v>50</v>
      </c>
      <c r="J70" s="81">
        <f>SQRT((E69*E69)/F69+(E70*E70)/F70)</f>
        <v>11.661903789690601</v>
      </c>
    </row>
    <row r="71" spans="2:10" x14ac:dyDescent="0.3">
      <c r="C71">
        <v>25</v>
      </c>
    </row>
    <row r="72" spans="2:10" x14ac:dyDescent="0.3">
      <c r="B72" s="76" t="s">
        <v>100</v>
      </c>
      <c r="C72">
        <f>(C71-(I70))/J70</f>
        <v>-2.1437323142813605</v>
      </c>
    </row>
    <row r="73" spans="2:10" x14ac:dyDescent="0.3">
      <c r="B73" s="76" t="s">
        <v>136</v>
      </c>
      <c r="C73">
        <f>_xlfn.NORM.S.DIST(C72,TRUE)</f>
        <v>1.6027170715294498E-2</v>
      </c>
    </row>
    <row r="74" spans="2:10" x14ac:dyDescent="0.3">
      <c r="B74" s="76" t="s">
        <v>135</v>
      </c>
      <c r="C74">
        <f>1-_xlfn.NORM.S.DIST(C72,TRUE)</f>
        <v>0.98397282928470553</v>
      </c>
    </row>
    <row r="76" spans="2:10" ht="23.4" x14ac:dyDescent="0.3">
      <c r="B76" s="71" t="s">
        <v>137</v>
      </c>
    </row>
    <row r="77" spans="2:10" x14ac:dyDescent="0.3">
      <c r="C77" t="s">
        <v>70</v>
      </c>
      <c r="D77">
        <v>10</v>
      </c>
    </row>
    <row r="78" spans="2:10" x14ac:dyDescent="0.3">
      <c r="C78" t="s">
        <v>51</v>
      </c>
      <c r="D78">
        <v>4</v>
      </c>
    </row>
    <row r="79" spans="2:10" x14ac:dyDescent="0.3">
      <c r="C79" t="s">
        <v>126</v>
      </c>
      <c r="D79">
        <f>D77/SQRT(D78)</f>
        <v>5</v>
      </c>
    </row>
    <row r="81" spans="2:8" ht="23.4" x14ac:dyDescent="0.3">
      <c r="B81" s="71" t="s">
        <v>138</v>
      </c>
    </row>
    <row r="82" spans="2:8" x14ac:dyDescent="0.3">
      <c r="B82" t="s">
        <v>107</v>
      </c>
      <c r="C82">
        <v>5</v>
      </c>
      <c r="D82">
        <v>7</v>
      </c>
      <c r="E82">
        <v>9</v>
      </c>
      <c r="F82">
        <v>2</v>
      </c>
      <c r="G82">
        <v>11</v>
      </c>
      <c r="H82">
        <v>3</v>
      </c>
    </row>
    <row r="83" spans="2:8" x14ac:dyDescent="0.3">
      <c r="B83" t="s">
        <v>141</v>
      </c>
      <c r="C83">
        <f>C82*C82</f>
        <v>25</v>
      </c>
      <c r="D83">
        <f t="shared" ref="D83:H83" si="1">D82*D82</f>
        <v>49</v>
      </c>
      <c r="E83">
        <f t="shared" si="1"/>
        <v>81</v>
      </c>
      <c r="F83">
        <f t="shared" si="1"/>
        <v>4</v>
      </c>
      <c r="G83">
        <f t="shared" si="1"/>
        <v>121</v>
      </c>
      <c r="H83">
        <f t="shared" si="1"/>
        <v>9</v>
      </c>
    </row>
    <row r="84" spans="2:8" x14ac:dyDescent="0.3">
      <c r="B84" t="s">
        <v>51</v>
      </c>
      <c r="C84">
        <v>6</v>
      </c>
    </row>
    <row r="85" spans="2:8" x14ac:dyDescent="0.3">
      <c r="B85" s="75" t="s">
        <v>139</v>
      </c>
      <c r="C85">
        <f>SUM(C82:H82)/C84</f>
        <v>6.166666666666667</v>
      </c>
    </row>
    <row r="86" spans="2:8" x14ac:dyDescent="0.3">
      <c r="B86" s="75" t="s">
        <v>140</v>
      </c>
      <c r="C86">
        <f>SUM(C83:H83)/C84</f>
        <v>48.166666666666664</v>
      </c>
    </row>
    <row r="88" spans="2:8" ht="23.4" x14ac:dyDescent="0.3">
      <c r="B88" s="71" t="s">
        <v>142</v>
      </c>
    </row>
    <row r="90" spans="2:8" x14ac:dyDescent="0.3">
      <c r="C90" s="73" t="s">
        <v>143</v>
      </c>
      <c r="D90" s="73"/>
      <c r="E90" s="73"/>
    </row>
    <row r="91" spans="2:8" x14ac:dyDescent="0.3">
      <c r="D91" s="83" t="s">
        <v>151</v>
      </c>
      <c r="E91" s="83"/>
      <c r="F91" s="83"/>
      <c r="G91" s="83"/>
    </row>
    <row r="93" spans="2:8" x14ac:dyDescent="0.3">
      <c r="D93" s="73" t="s">
        <v>51</v>
      </c>
      <c r="E93">
        <v>50</v>
      </c>
      <c r="G93" t="s">
        <v>145</v>
      </c>
      <c r="H93">
        <f>_xlfn.NORM.S.INV(1-E96/2)</f>
        <v>1.6448536269514715</v>
      </c>
    </row>
    <row r="94" spans="2:8" x14ac:dyDescent="0.3">
      <c r="D94" s="73" t="s">
        <v>70</v>
      </c>
      <c r="E94">
        <v>4000</v>
      </c>
      <c r="G94" s="62" t="s">
        <v>146</v>
      </c>
      <c r="H94">
        <f>-H93</f>
        <v>-1.6448536269514715</v>
      </c>
    </row>
    <row r="95" spans="2:8" x14ac:dyDescent="0.3">
      <c r="D95" s="73" t="s">
        <v>108</v>
      </c>
      <c r="E95">
        <v>69500</v>
      </c>
    </row>
    <row r="96" spans="2:8" x14ac:dyDescent="0.3">
      <c r="D96" s="73" t="s">
        <v>144</v>
      </c>
      <c r="E96">
        <v>0.1</v>
      </c>
    </row>
    <row r="97" spans="4:8" x14ac:dyDescent="0.3">
      <c r="D97" s="76" t="s">
        <v>147</v>
      </c>
      <c r="E97">
        <f>_xlfn.NORM.INV(E96/2,E95,E94/SQRT(E93))</f>
        <v>68569.530277058657</v>
      </c>
      <c r="F97" s="82" t="s">
        <v>149</v>
      </c>
      <c r="G97" s="82"/>
      <c r="H97" s="82"/>
    </row>
    <row r="98" spans="4:8" x14ac:dyDescent="0.3">
      <c r="D98" s="76" t="s">
        <v>148</v>
      </c>
      <c r="E98">
        <f>_xlfn.NORM.INV(1-E96/2,E95,E94/SQRT(E93))</f>
        <v>70430.469722941343</v>
      </c>
      <c r="F98" s="82" t="s">
        <v>150</v>
      </c>
      <c r="G98" s="82"/>
      <c r="H98" s="82"/>
    </row>
    <row r="100" spans="4:8" x14ac:dyDescent="0.3">
      <c r="D100" s="84" t="s">
        <v>152</v>
      </c>
      <c r="E100" s="84"/>
      <c r="F100" s="84"/>
      <c r="G100" s="84"/>
    </row>
    <row r="101" spans="4:8" x14ac:dyDescent="0.3">
      <c r="D101" s="73" t="s">
        <v>51</v>
      </c>
      <c r="E101">
        <v>50</v>
      </c>
      <c r="G101" t="s">
        <v>155</v>
      </c>
      <c r="H101">
        <f>_xlfn.NORM.S.INV(1-E96)</f>
        <v>1.2815515655446006</v>
      </c>
    </row>
    <row r="102" spans="4:8" x14ac:dyDescent="0.3">
      <c r="D102" s="73" t="s">
        <v>70</v>
      </c>
      <c r="E102">
        <v>4000</v>
      </c>
      <c r="G102" s="62" t="s">
        <v>156</v>
      </c>
      <c r="H102">
        <f>-H101</f>
        <v>-1.2815515655446006</v>
      </c>
    </row>
    <row r="103" spans="4:8" x14ac:dyDescent="0.3">
      <c r="D103" s="73" t="s">
        <v>108</v>
      </c>
      <c r="E103">
        <v>69500</v>
      </c>
    </row>
    <row r="104" spans="4:8" x14ac:dyDescent="0.3">
      <c r="D104" s="73" t="s">
        <v>144</v>
      </c>
      <c r="E104">
        <v>0.1</v>
      </c>
    </row>
    <row r="105" spans="4:8" x14ac:dyDescent="0.3">
      <c r="D105" s="76" t="s">
        <v>153</v>
      </c>
      <c r="E105">
        <f>_xlfn.NORM.INV(1-E104,E103,E102/SQRT(E101))</f>
        <v>70224.955041949463</v>
      </c>
      <c r="F105" s="82" t="s">
        <v>158</v>
      </c>
      <c r="G105" s="1"/>
      <c r="H105" s="1"/>
    </row>
    <row r="106" spans="4:8" x14ac:dyDescent="0.3">
      <c r="D106" s="76" t="s">
        <v>154</v>
      </c>
      <c r="E106">
        <f>_xlfn.NORM.INV(E104,E103,E102/SQRT(E101))</f>
        <v>68775.044958050537</v>
      </c>
      <c r="F106" s="82" t="s">
        <v>157</v>
      </c>
      <c r="G106" s="1"/>
      <c r="H106" s="1"/>
    </row>
    <row r="108" spans="4:8" x14ac:dyDescent="0.3">
      <c r="D108" s="83" t="s">
        <v>159</v>
      </c>
      <c r="E108" s="83"/>
      <c r="F108" s="83"/>
      <c r="G108" s="83"/>
    </row>
    <row r="109" spans="4:8" x14ac:dyDescent="0.3">
      <c r="D109" s="73" t="s">
        <v>144</v>
      </c>
      <c r="E109">
        <v>0.05</v>
      </c>
      <c r="G109" t="s">
        <v>145</v>
      </c>
      <c r="H109">
        <f>_xlfn.NORM.S.INV(1-E109/2)</f>
        <v>1.9599639845400536</v>
      </c>
    </row>
    <row r="110" spans="4:8" x14ac:dyDescent="0.3">
      <c r="D110" s="73" t="s">
        <v>160</v>
      </c>
      <c r="E110">
        <v>5</v>
      </c>
    </row>
    <row r="111" spans="4:8" x14ac:dyDescent="0.3">
      <c r="D111" s="73" t="s">
        <v>70</v>
      </c>
      <c r="E111">
        <v>20</v>
      </c>
    </row>
    <row r="112" spans="4:8" x14ac:dyDescent="0.3">
      <c r="D112" s="76" t="s">
        <v>51</v>
      </c>
      <c r="E112">
        <f>POWER((H109*E111)/E110,2)</f>
        <v>61.463341131105977</v>
      </c>
      <c r="F112" s="62" t="s">
        <v>161</v>
      </c>
    </row>
    <row r="114" spans="3:8" x14ac:dyDescent="0.3">
      <c r="C114" s="73" t="s">
        <v>162</v>
      </c>
      <c r="D114" s="73"/>
      <c r="E114" s="73"/>
    </row>
    <row r="116" spans="3:8" x14ac:dyDescent="0.3">
      <c r="D116" s="83" t="s">
        <v>167</v>
      </c>
      <c r="E116" s="83"/>
      <c r="F116" s="83"/>
      <c r="G116" s="83"/>
    </row>
    <row r="117" spans="3:8" x14ac:dyDescent="0.3">
      <c r="D117" s="73" t="s">
        <v>51</v>
      </c>
      <c r="E117">
        <v>16</v>
      </c>
      <c r="G117" t="s">
        <v>164</v>
      </c>
      <c r="H117">
        <f>_xlfn.T.INV.2T(E120,E117-1)</f>
        <v>2.1314495455597742</v>
      </c>
    </row>
    <row r="118" spans="3:8" x14ac:dyDescent="0.3">
      <c r="D118" s="73" t="s">
        <v>166</v>
      </c>
      <c r="E118">
        <v>3645.94</v>
      </c>
      <c r="G118" s="62" t="s">
        <v>165</v>
      </c>
      <c r="H118">
        <f>-H117</f>
        <v>-2.1314495455597742</v>
      </c>
    </row>
    <row r="119" spans="3:8" x14ac:dyDescent="0.3">
      <c r="D119" s="73"/>
      <c r="E119">
        <v>60139.7</v>
      </c>
    </row>
    <row r="120" spans="3:8" x14ac:dyDescent="0.3">
      <c r="D120" s="73" t="s">
        <v>144</v>
      </c>
      <c r="E120">
        <v>0.05</v>
      </c>
    </row>
    <row r="121" spans="3:8" x14ac:dyDescent="0.3">
      <c r="D121" s="76" t="s">
        <v>147</v>
      </c>
      <c r="E121">
        <f>E119+H118*E118/SQRT(E117)</f>
        <v>58196.915710965448</v>
      </c>
      <c r="F121" s="62" t="s">
        <v>169</v>
      </c>
    </row>
    <row r="122" spans="3:8" x14ac:dyDescent="0.3">
      <c r="D122" s="76" t="s">
        <v>148</v>
      </c>
      <c r="E122">
        <f>E119+H117*E118/SQRT(E117)</f>
        <v>62082.484289034546</v>
      </c>
      <c r="F122" s="62" t="s">
        <v>170</v>
      </c>
    </row>
    <row r="124" spans="3:8" x14ac:dyDescent="0.3">
      <c r="D124" s="84" t="s">
        <v>168</v>
      </c>
      <c r="E124" s="84"/>
      <c r="F124" s="84"/>
      <c r="G124" s="84"/>
    </row>
    <row r="126" spans="3:8" x14ac:dyDescent="0.3">
      <c r="D126" s="73" t="s">
        <v>51</v>
      </c>
      <c r="E126">
        <v>16</v>
      </c>
      <c r="G126" t="s">
        <v>163</v>
      </c>
      <c r="H126">
        <f>_xlfn.T.INV(1-E129,E126-1)</f>
        <v>1.7530503556925723</v>
      </c>
    </row>
    <row r="127" spans="3:8" x14ac:dyDescent="0.3">
      <c r="D127" s="73" t="s">
        <v>166</v>
      </c>
      <c r="E127">
        <v>3645.94</v>
      </c>
      <c r="G127" s="62" t="s">
        <v>171</v>
      </c>
      <c r="H127">
        <f>-H126</f>
        <v>-1.7530503556925723</v>
      </c>
    </row>
    <row r="128" spans="3:8" x14ac:dyDescent="0.3">
      <c r="D128" s="73"/>
      <c r="E128">
        <v>60139.7</v>
      </c>
    </row>
    <row r="129" spans="3:8" x14ac:dyDescent="0.3">
      <c r="D129" s="73" t="s">
        <v>144</v>
      </c>
      <c r="E129">
        <v>0.05</v>
      </c>
    </row>
    <row r="130" spans="3:8" x14ac:dyDescent="0.3">
      <c r="D130" s="76" t="s">
        <v>153</v>
      </c>
      <c r="E130">
        <f>E128+H126*E127/SQRT(E126)</f>
        <v>61737.57910345844</v>
      </c>
      <c r="F130" s="82" t="s">
        <v>172</v>
      </c>
      <c r="G130" s="1"/>
      <c r="H130" s="1"/>
    </row>
    <row r="131" spans="3:8" x14ac:dyDescent="0.3">
      <c r="D131" s="76" t="s">
        <v>154</v>
      </c>
      <c r="E131">
        <f>E128+H127*E127/SQRT(E126)</f>
        <v>58541.820896541554</v>
      </c>
      <c r="F131" s="82" t="s">
        <v>173</v>
      </c>
      <c r="G131" s="1"/>
      <c r="H131" s="1"/>
    </row>
    <row r="133" spans="3:8" x14ac:dyDescent="0.3">
      <c r="C133" s="73" t="s">
        <v>174</v>
      </c>
    </row>
    <row r="134" spans="3:8" x14ac:dyDescent="0.3">
      <c r="D134" s="84" t="s">
        <v>183</v>
      </c>
      <c r="E134" s="84"/>
      <c r="F134" s="84"/>
      <c r="G134" s="84"/>
    </row>
    <row r="135" spans="3:8" x14ac:dyDescent="0.3">
      <c r="D135" s="73" t="s">
        <v>51</v>
      </c>
      <c r="E135">
        <v>18</v>
      </c>
      <c r="G135" t="s">
        <v>178</v>
      </c>
      <c r="H135">
        <f>_xlfn.CHISQ.INV.RT(E137/2,E135-1)</f>
        <v>35.7184656590046</v>
      </c>
    </row>
    <row r="136" spans="3:8" x14ac:dyDescent="0.3">
      <c r="D136" s="73" t="s">
        <v>166</v>
      </c>
      <c r="E136">
        <v>4.7</v>
      </c>
      <c r="G136" t="s">
        <v>179</v>
      </c>
      <c r="H136">
        <f>_xlfn.CHISQ.INV.RT(1-E137/2,E135-1)</f>
        <v>5.6972171014978219</v>
      </c>
    </row>
    <row r="137" spans="3:8" x14ac:dyDescent="0.3">
      <c r="D137" s="73" t="s">
        <v>144</v>
      </c>
      <c r="E137">
        <v>0.01</v>
      </c>
    </row>
    <row r="138" spans="3:8" x14ac:dyDescent="0.3">
      <c r="D138" s="76" t="s">
        <v>147</v>
      </c>
      <c r="E138">
        <f>(E135-1)*E136*E136/H135</f>
        <v>10.513609503417435</v>
      </c>
      <c r="F138" s="62" t="s">
        <v>180</v>
      </c>
    </row>
    <row r="139" spans="3:8" x14ac:dyDescent="0.3">
      <c r="D139" s="76" t="s">
        <v>148</v>
      </c>
      <c r="E139">
        <f>(E135-1)*E136*E136/H136</f>
        <v>65.914637499292709</v>
      </c>
      <c r="F139" s="62" t="s">
        <v>181</v>
      </c>
    </row>
    <row r="141" spans="3:8" x14ac:dyDescent="0.3">
      <c r="D141" s="84" t="s">
        <v>175</v>
      </c>
    </row>
    <row r="142" spans="3:8" x14ac:dyDescent="0.3">
      <c r="D142" s="73" t="s">
        <v>51</v>
      </c>
      <c r="E142">
        <v>18</v>
      </c>
      <c r="G142" t="s">
        <v>176</v>
      </c>
      <c r="H142">
        <f>_xlfn.CHISQ.INV.RT(E144,E142-1)</f>
        <v>33.408663605004612</v>
      </c>
    </row>
    <row r="143" spans="3:8" x14ac:dyDescent="0.3">
      <c r="D143" s="73" t="s">
        <v>166</v>
      </c>
      <c r="E143">
        <v>4.7</v>
      </c>
      <c r="G143" t="s">
        <v>177</v>
      </c>
      <c r="H143">
        <f>_xlfn.CHISQ.INV.RT(1-E144,E142-1)</f>
        <v>6.4077597777389341</v>
      </c>
    </row>
    <row r="144" spans="3:8" x14ac:dyDescent="0.3">
      <c r="D144" s="73" t="s">
        <v>144</v>
      </c>
      <c r="E144">
        <v>0.01</v>
      </c>
    </row>
    <row r="145" spans="3:8" x14ac:dyDescent="0.3">
      <c r="D145" s="76" t="s">
        <v>153</v>
      </c>
      <c r="E145">
        <f>(E142-1)*E143*E143/SQRT(H143)</f>
        <v>148.35135802495483</v>
      </c>
    </row>
    <row r="146" spans="3:8" x14ac:dyDescent="0.3">
      <c r="D146" s="76" t="s">
        <v>154</v>
      </c>
      <c r="E146">
        <f>(E142-1)*E143*E143/SQRT(H142)</f>
        <v>64.970331915463476</v>
      </c>
    </row>
    <row r="148" spans="3:8" x14ac:dyDescent="0.3">
      <c r="C148" s="73" t="s">
        <v>182</v>
      </c>
    </row>
    <row r="150" spans="3:8" x14ac:dyDescent="0.3">
      <c r="D150" s="84" t="s">
        <v>191</v>
      </c>
      <c r="E150" s="84"/>
      <c r="F150" s="84"/>
      <c r="G150" s="84"/>
      <c r="H150" s="84"/>
    </row>
    <row r="152" spans="3:8" x14ac:dyDescent="0.3">
      <c r="D152" t="s">
        <v>184</v>
      </c>
      <c r="E152">
        <f>354/1219</f>
        <v>0.29040196882690728</v>
      </c>
      <c r="G152" t="s">
        <v>145</v>
      </c>
      <c r="H152">
        <f>_xlfn.NORM.S.INV(1-E154/2)</f>
        <v>1.9599639845400536</v>
      </c>
    </row>
    <row r="153" spans="3:8" x14ac:dyDescent="0.3">
      <c r="D153" t="s">
        <v>51</v>
      </c>
      <c r="E153">
        <v>1219</v>
      </c>
      <c r="G153" s="62" t="s">
        <v>146</v>
      </c>
      <c r="H153">
        <f>-H152</f>
        <v>-1.9599639845400536</v>
      </c>
    </row>
    <row r="154" spans="3:8" x14ac:dyDescent="0.3">
      <c r="D154" t="s">
        <v>144</v>
      </c>
      <c r="E154">
        <v>0.05</v>
      </c>
    </row>
    <row r="155" spans="3:8" x14ac:dyDescent="0.3">
      <c r="D155" s="75" t="s">
        <v>70</v>
      </c>
      <c r="E155">
        <f>SQRT(E152*(1-E152)/E153)</f>
        <v>1.3001819312601665E-2</v>
      </c>
    </row>
    <row r="156" spans="3:8" x14ac:dyDescent="0.3">
      <c r="D156" s="76" t="s">
        <v>147</v>
      </c>
      <c r="E156">
        <f>E152+H153*E155</f>
        <v>0.26491887124071067</v>
      </c>
      <c r="F156" s="62" t="s">
        <v>185</v>
      </c>
    </row>
    <row r="157" spans="3:8" x14ac:dyDescent="0.3">
      <c r="D157" s="76" t="s">
        <v>148</v>
      </c>
      <c r="E157">
        <f>E152+H152*E155</f>
        <v>0.31588506641310388</v>
      </c>
      <c r="F157" s="62" t="s">
        <v>186</v>
      </c>
    </row>
    <row r="160" spans="3:8" x14ac:dyDescent="0.3">
      <c r="D160" s="84" t="s">
        <v>192</v>
      </c>
      <c r="E160" s="84"/>
      <c r="F160" s="84"/>
      <c r="G160" s="84"/>
      <c r="H160" s="84"/>
    </row>
    <row r="162" spans="2:8" x14ac:dyDescent="0.3">
      <c r="D162" t="s">
        <v>184</v>
      </c>
      <c r="E162">
        <f>354/1219</f>
        <v>0.29040196882690728</v>
      </c>
      <c r="G162" t="s">
        <v>155</v>
      </c>
      <c r="H162">
        <f>_xlfn.NORM.S.INV(1-E164)</f>
        <v>1.6448536269514715</v>
      </c>
    </row>
    <row r="163" spans="2:8" x14ac:dyDescent="0.3">
      <c r="D163" t="s">
        <v>51</v>
      </c>
      <c r="E163">
        <v>1219</v>
      </c>
      <c r="G163" s="62" t="s">
        <v>156</v>
      </c>
      <c r="H163">
        <f>-H162</f>
        <v>-1.6448536269514715</v>
      </c>
    </row>
    <row r="164" spans="2:8" x14ac:dyDescent="0.3">
      <c r="D164" t="s">
        <v>144</v>
      </c>
      <c r="E164">
        <v>0.05</v>
      </c>
    </row>
    <row r="165" spans="2:8" x14ac:dyDescent="0.3">
      <c r="D165" s="75" t="s">
        <v>70</v>
      </c>
      <c r="E165">
        <f>SQRT(E162*(1-E162)/E163)</f>
        <v>1.3001819312601665E-2</v>
      </c>
    </row>
    <row r="166" spans="2:8" x14ac:dyDescent="0.3">
      <c r="D166" s="76" t="s">
        <v>153</v>
      </c>
      <c r="E166">
        <f>E162+H162*E165</f>
        <v>0.3117880584802078</v>
      </c>
      <c r="G166" s="62" t="s">
        <v>193</v>
      </c>
    </row>
    <row r="167" spans="2:8" x14ac:dyDescent="0.3">
      <c r="D167" s="76" t="s">
        <v>154</v>
      </c>
      <c r="E167">
        <f>E162+H163*E165</f>
        <v>0.26901587917360675</v>
      </c>
      <c r="G167" s="62" t="s">
        <v>194</v>
      </c>
    </row>
    <row r="168" spans="2:8" x14ac:dyDescent="0.3">
      <c r="D168" s="83" t="s">
        <v>187</v>
      </c>
      <c r="E168" s="83"/>
      <c r="F168" s="83"/>
      <c r="G168" s="83"/>
      <c r="H168" s="83"/>
    </row>
    <row r="169" spans="2:8" x14ac:dyDescent="0.3">
      <c r="D169" s="73" t="s">
        <v>117</v>
      </c>
      <c r="E169">
        <v>0.35</v>
      </c>
      <c r="F169" t="s">
        <v>145</v>
      </c>
      <c r="G169">
        <f>_xlfn.NORM.S.INV(1-E170/2)</f>
        <v>1.6448536269514715</v>
      </c>
    </row>
    <row r="170" spans="2:8" x14ac:dyDescent="0.3">
      <c r="D170" s="73" t="s">
        <v>144</v>
      </c>
      <c r="E170">
        <v>0.1</v>
      </c>
    </row>
    <row r="171" spans="2:8" x14ac:dyDescent="0.3">
      <c r="D171" s="73" t="s">
        <v>160</v>
      </c>
      <c r="E171">
        <v>0.05</v>
      </c>
    </row>
    <row r="172" spans="2:8" x14ac:dyDescent="0.3">
      <c r="D172" s="76" t="s">
        <v>51</v>
      </c>
      <c r="E172">
        <f>POWER((G169/E171),2)*E169*(1-E169)</f>
        <v>246.20445432268232</v>
      </c>
      <c r="G172" s="62" t="s">
        <v>190</v>
      </c>
    </row>
    <row r="173" spans="2:8" x14ac:dyDescent="0.3">
      <c r="D173" s="8" t="s">
        <v>188</v>
      </c>
      <c r="E173" s="8"/>
      <c r="F173">
        <f>POWER((G169/(2*E171)),2)</f>
        <v>270.55434540954104</v>
      </c>
      <c r="G173" s="62" t="s">
        <v>189</v>
      </c>
    </row>
    <row r="176" spans="2:8" ht="23.4" x14ac:dyDescent="0.3">
      <c r="B176" s="71" t="s">
        <v>195</v>
      </c>
    </row>
    <row r="178" spans="3:7" x14ac:dyDescent="0.3">
      <c r="C178" s="8" t="s">
        <v>196</v>
      </c>
      <c r="D178" s="8"/>
    </row>
    <row r="179" spans="3:7" x14ac:dyDescent="0.3">
      <c r="F179" t="s">
        <v>202</v>
      </c>
      <c r="G179" t="s">
        <v>204</v>
      </c>
    </row>
    <row r="180" spans="3:7" x14ac:dyDescent="0.3">
      <c r="C180" s="73" t="s">
        <v>51</v>
      </c>
      <c r="D180">
        <v>10</v>
      </c>
      <c r="F180" t="s">
        <v>145</v>
      </c>
      <c r="G180">
        <f>_xlfn.NORM.S.INV(1-D183/2)</f>
        <v>1.9599639845400536</v>
      </c>
    </row>
    <row r="181" spans="3:7" x14ac:dyDescent="0.3">
      <c r="C181" s="73" t="s">
        <v>70</v>
      </c>
      <c r="D181">
        <v>1.5</v>
      </c>
    </row>
    <row r="182" spans="3:7" x14ac:dyDescent="0.3">
      <c r="C182" s="73" t="s">
        <v>108</v>
      </c>
      <c r="D182">
        <v>154.19999999999999</v>
      </c>
    </row>
    <row r="183" spans="3:7" x14ac:dyDescent="0.3">
      <c r="C183" s="73" t="s">
        <v>144</v>
      </c>
      <c r="D183">
        <v>0.05</v>
      </c>
    </row>
    <row r="184" spans="3:7" x14ac:dyDescent="0.3">
      <c r="C184" s="73" t="s">
        <v>107</v>
      </c>
      <c r="D184">
        <v>155</v>
      </c>
    </row>
    <row r="185" spans="3:7" x14ac:dyDescent="0.3">
      <c r="C185" s="76" t="s">
        <v>203</v>
      </c>
      <c r="D185">
        <f>(D184-D182)/(D181/SQRT(D180))</f>
        <v>1.6865480854231596</v>
      </c>
    </row>
    <row r="186" spans="3:7" x14ac:dyDescent="0.3">
      <c r="C186" s="73" t="s">
        <v>198</v>
      </c>
      <c r="D186">
        <f>_xlfn.NORM.S.DIST(D185,TRUE)</f>
        <v>0.95415485922528775</v>
      </c>
    </row>
    <row r="187" spans="3:7" x14ac:dyDescent="0.3">
      <c r="C187" s="73" t="s">
        <v>199</v>
      </c>
      <c r="D187">
        <f>2*(1-D186)</f>
        <v>9.169028154942449E-2</v>
      </c>
    </row>
    <row r="188" spans="3:7" x14ac:dyDescent="0.3">
      <c r="C188" s="73"/>
    </row>
    <row r="189" spans="3:7" x14ac:dyDescent="0.3">
      <c r="C189" s="8" t="s">
        <v>197</v>
      </c>
      <c r="D189" s="8"/>
    </row>
    <row r="190" spans="3:7" x14ac:dyDescent="0.3">
      <c r="F190" t="s">
        <v>202</v>
      </c>
      <c r="G190" t="s">
        <v>205</v>
      </c>
    </row>
    <row r="191" spans="3:7" x14ac:dyDescent="0.3">
      <c r="C191" s="73" t="s">
        <v>51</v>
      </c>
      <c r="D191">
        <v>10</v>
      </c>
      <c r="F191" t="s">
        <v>155</v>
      </c>
      <c r="G191">
        <f>_xlfn.NORM.S.INV(1-D194)</f>
        <v>1.6448536269514715</v>
      </c>
    </row>
    <row r="192" spans="3:7" x14ac:dyDescent="0.3">
      <c r="C192" s="73" t="s">
        <v>70</v>
      </c>
      <c r="D192">
        <v>1.5</v>
      </c>
    </row>
    <row r="193" spans="2:7" x14ac:dyDescent="0.3">
      <c r="C193" s="73" t="s">
        <v>108</v>
      </c>
      <c r="D193">
        <v>154.19999999999999</v>
      </c>
    </row>
    <row r="194" spans="2:7" x14ac:dyDescent="0.3">
      <c r="C194" s="73" t="s">
        <v>144</v>
      </c>
      <c r="D194">
        <v>0.05</v>
      </c>
    </row>
    <row r="195" spans="2:7" x14ac:dyDescent="0.3">
      <c r="C195" s="73" t="s">
        <v>200</v>
      </c>
      <c r="D195">
        <v>155</v>
      </c>
    </row>
    <row r="196" spans="2:7" x14ac:dyDescent="0.3">
      <c r="C196" s="76" t="s">
        <v>100</v>
      </c>
      <c r="D196">
        <f>(D195-D193)/(D192/SQRT(D191))</f>
        <v>1.6865480854231596</v>
      </c>
    </row>
    <row r="197" spans="2:7" x14ac:dyDescent="0.3">
      <c r="C197" s="76" t="s">
        <v>198</v>
      </c>
      <c r="D197">
        <f>_xlfn.NORM.S.DIST(D196,TRUE)</f>
        <v>0.95415485922528775</v>
      </c>
    </row>
    <row r="198" spans="2:7" x14ac:dyDescent="0.3">
      <c r="C198" s="76" t="s">
        <v>199</v>
      </c>
      <c r="D198">
        <f>1-D197</f>
        <v>4.5845140774712245E-2</v>
      </c>
    </row>
    <row r="200" spans="2:7" x14ac:dyDescent="0.3">
      <c r="C200" s="73" t="s">
        <v>201</v>
      </c>
      <c r="D200">
        <v>153</v>
      </c>
      <c r="F200" t="s">
        <v>202</v>
      </c>
      <c r="G200" t="s">
        <v>206</v>
      </c>
    </row>
    <row r="201" spans="2:7" x14ac:dyDescent="0.3">
      <c r="C201" s="76" t="s">
        <v>100</v>
      </c>
      <c r="D201">
        <f>(D200-D193)/(D192/SQRT(D191))</f>
        <v>-2.5298221281346795</v>
      </c>
      <c r="F201" s="62" t="s">
        <v>156</v>
      </c>
      <c r="G201">
        <f>-G191</f>
        <v>-1.6448536269514715</v>
      </c>
    </row>
    <row r="202" spans="2:7" x14ac:dyDescent="0.3">
      <c r="C202" s="76" t="s">
        <v>198</v>
      </c>
      <c r="D202">
        <f>_xlfn.NORM.S.DIST(D201,TRUE)</f>
        <v>5.7060181930012107E-3</v>
      </c>
    </row>
    <row r="203" spans="2:7" x14ac:dyDescent="0.3">
      <c r="C203" s="76" t="s">
        <v>199</v>
      </c>
      <c r="D203">
        <f>D202</f>
        <v>5.7060181930012107E-3</v>
      </c>
    </row>
    <row r="206" spans="2:7" ht="23.4" x14ac:dyDescent="0.3">
      <c r="B206" s="71" t="s">
        <v>207</v>
      </c>
    </row>
    <row r="208" spans="2:7" x14ac:dyDescent="0.3">
      <c r="C208" s="8" t="s">
        <v>196</v>
      </c>
      <c r="D208" s="8"/>
    </row>
    <row r="209" spans="3:7" x14ac:dyDescent="0.3">
      <c r="F209" t="s">
        <v>202</v>
      </c>
      <c r="G209" t="s">
        <v>210</v>
      </c>
    </row>
    <row r="210" spans="3:7" x14ac:dyDescent="0.3">
      <c r="C210" s="73" t="s">
        <v>51</v>
      </c>
      <c r="D210">
        <v>10</v>
      </c>
      <c r="F210" t="s">
        <v>213</v>
      </c>
      <c r="G210">
        <f>_xlfn.T.INV.2T(D213,D210-1)</f>
        <v>2.2621571627982053</v>
      </c>
    </row>
    <row r="211" spans="3:7" x14ac:dyDescent="0.3">
      <c r="C211" s="73" t="s">
        <v>70</v>
      </c>
      <c r="D211">
        <v>1.5</v>
      </c>
    </row>
    <row r="212" spans="3:7" x14ac:dyDescent="0.3">
      <c r="C212" s="73" t="s">
        <v>108</v>
      </c>
      <c r="D212">
        <v>154.19999999999999</v>
      </c>
    </row>
    <row r="213" spans="3:7" x14ac:dyDescent="0.3">
      <c r="C213" s="73" t="s">
        <v>144</v>
      </c>
      <c r="D213">
        <v>0.05</v>
      </c>
    </row>
    <row r="214" spans="3:7" x14ac:dyDescent="0.3">
      <c r="C214" s="73" t="s">
        <v>107</v>
      </c>
      <c r="D214">
        <v>155</v>
      </c>
    </row>
    <row r="215" spans="3:7" x14ac:dyDescent="0.3">
      <c r="C215" s="76" t="s">
        <v>208</v>
      </c>
      <c r="D215">
        <f>(D214-D212)/(D211/SQRT(D210))</f>
        <v>1.6865480854231596</v>
      </c>
    </row>
    <row r="216" spans="3:7" x14ac:dyDescent="0.3">
      <c r="C216" s="73"/>
    </row>
    <row r="217" spans="3:7" x14ac:dyDescent="0.3">
      <c r="C217" s="73"/>
    </row>
    <row r="218" spans="3:7" x14ac:dyDescent="0.3">
      <c r="C218" s="73"/>
    </row>
    <row r="219" spans="3:7" x14ac:dyDescent="0.3">
      <c r="C219" s="8" t="s">
        <v>197</v>
      </c>
      <c r="D219" s="8"/>
    </row>
    <row r="220" spans="3:7" x14ac:dyDescent="0.3">
      <c r="F220" t="s">
        <v>202</v>
      </c>
      <c r="G220" t="s">
        <v>211</v>
      </c>
    </row>
    <row r="221" spans="3:7" x14ac:dyDescent="0.3">
      <c r="C221" s="73" t="s">
        <v>51</v>
      </c>
      <c r="D221">
        <v>10</v>
      </c>
      <c r="F221" t="s">
        <v>214</v>
      </c>
      <c r="G221">
        <f>_xlfn.T.INV(1-D224,D221-1)</f>
        <v>1.8331129326562368</v>
      </c>
    </row>
    <row r="222" spans="3:7" x14ac:dyDescent="0.3">
      <c r="C222" s="73" t="s">
        <v>70</v>
      </c>
      <c r="D222">
        <v>1.5</v>
      </c>
    </row>
    <row r="223" spans="3:7" x14ac:dyDescent="0.3">
      <c r="C223" s="73" t="s">
        <v>108</v>
      </c>
      <c r="D223">
        <v>154.19999999999999</v>
      </c>
    </row>
    <row r="224" spans="3:7" x14ac:dyDescent="0.3">
      <c r="C224" s="73" t="s">
        <v>144</v>
      </c>
      <c r="D224">
        <v>0.05</v>
      </c>
    </row>
    <row r="225" spans="3:7" x14ac:dyDescent="0.3">
      <c r="C225" s="73" t="s">
        <v>200</v>
      </c>
      <c r="D225">
        <v>155</v>
      </c>
    </row>
    <row r="226" spans="3:7" x14ac:dyDescent="0.3">
      <c r="C226" s="76" t="s">
        <v>209</v>
      </c>
      <c r="D226">
        <f>(D225-D223)/(D222/SQRT(D221))</f>
        <v>1.6865480854231596</v>
      </c>
    </row>
    <row r="227" spans="3:7" x14ac:dyDescent="0.3">
      <c r="C227" s="76"/>
    </row>
    <row r="228" spans="3:7" x14ac:dyDescent="0.3">
      <c r="C228" s="76"/>
    </row>
    <row r="230" spans="3:7" x14ac:dyDescent="0.3">
      <c r="C230" s="73" t="s">
        <v>201</v>
      </c>
      <c r="D230">
        <v>153</v>
      </c>
      <c r="F230" t="s">
        <v>202</v>
      </c>
      <c r="G230" t="s">
        <v>212</v>
      </c>
    </row>
    <row r="231" spans="3:7" x14ac:dyDescent="0.3">
      <c r="C231" s="76" t="s">
        <v>209</v>
      </c>
      <c r="D231">
        <f>(D230-D223)/(D222/SQRT(D221))</f>
        <v>-2.5298221281346795</v>
      </c>
      <c r="F231" s="62" t="s">
        <v>215</v>
      </c>
      <c r="G231">
        <f>-G221</f>
        <v>-1.8331129326562368</v>
      </c>
    </row>
    <row r="232" spans="3:7" x14ac:dyDescent="0.3">
      <c r="C232" s="76"/>
    </row>
    <row r="233" spans="3:7" x14ac:dyDescent="0.3">
      <c r="C233" s="78" t="s">
        <v>216</v>
      </c>
      <c r="D233" s="78"/>
    </row>
    <row r="234" spans="3:7" x14ac:dyDescent="0.3">
      <c r="C234" s="78"/>
      <c r="D234" s="78"/>
    </row>
    <row r="235" spans="3:7" x14ac:dyDescent="0.3">
      <c r="C235" s="8" t="s">
        <v>196</v>
      </c>
      <c r="D235" s="8"/>
    </row>
    <row r="236" spans="3:7" x14ac:dyDescent="0.3">
      <c r="C236" t="s">
        <v>217</v>
      </c>
      <c r="D236">
        <f>354/1219</f>
        <v>0.29040196882690728</v>
      </c>
      <c r="F236" t="s">
        <v>202</v>
      </c>
      <c r="G236" t="s">
        <v>204</v>
      </c>
    </row>
    <row r="237" spans="3:7" x14ac:dyDescent="0.3">
      <c r="C237" t="s">
        <v>51</v>
      </c>
      <c r="D237">
        <v>1219</v>
      </c>
      <c r="F237" t="s">
        <v>145</v>
      </c>
      <c r="G237">
        <f>_xlfn.NORM.S.INV(1-D238/2)</f>
        <v>1.9599639845400536</v>
      </c>
    </row>
    <row r="238" spans="3:7" x14ac:dyDescent="0.3">
      <c r="C238" t="s">
        <v>144</v>
      </c>
      <c r="D238">
        <v>0.05</v>
      </c>
    </row>
    <row r="239" spans="3:7" x14ac:dyDescent="0.3">
      <c r="C239" s="75" t="s">
        <v>70</v>
      </c>
      <c r="D239">
        <f>SQRT(D236*(1-D236)/D237)</f>
        <v>1.3001819312601665E-2</v>
      </c>
    </row>
    <row r="240" spans="3:7" x14ac:dyDescent="0.3">
      <c r="C240" t="s">
        <v>89</v>
      </c>
      <c r="D240">
        <v>0.31</v>
      </c>
    </row>
    <row r="241" spans="3:7" x14ac:dyDescent="0.3">
      <c r="C241" t="s">
        <v>203</v>
      </c>
      <c r="D241">
        <f>(D240-D236)/D239</f>
        <v>1.5073299129836282</v>
      </c>
    </row>
    <row r="243" spans="3:7" x14ac:dyDescent="0.3">
      <c r="C243" s="8" t="s">
        <v>197</v>
      </c>
      <c r="D243" s="8"/>
    </row>
    <row r="245" spans="3:7" x14ac:dyDescent="0.3">
      <c r="C245" t="s">
        <v>217</v>
      </c>
      <c r="D245">
        <f>354/1219</f>
        <v>0.29040196882690728</v>
      </c>
      <c r="F245" t="s">
        <v>202</v>
      </c>
      <c r="G245" t="s">
        <v>219</v>
      </c>
    </row>
    <row r="246" spans="3:7" x14ac:dyDescent="0.3">
      <c r="C246" t="s">
        <v>51</v>
      </c>
      <c r="D246">
        <v>1219</v>
      </c>
      <c r="F246" t="s">
        <v>155</v>
      </c>
      <c r="G246">
        <f>_xlfn.NORM.S.INV(1-D247)</f>
        <v>1.6448536269514715</v>
      </c>
    </row>
    <row r="247" spans="3:7" x14ac:dyDescent="0.3">
      <c r="C247" t="s">
        <v>144</v>
      </c>
      <c r="D247">
        <v>0.05</v>
      </c>
    </row>
    <row r="248" spans="3:7" x14ac:dyDescent="0.3">
      <c r="C248" s="75" t="s">
        <v>70</v>
      </c>
      <c r="D248">
        <f>SQRT(D245*(1-D245)/D246)</f>
        <v>1.3001819312601665E-2</v>
      </c>
    </row>
    <row r="249" spans="3:7" x14ac:dyDescent="0.3">
      <c r="C249" t="s">
        <v>218</v>
      </c>
      <c r="D249">
        <v>0.31</v>
      </c>
    </row>
    <row r="250" spans="3:7" x14ac:dyDescent="0.3">
      <c r="C250" t="s">
        <v>203</v>
      </c>
      <c r="D250">
        <f>(D249-D245)/D248</f>
        <v>1.5073299129836282</v>
      </c>
    </row>
    <row r="253" spans="3:7" x14ac:dyDescent="0.3">
      <c r="C253" t="s">
        <v>220</v>
      </c>
      <c r="D253">
        <v>0.27100000000000002</v>
      </c>
      <c r="F253" t="s">
        <v>202</v>
      </c>
      <c r="G253" t="s">
        <v>206</v>
      </c>
    </row>
    <row r="254" spans="3:7" x14ac:dyDescent="0.3">
      <c r="C254" t="s">
        <v>203</v>
      </c>
      <c r="D254">
        <f>(D253-D245)/D248</f>
        <v>-1.4922503043941258</v>
      </c>
      <c r="F254" s="62" t="s">
        <v>156</v>
      </c>
      <c r="G254">
        <f>-G246</f>
        <v>-1.6448536269514715</v>
      </c>
    </row>
    <row r="257" spans="2:7" ht="23.4" x14ac:dyDescent="0.3">
      <c r="B257" s="71" t="s">
        <v>221</v>
      </c>
    </row>
    <row r="258" spans="2:7" ht="23.4" x14ac:dyDescent="0.3">
      <c r="B258" s="71"/>
    </row>
    <row r="259" spans="2:7" x14ac:dyDescent="0.3">
      <c r="C259" s="8" t="s">
        <v>196</v>
      </c>
      <c r="D259" s="8"/>
    </row>
    <row r="260" spans="2:7" x14ac:dyDescent="0.3">
      <c r="C260" s="73" t="s">
        <v>51</v>
      </c>
      <c r="D260">
        <v>18</v>
      </c>
      <c r="F260" t="s">
        <v>178</v>
      </c>
      <c r="G260">
        <f>_xlfn.CHISQ.INV.RT(D262/2,D260-1)</f>
        <v>35.7184656590046</v>
      </c>
    </row>
    <row r="261" spans="2:7" x14ac:dyDescent="0.3">
      <c r="C261" s="73" t="s">
        <v>166</v>
      </c>
      <c r="D261">
        <v>4.7</v>
      </c>
      <c r="F261" s="62" t="s">
        <v>225</v>
      </c>
      <c r="G261">
        <f>-G260</f>
        <v>-35.7184656590046</v>
      </c>
    </row>
    <row r="262" spans="2:7" x14ac:dyDescent="0.3">
      <c r="C262" s="73" t="s">
        <v>144</v>
      </c>
      <c r="D262">
        <v>0.01</v>
      </c>
    </row>
    <row r="263" spans="2:7" x14ac:dyDescent="0.3">
      <c r="C263" s="85" t="s">
        <v>228</v>
      </c>
      <c r="D263">
        <v>2.1</v>
      </c>
      <c r="E263" s="62"/>
      <c r="F263" t="s">
        <v>202</v>
      </c>
      <c r="G263" t="s">
        <v>222</v>
      </c>
    </row>
    <row r="264" spans="2:7" x14ac:dyDescent="0.3">
      <c r="C264" s="76" t="s">
        <v>141</v>
      </c>
      <c r="D264">
        <f>(D260-1)*D261*D261/(D263*D263)</f>
        <v>85.154195011337876</v>
      </c>
      <c r="E264" s="62"/>
      <c r="F264" t="s">
        <v>223</v>
      </c>
      <c r="G264" t="s">
        <v>224</v>
      </c>
    </row>
    <row r="267" spans="2:7" x14ac:dyDescent="0.3">
      <c r="C267" s="8" t="s">
        <v>197</v>
      </c>
      <c r="D267" s="8"/>
    </row>
    <row r="269" spans="2:7" x14ac:dyDescent="0.3">
      <c r="C269" s="73" t="s">
        <v>51</v>
      </c>
      <c r="D269">
        <v>18</v>
      </c>
      <c r="F269" t="s">
        <v>226</v>
      </c>
      <c r="G269">
        <f>_xlfn.CHISQ.INV.RT(D271,D269-1)</f>
        <v>33.408663605004612</v>
      </c>
    </row>
    <row r="270" spans="2:7" x14ac:dyDescent="0.3">
      <c r="C270" s="73" t="s">
        <v>166</v>
      </c>
      <c r="D270">
        <v>4.7</v>
      </c>
      <c r="F270" s="62" t="s">
        <v>227</v>
      </c>
      <c r="G270">
        <f>-G269</f>
        <v>-33.408663605004612</v>
      </c>
    </row>
    <row r="271" spans="2:7" x14ac:dyDescent="0.3">
      <c r="C271" s="73" t="s">
        <v>144</v>
      </c>
      <c r="D271">
        <v>0.01</v>
      </c>
      <c r="F271" t="s">
        <v>202</v>
      </c>
    </row>
    <row r="272" spans="2:7" x14ac:dyDescent="0.3">
      <c r="C272" s="85" t="s">
        <v>228</v>
      </c>
      <c r="D272">
        <v>2.1</v>
      </c>
      <c r="F272" t="s">
        <v>229</v>
      </c>
      <c r="G272" t="s">
        <v>230</v>
      </c>
    </row>
    <row r="273" spans="2:7" x14ac:dyDescent="0.3">
      <c r="C273" s="76" t="s">
        <v>141</v>
      </c>
      <c r="D273">
        <f>(D269-1)*D270*D270/(D272*D272)</f>
        <v>85.154195011337876</v>
      </c>
      <c r="F273" t="s">
        <v>231</v>
      </c>
      <c r="G273" t="s">
        <v>232</v>
      </c>
    </row>
    <row r="277" spans="2:7" ht="23.4" x14ac:dyDescent="0.3">
      <c r="C277" s="71" t="s">
        <v>233</v>
      </c>
    </row>
    <row r="278" spans="2:7" x14ac:dyDescent="0.3">
      <c r="B278" t="s">
        <v>61</v>
      </c>
      <c r="C278">
        <v>2</v>
      </c>
      <c r="D278">
        <v>4</v>
      </c>
      <c r="E278">
        <v>5</v>
      </c>
      <c r="F278">
        <v>6</v>
      </c>
    </row>
    <row r="279" spans="2:7" x14ac:dyDescent="0.3">
      <c r="B279" t="s">
        <v>234</v>
      </c>
      <c r="C279">
        <v>7</v>
      </c>
      <c r="D279">
        <v>11</v>
      </c>
      <c r="E279">
        <v>13</v>
      </c>
      <c r="F279">
        <v>18</v>
      </c>
    </row>
    <row r="280" spans="2:7" x14ac:dyDescent="0.3">
      <c r="B280" t="s">
        <v>238</v>
      </c>
      <c r="C280">
        <f>AVERAGE(C278:F278)</f>
        <v>4.25</v>
      </c>
    </row>
    <row r="281" spans="2:7" x14ac:dyDescent="0.3">
      <c r="B281" t="s">
        <v>239</v>
      </c>
      <c r="C281">
        <f>AVERAGE(C279:F279)</f>
        <v>12.25</v>
      </c>
    </row>
    <row r="282" spans="2:7" x14ac:dyDescent="0.3">
      <c r="B282" t="s">
        <v>237</v>
      </c>
      <c r="C282">
        <f>C278-$C$280</f>
        <v>-2.25</v>
      </c>
      <c r="D282">
        <f t="shared" ref="D282:F282" si="2">D278-$C$280</f>
        <v>-0.25</v>
      </c>
      <c r="E282">
        <f t="shared" si="2"/>
        <v>0.75</v>
      </c>
      <c r="F282">
        <f t="shared" si="2"/>
        <v>1.75</v>
      </c>
    </row>
    <row r="283" spans="2:7" x14ac:dyDescent="0.3">
      <c r="B283" t="s">
        <v>240</v>
      </c>
      <c r="C283">
        <f>C282*C282</f>
        <v>5.0625</v>
      </c>
      <c r="D283">
        <f t="shared" ref="D283:F283" si="3">D282*D282</f>
        <v>6.25E-2</v>
      </c>
      <c r="E283">
        <f t="shared" si="3"/>
        <v>0.5625</v>
      </c>
      <c r="F283">
        <f t="shared" si="3"/>
        <v>3.0625</v>
      </c>
    </row>
    <row r="284" spans="2:7" x14ac:dyDescent="0.3">
      <c r="B284" t="s">
        <v>241</v>
      </c>
      <c r="C284">
        <f>C279-$C$281</f>
        <v>-5.25</v>
      </c>
      <c r="D284">
        <f t="shared" ref="D284:F284" si="4">D279-$C$281</f>
        <v>-1.25</v>
      </c>
      <c r="E284">
        <f t="shared" si="4"/>
        <v>0.75</v>
      </c>
      <c r="F284">
        <f t="shared" si="4"/>
        <v>5.75</v>
      </c>
    </row>
    <row r="285" spans="2:7" x14ac:dyDescent="0.3">
      <c r="B285" t="s">
        <v>242</v>
      </c>
      <c r="C285">
        <f>C284*C284</f>
        <v>27.5625</v>
      </c>
      <c r="D285">
        <f t="shared" ref="D285:F285" si="5">D284*D284</f>
        <v>1.5625</v>
      </c>
      <c r="E285">
        <f t="shared" si="5"/>
        <v>0.5625</v>
      </c>
      <c r="F285">
        <f t="shared" si="5"/>
        <v>33.0625</v>
      </c>
    </row>
    <row r="286" spans="2:7" x14ac:dyDescent="0.3">
      <c r="B286" t="s">
        <v>244</v>
      </c>
      <c r="C286">
        <f>C284*C282</f>
        <v>11.8125</v>
      </c>
      <c r="D286">
        <f t="shared" ref="D286:F286" si="6">D284*D282</f>
        <v>0.3125</v>
      </c>
      <c r="E286">
        <f t="shared" si="6"/>
        <v>0.5625</v>
      </c>
      <c r="F286">
        <f t="shared" si="6"/>
        <v>10.0625</v>
      </c>
    </row>
    <row r="287" spans="2:7" x14ac:dyDescent="0.3">
      <c r="C287" t="s">
        <v>236</v>
      </c>
      <c r="D287">
        <f>SUM(C283:F283)</f>
        <v>8.75</v>
      </c>
    </row>
    <row r="288" spans="2:7" x14ac:dyDescent="0.3">
      <c r="C288" t="s">
        <v>243</v>
      </c>
      <c r="D288">
        <f>SUM(C285:F285)</f>
        <v>62.75</v>
      </c>
    </row>
    <row r="289" spans="2:5" x14ac:dyDescent="0.3">
      <c r="C289" t="s">
        <v>235</v>
      </c>
      <c r="D289">
        <f>SUM(C286:F286)</f>
        <v>22.75</v>
      </c>
    </row>
    <row r="290" spans="2:5" x14ac:dyDescent="0.3">
      <c r="C290" t="s">
        <v>245</v>
      </c>
      <c r="D290">
        <f>D289/SQRT(D287*D288)</f>
        <v>0.97089107631686111</v>
      </c>
      <c r="E290" s="62" t="s">
        <v>249</v>
      </c>
    </row>
    <row r="291" spans="2:5" x14ac:dyDescent="0.3">
      <c r="B291" t="s">
        <v>246</v>
      </c>
      <c r="C291">
        <f>D289/D287</f>
        <v>2.6</v>
      </c>
      <c r="D291" s="62" t="s">
        <v>248</v>
      </c>
    </row>
    <row r="292" spans="2:5" x14ac:dyDescent="0.3">
      <c r="B292" t="s">
        <v>247</v>
      </c>
      <c r="C292">
        <f>C281-C291*C280</f>
        <v>1.1999999999999993</v>
      </c>
      <c r="D292" s="62" t="s">
        <v>250</v>
      </c>
    </row>
    <row r="293" spans="2:5" x14ac:dyDescent="0.3">
      <c r="B293" t="s">
        <v>251</v>
      </c>
    </row>
  </sheetData>
  <mergeCells count="27">
    <mergeCell ref="C243:D243"/>
    <mergeCell ref="C235:D235"/>
    <mergeCell ref="C259:D259"/>
    <mergeCell ref="C267:D267"/>
    <mergeCell ref="D173:E173"/>
    <mergeCell ref="C178:D178"/>
    <mergeCell ref="C189:D189"/>
    <mergeCell ref="C208:D208"/>
    <mergeCell ref="C219:D219"/>
    <mergeCell ref="F130:H130"/>
    <mergeCell ref="F131:H131"/>
    <mergeCell ref="D168:H168"/>
    <mergeCell ref="F98:H98"/>
    <mergeCell ref="F105:H105"/>
    <mergeCell ref="F106:H106"/>
    <mergeCell ref="D108:G108"/>
    <mergeCell ref="D116:G116"/>
    <mergeCell ref="B67:C67"/>
    <mergeCell ref="B69:C69"/>
    <mergeCell ref="B70:C70"/>
    <mergeCell ref="D91:G91"/>
    <mergeCell ref="F97:H97"/>
    <mergeCell ref="C13:G13"/>
    <mergeCell ref="C21:G21"/>
    <mergeCell ref="C31:J31"/>
    <mergeCell ref="C37:J37"/>
    <mergeCell ref="C42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 2 3</vt:lpstr>
      <vt:lpstr>Week 4 5 6 7 8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2021-07-24T10:06:46Z</dcterms:created>
  <dcterms:modified xsi:type="dcterms:W3CDTF">2021-07-24T20:06:38Z</dcterms:modified>
</cp:coreProperties>
</file>