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itg.khapham\Documents\react_native\hocexcel\src\asset\picture\tricts\synce_ggs_excel\"/>
    </mc:Choice>
  </mc:AlternateContent>
  <bookViews>
    <workbookView xWindow="-120" yWindow="-120" windowWidth="15480" windowHeight="7872" tabRatio="869"/>
  </bookViews>
  <sheets>
    <sheet name="Sheet1" sheetId="54" r:id="rId1"/>
    <sheet name="L13" sheetId="51" r:id="rId2"/>
    <sheet name="L11" sheetId="46" r:id="rId3"/>
    <sheet name="Sheet12" sheetId="32" r:id="rId4"/>
    <sheet name="Bulk CO" sheetId="38" r:id="rId5"/>
    <sheet name="PRE-BALANCING" sheetId="40" r:id="rId6"/>
    <sheet name="PRE-LAYOUT" sheetId="24" r:id="rId7"/>
    <sheet name="PRE-BALANCING_L13_MT_Jun-22" sheetId="41" r:id="rId8"/>
    <sheet name="PRE-LAYOUT_L13_MT_Jun-22" sheetId="43" r:id="rId9"/>
    <sheet name="PRE-BALANCING_L11_MT_Jul-02" sheetId="44" r:id="rId10"/>
    <sheet name="PRE-LAYOUT_L11_MT_Jul-02" sheetId="45" state="hidden" r:id="rId11"/>
    <sheet name="ACTUAL LINE13" sheetId="47" r:id="rId12"/>
    <sheet name="PROPOSAL LINE13" sheetId="48" r:id="rId13"/>
    <sheet name="ACTUAL LINE11" sheetId="49" state="hidden" r:id="rId14"/>
    <sheet name="PROPOSAL" sheetId="50" state="hidden" r:id="rId15"/>
    <sheet name="PRE-LAYOUT_L13 NEW 1.1" sheetId="52" r:id="rId16"/>
    <sheet name="PRE-LAYOUT_L13 NEW 1.2" sheetId="53" r:id="rId17"/>
  </sheets>
  <externalReferences>
    <externalReference r:id="rId18"/>
  </externalReferences>
  <definedNames>
    <definedName name="_xlnm._FilterDatabase" localSheetId="13" hidden="1">'ACTUAL LINE11'!$A$9:$R$48</definedName>
    <definedName name="_xlnm._FilterDatabase" localSheetId="11" hidden="1">'ACTUAL LINE13'!$A$9:$R$46</definedName>
    <definedName name="_xlnm._FilterDatabase" localSheetId="5" hidden="1">'PRE-BALANCING'!$A$9:$P$61</definedName>
    <definedName name="_xlnm._FilterDatabase" localSheetId="9" hidden="1">'PRE-BALANCING_L11_MT_Jul-02'!$A$9:$P$53</definedName>
    <definedName name="_xlnm._FilterDatabase" localSheetId="7" hidden="1">'PRE-BALANCING_L13_MT_Jun-22'!$A$9:$P$53</definedName>
    <definedName name="_xlnm._FilterDatabase" localSheetId="14" hidden="1">PROPOSAL!$A$9:$R$51</definedName>
    <definedName name="_xlnm._FilterDatabase" localSheetId="12" hidden="1">'PROPOSAL LINE13'!$A$9:$R$47</definedName>
    <definedName name="_xlnm._FilterDatabase" localSheetId="0" hidden="1">Sheet1!$A$1:$A$46</definedName>
    <definedName name="form" localSheetId="13">#REF!</definedName>
    <definedName name="form" localSheetId="11">#REF!</definedName>
    <definedName name="form" localSheetId="2">#REF!</definedName>
    <definedName name="form" localSheetId="1">#REF!</definedName>
    <definedName name="form" localSheetId="5">#REF!</definedName>
    <definedName name="form" localSheetId="9">#REF!</definedName>
    <definedName name="form" localSheetId="7">#REF!</definedName>
    <definedName name="form" localSheetId="6">#REF!</definedName>
    <definedName name="form" localSheetId="10">#REF!</definedName>
    <definedName name="form" localSheetId="15">#REF!</definedName>
    <definedName name="form" localSheetId="16">#REF!</definedName>
    <definedName name="form" localSheetId="8">#REF!</definedName>
    <definedName name="form" localSheetId="14">#REF!</definedName>
    <definedName name="form" localSheetId="12">#REF!</definedName>
    <definedName name="form" localSheetId="3">#REF!</definedName>
    <definedName name="form">#REF!</definedName>
    <definedName name="OB" localSheetId="4">'Bulk CO'!$B$15:$N$76</definedName>
    <definedName name="OB">'[1]Operation Breakdown'!$B$15:$N$81</definedName>
    <definedName name="_xlnm.Print_Area" localSheetId="13">'ACTUAL LINE11'!$C$2:$R$63</definedName>
    <definedName name="_xlnm.Print_Area" localSheetId="11">'ACTUAL LINE13'!$C$2:$R$61</definedName>
    <definedName name="_xlnm.Print_Area" localSheetId="4">'Bulk CO'!$A$1:$AB$87</definedName>
    <definedName name="_xlnm.Print_Area" localSheetId="5">'PRE-BALANCING'!$C$2:$P$76</definedName>
    <definedName name="_xlnm.Print_Area" localSheetId="9">'PRE-BALANCING_L11_MT_Jul-02'!$C$2:$P$68</definedName>
    <definedName name="_xlnm.Print_Area" localSheetId="7">'PRE-BALANCING_L13_MT_Jun-22'!$C$2:$P$68</definedName>
    <definedName name="_xlnm.Print_Area" localSheetId="6">'PRE-LAYOUT'!$A$1:$L$235</definedName>
    <definedName name="_xlnm.Print_Area" localSheetId="10">'PRE-LAYOUT_L11_MT_Jul-02'!$A$1:$L$219</definedName>
    <definedName name="_xlnm.Print_Area" localSheetId="15">'PRE-LAYOUT_L13 NEW 1.1'!$A$1:$L$182</definedName>
    <definedName name="_xlnm.Print_Area" localSheetId="16">'PRE-LAYOUT_L13 NEW 1.2'!$A$1:$L$150</definedName>
    <definedName name="_xlnm.Print_Area" localSheetId="8">'PRE-LAYOUT_L13_MT_Jun-22'!$A$1:$L$202</definedName>
    <definedName name="_xlnm.Print_Area" localSheetId="14">PROPOSAL!$C$2:$R$66</definedName>
    <definedName name="_xlnm.Print_Area" localSheetId="12">'PROPOSAL LINE13'!$C$2:$R$62</definedName>
    <definedName name="_xlnm.Print_Titles" localSheetId="13">'ACTUAL LINE11'!$1:$9</definedName>
    <definedName name="_xlnm.Print_Titles" localSheetId="11">'ACTUAL LINE13'!$1:$9</definedName>
    <definedName name="_xlnm.Print_Titles" localSheetId="4">'Bulk CO'!$1:$14</definedName>
    <definedName name="_xlnm.Print_Titles" localSheetId="5">'PRE-BALANCING'!$1:$9</definedName>
    <definedName name="_xlnm.Print_Titles" localSheetId="9">'PRE-BALANCING_L11_MT_Jul-02'!$1:$9</definedName>
    <definedName name="_xlnm.Print_Titles" localSheetId="7">'PRE-BALANCING_L13_MT_Jun-22'!$1:$9</definedName>
    <definedName name="_xlnm.Print_Titles" localSheetId="14">PROPOSAL!$1:$9</definedName>
    <definedName name="_xlnm.Print_Titles" localSheetId="12">'PROPOSAL LINE13'!$1:$9</definedName>
    <definedName name="SMV" localSheetId="4">'Bulk CO'!$B$15:$N$76</definedName>
    <definedName name="SMV">'[1]Operation Breakdown'!$B$15:$N$81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 i="54" l="1"/>
  <c r="C31" i="54"/>
  <c r="C19" i="54"/>
  <c r="C18" i="54"/>
  <c r="C10" i="54"/>
  <c r="C7" i="54"/>
  <c r="AA56" i="38" l="1"/>
  <c r="AA28" i="38" l="1"/>
  <c r="J146" i="53" l="1"/>
  <c r="J178" i="52"/>
  <c r="P6" i="49" l="1"/>
  <c r="P5" i="49"/>
  <c r="N36" i="50"/>
  <c r="P5" i="50"/>
  <c r="P19" i="50"/>
  <c r="N18" i="50"/>
  <c r="P18" i="50" s="1"/>
  <c r="M20" i="50"/>
  <c r="N20" i="50"/>
  <c r="N19" i="50"/>
  <c r="Q20" i="50"/>
  <c r="R20" i="50"/>
  <c r="N46" i="50"/>
  <c r="N38" i="50"/>
  <c r="L39" i="50"/>
  <c r="R10" i="50"/>
  <c r="L23" i="50"/>
  <c r="N22" i="50"/>
  <c r="G51" i="50"/>
  <c r="F51" i="50"/>
  <c r="E51" i="50"/>
  <c r="D51" i="50"/>
  <c r="I6" i="50" s="1"/>
  <c r="D6" i="50" s="1"/>
  <c r="B49" i="50"/>
  <c r="B47" i="50"/>
  <c r="P46" i="50"/>
  <c r="L46" i="50"/>
  <c r="B46" i="50"/>
  <c r="Q44" i="50"/>
  <c r="R44" i="50" s="1"/>
  <c r="P44" i="50"/>
  <c r="N44" i="50"/>
  <c r="L44" i="50"/>
  <c r="B44" i="50"/>
  <c r="N43" i="50"/>
  <c r="P43" i="50" s="1"/>
  <c r="L43" i="50"/>
  <c r="B43" i="50"/>
  <c r="Q42" i="50"/>
  <c r="R42" i="50" s="1"/>
  <c r="N42" i="50"/>
  <c r="P42" i="50" s="1"/>
  <c r="L42" i="50"/>
  <c r="L41" i="50"/>
  <c r="B41" i="50"/>
  <c r="N40" i="50"/>
  <c r="L40" i="50"/>
  <c r="Q38" i="50"/>
  <c r="R38" i="50" s="1"/>
  <c r="P38" i="50"/>
  <c r="L38" i="50"/>
  <c r="B38" i="50"/>
  <c r="Q37" i="50"/>
  <c r="R37" i="50" s="1"/>
  <c r="N37" i="50"/>
  <c r="P37" i="50" s="1"/>
  <c r="L37" i="50"/>
  <c r="B37" i="50"/>
  <c r="L36" i="50"/>
  <c r="Q35" i="50"/>
  <c r="R35" i="50" s="1"/>
  <c r="N35" i="50"/>
  <c r="P35" i="50" s="1"/>
  <c r="L35" i="50"/>
  <c r="B35" i="50"/>
  <c r="B34" i="50"/>
  <c r="N33" i="50"/>
  <c r="P33" i="50" s="1"/>
  <c r="L33" i="50"/>
  <c r="Q32" i="50"/>
  <c r="R32" i="50" s="1"/>
  <c r="N32" i="50"/>
  <c r="P32" i="50" s="1"/>
  <c r="L32" i="50"/>
  <c r="B32" i="50"/>
  <c r="Q31" i="50"/>
  <c r="R31" i="50" s="1"/>
  <c r="P31" i="50"/>
  <c r="L31" i="50"/>
  <c r="B31" i="50"/>
  <c r="P30" i="50"/>
  <c r="L30" i="50"/>
  <c r="Q29" i="50"/>
  <c r="R29" i="50" s="1"/>
  <c r="N29" i="50"/>
  <c r="P29" i="50" s="1"/>
  <c r="L29" i="50"/>
  <c r="B29" i="50"/>
  <c r="Q28" i="50"/>
  <c r="R28" i="50" s="1"/>
  <c r="N28" i="50"/>
  <c r="P28" i="50" s="1"/>
  <c r="K28" i="50"/>
  <c r="L28" i="50" s="1"/>
  <c r="B28" i="50"/>
  <c r="Q27" i="50"/>
  <c r="R27" i="50" s="1"/>
  <c r="N27" i="50"/>
  <c r="P27" i="50" s="1"/>
  <c r="L27" i="50"/>
  <c r="Q26" i="50"/>
  <c r="R26" i="50" s="1"/>
  <c r="N26" i="50"/>
  <c r="P26" i="50" s="1"/>
  <c r="L26" i="50"/>
  <c r="B26" i="50"/>
  <c r="B25" i="50"/>
  <c r="Q24" i="50"/>
  <c r="R24" i="50" s="1"/>
  <c r="N24" i="50"/>
  <c r="P24" i="50" s="1"/>
  <c r="L24" i="50"/>
  <c r="Q22" i="50"/>
  <c r="R22" i="50" s="1"/>
  <c r="L22" i="50"/>
  <c r="Q21" i="50"/>
  <c r="R21" i="50" s="1"/>
  <c r="P21" i="50"/>
  <c r="N21" i="50"/>
  <c r="L21" i="50"/>
  <c r="B21" i="50"/>
  <c r="L19" i="50"/>
  <c r="B19" i="50"/>
  <c r="Q18" i="50"/>
  <c r="R18" i="50" s="1"/>
  <c r="L18" i="50"/>
  <c r="L17" i="50"/>
  <c r="B17" i="50"/>
  <c r="N16" i="50"/>
  <c r="P16" i="50" s="1"/>
  <c r="L16" i="50"/>
  <c r="Q15" i="50"/>
  <c r="R15" i="50" s="1"/>
  <c r="P15" i="50"/>
  <c r="N15" i="50"/>
  <c r="L15" i="50"/>
  <c r="B15" i="50"/>
  <c r="B14" i="50"/>
  <c r="N13" i="50"/>
  <c r="L13" i="50"/>
  <c r="K12" i="50"/>
  <c r="B12" i="50"/>
  <c r="B11" i="50"/>
  <c r="Q10" i="50"/>
  <c r="N10" i="50"/>
  <c r="P10" i="50" s="1"/>
  <c r="J5" i="50"/>
  <c r="P3" i="50"/>
  <c r="Q46" i="50" s="1"/>
  <c r="R46" i="50" s="1"/>
  <c r="R3" i="49"/>
  <c r="O19" i="49" s="1"/>
  <c r="O10" i="49"/>
  <c r="O13" i="49"/>
  <c r="P13" i="49"/>
  <c r="Q13" i="49"/>
  <c r="R13" i="49" s="1"/>
  <c r="P15" i="49"/>
  <c r="Q15" i="49"/>
  <c r="R15" i="49"/>
  <c r="O16" i="49"/>
  <c r="P16" i="49"/>
  <c r="Q16" i="49"/>
  <c r="R16" i="49" s="1"/>
  <c r="O18" i="49"/>
  <c r="P18" i="49"/>
  <c r="Q18" i="49"/>
  <c r="R18" i="49"/>
  <c r="P19" i="49"/>
  <c r="Q19" i="49"/>
  <c r="R19" i="49" s="1"/>
  <c r="O20" i="49"/>
  <c r="P20" i="49"/>
  <c r="Q20" i="49"/>
  <c r="R20" i="49"/>
  <c r="P21" i="49"/>
  <c r="Q21" i="49"/>
  <c r="R21" i="49"/>
  <c r="O22" i="49"/>
  <c r="P22" i="49"/>
  <c r="Q22" i="49"/>
  <c r="R22" i="49" s="1"/>
  <c r="O24" i="49"/>
  <c r="P24" i="49"/>
  <c r="Q24" i="49"/>
  <c r="R24" i="49"/>
  <c r="P25" i="49"/>
  <c r="Q25" i="49"/>
  <c r="R25" i="49" s="1"/>
  <c r="O26" i="49"/>
  <c r="P26" i="49"/>
  <c r="Q26" i="49"/>
  <c r="R26" i="49"/>
  <c r="P27" i="49"/>
  <c r="Q27" i="49"/>
  <c r="R27" i="49"/>
  <c r="O28" i="49"/>
  <c r="P28" i="49"/>
  <c r="Q28" i="49"/>
  <c r="R28" i="49" s="1"/>
  <c r="O29" i="49"/>
  <c r="P29" i="49"/>
  <c r="Q29" i="49"/>
  <c r="R29" i="49"/>
  <c r="P30" i="49"/>
  <c r="Q30" i="49"/>
  <c r="R30" i="49"/>
  <c r="O31" i="49"/>
  <c r="P31" i="49"/>
  <c r="Q31" i="49"/>
  <c r="R31" i="49" s="1"/>
  <c r="P33" i="49"/>
  <c r="Q33" i="49"/>
  <c r="R33" i="49"/>
  <c r="O34" i="49"/>
  <c r="P34" i="49"/>
  <c r="Q34" i="49"/>
  <c r="R34" i="49" s="1"/>
  <c r="O35" i="49"/>
  <c r="P35" i="49"/>
  <c r="Q35" i="49"/>
  <c r="R35" i="49"/>
  <c r="P36" i="49"/>
  <c r="Q36" i="49"/>
  <c r="R36" i="49"/>
  <c r="O37" i="49"/>
  <c r="P37" i="49"/>
  <c r="Q37" i="49"/>
  <c r="R37" i="49" s="1"/>
  <c r="P39" i="49"/>
  <c r="Q39" i="49"/>
  <c r="R39" i="49"/>
  <c r="O40" i="49"/>
  <c r="P40" i="49"/>
  <c r="Q40" i="49"/>
  <c r="R40" i="49" s="1"/>
  <c r="O41" i="49"/>
  <c r="P41" i="49"/>
  <c r="Q41" i="49"/>
  <c r="R41" i="49"/>
  <c r="P43" i="49"/>
  <c r="Q43" i="49"/>
  <c r="R43" i="49" s="1"/>
  <c r="P10" i="49"/>
  <c r="Q10" i="49"/>
  <c r="R10" i="49"/>
  <c r="N13" i="49"/>
  <c r="N15" i="49"/>
  <c r="N16" i="49"/>
  <c r="N10" i="49"/>
  <c r="D48" i="49"/>
  <c r="N43" i="49"/>
  <c r="N41" i="49"/>
  <c r="N39" i="49"/>
  <c r="N37" i="49"/>
  <c r="N31" i="49"/>
  <c r="N22" i="49"/>
  <c r="I6" i="49"/>
  <c r="D6" i="49" s="1"/>
  <c r="N18" i="49"/>
  <c r="N19" i="49"/>
  <c r="N20" i="49"/>
  <c r="N21" i="49"/>
  <c r="N24" i="49"/>
  <c r="N25" i="49"/>
  <c r="N26" i="49"/>
  <c r="N27" i="49"/>
  <c r="N28" i="49"/>
  <c r="N29" i="49"/>
  <c r="N30" i="49"/>
  <c r="N33" i="49"/>
  <c r="N34" i="49"/>
  <c r="N35" i="49"/>
  <c r="N36" i="49"/>
  <c r="N40" i="49"/>
  <c r="K12" i="49"/>
  <c r="G48" i="49"/>
  <c r="F48" i="49"/>
  <c r="E48" i="49"/>
  <c r="L43" i="49"/>
  <c r="L41" i="49"/>
  <c r="L40" i="49"/>
  <c r="L39" i="49"/>
  <c r="L38" i="49"/>
  <c r="L37" i="49"/>
  <c r="L36" i="49"/>
  <c r="L35" i="49"/>
  <c r="L34" i="49"/>
  <c r="L33" i="49"/>
  <c r="L31" i="49"/>
  <c r="L30" i="49"/>
  <c r="L29" i="49"/>
  <c r="L28" i="49"/>
  <c r="L27" i="49"/>
  <c r="K26" i="49"/>
  <c r="L26" i="49" s="1"/>
  <c r="L25" i="49"/>
  <c r="L24" i="49"/>
  <c r="L22" i="49"/>
  <c r="L21" i="49"/>
  <c r="L20" i="49"/>
  <c r="L19" i="49"/>
  <c r="L18" i="49"/>
  <c r="L17" i="49"/>
  <c r="L16" i="49"/>
  <c r="L15" i="49"/>
  <c r="L13" i="49"/>
  <c r="J5" i="49"/>
  <c r="P3" i="49"/>
  <c r="B12" i="49" s="1"/>
  <c r="J6" i="50" l="1"/>
  <c r="P13" i="50"/>
  <c r="P36" i="50"/>
  <c r="P40" i="50"/>
  <c r="Q13" i="50"/>
  <c r="R13" i="50" s="1"/>
  <c r="Q16" i="50"/>
  <c r="R16" i="50" s="1"/>
  <c r="B18" i="50"/>
  <c r="B24" i="50"/>
  <c r="B27" i="50"/>
  <c r="Q30" i="50"/>
  <c r="R30" i="50" s="1"/>
  <c r="Q33" i="50"/>
  <c r="R33" i="50" s="1"/>
  <c r="Q36" i="50"/>
  <c r="R36" i="50" s="1"/>
  <c r="Q40" i="50"/>
  <c r="R40" i="50" s="1"/>
  <c r="B42" i="50"/>
  <c r="B45" i="50"/>
  <c r="B48" i="50"/>
  <c r="B10" i="50"/>
  <c r="B13" i="50"/>
  <c r="B16" i="50"/>
  <c r="Q19" i="50"/>
  <c r="R19" i="50" s="1"/>
  <c r="B30" i="50"/>
  <c r="B33" i="50"/>
  <c r="B36" i="50"/>
  <c r="B40" i="50"/>
  <c r="Q43" i="50"/>
  <c r="R43" i="50" s="1"/>
  <c r="O39" i="49"/>
  <c r="O33" i="49"/>
  <c r="O27" i="49"/>
  <c r="O21" i="49"/>
  <c r="O15" i="49"/>
  <c r="O43" i="49"/>
  <c r="O36" i="49"/>
  <c r="O30" i="49"/>
  <c r="O25" i="49"/>
  <c r="B11" i="49"/>
  <c r="B45" i="49"/>
  <c r="B37" i="49"/>
  <c r="B32" i="49"/>
  <c r="B22" i="49"/>
  <c r="B14" i="49"/>
  <c r="B41" i="49"/>
  <c r="B35" i="49"/>
  <c r="B30" i="49"/>
  <c r="B25" i="49"/>
  <c r="B16" i="49"/>
  <c r="B40" i="49"/>
  <c r="B34" i="49"/>
  <c r="B29" i="49"/>
  <c r="B24" i="49"/>
  <c r="B10" i="49"/>
  <c r="B46" i="49"/>
  <c r="B44" i="49"/>
  <c r="B39" i="49"/>
  <c r="B33" i="49"/>
  <c r="B28" i="49"/>
  <c r="B20" i="49"/>
  <c r="B18" i="49"/>
  <c r="B42" i="49"/>
  <c r="B15" i="49"/>
  <c r="B31" i="49"/>
  <c r="B26" i="49"/>
  <c r="B13" i="49"/>
  <c r="B38" i="49"/>
  <c r="B23" i="49"/>
  <c r="B36" i="49"/>
  <c r="B27" i="49"/>
  <c r="B17" i="49"/>
  <c r="B19" i="49"/>
  <c r="B43" i="49"/>
  <c r="J6" i="49"/>
  <c r="D47" i="48"/>
  <c r="A12" i="49" l="1"/>
  <c r="A11" i="49"/>
  <c r="A43" i="49"/>
  <c r="A38" i="49"/>
  <c r="A27" i="49"/>
  <c r="A23" i="49"/>
  <c r="A17" i="49"/>
  <c r="A15" i="49"/>
  <c r="R4" i="49"/>
  <c r="A42" i="49"/>
  <c r="A36" i="49"/>
  <c r="A31" i="49"/>
  <c r="A26" i="49"/>
  <c r="A19" i="49"/>
  <c r="A13" i="49"/>
  <c r="A41" i="49"/>
  <c r="A35" i="49"/>
  <c r="A30" i="49"/>
  <c r="A25" i="49"/>
  <c r="A16" i="49"/>
  <c r="I4" i="49"/>
  <c r="A40" i="49"/>
  <c r="A34" i="49"/>
  <c r="A29" i="49"/>
  <c r="A24" i="49"/>
  <c r="A10" i="49"/>
  <c r="A46" i="49"/>
  <c r="A28" i="49"/>
  <c r="A18" i="49"/>
  <c r="A45" i="49"/>
  <c r="A44" i="49"/>
  <c r="A33" i="49"/>
  <c r="A20" i="49"/>
  <c r="A32" i="49"/>
  <c r="A14" i="49"/>
  <c r="A39" i="49"/>
  <c r="A37" i="49"/>
  <c r="A22" i="49"/>
  <c r="M37" i="48"/>
  <c r="N35" i="48"/>
  <c r="N37" i="48"/>
  <c r="N36" i="48"/>
  <c r="Q37" i="48"/>
  <c r="R37" i="48" s="1"/>
  <c r="N38" i="48"/>
  <c r="P38" i="48"/>
  <c r="N19" i="48"/>
  <c r="N20" i="48"/>
  <c r="P20" i="48" s="1"/>
  <c r="N22" i="48"/>
  <c r="Q20" i="48"/>
  <c r="R20" i="48" s="1"/>
  <c r="L20" i="48"/>
  <c r="B20" i="48"/>
  <c r="P6" i="47"/>
  <c r="P5" i="47"/>
  <c r="I6" i="48"/>
  <c r="P44" i="48"/>
  <c r="N44" i="48"/>
  <c r="L44" i="48"/>
  <c r="N42" i="48"/>
  <c r="P42" i="48" s="1"/>
  <c r="L42" i="48"/>
  <c r="N41" i="48"/>
  <c r="P41" i="48" s="1"/>
  <c r="L41" i="48"/>
  <c r="N40" i="48"/>
  <c r="P40" i="48" s="1"/>
  <c r="L40" i="48"/>
  <c r="L39" i="48"/>
  <c r="L38" i="48"/>
  <c r="P36" i="48"/>
  <c r="L36" i="48"/>
  <c r="P35" i="48"/>
  <c r="L35" i="48"/>
  <c r="N34" i="48"/>
  <c r="P34" i="48" s="1"/>
  <c r="L34" i="48"/>
  <c r="N33" i="48"/>
  <c r="P33" i="48" s="1"/>
  <c r="L33" i="48"/>
  <c r="N32" i="48"/>
  <c r="P32" i="48" s="1"/>
  <c r="N31" i="48"/>
  <c r="P31" i="48" s="1"/>
  <c r="L31" i="48"/>
  <c r="N30" i="48"/>
  <c r="P30" i="48" s="1"/>
  <c r="L30" i="48"/>
  <c r="L29" i="48"/>
  <c r="P28" i="48"/>
  <c r="N28" i="48"/>
  <c r="L28" i="48"/>
  <c r="N27" i="48"/>
  <c r="P27" i="48" s="1"/>
  <c r="L27" i="48"/>
  <c r="N26" i="48"/>
  <c r="P26" i="48" s="1"/>
  <c r="K26" i="48"/>
  <c r="L26" i="48" s="1"/>
  <c r="N25" i="48"/>
  <c r="P25" i="48" s="1"/>
  <c r="L25" i="48"/>
  <c r="N24" i="48"/>
  <c r="P24" i="48" s="1"/>
  <c r="L24" i="48"/>
  <c r="N23" i="48"/>
  <c r="P23" i="48" s="1"/>
  <c r="L23" i="48"/>
  <c r="P22" i="48"/>
  <c r="L22" i="48"/>
  <c r="P19" i="48"/>
  <c r="L19" i="48"/>
  <c r="L18" i="48"/>
  <c r="P17" i="48"/>
  <c r="N17" i="48"/>
  <c r="L17" i="48"/>
  <c r="K16" i="48"/>
  <c r="N15" i="48"/>
  <c r="P15" i="48" s="1"/>
  <c r="L14" i="48"/>
  <c r="P13" i="48"/>
  <c r="N13" i="48"/>
  <c r="L13" i="48"/>
  <c r="N11" i="48"/>
  <c r="P11" i="48" s="1"/>
  <c r="L11" i="48"/>
  <c r="N10" i="48"/>
  <c r="P10" i="48" s="1"/>
  <c r="J5" i="48"/>
  <c r="P3" i="48"/>
  <c r="Q40" i="48" s="1"/>
  <c r="R40" i="48" s="1"/>
  <c r="R3" i="47"/>
  <c r="R10" i="47"/>
  <c r="Q10" i="47"/>
  <c r="P10" i="47"/>
  <c r="P13" i="47"/>
  <c r="Q13" i="47"/>
  <c r="R13" i="47"/>
  <c r="P15" i="47"/>
  <c r="Q15" i="47"/>
  <c r="R15" i="47" s="1"/>
  <c r="P17" i="47"/>
  <c r="Q17" i="47"/>
  <c r="R17" i="47"/>
  <c r="P19" i="47"/>
  <c r="Q19" i="47"/>
  <c r="R19" i="47" s="1"/>
  <c r="P20" i="47"/>
  <c r="Q20" i="47"/>
  <c r="R20" i="47"/>
  <c r="P21" i="47"/>
  <c r="Q21" i="47"/>
  <c r="R21" i="47" s="1"/>
  <c r="P22" i="47"/>
  <c r="Q22" i="47"/>
  <c r="R22" i="47"/>
  <c r="P24" i="47"/>
  <c r="Q24" i="47"/>
  <c r="R24" i="47" s="1"/>
  <c r="P25" i="47"/>
  <c r="Q25" i="47"/>
  <c r="R25" i="47"/>
  <c r="P26" i="47"/>
  <c r="Q26" i="47"/>
  <c r="R26" i="47" s="1"/>
  <c r="P27" i="47"/>
  <c r="Q27" i="47"/>
  <c r="R27" i="47"/>
  <c r="P28" i="47"/>
  <c r="Q28" i="47"/>
  <c r="R28" i="47" s="1"/>
  <c r="P30" i="47"/>
  <c r="Q30" i="47"/>
  <c r="R30" i="47"/>
  <c r="P31" i="47"/>
  <c r="Q31" i="47"/>
  <c r="R31" i="47" s="1"/>
  <c r="P32" i="47"/>
  <c r="Q32" i="47"/>
  <c r="R32" i="47"/>
  <c r="P33" i="47"/>
  <c r="Q33" i="47"/>
  <c r="R33" i="47" s="1"/>
  <c r="P34" i="47"/>
  <c r="Q34" i="47"/>
  <c r="R34" i="47"/>
  <c r="P35" i="47"/>
  <c r="Q35" i="47"/>
  <c r="R35" i="47" s="1"/>
  <c r="P36" i="47"/>
  <c r="Q36" i="47"/>
  <c r="R36" i="47"/>
  <c r="P37" i="47"/>
  <c r="Q37" i="47"/>
  <c r="R37" i="47" s="1"/>
  <c r="P38" i="47"/>
  <c r="Q38" i="47"/>
  <c r="R38" i="47"/>
  <c r="P39" i="47"/>
  <c r="Q39" i="47"/>
  <c r="R39" i="47" s="1"/>
  <c r="P40" i="47"/>
  <c r="Q40" i="47"/>
  <c r="R40" i="47"/>
  <c r="P41" i="47"/>
  <c r="Q41" i="47"/>
  <c r="R41" i="47" s="1"/>
  <c r="P43" i="47"/>
  <c r="Q43" i="47"/>
  <c r="R43" i="47"/>
  <c r="P11" i="47"/>
  <c r="Q11" i="47"/>
  <c r="R11" i="47"/>
  <c r="N41" i="47"/>
  <c r="N30" i="47"/>
  <c r="N28" i="47"/>
  <c r="N22" i="47"/>
  <c r="N17" i="47"/>
  <c r="N13" i="47"/>
  <c r="N11" i="47"/>
  <c r="N15" i="47"/>
  <c r="N19" i="47"/>
  <c r="N20" i="47"/>
  <c r="N21" i="47"/>
  <c r="N24" i="47"/>
  <c r="N25" i="47"/>
  <c r="N26" i="47"/>
  <c r="N27" i="47"/>
  <c r="N31" i="47"/>
  <c r="N32" i="47"/>
  <c r="N33" i="47"/>
  <c r="N34" i="47"/>
  <c r="N35" i="47"/>
  <c r="N36" i="47"/>
  <c r="N37" i="47"/>
  <c r="N38" i="47"/>
  <c r="N39" i="47"/>
  <c r="N40" i="47"/>
  <c r="N43" i="47"/>
  <c r="N10" i="47"/>
  <c r="L29" i="47"/>
  <c r="L18" i="47"/>
  <c r="L14" i="47"/>
  <c r="D46" i="47"/>
  <c r="P4" i="49" l="1"/>
  <c r="R5" i="49"/>
  <c r="P37" i="48"/>
  <c r="R3" i="48"/>
  <c r="O22" i="48" s="1"/>
  <c r="P5" i="48"/>
  <c r="B21" i="48"/>
  <c r="D6" i="48"/>
  <c r="J6" i="48"/>
  <c r="B12" i="48"/>
  <c r="B22" i="48"/>
  <c r="B24" i="48"/>
  <c r="Q10" i="48"/>
  <c r="R10" i="48" s="1"/>
  <c r="Q13" i="48"/>
  <c r="R13" i="48" s="1"/>
  <c r="B15" i="48"/>
  <c r="B18" i="48"/>
  <c r="Q25" i="48"/>
  <c r="R25" i="48" s="1"/>
  <c r="B27" i="48"/>
  <c r="Q30" i="48"/>
  <c r="R30" i="48" s="1"/>
  <c r="B33" i="48"/>
  <c r="B36" i="48"/>
  <c r="B40" i="48"/>
  <c r="B43" i="48"/>
  <c r="B30" i="48"/>
  <c r="Q34" i="48"/>
  <c r="R34" i="48" s="1"/>
  <c r="Q38" i="48"/>
  <c r="R38" i="48" s="1"/>
  <c r="Q41" i="48"/>
  <c r="R41" i="48" s="1"/>
  <c r="Q44" i="48"/>
  <c r="R44" i="48" s="1"/>
  <c r="Q19" i="48"/>
  <c r="R19" i="48" s="1"/>
  <c r="B34" i="48"/>
  <c r="B41" i="48"/>
  <c r="B11" i="48"/>
  <c r="B14" i="48"/>
  <c r="Q17" i="48"/>
  <c r="R17" i="48" s="1"/>
  <c r="B19" i="48"/>
  <c r="B26" i="48"/>
  <c r="Q26" i="48"/>
  <c r="R26" i="48" s="1"/>
  <c r="B31" i="48"/>
  <c r="Q32" i="48"/>
  <c r="R32" i="48" s="1"/>
  <c r="Q35" i="48"/>
  <c r="R35" i="48" s="1"/>
  <c r="Q42" i="48"/>
  <c r="R42" i="48" s="1"/>
  <c r="B13" i="48"/>
  <c r="B25" i="48"/>
  <c r="Q28" i="48"/>
  <c r="R28" i="48" s="1"/>
  <c r="B10" i="48"/>
  <c r="Q11" i="48"/>
  <c r="R11" i="48" s="1"/>
  <c r="B28" i="48"/>
  <c r="Q31" i="48"/>
  <c r="R31" i="48" s="1"/>
  <c r="B38" i="48"/>
  <c r="B44" i="48"/>
  <c r="Q15" i="48"/>
  <c r="R15" i="48" s="1"/>
  <c r="B17" i="48"/>
  <c r="Q22" i="48"/>
  <c r="R22" i="48" s="1"/>
  <c r="Q23" i="48"/>
  <c r="R23" i="48" s="1"/>
  <c r="Q24" i="48"/>
  <c r="R24" i="48" s="1"/>
  <c r="B29" i="48"/>
  <c r="B35" i="48"/>
  <c r="B39" i="48"/>
  <c r="B42" i="48"/>
  <c r="B45" i="48"/>
  <c r="B16" i="48"/>
  <c r="Q27" i="48"/>
  <c r="R27" i="48" s="1"/>
  <c r="B32" i="48"/>
  <c r="Q33" i="48"/>
  <c r="R33" i="48" s="1"/>
  <c r="Q36" i="48"/>
  <c r="R36" i="48" s="1"/>
  <c r="I6" i="47"/>
  <c r="L43" i="47"/>
  <c r="L41" i="47"/>
  <c r="L40" i="47"/>
  <c r="L39" i="47"/>
  <c r="L38" i="47"/>
  <c r="L37" i="47"/>
  <c r="L36" i="47"/>
  <c r="L35" i="47"/>
  <c r="L34" i="47"/>
  <c r="L33" i="47"/>
  <c r="L31" i="47"/>
  <c r="L30" i="47"/>
  <c r="L28" i="47"/>
  <c r="L27" i="47"/>
  <c r="K26" i="47"/>
  <c r="L26" i="47" s="1"/>
  <c r="L25" i="47"/>
  <c r="L24" i="47"/>
  <c r="L22" i="47"/>
  <c r="L21" i="47"/>
  <c r="L20" i="47"/>
  <c r="L19" i="47"/>
  <c r="L17" i="47"/>
  <c r="K16" i="47"/>
  <c r="L13" i="47"/>
  <c r="L11" i="47"/>
  <c r="J5" i="47"/>
  <c r="P3" i="47"/>
  <c r="O40" i="48" l="1"/>
  <c r="A21" i="48"/>
  <c r="O37" i="48"/>
  <c r="O27" i="48"/>
  <c r="A15" i="48"/>
  <c r="A28" i="48"/>
  <c r="A17" i="48"/>
  <c r="O17" i="48"/>
  <c r="A19" i="48"/>
  <c r="A27" i="48"/>
  <c r="O41" i="48"/>
  <c r="O20" i="48"/>
  <c r="O11" i="48"/>
  <c r="A26" i="48"/>
  <c r="A32" i="48"/>
  <c r="A34" i="48"/>
  <c r="A31" i="48"/>
  <c r="O44" i="48"/>
  <c r="A13" i="48"/>
  <c r="A38" i="48"/>
  <c r="A35" i="48"/>
  <c r="O35" i="48"/>
  <c r="O10" i="48"/>
  <c r="O34" i="48"/>
  <c r="O30" i="48"/>
  <c r="A14" i="48"/>
  <c r="A20" i="48"/>
  <c r="O36" i="48"/>
  <c r="A29" i="48"/>
  <c r="O13" i="48"/>
  <c r="O33" i="48"/>
  <c r="O24" i="48"/>
  <c r="A16" i="48"/>
  <c r="A41" i="48"/>
  <c r="A39" i="48"/>
  <c r="A22" i="48"/>
  <c r="A36" i="48"/>
  <c r="O25" i="48"/>
  <c r="A30" i="48"/>
  <c r="A10" i="48"/>
  <c r="A40" i="48"/>
  <c r="O15" i="48"/>
  <c r="A18" i="48"/>
  <c r="O26" i="48"/>
  <c r="O28" i="48"/>
  <c r="O23" i="48"/>
  <c r="A25" i="48"/>
  <c r="O42" i="48"/>
  <c r="A42" i="48"/>
  <c r="A11" i="48"/>
  <c r="A24" i="48"/>
  <c r="O38" i="48"/>
  <c r="O19" i="48"/>
  <c r="P6" i="48"/>
  <c r="R4" i="48" s="1"/>
  <c r="O32" i="48"/>
  <c r="I4" i="48"/>
  <c r="R5" i="48" s="1"/>
  <c r="A45" i="48"/>
  <c r="A44" i="48"/>
  <c r="A12" i="48"/>
  <c r="A33" i="48"/>
  <c r="A43" i="48"/>
  <c r="O31" i="48"/>
  <c r="O11" i="47"/>
  <c r="O15" i="47"/>
  <c r="O21" i="47"/>
  <c r="O24" i="47"/>
  <c r="O27" i="47"/>
  <c r="O30" i="47"/>
  <c r="O33" i="47"/>
  <c r="O36" i="47"/>
  <c r="O39" i="47"/>
  <c r="O17" i="47"/>
  <c r="O20" i="47"/>
  <c r="O32" i="47"/>
  <c r="O35" i="47"/>
  <c r="O38" i="47"/>
  <c r="O41" i="47"/>
  <c r="O13" i="47"/>
  <c r="O19" i="47"/>
  <c r="O22" i="47"/>
  <c r="O25" i="47"/>
  <c r="O28" i="47"/>
  <c r="O31" i="47"/>
  <c r="O34" i="47"/>
  <c r="O37" i="47"/>
  <c r="O40" i="47"/>
  <c r="O43" i="47"/>
  <c r="O26" i="47"/>
  <c r="O10" i="47"/>
  <c r="B18" i="47"/>
  <c r="B29" i="47"/>
  <c r="B17" i="47"/>
  <c r="B14" i="47"/>
  <c r="B13" i="47"/>
  <c r="J6" i="47"/>
  <c r="D6" i="47"/>
  <c r="B42" i="47"/>
  <c r="B20" i="47"/>
  <c r="B16" i="47"/>
  <c r="B11" i="47"/>
  <c r="B35" i="47"/>
  <c r="B33" i="47"/>
  <c r="B26" i="47"/>
  <c r="B41" i="47"/>
  <c r="B31" i="47"/>
  <c r="B15" i="47"/>
  <c r="B10" i="47"/>
  <c r="B40" i="47"/>
  <c r="B34" i="47"/>
  <c r="B30" i="47"/>
  <c r="B24" i="47"/>
  <c r="B44" i="47"/>
  <c r="B39" i="47"/>
  <c r="B43" i="47"/>
  <c r="B38" i="47"/>
  <c r="B27" i="47"/>
  <c r="B23" i="47"/>
  <c r="B37" i="47"/>
  <c r="B32" i="47"/>
  <c r="B22" i="47"/>
  <c r="B12" i="47"/>
  <c r="B36" i="47"/>
  <c r="B25" i="47"/>
  <c r="B19" i="47"/>
  <c r="B28" i="47"/>
  <c r="J215" i="45"/>
  <c r="P4" i="48" l="1"/>
  <c r="A29" i="47"/>
  <c r="A18" i="47"/>
  <c r="A22" i="47"/>
  <c r="A25" i="47"/>
  <c r="A14" i="47"/>
  <c r="A10" i="47"/>
  <c r="A32" i="47"/>
  <c r="A28" i="47"/>
  <c r="A35" i="47"/>
  <c r="A37" i="47"/>
  <c r="A27" i="47"/>
  <c r="A33" i="47"/>
  <c r="A30" i="47"/>
  <c r="A40" i="47"/>
  <c r="A38" i="47"/>
  <c r="A44" i="47"/>
  <c r="A42" i="47"/>
  <c r="A24" i="47"/>
  <c r="A43" i="47"/>
  <c r="A34" i="47"/>
  <c r="A11" i="47"/>
  <c r="A12" i="47"/>
  <c r="A17" i="47"/>
  <c r="A16" i="47"/>
  <c r="A15" i="47"/>
  <c r="A20" i="47"/>
  <c r="A23" i="47"/>
  <c r="A19" i="47"/>
  <c r="A41" i="47"/>
  <c r="A26" i="47"/>
  <c r="I4" i="47"/>
  <c r="P4" i="47" s="1"/>
  <c r="R4" i="47"/>
  <c r="A13" i="47"/>
  <c r="A39" i="47"/>
  <c r="A31" i="47"/>
  <c r="A36" i="47"/>
  <c r="L10" i="44"/>
  <c r="L21" i="44"/>
  <c r="O21" i="44" s="1"/>
  <c r="P21" i="44" s="1"/>
  <c r="G53" i="44"/>
  <c r="F53" i="44"/>
  <c r="E53" i="44"/>
  <c r="D53" i="44"/>
  <c r="I6" i="44" s="1"/>
  <c r="B49" i="44"/>
  <c r="L47" i="44"/>
  <c r="O47" i="44" s="1"/>
  <c r="P47" i="44" s="1"/>
  <c r="L45" i="44"/>
  <c r="O45" i="44" s="1"/>
  <c r="P45" i="44" s="1"/>
  <c r="L44" i="44"/>
  <c r="L43" i="44"/>
  <c r="L42" i="44"/>
  <c r="N42" i="44" s="1"/>
  <c r="L41" i="44"/>
  <c r="N41" i="44" s="1"/>
  <c r="L40" i="44"/>
  <c r="N40" i="44" s="1"/>
  <c r="L39" i="44"/>
  <c r="O39" i="44" s="1"/>
  <c r="P39" i="44" s="1"/>
  <c r="B39" i="44"/>
  <c r="L38" i="44"/>
  <c r="L37" i="44"/>
  <c r="L35" i="44"/>
  <c r="N35" i="44" s="1"/>
  <c r="L34" i="44"/>
  <c r="O34" i="44" s="1"/>
  <c r="P34" i="44" s="1"/>
  <c r="B34" i="44"/>
  <c r="L33" i="44"/>
  <c r="L32" i="44"/>
  <c r="L31" i="44"/>
  <c r="N31" i="44" s="1"/>
  <c r="K30" i="44"/>
  <c r="L30" i="44" s="1"/>
  <c r="L29" i="44"/>
  <c r="O29" i="44" s="1"/>
  <c r="P29" i="44" s="1"/>
  <c r="L28" i="44"/>
  <c r="L26" i="44"/>
  <c r="O26" i="44" s="1"/>
  <c r="P26" i="44" s="1"/>
  <c r="L25" i="44"/>
  <c r="L24" i="44"/>
  <c r="L23" i="44"/>
  <c r="L22" i="44"/>
  <c r="L20" i="44"/>
  <c r="L19" i="44"/>
  <c r="K18" i="44"/>
  <c r="L15" i="44"/>
  <c r="N15" i="44" s="1"/>
  <c r="L12" i="44"/>
  <c r="O12" i="44" s="1"/>
  <c r="P12" i="44" s="1"/>
  <c r="K10" i="44"/>
  <c r="J5" i="44"/>
  <c r="I3" i="44"/>
  <c r="N3" i="44" s="1"/>
  <c r="B38" i="44" s="1"/>
  <c r="R5" i="47" l="1"/>
  <c r="N26" i="44"/>
  <c r="O15" i="44"/>
  <c r="P15" i="44" s="1"/>
  <c r="O35" i="44"/>
  <c r="P35" i="44" s="1"/>
  <c r="O40" i="44"/>
  <c r="P40" i="44" s="1"/>
  <c r="N12" i="44"/>
  <c r="O41" i="44"/>
  <c r="P41" i="44" s="1"/>
  <c r="N21" i="44"/>
  <c r="O31" i="44"/>
  <c r="P31" i="44" s="1"/>
  <c r="O42" i="44"/>
  <c r="P42" i="44" s="1"/>
  <c r="B11" i="44"/>
  <c r="N47" i="44"/>
  <c r="B44" i="44"/>
  <c r="B21" i="44"/>
  <c r="B28" i="44"/>
  <c r="J6" i="44"/>
  <c r="D6" i="44"/>
  <c r="P3" i="44"/>
  <c r="A21" i="44" s="1"/>
  <c r="O10" i="44"/>
  <c r="P10" i="44" s="1"/>
  <c r="N5" i="44"/>
  <c r="N10" i="44"/>
  <c r="O38" i="44"/>
  <c r="P38" i="44" s="1"/>
  <c r="N38" i="44"/>
  <c r="O28" i="44"/>
  <c r="P28" i="44" s="1"/>
  <c r="N28" i="44"/>
  <c r="B17" i="44"/>
  <c r="B33" i="44"/>
  <c r="O33" i="44"/>
  <c r="P33" i="44" s="1"/>
  <c r="N33" i="44"/>
  <c r="O44" i="44"/>
  <c r="P44" i="44" s="1"/>
  <c r="N44" i="44"/>
  <c r="B51" i="44"/>
  <c r="B48" i="44"/>
  <c r="B43" i="44"/>
  <c r="B37" i="44"/>
  <c r="B32" i="44"/>
  <c r="B24" i="44"/>
  <c r="B22" i="44"/>
  <c r="B19" i="44"/>
  <c r="B10" i="44"/>
  <c r="B23" i="44"/>
  <c r="B47" i="44"/>
  <c r="B42" i="44"/>
  <c r="B31" i="44"/>
  <c r="B27" i="44"/>
  <c r="B13" i="44"/>
  <c r="B50" i="44"/>
  <c r="B41" i="44"/>
  <c r="B36" i="44"/>
  <c r="B26" i="44"/>
  <c r="B16" i="44"/>
  <c r="B12" i="44"/>
  <c r="B46" i="44"/>
  <c r="B40" i="44"/>
  <c r="B35" i="44"/>
  <c r="B30" i="44"/>
  <c r="B20" i="44"/>
  <c r="B18" i="44"/>
  <c r="B15" i="44"/>
  <c r="N30" i="44"/>
  <c r="O32" i="44"/>
  <c r="P32" i="44" s="1"/>
  <c r="N32" i="44"/>
  <c r="O37" i="44"/>
  <c r="P37" i="44" s="1"/>
  <c r="N37" i="44"/>
  <c r="B45" i="44"/>
  <c r="B14" i="44"/>
  <c r="B29" i="44"/>
  <c r="O30" i="44"/>
  <c r="P30" i="44" s="1"/>
  <c r="O43" i="44"/>
  <c r="P43" i="44" s="1"/>
  <c r="N43" i="44"/>
  <c r="N29" i="44"/>
  <c r="N34" i="44"/>
  <c r="N39" i="44"/>
  <c r="N45" i="44"/>
  <c r="I4" i="40"/>
  <c r="L12" i="41"/>
  <c r="K19" i="41"/>
  <c r="M38" i="44" l="1"/>
  <c r="M10" i="44"/>
  <c r="M21" i="44"/>
  <c r="M32" i="44"/>
  <c r="M45" i="44"/>
  <c r="M37" i="44"/>
  <c r="M40" i="44"/>
  <c r="M34" i="44"/>
  <c r="M30" i="44"/>
  <c r="M44" i="44"/>
  <c r="M35" i="44"/>
  <c r="M39" i="44"/>
  <c r="A44" i="44"/>
  <c r="M41" i="44"/>
  <c r="A38" i="44"/>
  <c r="A33" i="44"/>
  <c r="A28" i="44"/>
  <c r="M26" i="44"/>
  <c r="A17" i="44"/>
  <c r="A14" i="44"/>
  <c r="M12" i="44"/>
  <c r="A16" i="44"/>
  <c r="A51" i="44"/>
  <c r="A48" i="44"/>
  <c r="A43" i="44"/>
  <c r="A37" i="44"/>
  <c r="A32" i="44"/>
  <c r="A24" i="44"/>
  <c r="A22" i="44"/>
  <c r="A19" i="44"/>
  <c r="A10" i="44"/>
  <c r="A47" i="44"/>
  <c r="A42" i="44"/>
  <c r="A31" i="44"/>
  <c r="A27" i="44"/>
  <c r="A13" i="44"/>
  <c r="N6" i="44"/>
  <c r="P4" i="44" s="1"/>
  <c r="A50" i="44"/>
  <c r="A41" i="44"/>
  <c r="A36" i="44"/>
  <c r="A26" i="44"/>
  <c r="A12" i="44"/>
  <c r="I4" i="44"/>
  <c r="A29" i="44"/>
  <c r="A20" i="44"/>
  <c r="M47" i="44"/>
  <c r="M42" i="44"/>
  <c r="A34" i="44"/>
  <c r="A30" i="44"/>
  <c r="A18" i="44"/>
  <c r="A49" i="44"/>
  <c r="M43" i="44"/>
  <c r="A40" i="44"/>
  <c r="A35" i="44"/>
  <c r="A15" i="44"/>
  <c r="A11" i="44"/>
  <c r="A45" i="44"/>
  <c r="A39" i="44"/>
  <c r="A46" i="44"/>
  <c r="M31" i="44"/>
  <c r="A23" i="44"/>
  <c r="M29" i="44"/>
  <c r="M28" i="44"/>
  <c r="M15" i="44"/>
  <c r="M33" i="44"/>
  <c r="L45" i="41"/>
  <c r="L42" i="41"/>
  <c r="L41" i="41"/>
  <c r="N41" i="41" s="1"/>
  <c r="L35" i="41"/>
  <c r="L26" i="41"/>
  <c r="N26" i="41" s="1"/>
  <c r="L17" i="41"/>
  <c r="N5" i="41" s="1"/>
  <c r="L15" i="41"/>
  <c r="O15" i="41" s="1"/>
  <c r="P15" i="41" s="1"/>
  <c r="O12" i="41"/>
  <c r="P12" i="41" s="1"/>
  <c r="L10" i="41"/>
  <c r="N3" i="41"/>
  <c r="N12" i="41"/>
  <c r="N15" i="41"/>
  <c r="L20" i="41"/>
  <c r="L21" i="41"/>
  <c r="L22" i="41"/>
  <c r="L23" i="41"/>
  <c r="L24" i="41"/>
  <c r="L25" i="41"/>
  <c r="L28" i="41"/>
  <c r="N28" i="41"/>
  <c r="O28" i="41"/>
  <c r="P28" i="41" s="1"/>
  <c r="L29" i="41"/>
  <c r="N29" i="41"/>
  <c r="O29" i="41"/>
  <c r="P29" i="41"/>
  <c r="L30" i="41"/>
  <c r="N30" i="41"/>
  <c r="O30" i="41"/>
  <c r="P30" i="41"/>
  <c r="L31" i="41"/>
  <c r="L32" i="41"/>
  <c r="N32" i="41" s="1"/>
  <c r="L33" i="41"/>
  <c r="O33" i="41" s="1"/>
  <c r="P33" i="41" s="1"/>
  <c r="N33" i="41"/>
  <c r="L34" i="41"/>
  <c r="N34" i="41"/>
  <c r="O34" i="41"/>
  <c r="P34" i="41" s="1"/>
  <c r="N35" i="41"/>
  <c r="O35" i="41"/>
  <c r="P35" i="41"/>
  <c r="L37" i="41"/>
  <c r="L38" i="41"/>
  <c r="N38" i="41" s="1"/>
  <c r="L39" i="41"/>
  <c r="O39" i="41" s="1"/>
  <c r="P39" i="41" s="1"/>
  <c r="N39" i="41"/>
  <c r="L40" i="41"/>
  <c r="N40" i="41"/>
  <c r="O40" i="41"/>
  <c r="P40" i="41" s="1"/>
  <c r="N42" i="41"/>
  <c r="O42" i="41"/>
  <c r="P42" i="41"/>
  <c r="L43" i="41"/>
  <c r="L44" i="41"/>
  <c r="N44" i="41" s="1"/>
  <c r="O45" i="41"/>
  <c r="P45" i="41" s="1"/>
  <c r="N45" i="41"/>
  <c r="O10" i="41"/>
  <c r="P10" i="41" s="1"/>
  <c r="P5" i="44" l="1"/>
  <c r="N4" i="44"/>
  <c r="O17" i="41"/>
  <c r="P17" i="41" s="1"/>
  <c r="N17" i="41"/>
  <c r="O41" i="41"/>
  <c r="P41" i="41" s="1"/>
  <c r="O43" i="41"/>
  <c r="P43" i="41" s="1"/>
  <c r="O37" i="41"/>
  <c r="P37" i="41" s="1"/>
  <c r="O31" i="41"/>
  <c r="P31" i="41" s="1"/>
  <c r="O44" i="41"/>
  <c r="P44" i="41" s="1"/>
  <c r="N43" i="41"/>
  <c r="O38" i="41"/>
  <c r="P38" i="41" s="1"/>
  <c r="N37" i="41"/>
  <c r="O32" i="41"/>
  <c r="P32" i="41" s="1"/>
  <c r="N31" i="41"/>
  <c r="O26" i="41"/>
  <c r="P26" i="41" s="1"/>
  <c r="N10" i="41"/>
  <c r="J198" i="43"/>
  <c r="K30" i="41" l="1"/>
  <c r="G53" i="41"/>
  <c r="F53" i="41"/>
  <c r="E53" i="41"/>
  <c r="D53" i="41"/>
  <c r="I6" i="41" s="1"/>
  <c r="D6" i="41" s="1"/>
  <c r="L47" i="41"/>
  <c r="O47" i="41" s="1"/>
  <c r="P47" i="41" s="1"/>
  <c r="K10" i="41"/>
  <c r="J5" i="41"/>
  <c r="I3" i="41"/>
  <c r="B14" i="41" s="1"/>
  <c r="B19" i="41" l="1"/>
  <c r="B16" i="41"/>
  <c r="B21" i="41"/>
  <c r="B20" i="41"/>
  <c r="B34" i="41"/>
  <c r="B24" i="41"/>
  <c r="B22" i="41"/>
  <c r="B23" i="41"/>
  <c r="B32" i="41"/>
  <c r="B28" i="41"/>
  <c r="B11" i="41"/>
  <c r="B36" i="41"/>
  <c r="B31" i="41"/>
  <c r="B33" i="41"/>
  <c r="B29" i="41"/>
  <c r="B35" i="41"/>
  <c r="B30" i="41"/>
  <c r="P3" i="41"/>
  <c r="J6" i="41"/>
  <c r="B51" i="41"/>
  <c r="B43" i="41"/>
  <c r="B17" i="41"/>
  <c r="B39" i="41"/>
  <c r="B49" i="41"/>
  <c r="B45" i="41"/>
  <c r="B40" i="41"/>
  <c r="B38" i="41"/>
  <c r="B47" i="41"/>
  <c r="B42" i="41"/>
  <c r="B37" i="41"/>
  <c r="B27" i="41"/>
  <c r="B18" i="41"/>
  <c r="B13" i="41"/>
  <c r="B50" i="41"/>
  <c r="B41" i="41"/>
  <c r="B26" i="41"/>
  <c r="B12" i="41"/>
  <c r="B46" i="41"/>
  <c r="B10" i="41"/>
  <c r="B44" i="41"/>
  <c r="B15" i="41"/>
  <c r="B48" i="41"/>
  <c r="N47" i="41"/>
  <c r="L40" i="40"/>
  <c r="L39" i="40"/>
  <c r="L10" i="40"/>
  <c r="L38" i="40"/>
  <c r="L37" i="40"/>
  <c r="L36" i="40"/>
  <c r="L35" i="40"/>
  <c r="L33" i="40"/>
  <c r="L31" i="40"/>
  <c r="L30" i="40"/>
  <c r="L29" i="40"/>
  <c r="L28" i="40"/>
  <c r="L27" i="40"/>
  <c r="L25" i="40"/>
  <c r="L24" i="40"/>
  <c r="L22" i="40"/>
  <c r="L21" i="40"/>
  <c r="L19" i="40"/>
  <c r="L17" i="40"/>
  <c r="L15" i="40"/>
  <c r="L13" i="40"/>
  <c r="L11" i="40"/>
  <c r="O11" i="40" s="1"/>
  <c r="P11" i="40" s="1"/>
  <c r="K10" i="40"/>
  <c r="K40" i="40"/>
  <c r="M12" i="41" l="1"/>
  <c r="M30" i="41"/>
  <c r="M42" i="41"/>
  <c r="M17" i="41"/>
  <c r="M29" i="41"/>
  <c r="M35" i="41"/>
  <c r="M41" i="41"/>
  <c r="M28" i="41"/>
  <c r="M34" i="41"/>
  <c r="M40" i="41"/>
  <c r="M15" i="41"/>
  <c r="M33" i="41"/>
  <c r="M39" i="41"/>
  <c r="M45" i="41"/>
  <c r="M26" i="41"/>
  <c r="M32" i="41"/>
  <c r="M38" i="41"/>
  <c r="M44" i="41"/>
  <c r="M43" i="41"/>
  <c r="M31" i="41"/>
  <c r="M37" i="41"/>
  <c r="A14" i="41"/>
  <c r="M10" i="41"/>
  <c r="A16" i="41"/>
  <c r="A19" i="41"/>
  <c r="A20" i="41"/>
  <c r="A21" i="41"/>
  <c r="A23" i="41"/>
  <c r="A22" i="41"/>
  <c r="A24" i="41"/>
  <c r="A11" i="41"/>
  <c r="A34" i="41"/>
  <c r="A30" i="41"/>
  <c r="A28" i="41"/>
  <c r="A32" i="41"/>
  <c r="A31" i="41"/>
  <c r="A29" i="41"/>
  <c r="A33" i="41"/>
  <c r="A36" i="41"/>
  <c r="A35" i="41"/>
  <c r="M47" i="41"/>
  <c r="A10" i="41"/>
  <c r="A41" i="41"/>
  <c r="A26" i="41"/>
  <c r="A45" i="41"/>
  <c r="A46" i="41"/>
  <c r="A49" i="41"/>
  <c r="A17" i="41"/>
  <c r="A40" i="41"/>
  <c r="A15" i="41"/>
  <c r="N6" i="41"/>
  <c r="A51" i="41"/>
  <c r="A48" i="41"/>
  <c r="A43" i="41"/>
  <c r="A38" i="41"/>
  <c r="A47" i="41"/>
  <c r="A42" i="41"/>
  <c r="A37" i="41"/>
  <c r="A27" i="41"/>
  <c r="A18" i="41"/>
  <c r="A13" i="41"/>
  <c r="A50" i="41"/>
  <c r="A12" i="41"/>
  <c r="I4" i="41"/>
  <c r="N4" i="41" s="1"/>
  <c r="A44" i="41"/>
  <c r="A39" i="41"/>
  <c r="O10" i="40"/>
  <c r="P10" i="40" s="1"/>
  <c r="N11" i="40"/>
  <c r="N10" i="40"/>
  <c r="O25" i="40"/>
  <c r="P25" i="40" s="1"/>
  <c r="L55" i="40"/>
  <c r="L52" i="40"/>
  <c r="L53" i="40"/>
  <c r="L48" i="40"/>
  <c r="L46" i="40"/>
  <c r="L50" i="40"/>
  <c r="L49" i="40"/>
  <c r="N49" i="40" s="1"/>
  <c r="L43" i="40"/>
  <c r="O33" i="40"/>
  <c r="P33" i="40" s="1"/>
  <c r="O34" i="40"/>
  <c r="P34" i="40" s="1"/>
  <c r="N31" i="40"/>
  <c r="P4" i="41" l="1"/>
  <c r="P5" i="41"/>
  <c r="N25" i="40"/>
  <c r="O24" i="40"/>
  <c r="P24" i="40" s="1"/>
  <c r="N24" i="40"/>
  <c r="O31" i="40"/>
  <c r="P31" i="40" s="1"/>
  <c r="O49" i="40"/>
  <c r="P49" i="40" s="1"/>
  <c r="N33" i="40"/>
  <c r="N34" i="40"/>
  <c r="O27" i="40"/>
  <c r="P27" i="40" s="1"/>
  <c r="O22" i="40"/>
  <c r="P22" i="40" s="1"/>
  <c r="N19" i="40"/>
  <c r="N17" i="40"/>
  <c r="N15" i="40"/>
  <c r="N21" i="40"/>
  <c r="I3" i="40"/>
  <c r="N3" i="40" s="1"/>
  <c r="G61" i="40"/>
  <c r="F61" i="40"/>
  <c r="E61" i="40"/>
  <c r="D61" i="40"/>
  <c r="I6" i="40" s="1"/>
  <c r="N55" i="40"/>
  <c r="O52" i="40"/>
  <c r="P52" i="40" s="1"/>
  <c r="L51" i="40"/>
  <c r="O50" i="40"/>
  <c r="P50" i="40" s="1"/>
  <c r="O48" i="40"/>
  <c r="P48" i="40" s="1"/>
  <c r="O46" i="40"/>
  <c r="P46" i="40" s="1"/>
  <c r="L45" i="40"/>
  <c r="L42" i="40"/>
  <c r="O42" i="40" s="1"/>
  <c r="P42" i="40" s="1"/>
  <c r="L41" i="40"/>
  <c r="O41" i="40" s="1"/>
  <c r="P41" i="40" s="1"/>
  <c r="O39" i="40"/>
  <c r="P39" i="40" s="1"/>
  <c r="N37" i="40"/>
  <c r="O35" i="40"/>
  <c r="P35" i="40" s="1"/>
  <c r="J5" i="40"/>
  <c r="B10" i="40" l="1"/>
  <c r="B12" i="40"/>
  <c r="B11" i="40"/>
  <c r="B25" i="40"/>
  <c r="B24" i="40"/>
  <c r="B49" i="40"/>
  <c r="B47" i="40"/>
  <c r="B32" i="40"/>
  <c r="B33" i="40"/>
  <c r="B34" i="40"/>
  <c r="O21" i="40"/>
  <c r="P21" i="40" s="1"/>
  <c r="O17" i="40"/>
  <c r="P17" i="40" s="1"/>
  <c r="B21" i="40"/>
  <c r="B17" i="40"/>
  <c r="B44" i="40"/>
  <c r="B40" i="40"/>
  <c r="B29" i="40"/>
  <c r="B52" i="40"/>
  <c r="B20" i="40"/>
  <c r="B16" i="40"/>
  <c r="B51" i="40"/>
  <c r="B14" i="40"/>
  <c r="B58" i="40"/>
  <c r="B42" i="40"/>
  <c r="B39" i="40"/>
  <c r="B27" i="40"/>
  <c r="B22" i="40"/>
  <c r="B19" i="40"/>
  <c r="B18" i="40"/>
  <c r="B15" i="40"/>
  <c r="B59" i="40"/>
  <c r="B57" i="40"/>
  <c r="B46" i="40"/>
  <c r="B38" i="40"/>
  <c r="B31" i="40"/>
  <c r="N35" i="40"/>
  <c r="N41" i="40"/>
  <c r="N50" i="40"/>
  <c r="O15" i="40"/>
  <c r="P15" i="40" s="1"/>
  <c r="O19" i="40"/>
  <c r="P19" i="40" s="1"/>
  <c r="N30" i="40"/>
  <c r="N36" i="40"/>
  <c r="N40" i="40"/>
  <c r="N45" i="40"/>
  <c r="N46" i="40"/>
  <c r="N53" i="40"/>
  <c r="O30" i="40"/>
  <c r="P30" i="40" s="1"/>
  <c r="O36" i="40"/>
  <c r="P36" i="40" s="1"/>
  <c r="N39" i="40"/>
  <c r="O40" i="40"/>
  <c r="P40" i="40" s="1"/>
  <c r="O45" i="40"/>
  <c r="P45" i="40" s="1"/>
  <c r="O53" i="40"/>
  <c r="P53" i="40" s="1"/>
  <c r="O37" i="40"/>
  <c r="P37" i="40" s="1"/>
  <c r="N22" i="40"/>
  <c r="B13" i="40"/>
  <c r="B30" i="40"/>
  <c r="B45" i="40"/>
  <c r="B50" i="40"/>
  <c r="B54" i="40"/>
  <c r="B56" i="40"/>
  <c r="B28" i="40"/>
  <c r="B43" i="40"/>
  <c r="B23" i="40"/>
  <c r="B36" i="40"/>
  <c r="B53" i="40"/>
  <c r="D6" i="40"/>
  <c r="J6" i="40"/>
  <c r="O51" i="40"/>
  <c r="P51" i="40" s="1"/>
  <c r="N51" i="40"/>
  <c r="O55" i="40"/>
  <c r="P55" i="40" s="1"/>
  <c r="O13" i="40"/>
  <c r="P13" i="40" s="1"/>
  <c r="N13" i="40"/>
  <c r="N29" i="40"/>
  <c r="N5" i="40"/>
  <c r="O28" i="40"/>
  <c r="P28" i="40" s="1"/>
  <c r="N28" i="40"/>
  <c r="O29" i="40"/>
  <c r="P29" i="40" s="1"/>
  <c r="N42" i="40"/>
  <c r="N38" i="40"/>
  <c r="P3" i="40"/>
  <c r="M11" i="40" s="1"/>
  <c r="O38" i="40"/>
  <c r="P38" i="40" s="1"/>
  <c r="N48" i="40"/>
  <c r="N27" i="40"/>
  <c r="O43" i="40"/>
  <c r="P43" i="40" s="1"/>
  <c r="N43" i="40"/>
  <c r="N52" i="40"/>
  <c r="B26" i="40"/>
  <c r="B35" i="40"/>
  <c r="B37" i="40"/>
  <c r="B41" i="40"/>
  <c r="B48" i="40"/>
  <c r="B55" i="40"/>
  <c r="A12" i="40" l="1"/>
  <c r="A11" i="40"/>
  <c r="A10" i="40"/>
  <c r="M10" i="40"/>
  <c r="M24" i="40"/>
  <c r="A24" i="40"/>
  <c r="A25" i="40"/>
  <c r="M25" i="40"/>
  <c r="A47" i="40"/>
  <c r="A49" i="40"/>
  <c r="M49" i="40"/>
  <c r="A34" i="40"/>
  <c r="A33" i="40"/>
  <c r="M33" i="40"/>
  <c r="M34" i="40"/>
  <c r="M31" i="40"/>
  <c r="A32" i="40"/>
  <c r="M53" i="40"/>
  <c r="M27" i="40"/>
  <c r="M37" i="40"/>
  <c r="M45" i="40"/>
  <c r="M36" i="40"/>
  <c r="M21" i="40"/>
  <c r="M48" i="40"/>
  <c r="M55" i="40"/>
  <c r="M41" i="40"/>
  <c r="M13" i="40"/>
  <c r="M29" i="40"/>
  <c r="M39" i="40"/>
  <c r="M19" i="40"/>
  <c r="M43" i="40"/>
  <c r="M28" i="40"/>
  <c r="M51" i="40"/>
  <c r="M15" i="40"/>
  <c r="M22" i="40"/>
  <c r="M35" i="40"/>
  <c r="M17" i="40"/>
  <c r="M40" i="40"/>
  <c r="M52" i="40"/>
  <c r="M38" i="40"/>
  <c r="M50" i="40"/>
  <c r="M42" i="40"/>
  <c r="M46" i="40"/>
  <c r="M30" i="40"/>
  <c r="A14" i="40"/>
  <c r="A22" i="40"/>
  <c r="A18" i="40"/>
  <c r="A21" i="40"/>
  <c r="A17" i="40"/>
  <c r="A20" i="40"/>
  <c r="A16" i="40"/>
  <c r="A19" i="40"/>
  <c r="A15" i="40"/>
  <c r="A56" i="40"/>
  <c r="A50" i="40"/>
  <c r="A42" i="40"/>
  <c r="A27" i="40"/>
  <c r="A55" i="40"/>
  <c r="A48" i="40"/>
  <c r="A41" i="40"/>
  <c r="A37" i="40"/>
  <c r="A35" i="40"/>
  <c r="A26" i="40"/>
  <c r="N6" i="40"/>
  <c r="P4" i="40" s="1"/>
  <c r="A40" i="40"/>
  <c r="A36" i="40"/>
  <c r="A29" i="40"/>
  <c r="A13" i="40"/>
  <c r="A57" i="40"/>
  <c r="A51" i="40"/>
  <c r="A31" i="40"/>
  <c r="A30" i="40"/>
  <c r="A23" i="40"/>
  <c r="A52" i="40"/>
  <c r="A43" i="40"/>
  <c r="A58" i="40"/>
  <c r="A54" i="40"/>
  <c r="A53" i="40"/>
  <c r="A44" i="40"/>
  <c r="A59" i="40"/>
  <c r="A46" i="40"/>
  <c r="A45" i="40"/>
  <c r="A38" i="40"/>
  <c r="A39" i="40"/>
  <c r="A28" i="40"/>
  <c r="N4" i="40" l="1"/>
  <c r="P5" i="40"/>
  <c r="X77" i="38" l="1"/>
  <c r="W77" i="38"/>
  <c r="T86" i="38" l="1"/>
  <c r="R86" i="38"/>
  <c r="P86" i="38"/>
  <c r="N86" i="38"/>
  <c r="T85" i="38"/>
  <c r="R85" i="38"/>
  <c r="P85" i="38"/>
  <c r="N85" i="38"/>
  <c r="G85" i="38"/>
  <c r="T84" i="38"/>
  <c r="R84" i="38"/>
  <c r="P84" i="38"/>
  <c r="N84" i="38"/>
  <c r="G84" i="38"/>
  <c r="T83" i="38"/>
  <c r="R83" i="38"/>
  <c r="P83" i="38"/>
  <c r="N83" i="38"/>
  <c r="T82" i="38"/>
  <c r="R82" i="38"/>
  <c r="P82" i="38"/>
  <c r="N82" i="38"/>
  <c r="G82" i="38"/>
  <c r="T73" i="38"/>
  <c r="S73" i="38"/>
  <c r="T71" i="38"/>
  <c r="S71" i="38"/>
  <c r="T70" i="38"/>
  <c r="S70" i="38"/>
  <c r="M70" i="38"/>
  <c r="T69" i="38"/>
  <c r="S69" i="38"/>
  <c r="T68" i="38"/>
  <c r="S68" i="38"/>
  <c r="T67" i="38"/>
  <c r="S67" i="38"/>
  <c r="T66" i="38"/>
  <c r="S66" i="38"/>
  <c r="T65" i="38"/>
  <c r="S65" i="38"/>
  <c r="T64" i="38"/>
  <c r="S64" i="38"/>
  <c r="T63" i="38"/>
  <c r="S63" i="38"/>
  <c r="T62" i="38"/>
  <c r="S62" i="38"/>
  <c r="T61" i="38"/>
  <c r="S61" i="38"/>
  <c r="T60" i="38"/>
  <c r="S60" i="38"/>
  <c r="T59" i="38"/>
  <c r="S59" i="38"/>
  <c r="T58" i="38"/>
  <c r="S58" i="38"/>
  <c r="T57" i="38"/>
  <c r="S57" i="38"/>
  <c r="M56" i="38"/>
  <c r="T56" i="38" s="1"/>
  <c r="T55" i="38"/>
  <c r="S55" i="38"/>
  <c r="T54" i="38"/>
  <c r="S54" i="38"/>
  <c r="T53" i="38"/>
  <c r="S53" i="38"/>
  <c r="T50" i="38"/>
  <c r="S50" i="38"/>
  <c r="T49" i="38"/>
  <c r="S49" i="38"/>
  <c r="T48" i="38"/>
  <c r="S48" i="38"/>
  <c r="T45" i="38"/>
  <c r="S45" i="38"/>
  <c r="T44" i="38"/>
  <c r="S44" i="38"/>
  <c r="T43" i="38"/>
  <c r="S43" i="38"/>
  <c r="T42" i="38"/>
  <c r="M42" i="38"/>
  <c r="S42" i="38" s="1"/>
  <c r="M41" i="38"/>
  <c r="T41" i="38" s="1"/>
  <c r="T40" i="38"/>
  <c r="S40" i="38"/>
  <c r="T39" i="38"/>
  <c r="S39" i="38"/>
  <c r="T38" i="38"/>
  <c r="S38" i="38"/>
  <c r="T37" i="38"/>
  <c r="S37" i="38"/>
  <c r="T36" i="38"/>
  <c r="S36" i="38"/>
  <c r="T35" i="38"/>
  <c r="S35" i="38"/>
  <c r="T34" i="38"/>
  <c r="S34" i="38"/>
  <c r="S33" i="38"/>
  <c r="M33" i="38"/>
  <c r="T33" i="38" s="1"/>
  <c r="T32" i="38"/>
  <c r="S32" i="38"/>
  <c r="T29" i="38"/>
  <c r="S29" i="38"/>
  <c r="T28" i="38"/>
  <c r="M28" i="38"/>
  <c r="S28" i="38" s="1"/>
  <c r="T27" i="38"/>
  <c r="S27" i="38"/>
  <c r="T26" i="38"/>
  <c r="S26" i="38"/>
  <c r="T25" i="38"/>
  <c r="S25" i="38"/>
  <c r="T22" i="38"/>
  <c r="S22" i="38"/>
  <c r="T21" i="38"/>
  <c r="S21" i="38"/>
  <c r="T20" i="38"/>
  <c r="S20" i="38"/>
  <c r="S56" i="38" l="1"/>
  <c r="S41" i="38"/>
  <c r="M77" i="38"/>
  <c r="G81" i="38" l="1"/>
  <c r="G83" i="38"/>
  <c r="K82" i="38" s="1"/>
  <c r="K83" i="38" s="1"/>
  <c r="K84" i="38" s="1"/>
  <c r="P68" i="38" l="1"/>
  <c r="Q68" i="38" s="1"/>
  <c r="O61" i="38"/>
  <c r="O54" i="38"/>
  <c r="O48" i="38"/>
  <c r="P39" i="38"/>
  <c r="Q39" i="38" s="1"/>
  <c r="P32" i="38"/>
  <c r="Q32" i="38" s="1"/>
  <c r="P21" i="38"/>
  <c r="Q21" i="38" s="1"/>
  <c r="O39" i="38"/>
  <c r="P34" i="38"/>
  <c r="Q34" i="38" s="1"/>
  <c r="O32" i="38"/>
  <c r="O21" i="38"/>
  <c r="P70" i="38"/>
  <c r="Q70" i="38" s="1"/>
  <c r="P69" i="38"/>
  <c r="Q69" i="38" s="1"/>
  <c r="O68" i="38"/>
  <c r="P63" i="38"/>
  <c r="Q63" i="38" s="1"/>
  <c r="O62" i="38"/>
  <c r="P57" i="38"/>
  <c r="Q57" i="38" s="1"/>
  <c r="O56" i="38"/>
  <c r="O55" i="38"/>
  <c r="P50" i="38"/>
  <c r="Q50" i="38" s="1"/>
  <c r="O49" i="38"/>
  <c r="P42" i="38"/>
  <c r="Q42" i="38" s="1"/>
  <c r="P40" i="38"/>
  <c r="Q40" i="38" s="1"/>
  <c r="P22" i="38"/>
  <c r="Q22" i="38" s="1"/>
  <c r="P71" i="38"/>
  <c r="Q71" i="38" s="1"/>
  <c r="O70" i="38"/>
  <c r="O69" i="38"/>
  <c r="P64" i="38"/>
  <c r="Q64" i="38" s="1"/>
  <c r="O63" i="38"/>
  <c r="P58" i="38"/>
  <c r="Q58" i="38" s="1"/>
  <c r="O57" i="38"/>
  <c r="P51" i="38"/>
  <c r="Q51" i="38" s="1"/>
  <c r="O50" i="38"/>
  <c r="P43" i="38"/>
  <c r="Q43" i="38" s="1"/>
  <c r="O42" i="38"/>
  <c r="O41" i="38"/>
  <c r="O40" i="38"/>
  <c r="P35" i="38"/>
  <c r="Q35" i="38" s="1"/>
  <c r="O34" i="38"/>
  <c r="P25" i="38"/>
  <c r="Q25" i="38" s="1"/>
  <c r="O22" i="38"/>
  <c r="O73" i="38"/>
  <c r="P66" i="38"/>
  <c r="Q66" i="38" s="1"/>
  <c r="P60" i="38"/>
  <c r="Q60" i="38" s="1"/>
  <c r="P53" i="38"/>
  <c r="Q53" i="38" s="1"/>
  <c r="P45" i="38"/>
  <c r="Q45" i="38" s="1"/>
  <c r="O36" i="38"/>
  <c r="P27" i="38"/>
  <c r="Q27" i="38" s="1"/>
  <c r="P73" i="38"/>
  <c r="Q73" i="38" s="1"/>
  <c r="O71" i="38"/>
  <c r="P65" i="38"/>
  <c r="Q65" i="38" s="1"/>
  <c r="O64" i="38"/>
  <c r="P59" i="38"/>
  <c r="Q59" i="38" s="1"/>
  <c r="O58" i="38"/>
  <c r="P52" i="38"/>
  <c r="Q52" i="38" s="1"/>
  <c r="O51" i="38"/>
  <c r="P44" i="38"/>
  <c r="Q44" i="38" s="1"/>
  <c r="O43" i="38"/>
  <c r="P36" i="38"/>
  <c r="Q36" i="38" s="1"/>
  <c r="O35" i="38"/>
  <c r="P26" i="38"/>
  <c r="Q26" i="38" s="1"/>
  <c r="O25" i="38"/>
  <c r="O65" i="38"/>
  <c r="O59" i="38"/>
  <c r="O52" i="38"/>
  <c r="O44" i="38"/>
  <c r="P37" i="38"/>
  <c r="Q37" i="38" s="1"/>
  <c r="P28" i="38"/>
  <c r="Q28" i="38" s="1"/>
  <c r="O26" i="38"/>
  <c r="P67" i="38"/>
  <c r="Q67" i="38" s="1"/>
  <c r="O66" i="38"/>
  <c r="P61" i="38"/>
  <c r="Q61" i="38" s="1"/>
  <c r="O60" i="38"/>
  <c r="P54" i="38"/>
  <c r="Q54" i="38" s="1"/>
  <c r="O53" i="38"/>
  <c r="P48" i="38"/>
  <c r="O45" i="38"/>
  <c r="P38" i="38"/>
  <c r="Q38" i="38" s="1"/>
  <c r="O37" i="38"/>
  <c r="P29" i="38"/>
  <c r="Q29" i="38" s="1"/>
  <c r="O27" i="38"/>
  <c r="P20" i="38"/>
  <c r="Q20" i="38" s="1"/>
  <c r="O67" i="38"/>
  <c r="P62" i="38"/>
  <c r="Q62" i="38" s="1"/>
  <c r="P56" i="38"/>
  <c r="Q56" i="38" s="1"/>
  <c r="P55" i="38"/>
  <c r="Q55" i="38" s="1"/>
  <c r="P49" i="38"/>
  <c r="O38" i="38"/>
  <c r="P33" i="38"/>
  <c r="Q33" i="38" s="1"/>
  <c r="O29" i="38"/>
  <c r="O20" i="38"/>
  <c r="P41" i="38"/>
  <c r="Q41" i="38" s="1"/>
  <c r="O33" i="38"/>
  <c r="O28" i="38"/>
  <c r="G86" i="38"/>
  <c r="Q48" i="38" l="1"/>
  <c r="Q49" i="38"/>
  <c r="S51" i="38"/>
  <c r="T51" i="38"/>
  <c r="S52" i="38"/>
  <c r="T52" i="38"/>
  <c r="J231" i="24" l="1"/>
  <c r="R3" i="50"/>
  <c r="P6" i="50" s="1"/>
  <c r="R4" i="50" s="1"/>
  <c r="O19" i="50" l="1"/>
  <c r="O20" i="50"/>
  <c r="I4" i="50"/>
  <c r="O32" i="50"/>
  <c r="O13" i="50"/>
  <c r="O22" i="50"/>
  <c r="O10" i="50"/>
  <c r="A36" i="50"/>
  <c r="O30" i="50"/>
  <c r="A24" i="50"/>
  <c r="A25" i="50"/>
  <c r="A34" i="50"/>
  <c r="A31" i="50"/>
  <c r="O24" i="50"/>
  <c r="A14" i="50"/>
  <c r="O43" i="50"/>
  <c r="A29" i="50"/>
  <c r="A19" i="50"/>
  <c r="A49" i="50"/>
  <c r="O35" i="50"/>
  <c r="A16" i="50"/>
  <c r="O36" i="50"/>
  <c r="O44" i="50"/>
  <c r="A26" i="50"/>
  <c r="A11" i="50"/>
  <c r="A33" i="50"/>
  <c r="A27" i="50"/>
  <c r="A42" i="50"/>
  <c r="A48" i="50"/>
  <c r="O27" i="50"/>
  <c r="A15" i="50"/>
  <c r="O46" i="50"/>
  <c r="O33" i="50"/>
  <c r="O26" i="50"/>
  <c r="A41" i="50"/>
  <c r="A47" i="50"/>
  <c r="O29" i="50"/>
  <c r="O15" i="50"/>
  <c r="P22" i="50"/>
  <c r="A12" i="50"/>
  <c r="A30" i="50"/>
  <c r="A32" i="50"/>
  <c r="A21" i="50"/>
  <c r="A17" i="50"/>
  <c r="O40" i="50"/>
  <c r="O16" i="50"/>
  <c r="A18" i="50"/>
  <c r="O21" i="50"/>
  <c r="O38" i="50"/>
  <c r="O42" i="50"/>
  <c r="A44" i="50"/>
  <c r="A35" i="50"/>
  <c r="A37" i="50"/>
  <c r="A43" i="50"/>
  <c r="O18" i="50"/>
  <c r="A46" i="50"/>
  <c r="A45" i="50"/>
  <c r="A38" i="50"/>
  <c r="A13" i="50"/>
  <c r="O37" i="50"/>
  <c r="A40" i="50"/>
  <c r="O31" i="50"/>
  <c r="A28" i="50"/>
  <c r="O28" i="50"/>
  <c r="A10" i="50"/>
  <c r="P4" i="50" l="1"/>
  <c r="R5" i="50"/>
</calcChain>
</file>

<file path=xl/sharedStrings.xml><?xml version="1.0" encoding="utf-8"?>
<sst xmlns="http://schemas.openxmlformats.org/spreadsheetml/2006/main" count="2296" uniqueCount="408">
  <si>
    <t>Date:</t>
  </si>
  <si>
    <t>Plan Target/ Hour</t>
  </si>
  <si>
    <t>Takt Time (secs)</t>
  </si>
  <si>
    <t>Highest CT</t>
  </si>
  <si>
    <t>Style:</t>
  </si>
  <si>
    <t>Effective Output/Hour</t>
  </si>
  <si>
    <t>Effective Line Efficiency</t>
  </si>
  <si>
    <t xml:space="preserve">% Utilization </t>
  </si>
  <si>
    <t xml:space="preserve"> Line</t>
  </si>
  <si>
    <t>Total SMV</t>
  </si>
  <si>
    <t>Total Cycle Time (secs)</t>
  </si>
  <si>
    <t>PPH</t>
  </si>
  <si>
    <t>Target 100%</t>
  </si>
  <si>
    <t>Total Manpower</t>
  </si>
  <si>
    <t>Total Lead Time (secs)</t>
  </si>
  <si>
    <t>Operation No.</t>
  </si>
  <si>
    <t>Operator's Name</t>
  </si>
  <si>
    <t>English</t>
  </si>
  <si>
    <t>GSD code</t>
  </si>
  <si>
    <t xml:space="preserve">SMV </t>
  </si>
  <si>
    <t>% Utilization (Plan)</t>
  </si>
  <si>
    <t>Target/Hour</t>
  </si>
  <si>
    <t>Target/Operation</t>
  </si>
  <si>
    <t>TOTAL</t>
  </si>
  <si>
    <t>Station No</t>
  </si>
  <si>
    <t>TST PLAN</t>
  </si>
  <si>
    <t>LINE LAYOUT</t>
  </si>
  <si>
    <t>TYPES</t>
  </si>
  <si>
    <t>Types</t>
  </si>
  <si>
    <t>MACHINE(S)</t>
  </si>
  <si>
    <t>CODE</t>
  </si>
  <si>
    <t>Machine Name</t>
  </si>
  <si>
    <t>Code</t>
  </si>
  <si>
    <t>Single Needle</t>
  </si>
  <si>
    <t>Double Needle</t>
  </si>
  <si>
    <t>Overlock</t>
  </si>
  <si>
    <t>OL</t>
  </si>
  <si>
    <t>INTERLOCK/COVERSTITCH</t>
  </si>
  <si>
    <t>flatbed</t>
  </si>
  <si>
    <t>FLATLOCK</t>
  </si>
  <si>
    <t>FOA</t>
  </si>
  <si>
    <t>MULTI-NEEDLE CHAINSTITCH</t>
  </si>
  <si>
    <t>Bartack</t>
  </si>
  <si>
    <t>Buttonhole</t>
  </si>
  <si>
    <t>Zigzag</t>
  </si>
  <si>
    <t>Feed-off the arm</t>
  </si>
  <si>
    <t>Feed-up the arm</t>
  </si>
  <si>
    <t>Bonding</t>
  </si>
  <si>
    <t>Snap Eyelet</t>
  </si>
  <si>
    <t>Automation</t>
  </si>
  <si>
    <t>FUA</t>
  </si>
  <si>
    <t>All Total:</t>
  </si>
  <si>
    <t>1L</t>
  </si>
  <si>
    <t>4F</t>
  </si>
  <si>
    <t>2L</t>
  </si>
  <si>
    <t>2C</t>
  </si>
  <si>
    <t>CO</t>
  </si>
  <si>
    <t>1C</t>
  </si>
  <si>
    <t>lockstitch
1K thường</t>
  </si>
  <si>
    <t>slide cutter
1K xén</t>
  </si>
  <si>
    <t>chainstitch
1K móc xích</t>
  </si>
  <si>
    <t>lockstitch
2K thường</t>
  </si>
  <si>
    <t>chainstitch
2K móc xích</t>
  </si>
  <si>
    <t>3tT/4T
VS thường</t>
  </si>
  <si>
    <t>cylinder
VS roller</t>
  </si>
  <si>
    <t>metering device
VS thun</t>
  </si>
  <si>
    <t>5T
VS5C</t>
  </si>
  <si>
    <t>flatbed
KS đầu bằng</t>
  </si>
  <si>
    <t>cylinder
KS thường</t>
  </si>
  <si>
    <t>mini-cylinder
KS đầu nhỏ</t>
  </si>
  <si>
    <t>w/ puller
KS roller</t>
  </si>
  <si>
    <t>Binding
KS viền</t>
  </si>
  <si>
    <t>FOA
Gá</t>
  </si>
  <si>
    <t>BT
bọ</t>
  </si>
  <si>
    <t>BH
Thùa khuy</t>
  </si>
  <si>
    <t>ZZ
ZiZag</t>
  </si>
  <si>
    <t>GM
KS13K</t>
  </si>
  <si>
    <t>SM
Đóng mắt cáo</t>
  </si>
  <si>
    <t>ATM
lập trình</t>
  </si>
  <si>
    <t>IE TST</t>
  </si>
  <si>
    <t>IETECH (QCO)</t>
  </si>
  <si>
    <t>IE PRO</t>
  </si>
  <si>
    <t>IE QCO</t>
  </si>
  <si>
    <t>IE PRO (SUPPERVISON)</t>
  </si>
  <si>
    <t>IE MANAGER</t>
  </si>
  <si>
    <t>CHUYỀN TRƯỞNG</t>
  </si>
  <si>
    <t>KỸ THUẬT</t>
  </si>
  <si>
    <t>BẢO TRÌ CHUYỀN</t>
  </si>
  <si>
    <t>KỸ THUẬT XƯỞNG</t>
  </si>
  <si>
    <t>PRO MANAGER</t>
  </si>
  <si>
    <t xml:space="preserve"> QUẢN LÝ SẢN XUẤT</t>
  </si>
  <si>
    <t xml:space="preserve"> IE QCO</t>
  </si>
  <si>
    <t>IE SUP</t>
  </si>
  <si>
    <t>LINE LEADER</t>
  </si>
  <si>
    <t>TECHNICIAN</t>
  </si>
  <si>
    <t>MACHANIC</t>
  </si>
  <si>
    <t>SUP PRO</t>
  </si>
  <si>
    <t>MANAGER PRO</t>
  </si>
  <si>
    <t>Plan Target/ Hour 65%</t>
  </si>
  <si>
    <t>02A</t>
  </si>
  <si>
    <t>03A</t>
  </si>
  <si>
    <t>13B</t>
  </si>
  <si>
    <t>Opn. No.</t>
  </si>
  <si>
    <t>Machine Code</t>
  </si>
  <si>
    <t>Machinename</t>
  </si>
  <si>
    <t>opn name</t>
  </si>
  <si>
    <t>©</t>
  </si>
  <si>
    <t>STANDARD MINUTE VALUE</t>
  </si>
  <si>
    <t>Style No.</t>
  </si>
  <si>
    <t>:</t>
  </si>
  <si>
    <t>221433 - WF20L5 - FA21</t>
  </si>
  <si>
    <t>WF20L6</t>
  </si>
  <si>
    <t>Sketch</t>
  </si>
  <si>
    <t>Buyer/ Season</t>
  </si>
  <si>
    <t>Brooks - FA21</t>
  </si>
  <si>
    <t>Brooks - SS20</t>
  </si>
  <si>
    <t xml:space="preserve"> </t>
  </si>
  <si>
    <t>Pattern</t>
  </si>
  <si>
    <t>Dash 1/2 Zip</t>
  </si>
  <si>
    <t>Location</t>
  </si>
  <si>
    <t>Singapore</t>
  </si>
  <si>
    <t>Date</t>
  </si>
  <si>
    <t>06-03-2019</t>
  </si>
  <si>
    <t>Revised</t>
  </si>
  <si>
    <t>Carryover Bulk</t>
  </si>
  <si>
    <t>1st Proto Sample</t>
  </si>
  <si>
    <t>Page</t>
  </si>
  <si>
    <t>Prepared by:</t>
  </si>
  <si>
    <t>Jerome / Lin Hoe</t>
  </si>
  <si>
    <t xml:space="preserve">* Changeover Time = </t>
  </si>
  <si>
    <t>Sitch  Code</t>
  </si>
  <si>
    <t>Operation Description</t>
  </si>
  <si>
    <t>SAM /SMV</t>
  </si>
  <si>
    <t>Required operator</t>
  </si>
  <si>
    <t>Percent Utilization</t>
  </si>
  <si>
    <t>Target (Pcs./   Hour)</t>
  </si>
  <si>
    <t>GSD Code</t>
  </si>
  <si>
    <t>Heat Transfer   x 1</t>
  </si>
  <si>
    <t>PAD Print x1</t>
  </si>
  <si>
    <t>Embroidery Logo X2</t>
  </si>
  <si>
    <t>Collar Area</t>
  </si>
  <si>
    <t>JKCO00146</t>
  </si>
  <si>
    <t>4OL</t>
  </si>
  <si>
    <t>JKCO00001</t>
  </si>
  <si>
    <t>JKCO00009</t>
  </si>
  <si>
    <t>Zipper Garage Area</t>
  </si>
  <si>
    <t>JKPK00141</t>
  </si>
  <si>
    <t>BT</t>
  </si>
  <si>
    <t>3OL</t>
  </si>
  <si>
    <t>JKPL00052</t>
  </si>
  <si>
    <t>JKPL00025</t>
  </si>
  <si>
    <t>JKZP00104 +
JKZP00022</t>
  </si>
  <si>
    <t>JKPL00009</t>
  </si>
  <si>
    <t>Sleeve &amp; Cuff  thumb Hole Area</t>
  </si>
  <si>
    <t>PTPK00052</t>
  </si>
  <si>
    <t>PTPK00089 + PTPK00062</t>
  </si>
  <si>
    <t>JKCF00093</t>
  </si>
  <si>
    <t>PTPK00197</t>
  </si>
  <si>
    <t>SHPK00066</t>
  </si>
  <si>
    <t>PTPK00239</t>
  </si>
  <si>
    <t>PTPK00240</t>
  </si>
  <si>
    <t>JKCF00020</t>
  </si>
  <si>
    <t>SHPK00064 + JKPK00140</t>
  </si>
  <si>
    <t>JKCF00035 + PTPK00014</t>
  </si>
  <si>
    <t>JKCF00113</t>
  </si>
  <si>
    <t>JKCF00126</t>
  </si>
  <si>
    <t>3F</t>
  </si>
  <si>
    <t>PTBS00531</t>
  </si>
  <si>
    <t>Body Area</t>
  </si>
  <si>
    <t>-</t>
  </si>
  <si>
    <t>M1</t>
  </si>
  <si>
    <t>TSMN00006</t>
  </si>
  <si>
    <t>TKSP00074</t>
  </si>
  <si>
    <t>PTBS00577</t>
  </si>
  <si>
    <t>SHBS00157</t>
  </si>
  <si>
    <t>JKSH00004</t>
  </si>
  <si>
    <t>TSSH00024</t>
  </si>
  <si>
    <t>JKCO00114</t>
  </si>
  <si>
    <t>JKNK00005</t>
  </si>
  <si>
    <t>JKMN00006
JKZP00096
JKPL00132</t>
  </si>
  <si>
    <t>JKCO00014</t>
  </si>
  <si>
    <t>JKZP00184</t>
  </si>
  <si>
    <t>PTFN00068</t>
  </si>
  <si>
    <t>JKCO00006</t>
  </si>
  <si>
    <t>JKNK00026</t>
  </si>
  <si>
    <t>JKZP00098</t>
  </si>
  <si>
    <t>JKSL00103</t>
  </si>
  <si>
    <t>PTSS00245</t>
  </si>
  <si>
    <t>JKCF00059</t>
  </si>
  <si>
    <t>2CO</t>
  </si>
  <si>
    <t>JKCF00060</t>
  </si>
  <si>
    <t>TSBH00003</t>
  </si>
  <si>
    <t>TSLB00005</t>
  </si>
  <si>
    <t>BRFN00005</t>
  </si>
  <si>
    <t>PTFN00013 + PTFN00034 + BRFN00005</t>
  </si>
  <si>
    <t>M2</t>
  </si>
  <si>
    <t>JKMN00030</t>
  </si>
  <si>
    <t>Slightly press iron front &amp; back armhole  (on S2 fabic )</t>
  </si>
  <si>
    <t>Sewing SMV</t>
  </si>
  <si>
    <t>Summary</t>
  </si>
  <si>
    <t>Production Time Values</t>
  </si>
  <si>
    <t>Factory Parameters</t>
  </si>
  <si>
    <t>Machine Summary</t>
  </si>
  <si>
    <t>Cutting</t>
  </si>
  <si>
    <t>Std No. of Operator</t>
  </si>
  <si>
    <t>MT</t>
  </si>
  <si>
    <t>Qty</t>
  </si>
  <si>
    <t>HT/Pad Print</t>
  </si>
  <si>
    <t>Target/Hr @ 100%</t>
  </si>
  <si>
    <t>pph</t>
  </si>
  <si>
    <t>2OL</t>
  </si>
  <si>
    <t>2F</t>
  </si>
  <si>
    <t>4MFL</t>
  </si>
  <si>
    <t>Sewing</t>
  </si>
  <si>
    <t>Target/Hr @ 80%</t>
  </si>
  <si>
    <t>Pressing</t>
  </si>
  <si>
    <t>Takt Time @ 80% Eff</t>
  </si>
  <si>
    <t>min</t>
  </si>
  <si>
    <t>BH</t>
  </si>
  <si>
    <t>Packing / Inspection</t>
  </si>
  <si>
    <t>2MFL</t>
  </si>
  <si>
    <t>BS</t>
  </si>
  <si>
    <t>6C</t>
  </si>
  <si>
    <t>3CO</t>
  </si>
  <si>
    <t>3MFL</t>
  </si>
  <si>
    <t>ZG</t>
  </si>
  <si>
    <t>BODS-RF-IE-002-01</t>
  </si>
  <si>
    <t>1LS baste attach non  interlining to outer collar around edge seam  x1
Lược lót vào lớp cổ ngoài x1</t>
  </si>
  <si>
    <t>4OL inner to outer collar top edge seam join x 1
VS đỉnh cổ x1</t>
  </si>
  <si>
    <t>1CS top stitch along inner collar top edge seam x 1
Diễu đỉnh cổ x1</t>
  </si>
  <si>
    <t xml:space="preserve">1LS baste interlining to inner garage flap around edge seam join x1
Lược lót vào nẹp dây kéo lớp trong x1 </t>
  </si>
  <si>
    <t>3OL inner to outer zipper garage flap round shape a side join x 1+ invert 
VS ráp nẹp dây kéo x1 + lộn</t>
  </si>
  <si>
    <t>1LS top stitch around zipper garage flap round shape along side end seam join x1
Diễu nẹp dây kéo x1</t>
  </si>
  <si>
    <t>Attach interlining to guard facing  +1LS w/  fold guard facing to cover zipper bottom end  3 side join x 1+fold &amp; tack zipper top tip x 2
Gắn lot vào bọc đầu dây kéo + gấp gắn bọc đầu dây kéo x1 + gấp + chốt đầu dây kéo x2</t>
  </si>
  <si>
    <t>Mark zipper garage flap chin guard hight +1LS fold chin guard zipper garage sandwhich beteewn cover zipper top edge seam  x1
Làm dấu + gấp gắn nẹp phủ đầu dây kéo x1</t>
  </si>
  <si>
    <t>Invert garment 
Lộn</t>
  </si>
  <si>
    <t>Measure+ cut hanger loop elastic tape x1
Đo + cắt dây treo x1</t>
  </si>
  <si>
    <t>Mark hanger loop placement +1LS fold loop V shape &amp; tack loop end seam to center back out side neckline join x1
Làm dấu + gấp gắn dây treo vào giữa cổ sau x1 (mặt ngoài)</t>
  </si>
  <si>
    <t>Follow  thumb hole notch mark +1LS attach palm pocket to cuff pocket insert thumb hole  opening seam 2 corner L shape join  x1+ Right side w/ o pocket thumb hole opening attach inner layer cuff  to outer cuff insert thumb hole opening seam 2 corner L shape join  x1 + cut corner angle seam
Theo dấu bấm + Tra bao túi dưới vào miệng lỗ xỏ ngón (cạnh L) X1 (bên có túi) + ráp miệng lỗ xỏ ngón (bên không có túi) (cạnh L) + Nhấp góc</t>
  </si>
  <si>
    <t>3FL front body side seam to side panel side seam x 2
Gá sườn ngoài thân trước x2</t>
  </si>
  <si>
    <t>4OL w/ add clear elastic to shoulder seam join x 2
VS ráp vai (có dây bún) x2</t>
  </si>
  <si>
    <t>3FL shoulder seam x 2
Gá vai x2</t>
  </si>
  <si>
    <t>4OL collar to neckline join x1 ( inner collar  front side leave a part of seam hole no Join  )
VS lá cổ vào thân x1 (2 bên lớp trong cô chừa lại khôn tra)</t>
  </si>
  <si>
    <t>1LS  attach back neck tape to collar neckline x1 ( tape inner neckline contionual  stitch join collar inner front seam seperate )
Tra viền cổ sau x1</t>
  </si>
  <si>
    <t>Mark zipper placement +1LS attach zipper  end to center front palcement +w/ cut seam align corner angle seam +  reattach zipper along center front along to collar x1+ re-attach garage flap under zipper side join x 1
Làm dấu thân trước + đính đuôi dây kéo vào thân trước + mổ cad cắt lưỡi gà + tra lại dây kéo vào thân trước + tra lại nẹp vào dưới dây kéo x1</t>
  </si>
  <si>
    <t>1LS close inner collar front side zipper join  x 2
Đúp cổ x2</t>
  </si>
  <si>
    <t>1CS w/ folder attach binding under to zipper side join x 2+ cut binding ends +reattach binding to zipper bottom end leave binding seam + cut binding ends   invert inner collar
Cữ + tra viền 2 bên dây kéo + cắt viền + tra viền đuôi dây kéo + cắt viền</t>
  </si>
  <si>
    <t xml:space="preserve">1LS fold &amp; tack zipper bottom binding end seam join x 2+ cut excess binding end seam 
Gấp chốt iền đuôi dây kéo x2 + cắt viền thừa </t>
  </si>
  <si>
    <t>1LS top under stitch close inner front collar neckline seam x 2( a part of seam )
Khóa cổ x2</t>
  </si>
  <si>
    <t>1LS top stitch along inner neck tape along neckline body seam around x 1
Diễu viền cổ sau x1</t>
  </si>
  <si>
    <t>1LS top stitch center front zipper along to collar top end  join x 1
Diễu dây kéo x1</t>
  </si>
  <si>
    <t>3FL body side seam up to sleeve back slanted curve side seam join x 2( armhole seam align )
Gá sườn ngoài x2</t>
  </si>
  <si>
    <t>3FL attach sleeve to armhole x2 ( alignbody seam )body side seam back open yet 
Gá tra tay vào thân x2 (sườn ngoài chưa gá)</t>
  </si>
  <si>
    <t>4OL attach cuff around sleeve opening seam join x 2
VS tra bo tay vào thân x2</t>
  </si>
  <si>
    <t>2CO top stitch along sleeve opening cuff seam join x 2
Diễu bo tay x2</t>
  </si>
  <si>
    <t>Mark guildeline  +2CO fold bottom hem x 1
Dán cữ + quay lai áo x1</t>
  </si>
  <si>
    <t>Mark C&amp;C label placement + 1LS attach C&amp;C label to side seam x 1( spi 6-8)
Làm dấu + gắn nhãn C&amp;C vào sườn ngoài x1</t>
  </si>
  <si>
    <t>Bartack x 1 Center front  zipper bottom end 
Bọ đuôi dây kéo x1</t>
  </si>
  <si>
    <t>Bartack x 2 sleeve cuff opening stitch overlap end join + x 4 thumb hole opening end + x 2 cuff pocket opening end seam  x 1 Bottom hem overlap stitch end seam 
Bọ bo tay x2 + miệng lỗ xỏ ngón x 4 + miệng túi bo tay x2 + lai áo x1</t>
  </si>
  <si>
    <t>1CS top stitch along inner pocket bag bottom hem seam x1 weares Left side 
Diễu cạnh dưới bao túi xỏ ngón x1 (bên có túi)</t>
  </si>
  <si>
    <t>4OL cuff thumb hole opening side ends seam join x 3+ invert 
VS sườn bo tay x3 + lộn</t>
  </si>
  <si>
    <t>1LS baste inner to outer cuff bottom seam x 4
Lược bo tay x4</t>
  </si>
  <si>
    <t>3FL under arm gusset panel front sleeve upper side seam join x 2
Gá lưới vào tay x2</t>
  </si>
  <si>
    <t>3FL side panel to slanted curve under arm gusset  panel  front  side seam join x 2
Gá lưới vào phối sườn ngoài x2</t>
  </si>
  <si>
    <t>1LS fold &amp; baste flap pocket insert side end seam +1LS attach pocket flap insert overlapping cover pocket insert cuff opening side end seam join x2( follow notch mark join )+ baste flap pocket top end to palm pocket top edge seam join x1
Gấp lược nắp túi + lược đắp nắp túi lên bao túi x2 + Lược nắp túi vào bao túi x1</t>
  </si>
  <si>
    <t>4OL kunckle pocket bag to cuff pocket insert opening seam join x1( left cuff )
VS bao túi trên vào phối xỏ ngón x1 (bên trái)</t>
  </si>
  <si>
    <t>Fold in kunckle  pocket bag+1LS baste pocket bag to cuff pocket insert edge seam around  join x 1
Gấp + Lược bao túi trên vào phối xỏ ngón x1 (lược quanh)</t>
  </si>
  <si>
    <t>3OL inner cuff to outer cuff bottom hem seam join x2 
VS ráp bo tay x2 (cạnh dưới) (nhỏ)</t>
  </si>
  <si>
    <t>1CS top stitch along inner layer cuff edge seam x 2
Diễu mặt trong bo tay (cạnh dưới) x2 (nhỏ)</t>
  </si>
  <si>
    <t>4OL inner cuff to outer cuff bottom hem seam join x2 
VS ráp bo tay (cạnh dưới) x2 (lớn)</t>
  </si>
  <si>
    <t>1CS top stitch along inner layer cuff edge seam x 2
Diễu mặt trong bo tay (cạnh dưới) x2 (lớn)</t>
  </si>
  <si>
    <t>1LS baste &amp; fold up inner pocket bag bottom seam +weares left &amp; Right w/ o pocket thumb hole opening ends seam join x4 ( top / bottom) 
Lược và gấp lớp trong bao túi cạnh dưới + (trái/phải) trừ miệng túi x4</t>
  </si>
  <si>
    <t xml:space="preserve">1LS baste attach cuff pocket thumb hole opening ends seam to outer cuff panel opening ends seam join x 2 + w/ o pocket right side x 1 + fold inner cuff layer bottom hem corner seam  join x3
Lược phối xỏ ngón vào lớp ngoài bo tay x2 + trừ cạnh túi bên phải x1 + gấp </t>
  </si>
  <si>
    <t>manual</t>
  </si>
  <si>
    <t>3t/4t</t>
  </si>
  <si>
    <t>ls</t>
  </si>
  <si>
    <t>cylinder</t>
  </si>
  <si>
    <t>foa</t>
  </si>
  <si>
    <t>mini cylinder</t>
  </si>
  <si>
    <t>bartack</t>
  </si>
  <si>
    <t>29.3211</t>
  </si>
  <si>
    <t>2CO top stitch along sleeve opening cuff seam join x 2
Diễu bo tay x2
(hỗ trợ lộn)</t>
  </si>
  <si>
    <r>
      <t xml:space="preserve">2CO top stitch along sleeve opening cuff seam join x 2
Diễu bo tay x2
</t>
    </r>
    <r>
      <rPr>
        <b/>
        <sz val="14"/>
        <color rgb="FFFF0000"/>
        <rFont val="Arial Narrow"/>
        <family val="2"/>
      </rPr>
      <t>(hỗ trợ lộn)</t>
    </r>
  </si>
  <si>
    <r>
      <t xml:space="preserve">1LS top stitch around zipper garage flap round shape along side end seam join x1
Diễu nẹp dây kéo x1
</t>
    </r>
    <r>
      <rPr>
        <b/>
        <sz val="14"/>
        <color rgb="FFFF0000"/>
        <rFont val="Arial Narrow"/>
        <family val="2"/>
      </rPr>
      <t>(hỗ trợ Gắn lot vào bọc đầu dây kéo)</t>
    </r>
  </si>
  <si>
    <r>
      <rPr>
        <b/>
        <sz val="14"/>
        <color rgb="FFFF0000"/>
        <rFont val="Arial Narrow"/>
        <family val="2"/>
      </rPr>
      <t>(HỖ trợ nhấp góc)</t>
    </r>
    <r>
      <rPr>
        <sz val="14"/>
        <rFont val="Arial Narrow"/>
        <family val="2"/>
      </rPr>
      <t xml:space="preserve">
4OL inner cuff to outer cuff bottom hem seam join x2 
VS ráp bo tay (cạnh dưới) x2 (lớn)</t>
    </r>
  </si>
  <si>
    <t>cylinder w/ bining</t>
  </si>
  <si>
    <t>Bartack x 1 Center front  zipper bottom end 
Bọ đuôi dây kéo x1
Bartack x 2 sleeve cuff opening stitch overlap end join + x 4 thumb hole opening end + x 2 cuff pocket opening end seam  x 1 Bottom hem overlap stitch end seam 
Bọ bo tay x2 + miệng lỗ xỏ ngón x 4 + miệng túi bo tay x2 + lai áo x1</t>
  </si>
  <si>
    <t>foa©</t>
  </si>
  <si>
    <t>cylinder©</t>
  </si>
  <si>
    <t>31a</t>
  </si>
  <si>
    <t>31b</t>
  </si>
  <si>
    <t xml:space="preserve">Mark zipper placement +1LS attach zipper  end to center front palcement +w/ cut seam align corner angle seam 
Làm dấu thân trước + đính đuôi dây kéo vào thân trước + mổ </t>
  </si>
  <si>
    <t>w/ cut seam align corner angle seam +  reattach zipper along center front along to collar x1+ re-attach garage flap under zipper side join x 1
 cắt lưỡi gà + tra lại dây kéo vào thân trước + tra lại nẹp vào dưới dây kéo x1</t>
  </si>
  <si>
    <t>Hoshima</t>
  </si>
  <si>
    <t>Auto</t>
  </si>
  <si>
    <r>
      <t xml:space="preserve">1LS  attach back neck tape to collar neckline x1 ( tape inner neckline contionual  stitch join collar inner front seam seperate )
Tra viền cổ sau x1
</t>
    </r>
    <r>
      <rPr>
        <b/>
        <sz val="14"/>
        <color rgb="FFFF0000"/>
        <rFont val="Arial Narrow"/>
        <family val="2"/>
      </rPr>
      <t>(Hô trợ bấm lưỡi gà)</t>
    </r>
  </si>
  <si>
    <t>Hoshima©</t>
  </si>
  <si>
    <t>LS</t>
  </si>
  <si>
    <t>Bấm lược + khóa lưỡi gà + may 1 đoạn ngắn dây kéo</t>
  </si>
  <si>
    <t>VS cạnh canh trên/ dưới x2</t>
  </si>
  <si>
    <t>Mí tay x2</t>
  </si>
  <si>
    <t>1LS</t>
  </si>
  <si>
    <t>Bấm lộn tay x2 + lược đắp túi x1</t>
  </si>
  <si>
    <t>Đúp lược bo tay x1</t>
  </si>
  <si>
    <t>VS cạnh dọc</t>
  </si>
  <si>
    <t>old &amp; tack zipper top tip x 2
gấp + chốt đầu dây kéo x2</t>
  </si>
  <si>
    <t>Additional</t>
  </si>
  <si>
    <t>31a+8</t>
  </si>
  <si>
    <t>Mark zipper placement +1LS attach zipper  end to center front palcement +w/ cut seam align corner angle seam 
Làm dấu thân trước + đính đuôi dây kéo vào thân trước + mổ 
Mark zipper garage flap chin guard hight +1LS fold chin guard zipper garage sandwhich beteewn cover zipper top edge seam  x1
Làm dấu + gấp gắn nẹp phủ đầu dây kéo x1
+ nẹp dây kéo x1</t>
  </si>
  <si>
    <t>1+4+24</t>
  </si>
  <si>
    <t>1LS baste attach non  interlining to outer collar around edge seam  x1
Lược lót vào lớp cổ ngoài x1
1LS baste interlining to inner garage flap around edge seam join x1
Lược lót vào nẹp dây kéo lớp trong x1 
Mark hanger loop placement +1LS fold loop V shape &amp; tack loop end seam to center back out side neckline join x1
Làm dấu + gấp gắn dây treo vào giữa cổ sau x1 (mặt ngoài)</t>
  </si>
  <si>
    <t>6+7</t>
  </si>
  <si>
    <t>1LS top stitch around zipper garage flap round shape along side end seam join x1
Diễu nẹp dây kéo x1
old &amp; tack zipper top tip x 2
gấp + chốt đầu dây kéo x2</t>
  </si>
  <si>
    <t>34+37</t>
  </si>
  <si>
    <t>1LS fold &amp; tack zipper bottom binding end seam join x 2+ cut excess binding end seam 
Gấp chốt iền đuôi dây kéo x2 + cắt viền thừa 
1LS top stitch center front zipper along to collar top end  join x 1
Diễu dây kéo x1</t>
  </si>
  <si>
    <t>44+55</t>
  </si>
  <si>
    <t>cylinder w/ bining©</t>
  </si>
  <si>
    <t>1CS</t>
  </si>
  <si>
    <t>8 + additional</t>
  </si>
  <si>
    <r>
      <t xml:space="preserve">Mark zipper garage flap chin guard hight +1LS fold chin guard zipper garage sandwhich beteewn cover zipper top edge seam  x1
Làm dấu + gấp gắn nẹp phủ đầu dây kéo x1
</t>
    </r>
    <r>
      <rPr>
        <b/>
        <sz val="14"/>
        <color rgb="FFFF0000"/>
        <rFont val="Arial Narrow"/>
        <family val="2"/>
      </rPr>
      <t>+ nẹp dây kéo x1</t>
    </r>
  </si>
  <si>
    <t>7c</t>
  </si>
  <si>
    <t xml:space="preserve">1LS fold &amp; tack zipper bottom binding end seam join x 2+ cut excess binding end seam 
Gấp chốt viền đuôi dây kéo x2 + cắt viền thừa </t>
  </si>
  <si>
    <r>
      <t xml:space="preserve">4OL inner to outer collar top edge seam join x 1
VS đỉnh cổ x1 </t>
    </r>
    <r>
      <rPr>
        <b/>
        <sz val="14"/>
        <color rgb="FFFF0000"/>
        <rFont val="Arial Narrow"/>
        <family val="2"/>
      </rPr>
      <t>(3 lớp)</t>
    </r>
  </si>
  <si>
    <r>
      <t>3OL inner to outer zipper garage flap round shape a side join x 1+ invert 
VS ráp nẹp dây kéo x1 + lộn</t>
    </r>
    <r>
      <rPr>
        <b/>
        <sz val="14"/>
        <color rgb="FFFF0000"/>
        <rFont val="Arial Narrow"/>
        <family val="2"/>
      </rPr>
      <t xml:space="preserve"> (3 lớp)</t>
    </r>
  </si>
  <si>
    <t>Bấm lược + khóa lưỡi gà + may 1 đoạn ngắn dây kéo+  gấp tra nẹp phủ đầu dây kéo</t>
  </si>
  <si>
    <r>
      <rPr>
        <strike/>
        <sz val="14"/>
        <rFont val="Arial Narrow"/>
        <family val="2"/>
      </rPr>
      <t>w/ cut seam align corner angle seam +</t>
    </r>
    <r>
      <rPr>
        <sz val="14"/>
        <rFont val="Arial Narrow"/>
        <family val="2"/>
      </rPr>
      <t xml:space="preserve">  reattach zipper along center front along to collar x1+ re-attach garage flap under zipper side join x 1
</t>
    </r>
    <r>
      <rPr>
        <strike/>
        <sz val="14"/>
        <rFont val="Arial Narrow"/>
        <family val="2"/>
      </rPr>
      <t xml:space="preserve"> cắt lưỡi gà +</t>
    </r>
    <r>
      <rPr>
        <sz val="14"/>
        <rFont val="Arial Narrow"/>
        <family val="2"/>
      </rPr>
      <t xml:space="preserve"> tra lại dây kéo vào thân trước + tra lại nẹp vào dưới dây kéo x1</t>
    </r>
  </si>
  <si>
    <t>công đoạn này theo tô trưởng chỉ để máy khôn để người</t>
  </si>
  <si>
    <r>
      <t xml:space="preserve">1LS  attach back neck tape to collar neckline x1 ( tape inner neckline contionual  stitch join collar inner front seam seperate )
Tra viền cổ sau x1
</t>
    </r>
    <r>
      <rPr>
        <b/>
        <sz val="14"/>
        <color rgb="FFFF0000"/>
        <rFont val="Arial Narrow"/>
        <family val="2"/>
      </rPr>
      <t>(Hỗ trợ tra viền dây kéo)</t>
    </r>
  </si>
  <si>
    <t>4OL inner to outer collar top edge seam join x 1
VS đỉnh cổ x1 (3 lớp)</t>
  </si>
  <si>
    <t>3OL inner to outer zipper garage flap round shape a side join x 1+ invert 
VS ráp nẹp dây kéo x1 + lộn (3 lớp)</t>
  </si>
  <si>
    <t>1LS  attach back neck tape to collar neckline x1 ( tape inner neckline contionual  stitch join collar inner front seam seperate )
Tra viền cổ sau x1
(Hỗ trợ tra viền dây kéo)</t>
  </si>
  <si>
    <t>31a +8 + additional</t>
  </si>
  <si>
    <t xml:space="preserve">
1LS baste attach non  interlining to outer collar around edge seam  x1
Lược lót vào lớp cổ ngoài x1
1LS baste interlining to inner garage flap around edge seam join x1
Lược lót vào nẹp dây kéo lớp trong x1 
Mark hanger loop placement +1LS fold loop V shape &amp; tack loop end seam to center back out side neckline join x1
Làm dấu + gấp gắn dây treo vào giữa cổ sau x1 (mặt ngoài)</t>
  </si>
  <si>
    <t>6+7c</t>
  </si>
  <si>
    <t>Additional+3</t>
  </si>
  <si>
    <t>Mí tay x2
old &amp; tack zipper top tip x 2
gấp + chốt đầu dây kéo x2</t>
  </si>
  <si>
    <t>reattach zipper along center front along to collar x1+ re-attach garage flap under zipper side join x 1
tra lại dây kéo vào thân trước + tra lại nẹp vào dưới dây kéo x1</t>
  </si>
  <si>
    <t>1LS fold &amp; tack zipper bottom binding end seam join x 2+ cut excess binding end seam 
Gấp chốt viền đuôi dây kéo x2 + cắt viền thừa 
1LS top stitch center front zipper along to collar top end  join x 1
Diễu dây kéo x1</t>
  </si>
  <si>
    <t>44+45</t>
  </si>
  <si>
    <r>
      <t xml:space="preserve">1CS w/ folder attach binding under to zipper side join x 2+ cut binding ends +reattach binding to zipper bottom end leave binding seam + cut binding ends   invert inner collar
Cữ + tra viền 2 bên dây kéo + cắt viền + tra viền đuôi dây kéo + cắt viền
</t>
    </r>
    <r>
      <rPr>
        <b/>
        <sz val="14"/>
        <color rgb="FFFF0000"/>
        <rFont val="Arial Narrow"/>
        <family val="2"/>
      </rPr>
      <t>Ghi chú:  Tra viền 2 bên-&gt;sau đó khóa cổ &amp; điễu viền-&gt; rồi quay lại viền đuôi dây kéo)</t>
    </r>
  </si>
  <si>
    <t>NGỌC</t>
  </si>
  <si>
    <t>PHƯỢNG</t>
  </si>
  <si>
    <t>LAN</t>
  </si>
  <si>
    <t>THẬT</t>
  </si>
  <si>
    <t>ÂU</t>
  </si>
  <si>
    <t>KIỀU</t>
  </si>
  <si>
    <t>MỨC</t>
  </si>
  <si>
    <t>THỦY</t>
  </si>
  <si>
    <t>TRÂN</t>
  </si>
  <si>
    <t>NƠI</t>
  </si>
  <si>
    <t>DƯƠNG</t>
  </si>
  <si>
    <t>THẢO</t>
  </si>
  <si>
    <t>HẰNG</t>
  </si>
  <si>
    <t>LOAN</t>
  </si>
  <si>
    <t>HIỀN</t>
  </si>
  <si>
    <t>HỒNG</t>
  </si>
  <si>
    <t>HUỲNH</t>
  </si>
  <si>
    <t>MAI</t>
  </si>
  <si>
    <t>Ý</t>
  </si>
  <si>
    <t>TUYẾT</t>
  </si>
  <si>
    <t>AN</t>
  </si>
  <si>
    <t>MY</t>
  </si>
  <si>
    <t>TÙNG</t>
  </si>
  <si>
    <t>HÒA</t>
  </si>
  <si>
    <t>CT</t>
  </si>
  <si>
    <t>ACTUAL</t>
  </si>
  <si>
    <r>
      <t xml:space="preserve">Mark hanger loop placement +1LS fold loop V shape &amp; tack loop end seam to center back out side neckline join x1
Làm dấu + gấp gắn dây treo vào giữa cổ sau x1 (mặt ngoài)
</t>
    </r>
    <r>
      <rPr>
        <b/>
        <sz val="14"/>
        <color rgb="FFFF0000"/>
        <rFont val="Arial Narrow"/>
        <family val="2"/>
      </rPr>
      <t>LƯỢT CỔ + GỌT BO TAY</t>
    </r>
  </si>
  <si>
    <r>
      <t xml:space="preserve">VS cạnh dọc
</t>
    </r>
    <r>
      <rPr>
        <b/>
        <sz val="14"/>
        <color rgb="FFFF0000"/>
        <rFont val="Arial Narrow"/>
        <family val="2"/>
      </rPr>
      <t>VS CẠNH TRONG BO TAY CHỪA CHỈ</t>
    </r>
  </si>
  <si>
    <r>
      <t xml:space="preserve">1CS w/ folder attach binding under to zipper side join x 2+ cut binding ends +reattach binding to zipper bottom end leave binding seam + cut binding ends   invert inner collar
Cữ + tra viền 2 bên dây kéo + cắt viền + tra viền đuôi dây kéo + cắt viền
</t>
    </r>
    <r>
      <rPr>
        <b/>
        <sz val="14"/>
        <color rgb="FFFF0000"/>
        <rFont val="Arial Narrow"/>
        <family val="2"/>
      </rPr>
      <t>LƯỢT 1KIM TRƯỚC KHI VIỀN</t>
    </r>
    <r>
      <rPr>
        <sz val="14"/>
        <rFont val="Arial Narrow"/>
        <family val="2"/>
      </rPr>
      <t xml:space="preserve">
</t>
    </r>
    <r>
      <rPr>
        <b/>
        <sz val="14"/>
        <color rgb="FFFF0000"/>
        <rFont val="Arial Narrow"/>
        <family val="2"/>
      </rPr>
      <t>Ghi chú:  Tra viền 2 bên-&gt;sau đó khóa cổ &amp; điễu viền-&gt; rồi quay lại viền đuôi dây kéo)</t>
    </r>
  </si>
  <si>
    <t>3FL attach sleeve to armhole x2 ( alignbody seam )body side seam back open yet 
Gá tra tay vào thân x2 (sườn ngoài chưa gá)
3FL body side seam up to sleeve back slanted curve side seam join x 2( armhole seam align )
Gá sườn ngoài x2</t>
  </si>
  <si>
    <t>phụ 26 30%</t>
  </si>
  <si>
    <t>phụ 26 10%</t>
  </si>
  <si>
    <t>ADD</t>
  </si>
  <si>
    <t>OANH</t>
  </si>
  <si>
    <t>thêm 1 người phụ 38+39+25</t>
  </si>
  <si>
    <t>THẮM</t>
  </si>
  <si>
    <t>DUNG</t>
  </si>
  <si>
    <t>DIỄM</t>
  </si>
  <si>
    <t>GIAO</t>
  </si>
  <si>
    <t>VẸN</t>
  </si>
  <si>
    <t>TRANG</t>
  </si>
  <si>
    <t>PHƯƠNG</t>
  </si>
  <si>
    <t>ÂN</t>
  </si>
  <si>
    <t>KHƯƠNG</t>
  </si>
  <si>
    <t>TRINH</t>
  </si>
  <si>
    <t>LƯỢM</t>
  </si>
  <si>
    <t>TIẾP</t>
  </si>
  <si>
    <t>TỎA</t>
  </si>
  <si>
    <t>QUÍ</t>
  </si>
  <si>
    <t>CHÂU</t>
  </si>
  <si>
    <t>NHẠN</t>
  </si>
  <si>
    <t>THOA</t>
  </si>
  <si>
    <t>VY</t>
  </si>
  <si>
    <t>TUYỀN</t>
  </si>
  <si>
    <r>
      <t xml:space="preserve">reattach zipper along center front along to collar x1+ re-attach garage flap under zipper side join x 1
</t>
    </r>
    <r>
      <rPr>
        <sz val="14"/>
        <rFont val="Arial Narrow"/>
        <family val="2"/>
      </rPr>
      <t xml:space="preserve"> tra lại dây kéo vào thân trước + tra lại nẹp vào dưới dây kéo x1</t>
    </r>
  </si>
  <si>
    <t>ADD 1</t>
  </si>
  <si>
    <t>ADD 2</t>
  </si>
  <si>
    <t>ADD3</t>
  </si>
  <si>
    <t>ADD4</t>
  </si>
  <si>
    <t>Đúp lược bo tay x1+ Bấm lộn tay x2 + lược đắp túi x1</t>
  </si>
  <si>
    <t>12+13</t>
  </si>
  <si>
    <t>1CS w/ folder attach binding under to zipper side join x 2+ cut binding ends +reattach binding to zipper bottom end leave binding seam + cut binding ends   invert inner collar
Cữ + tra viền 2 bên dây kéo + cắt viền + tra viền đuôi dây kéo + cắt viền
Ghi chú:  Tra viền 2 bên-&gt;sau đó khóa cổ &amp; điễu viền-&gt; rồi quay lại viền đuôi dây kéo)</t>
  </si>
  <si>
    <t>31a + 8 + additional</t>
  </si>
  <si>
    <t>VS bo tay + túi bo tay</t>
  </si>
  <si>
    <t>mini cylinder©</t>
  </si>
  <si>
    <t>Manual</t>
  </si>
  <si>
    <t>25/7/2021</t>
  </si>
  <si>
    <t>for PPA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</si>
</sst>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
    <numFmt numFmtId="166" formatCode="[$-409]d\-mmm\-yy;@"/>
    <numFmt numFmtId="167" formatCode="[$-14809]d\ mmmm\ yyyy;@"/>
    <numFmt numFmtId="168" formatCode="#,##0.0000"/>
    <numFmt numFmtId="169" formatCode="0.000"/>
  </numFmts>
  <fonts count="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0"/>
      <name val="Arial"/>
      <family val="2"/>
    </font>
    <font>
      <b/>
      <sz val="22"/>
      <color theme="1"/>
      <name val="Arial Narrow"/>
      <family val="2"/>
    </font>
    <font>
      <b/>
      <sz val="11"/>
      <color theme="0"/>
      <name val="Arial"/>
      <family val="2"/>
    </font>
    <font>
      <b/>
      <sz val="11"/>
      <name val="Arial Narrow"/>
      <family val="2"/>
    </font>
    <font>
      <b/>
      <sz val="11"/>
      <name val="Arial"/>
      <family val="2"/>
    </font>
    <font>
      <sz val="10"/>
      <name val="Arial"/>
      <family val="2"/>
    </font>
    <font>
      <b/>
      <sz val="8"/>
      <name val="Arial Narrow"/>
      <family val="2"/>
    </font>
    <font>
      <b/>
      <sz val="10"/>
      <name val="Arial Narrow"/>
      <family val="2"/>
    </font>
    <font>
      <b/>
      <sz val="8"/>
      <name val="Arial"/>
      <family val="2"/>
    </font>
    <font>
      <sz val="11"/>
      <color theme="1"/>
      <name val="Calibri"/>
      <family val="2"/>
      <scheme val="minor"/>
    </font>
    <font>
      <sz val="8"/>
      <name val="Arial Narrow"/>
      <family val="2"/>
    </font>
    <font>
      <sz val="8"/>
      <color indexed="8"/>
      <name val="Arial Narrow"/>
      <family val="2"/>
    </font>
    <font>
      <sz val="10"/>
      <name val="VNI-Times"/>
      <family val="1"/>
    </font>
    <font>
      <sz val="8"/>
      <name val="Arial"/>
      <family val="2"/>
    </font>
    <font>
      <sz val="10"/>
      <name val="Arial Narrow"/>
      <family val="2"/>
    </font>
    <font>
      <b/>
      <sz val="9"/>
      <name val="Arial Narrow"/>
      <family val="2"/>
    </font>
    <font>
      <b/>
      <sz val="12"/>
      <name val="Arial"/>
      <family val="2"/>
    </font>
    <font>
      <sz val="11"/>
      <name val="Arial"/>
      <family val="2"/>
    </font>
    <font>
      <sz val="11"/>
      <color theme="0"/>
      <name val="Arial"/>
      <family val="2"/>
    </font>
    <font>
      <b/>
      <sz val="11"/>
      <color theme="1"/>
      <name val="Arial"/>
      <family val="2"/>
    </font>
    <font>
      <b/>
      <sz val="16"/>
      <name val="Arial"/>
      <family val="2"/>
    </font>
    <font>
      <sz val="11"/>
      <color theme="1"/>
      <name val="Calibri"/>
      <family val="2"/>
      <charset val="134"/>
      <scheme val="minor"/>
    </font>
    <font>
      <b/>
      <sz val="26"/>
      <name val="Arial Narrow"/>
      <family val="2"/>
    </font>
    <font>
      <b/>
      <sz val="16"/>
      <name val="Arial Narrow"/>
      <family val="2"/>
    </font>
    <font>
      <sz val="14"/>
      <name val="Arial Narrow"/>
      <family val="2"/>
    </font>
    <font>
      <b/>
      <sz val="14"/>
      <name val="Arial"/>
      <family val="2"/>
    </font>
    <font>
      <b/>
      <sz val="20"/>
      <name val="Arial Narrow"/>
      <family val="2"/>
    </font>
    <font>
      <b/>
      <sz val="8"/>
      <color theme="1"/>
      <name val="Arial Narrow"/>
      <family val="2"/>
    </font>
    <font>
      <sz val="10"/>
      <color rgb="FF000000"/>
      <name val="Times New Roman"/>
      <family val="1"/>
    </font>
    <font>
      <b/>
      <sz val="11"/>
      <color theme="1"/>
      <name val="Calibri"/>
      <family val="2"/>
      <scheme val="minor"/>
    </font>
    <font>
      <b/>
      <sz val="11"/>
      <name val="AdiHaus"/>
    </font>
    <font>
      <b/>
      <sz val="11"/>
      <color indexed="8"/>
      <name val="Arial Narrow"/>
      <family val="2"/>
    </font>
    <font>
      <sz val="14"/>
      <name val="Arial"/>
      <family val="2"/>
    </font>
    <font>
      <b/>
      <sz val="12"/>
      <color theme="1"/>
      <name val="Arial"/>
      <family val="2"/>
    </font>
    <font>
      <b/>
      <sz val="12"/>
      <name val="Arial Narrow"/>
      <family val="2"/>
    </font>
    <font>
      <sz val="10"/>
      <name val="Arial"/>
      <family val="2"/>
    </font>
    <font>
      <i/>
      <sz val="13"/>
      <name val="Arial Narrow"/>
      <family val="2"/>
    </font>
    <font>
      <sz val="10"/>
      <name val="Calibri"/>
      <family val="2"/>
    </font>
    <font>
      <sz val="22"/>
      <name val="Arial"/>
      <family val="2"/>
    </font>
    <font>
      <b/>
      <sz val="36"/>
      <name val="Bookman Old Style"/>
      <family val="1"/>
    </font>
    <font>
      <b/>
      <sz val="30"/>
      <name val="Bookman Old Style"/>
      <family val="1"/>
    </font>
    <font>
      <b/>
      <sz val="22"/>
      <name val="Arial"/>
      <family val="2"/>
    </font>
    <font>
      <b/>
      <sz val="22"/>
      <name val="宋体"/>
      <charset val="134"/>
    </font>
    <font>
      <sz val="22"/>
      <name val="宋体"/>
      <charset val="134"/>
    </font>
    <font>
      <b/>
      <sz val="24"/>
      <name val="Calibri"/>
      <family val="2"/>
      <scheme val="minor"/>
    </font>
    <font>
      <b/>
      <sz val="16"/>
      <name val="宋体"/>
      <charset val="134"/>
    </font>
    <font>
      <sz val="12"/>
      <name val="宋体"/>
      <charset val="134"/>
    </font>
    <font>
      <sz val="16"/>
      <name val="宋体"/>
      <charset val="134"/>
    </font>
    <font>
      <sz val="12"/>
      <name val="Arial"/>
      <family val="2"/>
    </font>
    <font>
      <sz val="16"/>
      <name val="Arial"/>
      <family val="2"/>
    </font>
    <font>
      <sz val="22"/>
      <name val="Arial Narrow"/>
      <family val="2"/>
    </font>
    <font>
      <b/>
      <sz val="22"/>
      <name val="Arial Narrow"/>
      <family val="2"/>
    </font>
    <font>
      <sz val="22"/>
      <color theme="1"/>
      <name val="Arial Narrow"/>
      <family val="2"/>
    </font>
    <font>
      <sz val="20"/>
      <name val="Arial"/>
      <family val="2"/>
    </font>
    <font>
      <b/>
      <sz val="10"/>
      <name val="Arial"/>
      <family val="2"/>
    </font>
    <font>
      <b/>
      <sz val="20"/>
      <name val="Arial"/>
      <family val="2"/>
    </font>
    <font>
      <sz val="22"/>
      <name val="Calibri"/>
      <family val="2"/>
      <charset val="134"/>
      <scheme val="minor"/>
    </font>
    <font>
      <strike/>
      <sz val="22"/>
      <name val="Arial"/>
      <family val="2"/>
    </font>
    <font>
      <sz val="10"/>
      <color rgb="FFFF0000"/>
      <name val="Arial"/>
      <family val="2"/>
    </font>
    <font>
      <sz val="20"/>
      <color rgb="FFFF0000"/>
      <name val="Arial"/>
      <family val="2"/>
    </font>
    <font>
      <b/>
      <sz val="10"/>
      <color rgb="FFFF0000"/>
      <name val="Arial"/>
      <family val="2"/>
    </font>
    <font>
      <b/>
      <sz val="20"/>
      <color rgb="FFFF0000"/>
      <name val="Arial"/>
      <family val="2"/>
    </font>
    <font>
      <sz val="22"/>
      <color rgb="FFFF0000"/>
      <name val="Arial Narrow"/>
      <family val="2"/>
    </font>
    <font>
      <sz val="22"/>
      <color rgb="FFFF0000"/>
      <name val="Arial"/>
      <family val="2"/>
    </font>
    <font>
      <b/>
      <u/>
      <sz val="22"/>
      <color rgb="FFFF0000"/>
      <name val="Arial Narrow"/>
      <family val="2"/>
    </font>
    <font>
      <b/>
      <sz val="22"/>
      <color rgb="FFFF0000"/>
      <name val="Arial Narrow"/>
      <family val="2"/>
    </font>
    <font>
      <b/>
      <sz val="22"/>
      <color rgb="FFFF0000"/>
      <name val="Arial"/>
      <family val="2"/>
    </font>
    <font>
      <b/>
      <sz val="26"/>
      <name val="Arial"/>
      <family val="2"/>
    </font>
    <font>
      <b/>
      <sz val="24"/>
      <name val="Arial"/>
      <family val="2"/>
    </font>
    <font>
      <sz val="18"/>
      <name val="Arial"/>
      <family val="2"/>
    </font>
    <font>
      <b/>
      <sz val="14"/>
      <color rgb="FFFF0000"/>
      <name val="Arial Narrow"/>
      <family val="2"/>
    </font>
    <font>
      <sz val="14"/>
      <color rgb="FFFF0000"/>
      <name val="Arial Narrow"/>
      <family val="2"/>
    </font>
    <font>
      <strike/>
      <sz val="14"/>
      <name val="Arial Narrow"/>
      <family val="2"/>
    </font>
    <font>
      <b/>
      <sz val="14"/>
      <color rgb="FFFFFF00"/>
      <name val="Arial Narrow"/>
      <family val="2"/>
    </font>
    <font>
      <b/>
      <sz val="14"/>
      <color theme="9"/>
      <name val="Arial Narrow"/>
      <family val="2"/>
    </font>
    <font>
      <b/>
      <sz val="12"/>
      <color theme="1"/>
      <name val="Arial Narrow"/>
      <family val="2"/>
    </font>
    <font>
      <sz val="12"/>
      <name val="Arial Narrow"/>
      <family val="2"/>
    </font>
    <font>
      <b/>
      <sz val="14"/>
      <name val="Arial Narrow"/>
      <family val="2"/>
    </font>
    <font>
      <sz val="15"/>
      <name val="Arial"/>
      <family val="2"/>
    </font>
    <font>
      <sz val="10"/>
      <color rgb="FFFF0000"/>
      <name val="Arial Narrow"/>
      <family val="2"/>
    </font>
  </fonts>
  <fills count="13">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indexed="9"/>
        <bgColor indexed="64"/>
      </patternFill>
    </fill>
    <fill>
      <patternFill patternType="solid">
        <fgColor indexed="41"/>
        <bgColor indexed="64"/>
      </patternFill>
    </fill>
    <fill>
      <patternFill patternType="solid">
        <fgColor theme="7" tint="0.79998168889431442"/>
        <bgColor indexed="64"/>
      </patternFill>
    </fill>
    <fill>
      <patternFill patternType="solid">
        <fgColor rgb="FF00B0F0"/>
        <bgColor indexed="64"/>
      </patternFill>
    </fill>
    <fill>
      <patternFill patternType="solid">
        <fgColor theme="9" tint="0.79998168889431442"/>
        <bgColor indexed="64"/>
      </patternFill>
    </fill>
  </fills>
  <borders count="7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right style="thin">
        <color indexed="64"/>
      </right>
      <top/>
      <bottom/>
      <diagonal/>
    </border>
    <border>
      <left style="double">
        <color indexed="64"/>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medium">
        <color indexed="64"/>
      </bottom>
      <diagonal/>
    </border>
  </borders>
  <cellStyleXfs count="26">
    <xf numFmtId="0" fontId="0" fillId="0" borderId="0"/>
    <xf numFmtId="9" fontId="16" fillId="0" borderId="0" applyFont="0" applyFill="0" applyBorder="0" applyAlignment="0" applyProtection="0"/>
    <xf numFmtId="0" fontId="20" fillId="0" borderId="0"/>
    <xf numFmtId="0" fontId="23" fillId="0" borderId="0"/>
    <xf numFmtId="0" fontId="16" fillId="0" borderId="0"/>
    <xf numFmtId="0" fontId="10" fillId="0" borderId="0"/>
    <xf numFmtId="0" fontId="9" fillId="0" borderId="0"/>
    <xf numFmtId="0" fontId="8" fillId="0" borderId="0"/>
    <xf numFmtId="0" fontId="16" fillId="0" borderId="0"/>
    <xf numFmtId="0" fontId="32" fillId="0" borderId="0"/>
    <xf numFmtId="9" fontId="32" fillId="0" borderId="0" applyFont="0" applyFill="0" applyBorder="0" applyAlignment="0" applyProtection="0"/>
    <xf numFmtId="0" fontId="32" fillId="0" borderId="0"/>
    <xf numFmtId="0" fontId="32" fillId="0" borderId="0"/>
    <xf numFmtId="9" fontId="16" fillId="0" borderId="0" applyFont="0" applyFill="0" applyBorder="0" applyAlignment="0" applyProtection="0"/>
    <xf numFmtId="0" fontId="7" fillId="0" borderId="0"/>
    <xf numFmtId="0" fontId="6" fillId="0" borderId="0"/>
    <xf numFmtId="0" fontId="32" fillId="0" borderId="0"/>
    <xf numFmtId="0" fontId="39" fillId="0" borderId="0"/>
    <xf numFmtId="0" fontId="5" fillId="0" borderId="0"/>
    <xf numFmtId="0" fontId="4" fillId="0" borderId="0"/>
    <xf numFmtId="0" fontId="3" fillId="0" borderId="0"/>
    <xf numFmtId="0" fontId="46" fillId="0" borderId="0"/>
    <xf numFmtId="0" fontId="32" fillId="0" borderId="0"/>
    <xf numFmtId="0" fontId="2" fillId="0" borderId="0"/>
    <xf numFmtId="0" fontId="32" fillId="0" borderId="0"/>
    <xf numFmtId="0" fontId="1" fillId="0" borderId="0"/>
  </cellStyleXfs>
  <cellXfs count="675">
    <xf numFmtId="0" fontId="0" fillId="0" borderId="0" xfId="0"/>
    <xf numFmtId="9" fontId="14" fillId="3" borderId="11" xfId="1" applyFont="1" applyFill="1" applyBorder="1" applyAlignment="1" applyProtection="1">
      <alignment horizontal="center" vertical="center"/>
      <protection locked="0"/>
    </xf>
    <xf numFmtId="9" fontId="14" fillId="3" borderId="15" xfId="1" applyFont="1" applyFill="1" applyBorder="1" applyAlignment="1" applyProtection="1">
      <alignment horizontal="center" vertical="center"/>
      <protection locked="0"/>
    </xf>
    <xf numFmtId="49" fontId="14" fillId="2" borderId="11" xfId="0" applyNumberFormat="1" applyFont="1" applyFill="1" applyBorder="1" applyAlignment="1" applyProtection="1">
      <alignment horizontal="center" vertical="center" wrapText="1"/>
      <protection locked="0"/>
    </xf>
    <xf numFmtId="2" fontId="17" fillId="3" borderId="11" xfId="4" applyNumberFormat="1" applyFont="1" applyFill="1" applyBorder="1" applyAlignment="1" applyProtection="1">
      <alignment horizontal="center" vertical="center"/>
      <protection locked="0"/>
    </xf>
    <xf numFmtId="0" fontId="17" fillId="3" borderId="10" xfId="4" applyFont="1" applyFill="1" applyBorder="1" applyAlignment="1" applyProtection="1">
      <alignment horizontal="center" vertical="center"/>
      <protection locked="0"/>
    </xf>
    <xf numFmtId="164" fontId="17" fillId="3" borderId="15" xfId="4" applyNumberFormat="1" applyFont="1" applyFill="1" applyBorder="1" applyAlignment="1" applyProtection="1">
      <alignment horizontal="center" vertical="center"/>
      <protection locked="0"/>
    </xf>
    <xf numFmtId="1" fontId="16" fillId="3" borderId="0" xfId="4" applyNumberFormat="1" applyFill="1" applyAlignment="1">
      <alignment horizontal="center" vertical="center"/>
    </xf>
    <xf numFmtId="0" fontId="16" fillId="3" borderId="0" xfId="4" applyFill="1" applyAlignment="1">
      <alignment vertical="center"/>
    </xf>
    <xf numFmtId="0" fontId="16" fillId="3" borderId="0" xfId="4" applyFill="1" applyAlignment="1">
      <alignment horizontal="left" vertical="center"/>
    </xf>
    <xf numFmtId="0" fontId="15" fillId="5" borderId="11" xfId="0" applyFont="1" applyFill="1" applyBorder="1" applyAlignment="1">
      <alignment horizontal="center" vertical="center"/>
    </xf>
    <xf numFmtId="0" fontId="17" fillId="3" borderId="35" xfId="4" applyFont="1" applyFill="1" applyBorder="1" applyAlignment="1" applyProtection="1">
      <alignment horizontal="center" vertical="center"/>
      <protection locked="0"/>
    </xf>
    <xf numFmtId="0" fontId="17" fillId="3" borderId="33" xfId="4" applyFont="1" applyFill="1" applyBorder="1" applyAlignment="1" applyProtection="1">
      <alignment horizontal="center" vertical="center"/>
      <protection locked="0"/>
    </xf>
    <xf numFmtId="1" fontId="34" fillId="3" borderId="33" xfId="4" applyNumberFormat="1" applyFont="1" applyFill="1" applyBorder="1" applyAlignment="1" applyProtection="1">
      <alignment horizontal="center" vertical="center" wrapText="1"/>
      <protection locked="0"/>
    </xf>
    <xf numFmtId="2" fontId="34" fillId="3" borderId="33" xfId="4" applyNumberFormat="1" applyFont="1" applyFill="1" applyBorder="1" applyAlignment="1" applyProtection="1">
      <alignment horizontal="center" vertical="center"/>
      <protection locked="0"/>
    </xf>
    <xf numFmtId="1" fontId="26" fillId="3" borderId="34" xfId="4" applyNumberFormat="1" applyFont="1" applyFill="1" applyBorder="1" applyAlignment="1" applyProtection="1">
      <alignment horizontal="center" vertical="center"/>
      <protection locked="0"/>
    </xf>
    <xf numFmtId="9" fontId="17" fillId="3" borderId="11" xfId="13" applyFont="1" applyFill="1" applyBorder="1" applyAlignment="1" applyProtection="1">
      <alignment horizontal="center" vertical="center"/>
      <protection locked="0"/>
    </xf>
    <xf numFmtId="9" fontId="17" fillId="3" borderId="15" xfId="13" applyFont="1" applyFill="1" applyBorder="1" applyAlignment="1" applyProtection="1">
      <alignment horizontal="center" vertical="center"/>
      <protection locked="0"/>
    </xf>
    <xf numFmtId="9" fontId="21" fillId="3" borderId="0" xfId="13" applyFont="1" applyFill="1" applyBorder="1" applyAlignment="1" applyProtection="1">
      <alignment horizontal="center" vertical="center"/>
    </xf>
    <xf numFmtId="9" fontId="17" fillId="3" borderId="0" xfId="13" applyFont="1" applyFill="1" applyBorder="1" applyAlignment="1" applyProtection="1">
      <alignment horizontal="center" vertical="center"/>
    </xf>
    <xf numFmtId="9" fontId="33" fillId="3" borderId="0" xfId="13" applyFont="1" applyFill="1" applyBorder="1" applyAlignment="1" applyProtection="1">
      <alignment vertical="center" wrapText="1"/>
    </xf>
    <xf numFmtId="9" fontId="33" fillId="3" borderId="0" xfId="13" applyFont="1" applyFill="1" applyBorder="1" applyAlignment="1" applyProtection="1">
      <alignment vertical="center"/>
    </xf>
    <xf numFmtId="1" fontId="34" fillId="6" borderId="11" xfId="4" applyNumberFormat="1" applyFont="1" applyFill="1" applyBorder="1" applyAlignment="1" applyProtection="1">
      <alignment horizontal="center" vertical="center" wrapText="1"/>
      <protection locked="0"/>
    </xf>
    <xf numFmtId="9" fontId="37" fillId="3" borderId="28" xfId="13" applyFont="1" applyFill="1" applyBorder="1" applyAlignment="1" applyProtection="1">
      <alignment vertical="center"/>
    </xf>
    <xf numFmtId="9" fontId="37" fillId="3" borderId="29" xfId="13" applyFont="1" applyFill="1" applyBorder="1" applyAlignment="1" applyProtection="1">
      <alignment vertical="center"/>
    </xf>
    <xf numFmtId="1" fontId="31" fillId="6" borderId="27" xfId="4" applyNumberFormat="1" applyFont="1" applyFill="1" applyBorder="1" applyAlignment="1">
      <alignment horizontal="center" vertical="center"/>
    </xf>
    <xf numFmtId="0" fontId="17" fillId="3" borderId="11" xfId="4" applyFont="1" applyFill="1" applyBorder="1" applyAlignment="1" applyProtection="1">
      <alignment horizontal="center" vertical="center"/>
      <protection locked="0"/>
    </xf>
    <xf numFmtId="0" fontId="21" fillId="3" borderId="28" xfId="4" applyFont="1" applyFill="1" applyBorder="1" applyAlignment="1" applyProtection="1">
      <alignment horizontal="center" vertical="center"/>
      <protection locked="0"/>
    </xf>
    <xf numFmtId="0" fontId="15" fillId="3" borderId="11" xfId="4" applyFont="1" applyFill="1" applyBorder="1" applyAlignment="1">
      <alignment horizontal="center" vertical="center"/>
    </xf>
    <xf numFmtId="0" fontId="16" fillId="3" borderId="0" xfId="4" applyFill="1" applyAlignment="1">
      <alignment horizontal="center" vertical="center"/>
    </xf>
    <xf numFmtId="0" fontId="14" fillId="2" borderId="11" xfId="4" applyFont="1" applyFill="1" applyBorder="1" applyAlignment="1" applyProtection="1">
      <alignment horizontal="center" vertical="center"/>
      <protection locked="0"/>
    </xf>
    <xf numFmtId="0" fontId="14" fillId="2" borderId="11" xfId="4" applyFont="1" applyFill="1" applyBorder="1" applyAlignment="1">
      <alignment horizontal="center" vertical="center"/>
    </xf>
    <xf numFmtId="0" fontId="21" fillId="3" borderId="0" xfId="4" applyFont="1" applyFill="1" applyAlignment="1" applyProtection="1">
      <alignment horizontal="center" vertical="center"/>
      <protection locked="0"/>
    </xf>
    <xf numFmtId="0" fontId="22" fillId="3" borderId="0" xfId="4" applyFont="1" applyFill="1" applyAlignment="1" applyProtection="1">
      <alignment horizontal="center" vertical="center" wrapText="1"/>
      <protection locked="0"/>
    </xf>
    <xf numFmtId="1" fontId="21" fillId="3" borderId="0" xfId="3" applyNumberFormat="1" applyFont="1" applyFill="1" applyAlignment="1" applyProtection="1">
      <alignment horizontal="center" vertical="center" wrapText="1"/>
      <protection locked="0"/>
    </xf>
    <xf numFmtId="1" fontId="22" fillId="3" borderId="0" xfId="18" applyNumberFormat="1" applyFont="1" applyFill="1" applyAlignment="1" applyProtection="1">
      <alignment horizontal="center" vertical="center"/>
      <protection locked="0"/>
    </xf>
    <xf numFmtId="3" fontId="21" fillId="3" borderId="0" xfId="4" applyNumberFormat="1" applyFont="1" applyFill="1" applyAlignment="1">
      <alignment horizontal="center" vertical="center"/>
    </xf>
    <xf numFmtId="3" fontId="21" fillId="3" borderId="23" xfId="4" applyNumberFormat="1" applyFont="1" applyFill="1" applyBorder="1" applyAlignment="1">
      <alignment horizontal="center" vertical="center"/>
    </xf>
    <xf numFmtId="0" fontId="30" fillId="4" borderId="11" xfId="18" applyFont="1" applyFill="1" applyBorder="1" applyAlignment="1">
      <alignment horizontal="center" vertical="center"/>
    </xf>
    <xf numFmtId="0" fontId="41" fillId="0" borderId="12" xfId="4" applyFont="1" applyBorder="1" applyAlignment="1">
      <alignment horizontal="center" vertical="center"/>
    </xf>
    <xf numFmtId="0" fontId="41" fillId="0" borderId="11" xfId="4" applyFont="1" applyBorder="1" applyAlignment="1">
      <alignment vertical="center"/>
    </xf>
    <xf numFmtId="0" fontId="41" fillId="0" borderId="12" xfId="4" applyFont="1" applyBorder="1" applyAlignment="1">
      <alignment horizontal="center" vertical="center" wrapText="1"/>
    </xf>
    <xf numFmtId="0" fontId="30" fillId="2" borderId="11" xfId="18" applyFont="1" applyFill="1" applyBorder="1" applyAlignment="1">
      <alignment horizontal="center" vertical="center"/>
    </xf>
    <xf numFmtId="0" fontId="15" fillId="0" borderId="11" xfId="4" applyFont="1" applyBorder="1" applyAlignment="1">
      <alignment horizontal="center" vertical="center" wrapText="1"/>
    </xf>
    <xf numFmtId="0" fontId="41" fillId="0" borderId="11" xfId="4" applyFont="1" applyBorder="1" applyAlignment="1">
      <alignment vertical="center" wrapText="1"/>
    </xf>
    <xf numFmtId="0" fontId="15" fillId="2" borderId="11" xfId="18" applyFont="1" applyFill="1" applyBorder="1" applyAlignment="1">
      <alignment horizontal="center" vertical="center"/>
    </xf>
    <xf numFmtId="0" fontId="30" fillId="0" borderId="11" xfId="18" applyFont="1" applyBorder="1" applyAlignment="1">
      <alignment horizontal="center" vertical="center" wrapText="1"/>
    </xf>
    <xf numFmtId="0" fontId="30" fillId="0" borderId="11" xfId="18" applyFont="1" applyBorder="1" applyAlignment="1">
      <alignment vertical="center" wrapText="1"/>
    </xf>
    <xf numFmtId="0" fontId="30" fillId="2" borderId="11" xfId="18" applyFont="1" applyFill="1" applyBorder="1" applyAlignment="1">
      <alignment vertical="center"/>
    </xf>
    <xf numFmtId="0" fontId="30" fillId="0" borderId="11" xfId="18" applyFont="1" applyBorder="1" applyAlignment="1">
      <alignment horizontal="center" vertical="center"/>
    </xf>
    <xf numFmtId="0" fontId="30" fillId="2" borderId="11" xfId="18" applyFont="1" applyFill="1" applyBorder="1" applyAlignment="1">
      <alignment horizontal="center" vertical="center" wrapText="1"/>
    </xf>
    <xf numFmtId="0" fontId="14" fillId="2" borderId="5" xfId="4" applyFont="1" applyFill="1" applyBorder="1" applyAlignment="1" applyProtection="1">
      <alignment horizontal="center" vertical="center" wrapText="1"/>
      <protection locked="0"/>
    </xf>
    <xf numFmtId="3" fontId="21" fillId="3" borderId="0" xfId="4" applyNumberFormat="1" applyFont="1" applyFill="1" applyAlignment="1">
      <alignment horizontal="center" vertical="center"/>
    </xf>
    <xf numFmtId="3" fontId="21" fillId="3" borderId="23" xfId="4" applyNumberFormat="1" applyFont="1" applyFill="1" applyBorder="1" applyAlignment="1">
      <alignment horizontal="center" vertical="center"/>
    </xf>
    <xf numFmtId="0" fontId="22" fillId="3" borderId="0" xfId="4" applyFont="1" applyFill="1" applyAlignment="1" applyProtection="1">
      <alignment horizontal="center" vertical="center" wrapText="1"/>
      <protection locked="0"/>
    </xf>
    <xf numFmtId="0" fontId="16" fillId="3" borderId="0" xfId="4" applyFill="1" applyAlignment="1">
      <alignment horizontal="center" vertical="center"/>
    </xf>
    <xf numFmtId="1" fontId="35" fillId="0" borderId="11" xfId="8" applyNumberFormat="1" applyFont="1" applyFill="1" applyBorder="1" applyAlignment="1" applyProtection="1">
      <alignment vertical="center"/>
      <protection locked="0"/>
    </xf>
    <xf numFmtId="0" fontId="30" fillId="2" borderId="11" xfId="18" applyFont="1" applyFill="1" applyBorder="1" applyAlignment="1">
      <alignment horizontal="center" vertical="center" wrapText="1"/>
    </xf>
    <xf numFmtId="2" fontId="25" fillId="0" borderId="11" xfId="1" applyNumberFormat="1" applyFont="1" applyFill="1" applyBorder="1" applyAlignment="1" applyProtection="1">
      <alignment vertical="center"/>
    </xf>
    <xf numFmtId="1" fontId="35" fillId="0" borderId="11" xfId="8" applyNumberFormat="1" applyFont="1" applyFill="1" applyBorder="1" applyAlignment="1" applyProtection="1">
      <alignment horizontal="center" vertical="center"/>
      <protection locked="0"/>
    </xf>
    <xf numFmtId="0" fontId="43" fillId="3" borderId="0" xfId="4" applyFont="1" applyFill="1" applyAlignment="1">
      <alignment horizontal="center" vertical="center"/>
    </xf>
    <xf numFmtId="1" fontId="35" fillId="0" borderId="11" xfId="8" applyNumberFormat="1" applyFont="1" applyFill="1" applyBorder="1" applyAlignment="1" applyProtection="1">
      <alignment horizontal="center" vertical="center" wrapText="1"/>
      <protection locked="0"/>
    </xf>
    <xf numFmtId="0" fontId="46" fillId="0" borderId="11" xfId="21" applyBorder="1" applyAlignment="1">
      <alignment horizontal="center" vertical="center"/>
    </xf>
    <xf numFmtId="0" fontId="16" fillId="0" borderId="11" xfId="21" applyFont="1" applyBorder="1" applyAlignment="1">
      <alignment horizontal="center" vertical="center"/>
    </xf>
    <xf numFmtId="0" fontId="46" fillId="0" borderId="0" xfId="21" applyBorder="1"/>
    <xf numFmtId="0" fontId="16" fillId="0" borderId="11" xfId="21" applyFont="1" applyFill="1" applyBorder="1" applyAlignment="1">
      <alignment horizontal="center" vertical="center" wrapText="1"/>
    </xf>
    <xf numFmtId="0" fontId="47" fillId="0" borderId="11" xfId="21" applyFont="1" applyFill="1" applyBorder="1" applyAlignment="1" applyProtection="1">
      <alignment horizontal="center" vertical="center" wrapText="1"/>
      <protection locked="0"/>
    </xf>
    <xf numFmtId="0" fontId="47" fillId="0" borderId="11" xfId="21" applyFont="1" applyBorder="1" applyAlignment="1" applyProtection="1">
      <alignment horizontal="center" vertical="center" wrapText="1"/>
      <protection locked="0"/>
    </xf>
    <xf numFmtId="0" fontId="16" fillId="2" borderId="11" xfId="21" applyFont="1" applyFill="1" applyBorder="1" applyAlignment="1">
      <alignment horizontal="center" vertical="center" wrapText="1"/>
    </xf>
    <xf numFmtId="0" fontId="48" fillId="0" borderId="0" xfId="21" applyFont="1" applyBorder="1"/>
    <xf numFmtId="0" fontId="16" fillId="8" borderId="0" xfId="8" applyFill="1" applyProtection="1">
      <protection locked="0"/>
    </xf>
    <xf numFmtId="1" fontId="16" fillId="8" borderId="0" xfId="8" applyNumberFormat="1" applyFill="1" applyProtection="1">
      <protection locked="0"/>
    </xf>
    <xf numFmtId="0" fontId="49" fillId="8" borderId="0" xfId="8" applyFont="1" applyFill="1" applyAlignment="1" applyProtection="1">
      <alignment horizontal="left" vertical="center"/>
      <protection locked="0"/>
    </xf>
    <xf numFmtId="0" fontId="16" fillId="0" borderId="0" xfId="8" applyProtection="1">
      <protection locked="0"/>
    </xf>
    <xf numFmtId="0" fontId="51" fillId="8" borderId="0" xfId="8" applyFont="1" applyFill="1" applyProtection="1">
      <protection locked="0"/>
    </xf>
    <xf numFmtId="1" fontId="52" fillId="8" borderId="0" xfId="8" applyNumberFormat="1" applyFont="1" applyFill="1" applyProtection="1">
      <protection locked="0"/>
    </xf>
    <xf numFmtId="1" fontId="53" fillId="8" borderId="0" xfId="8" applyNumberFormat="1" applyFont="1" applyFill="1" applyProtection="1">
      <protection locked="0"/>
    </xf>
    <xf numFmtId="2" fontId="54" fillId="8" borderId="0" xfId="8" applyNumberFormat="1" applyFont="1" applyFill="1" applyAlignment="1" applyProtection="1">
      <alignment horizontal="left" vertical="center"/>
      <protection locked="0"/>
    </xf>
    <xf numFmtId="2" fontId="52" fillId="8" borderId="0" xfId="8" applyNumberFormat="1" applyFont="1" applyFill="1" applyAlignment="1" applyProtection="1">
      <alignment horizontal="center"/>
      <protection locked="0"/>
    </xf>
    <xf numFmtId="0" fontId="52" fillId="8" borderId="37" xfId="8" applyFont="1" applyFill="1" applyBorder="1" applyAlignment="1" applyProtection="1">
      <alignment vertical="center"/>
      <protection locked="0"/>
    </xf>
    <xf numFmtId="0" fontId="16" fillId="3" borderId="38" xfId="8" applyFill="1" applyBorder="1" applyProtection="1">
      <protection locked="0"/>
    </xf>
    <xf numFmtId="2" fontId="56" fillId="3" borderId="38" xfId="8" applyNumberFormat="1" applyFont="1" applyFill="1" applyBorder="1" applyAlignment="1" applyProtection="1">
      <alignment horizontal="left" vertical="top"/>
      <protection locked="0"/>
    </xf>
    <xf numFmtId="2" fontId="56" fillId="8" borderId="38" xfId="8" applyNumberFormat="1" applyFont="1" applyFill="1" applyBorder="1" applyAlignment="1" applyProtection="1">
      <alignment horizontal="left" vertical="top"/>
      <protection locked="0"/>
    </xf>
    <xf numFmtId="0" fontId="16" fillId="8" borderId="39" xfId="8" applyFill="1" applyBorder="1" applyProtection="1">
      <protection locked="0"/>
    </xf>
    <xf numFmtId="49" fontId="52" fillId="3" borderId="41" xfId="8" applyNumberFormat="1" applyFont="1" applyFill="1" applyBorder="1" applyProtection="1">
      <protection locked="0"/>
    </xf>
    <xf numFmtId="2" fontId="57" fillId="8" borderId="0" xfId="8" applyNumberFormat="1" applyFont="1" applyFill="1" applyAlignment="1" applyProtection="1">
      <alignment vertical="center"/>
      <protection locked="0"/>
    </xf>
    <xf numFmtId="2" fontId="56" fillId="8" borderId="0" xfId="8" applyNumberFormat="1" applyFont="1" applyFill="1" applyAlignment="1" applyProtection="1">
      <alignment horizontal="left" vertical="top"/>
      <protection locked="0"/>
    </xf>
    <xf numFmtId="2" fontId="58" fillId="8" borderId="42" xfId="8" applyNumberFormat="1" applyFont="1" applyFill="1" applyBorder="1" applyAlignment="1" applyProtection="1">
      <alignment horizontal="left"/>
      <protection locked="0"/>
    </xf>
    <xf numFmtId="2" fontId="58" fillId="8" borderId="0" xfId="8" applyNumberFormat="1" applyFont="1" applyFill="1" applyAlignment="1" applyProtection="1">
      <alignment horizontal="right"/>
      <protection locked="0"/>
    </xf>
    <xf numFmtId="2" fontId="58" fillId="8" borderId="42" xfId="8" applyNumberFormat="1" applyFont="1" applyFill="1" applyBorder="1" applyProtection="1">
      <protection locked="0"/>
    </xf>
    <xf numFmtId="2" fontId="49" fillId="8" borderId="0" xfId="8" applyNumberFormat="1" applyFont="1" applyFill="1" applyAlignment="1" applyProtection="1">
      <alignment horizontal="left" vertical="center"/>
      <protection locked="0"/>
    </xf>
    <xf numFmtId="2" fontId="59" fillId="8" borderId="0" xfId="8" applyNumberFormat="1" applyFont="1" applyFill="1" applyAlignment="1" applyProtection="1">
      <alignment vertical="center"/>
      <protection locked="0"/>
    </xf>
    <xf numFmtId="2" fontId="53" fillId="8" borderId="0" xfId="8" applyNumberFormat="1" applyFont="1" applyFill="1" applyProtection="1">
      <protection locked="0"/>
    </xf>
    <xf numFmtId="2" fontId="53" fillId="8" borderId="43" xfId="8" applyNumberFormat="1" applyFont="1" applyFill="1" applyBorder="1" applyProtection="1">
      <protection locked="0"/>
    </xf>
    <xf numFmtId="2" fontId="57" fillId="8" borderId="44" xfId="8" applyNumberFormat="1" applyFont="1" applyFill="1" applyBorder="1" applyAlignment="1" applyProtection="1">
      <alignment vertical="center"/>
      <protection locked="0"/>
    </xf>
    <xf numFmtId="2" fontId="60" fillId="8" borderId="44" xfId="8" applyNumberFormat="1" applyFont="1" applyFill="1" applyBorder="1" applyProtection="1">
      <protection locked="0"/>
    </xf>
    <xf numFmtId="2" fontId="60" fillId="8" borderId="45" xfId="8" applyNumberFormat="1" applyFont="1" applyFill="1" applyBorder="1" applyProtection="1">
      <protection locked="0"/>
    </xf>
    <xf numFmtId="1" fontId="59" fillId="8" borderId="0" xfId="8" applyNumberFormat="1" applyFont="1" applyFill="1" applyProtection="1">
      <protection locked="0"/>
    </xf>
    <xf numFmtId="2" fontId="59" fillId="8" borderId="0" xfId="8" applyNumberFormat="1" applyFont="1" applyFill="1" applyProtection="1">
      <protection locked="0"/>
    </xf>
    <xf numFmtId="1" fontId="31" fillId="9" borderId="46" xfId="8" applyNumberFormat="1" applyFont="1" applyFill="1" applyBorder="1" applyAlignment="1" applyProtection="1">
      <alignment horizontal="center" vertical="center" wrapText="1"/>
      <protection locked="0"/>
    </xf>
    <xf numFmtId="0" fontId="31" fillId="9" borderId="50" xfId="8" applyFont="1" applyFill="1" applyBorder="1" applyAlignment="1" applyProtection="1">
      <alignment horizontal="center" vertical="center" wrapText="1"/>
      <protection locked="0"/>
    </xf>
    <xf numFmtId="1" fontId="61" fillId="8" borderId="51" xfId="8" applyNumberFormat="1" applyFont="1" applyFill="1" applyBorder="1" applyAlignment="1" applyProtection="1">
      <alignment horizontal="center" vertical="center"/>
      <protection locked="0"/>
    </xf>
    <xf numFmtId="1" fontId="61" fillId="8" borderId="51" xfId="8" applyNumberFormat="1" applyFont="1" applyFill="1" applyBorder="1" applyAlignment="1">
      <alignment horizontal="center" vertical="center"/>
    </xf>
    <xf numFmtId="1" fontId="61" fillId="8" borderId="52" xfId="8" applyNumberFormat="1" applyFont="1" applyFill="1" applyBorder="1" applyAlignment="1" applyProtection="1">
      <alignment horizontal="center" vertical="center"/>
      <protection locked="0"/>
    </xf>
    <xf numFmtId="1" fontId="61" fillId="8" borderId="54" xfId="8" applyNumberFormat="1" applyFont="1" applyFill="1" applyBorder="1" applyAlignment="1">
      <alignment horizontal="center" vertical="center"/>
    </xf>
    <xf numFmtId="1" fontId="63" fillId="8" borderId="53" xfId="8" applyNumberFormat="1" applyFont="1" applyFill="1" applyBorder="1" applyAlignment="1">
      <alignment horizontal="center" vertical="center"/>
    </xf>
    <xf numFmtId="1" fontId="61" fillId="8" borderId="53" xfId="8" applyNumberFormat="1" applyFont="1" applyFill="1" applyBorder="1" applyAlignment="1">
      <alignment horizontal="center" vertical="center"/>
    </xf>
    <xf numFmtId="1" fontId="61" fillId="8" borderId="40" xfId="8" applyNumberFormat="1" applyFont="1" applyFill="1" applyBorder="1" applyAlignment="1">
      <alignment horizontal="center" vertical="center"/>
    </xf>
    <xf numFmtId="1" fontId="63" fillId="8" borderId="52" xfId="8" applyNumberFormat="1" applyFont="1" applyFill="1" applyBorder="1" applyAlignment="1">
      <alignment horizontal="center" vertical="center"/>
    </xf>
    <xf numFmtId="1" fontId="61" fillId="8" borderId="52" xfId="8" applyNumberFormat="1" applyFont="1" applyFill="1" applyBorder="1" applyAlignment="1">
      <alignment horizontal="center" vertical="center"/>
    </xf>
    <xf numFmtId="1" fontId="61" fillId="8" borderId="55" xfId="8" applyNumberFormat="1" applyFont="1" applyFill="1" applyBorder="1" applyAlignment="1">
      <alignment horizontal="center" vertical="center"/>
    </xf>
    <xf numFmtId="0" fontId="64" fillId="0" borderId="0" xfId="8" applyFont="1" applyProtection="1">
      <protection locked="0"/>
    </xf>
    <xf numFmtId="165" fontId="61" fillId="8" borderId="52" xfId="8" applyNumberFormat="1" applyFont="1" applyFill="1" applyBorder="1" applyAlignment="1">
      <alignment horizontal="center" vertical="center"/>
    </xf>
    <xf numFmtId="165" fontId="61" fillId="8" borderId="13" xfId="8" applyNumberFormat="1" applyFont="1" applyFill="1" applyBorder="1" applyAlignment="1">
      <alignment horizontal="center" vertical="center"/>
    </xf>
    <xf numFmtId="0" fontId="65" fillId="3" borderId="0" xfId="8" applyFont="1" applyFill="1" applyProtection="1">
      <protection locked="0"/>
    </xf>
    <xf numFmtId="1" fontId="61" fillId="3" borderId="51" xfId="8" applyNumberFormat="1" applyFont="1" applyFill="1" applyBorder="1" applyAlignment="1" applyProtection="1">
      <alignment horizontal="center" vertical="center"/>
      <protection locked="0"/>
    </xf>
    <xf numFmtId="1" fontId="61" fillId="3" borderId="53" xfId="8" applyNumberFormat="1" applyFont="1" applyFill="1" applyBorder="1" applyAlignment="1" applyProtection="1">
      <alignment horizontal="center" vertical="center"/>
      <protection locked="0"/>
    </xf>
    <xf numFmtId="169" fontId="62" fillId="3" borderId="40" xfId="16" applyNumberFormat="1" applyFont="1" applyFill="1" applyBorder="1" applyAlignment="1" applyProtection="1">
      <alignment horizontal="center" vertical="center"/>
      <protection locked="0"/>
    </xf>
    <xf numFmtId="1" fontId="61" fillId="8" borderId="55" xfId="8" applyNumberFormat="1" applyFont="1" applyFill="1" applyBorder="1" applyAlignment="1">
      <alignment horizontal="center" vertical="center" wrapText="1"/>
    </xf>
    <xf numFmtId="0" fontId="65" fillId="8" borderId="0" xfId="8" applyFont="1" applyFill="1" applyProtection="1">
      <protection locked="0"/>
    </xf>
    <xf numFmtId="0" fontId="61" fillId="8" borderId="51" xfId="8" applyFont="1" applyFill="1" applyBorder="1" applyAlignment="1" applyProtection="1">
      <alignment horizontal="center" vertical="center"/>
      <protection locked="0"/>
    </xf>
    <xf numFmtId="0" fontId="68" fillId="8" borderId="52" xfId="8" applyFont="1" applyFill="1" applyBorder="1" applyAlignment="1" applyProtection="1">
      <alignment horizontal="left" vertical="center" wrapText="1"/>
      <protection locked="0"/>
    </xf>
    <xf numFmtId="0" fontId="68" fillId="8" borderId="13" xfId="8" applyFont="1" applyFill="1" applyBorder="1" applyAlignment="1" applyProtection="1">
      <alignment horizontal="left" vertical="center" wrapText="1"/>
      <protection locked="0"/>
    </xf>
    <xf numFmtId="0" fontId="65" fillId="0" borderId="0" xfId="8" applyFont="1" applyProtection="1">
      <protection locked="0"/>
    </xf>
    <xf numFmtId="0" fontId="61" fillId="3" borderId="51" xfId="8" applyFont="1" applyFill="1" applyBorder="1" applyAlignment="1" applyProtection="1">
      <alignment horizontal="center" vertical="center"/>
      <protection locked="0"/>
    </xf>
    <xf numFmtId="1" fontId="61" fillId="3" borderId="52" xfId="8" applyNumberFormat="1" applyFont="1" applyFill="1" applyBorder="1" applyAlignment="1">
      <alignment horizontal="center" vertical="center"/>
    </xf>
    <xf numFmtId="1" fontId="61" fillId="3" borderId="52" xfId="8" applyNumberFormat="1" applyFont="1" applyFill="1" applyBorder="1" applyAlignment="1" applyProtection="1">
      <alignment horizontal="center" vertical="center"/>
      <protection locked="0"/>
    </xf>
    <xf numFmtId="1" fontId="61" fillId="3" borderId="55" xfId="8" applyNumberFormat="1" applyFont="1" applyFill="1" applyBorder="1" applyAlignment="1">
      <alignment horizontal="center" vertical="center"/>
    </xf>
    <xf numFmtId="1" fontId="61" fillId="8" borderId="53" xfId="8" applyNumberFormat="1" applyFont="1" applyFill="1" applyBorder="1" applyAlignment="1" applyProtection="1">
      <alignment horizontal="center" vertical="center"/>
      <protection locked="0"/>
    </xf>
    <xf numFmtId="1" fontId="61" fillId="8" borderId="36" xfId="8" applyNumberFormat="1" applyFont="1" applyFill="1" applyBorder="1" applyAlignment="1">
      <alignment horizontal="center" vertical="center" wrapText="1"/>
    </xf>
    <xf numFmtId="1" fontId="61" fillId="8" borderId="36" xfId="8" applyNumberFormat="1" applyFont="1" applyFill="1" applyBorder="1" applyAlignment="1">
      <alignment horizontal="center" vertical="center"/>
    </xf>
    <xf numFmtId="0" fontId="49" fillId="8" borderId="52" xfId="8" applyFont="1" applyFill="1" applyBorder="1" applyAlignment="1" applyProtection="1">
      <alignment horizontal="left" vertical="center"/>
      <protection locked="0"/>
    </xf>
    <xf numFmtId="0" fontId="69" fillId="8" borderId="0" xfId="8" applyFont="1" applyFill="1" applyProtection="1">
      <protection locked="0"/>
    </xf>
    <xf numFmtId="0" fontId="69" fillId="0" borderId="0" xfId="8" applyFont="1" applyProtection="1">
      <protection locked="0"/>
    </xf>
    <xf numFmtId="0" fontId="61" fillId="8" borderId="53" xfId="8" applyFont="1" applyFill="1" applyBorder="1" applyAlignment="1">
      <alignment horizontal="center" vertical="center"/>
    </xf>
    <xf numFmtId="0" fontId="61" fillId="8" borderId="53" xfId="8" applyFont="1" applyFill="1" applyBorder="1" applyAlignment="1" applyProtection="1">
      <alignment horizontal="center" vertical="center"/>
      <protection locked="0"/>
    </xf>
    <xf numFmtId="0" fontId="49" fillId="8" borderId="13" xfId="8" applyFont="1" applyFill="1" applyBorder="1" applyAlignment="1" applyProtection="1">
      <alignment horizontal="left" vertical="center"/>
      <protection locked="0"/>
    </xf>
    <xf numFmtId="0" fontId="16" fillId="3" borderId="0" xfId="8" applyFill="1" applyProtection="1">
      <protection locked="0"/>
    </xf>
    <xf numFmtId="1" fontId="61" fillId="8" borderId="52" xfId="8" quotePrefix="1" applyNumberFormat="1" applyFont="1" applyFill="1" applyBorder="1" applyAlignment="1">
      <alignment horizontal="center" vertical="center"/>
    </xf>
    <xf numFmtId="0" fontId="71" fillId="8" borderId="0" xfId="8" applyFont="1" applyFill="1" applyProtection="1">
      <protection locked="0"/>
    </xf>
    <xf numFmtId="0" fontId="61" fillId="8" borderId="52" xfId="8" applyFont="1" applyFill="1" applyBorder="1" applyAlignment="1">
      <alignment horizontal="center" vertical="center"/>
    </xf>
    <xf numFmtId="0" fontId="61" fillId="8" borderId="52" xfId="8" applyFont="1" applyFill="1" applyBorder="1" applyAlignment="1" applyProtection="1">
      <alignment horizontal="center" vertical="center"/>
      <protection locked="0"/>
    </xf>
    <xf numFmtId="0" fontId="71" fillId="0" borderId="0" xfId="8" applyFont="1" applyProtection="1">
      <protection locked="0"/>
    </xf>
    <xf numFmtId="1" fontId="73" fillId="8" borderId="51" xfId="8" applyNumberFormat="1" applyFont="1" applyFill="1" applyBorder="1" applyAlignment="1" applyProtection="1">
      <alignment horizontal="center" vertical="center"/>
      <protection locked="0"/>
    </xf>
    <xf numFmtId="0" fontId="73" fillId="8" borderId="52" xfId="8" applyFont="1" applyFill="1" applyBorder="1" applyAlignment="1">
      <alignment horizontal="center" vertical="center"/>
    </xf>
    <xf numFmtId="0" fontId="73" fillId="8" borderId="52" xfId="8" applyFont="1" applyFill="1" applyBorder="1" applyAlignment="1" applyProtection="1">
      <alignment horizontal="center" vertical="center"/>
      <protection locked="0"/>
    </xf>
    <xf numFmtId="1" fontId="73" fillId="8" borderId="55" xfId="8" applyNumberFormat="1" applyFont="1" applyFill="1" applyBorder="1" applyAlignment="1">
      <alignment horizontal="center" vertical="center"/>
    </xf>
    <xf numFmtId="0" fontId="61" fillId="0" borderId="52" xfId="8" applyFont="1" applyBorder="1" applyAlignment="1">
      <alignment horizontal="center" vertical="center"/>
    </xf>
    <xf numFmtId="0" fontId="61" fillId="0" borderId="52" xfId="8" applyFont="1" applyBorder="1" applyAlignment="1" applyProtection="1">
      <alignment horizontal="center" vertical="center"/>
      <protection locked="0"/>
    </xf>
    <xf numFmtId="1" fontId="61" fillId="0" borderId="55" xfId="8" applyNumberFormat="1" applyFont="1" applyBorder="1" applyAlignment="1">
      <alignment horizontal="center" vertical="center"/>
    </xf>
    <xf numFmtId="0" fontId="61" fillId="8" borderId="52" xfId="8" quotePrefix="1" applyFont="1" applyFill="1" applyBorder="1" applyAlignment="1">
      <alignment horizontal="center" vertical="center"/>
    </xf>
    <xf numFmtId="1" fontId="75" fillId="8" borderId="51" xfId="8" applyNumberFormat="1" applyFont="1" applyFill="1" applyBorder="1" applyAlignment="1" applyProtection="1">
      <alignment horizontal="center" vertical="center"/>
      <protection locked="0"/>
    </xf>
    <xf numFmtId="1" fontId="76" fillId="8" borderId="52" xfId="8" quotePrefix="1" applyNumberFormat="1" applyFont="1" applyFill="1" applyBorder="1" applyAlignment="1">
      <alignment horizontal="center" vertical="center"/>
    </xf>
    <xf numFmtId="1" fontId="76" fillId="8" borderId="52" xfId="8" applyNumberFormat="1" applyFont="1" applyFill="1" applyBorder="1" applyAlignment="1" applyProtection="1">
      <alignment horizontal="center" vertical="center"/>
      <protection locked="0"/>
    </xf>
    <xf numFmtId="1" fontId="76" fillId="8" borderId="55" xfId="8" applyNumberFormat="1" applyFont="1" applyFill="1" applyBorder="1" applyAlignment="1">
      <alignment horizontal="center" vertical="center"/>
    </xf>
    <xf numFmtId="165" fontId="61" fillId="8" borderId="54" xfId="8" applyNumberFormat="1" applyFont="1" applyFill="1" applyBorder="1" applyAlignment="1" applyProtection="1">
      <alignment horizontal="center" vertical="center"/>
      <protection locked="0"/>
    </xf>
    <xf numFmtId="1" fontId="61" fillId="8" borderId="58" xfId="8" applyNumberFormat="1" applyFont="1" applyFill="1" applyBorder="1" applyAlignment="1" applyProtection="1">
      <alignment horizontal="center" vertical="center"/>
      <protection locked="0"/>
    </xf>
    <xf numFmtId="165" fontId="61" fillId="8" borderId="63" xfId="8" applyNumberFormat="1" applyFont="1" applyFill="1" applyBorder="1" applyAlignment="1" applyProtection="1">
      <alignment horizontal="center" vertical="center"/>
      <protection locked="0"/>
    </xf>
    <xf numFmtId="0" fontId="61" fillId="8" borderId="68" xfId="8" applyFont="1" applyFill="1" applyBorder="1" applyAlignment="1" applyProtection="1">
      <alignment horizontal="center" vertical="center"/>
      <protection locked="0"/>
    </xf>
    <xf numFmtId="0" fontId="52" fillId="8" borderId="28" xfId="8" applyFont="1" applyFill="1" applyBorder="1" applyAlignment="1" applyProtection="1">
      <alignment vertical="center"/>
      <protection locked="0"/>
    </xf>
    <xf numFmtId="165" fontId="52" fillId="8" borderId="70" xfId="8" applyNumberFormat="1" applyFont="1" applyFill="1" applyBorder="1" applyAlignment="1" applyProtection="1">
      <alignment horizontal="left" vertical="center"/>
      <protection locked="0"/>
    </xf>
    <xf numFmtId="0" fontId="49" fillId="8" borderId="69" xfId="8" applyFont="1" applyFill="1" applyBorder="1" applyAlignment="1">
      <alignment horizontal="left" vertical="center"/>
    </xf>
    <xf numFmtId="0" fontId="49" fillId="8" borderId="28" xfId="8" applyFont="1" applyFill="1" applyBorder="1" applyAlignment="1">
      <alignment horizontal="left" vertical="center"/>
    </xf>
    <xf numFmtId="0" fontId="52" fillId="8" borderId="28" xfId="8" applyFont="1" applyFill="1" applyBorder="1" applyAlignment="1" applyProtection="1">
      <alignment horizontal="left" vertical="center"/>
      <protection locked="0"/>
    </xf>
    <xf numFmtId="0" fontId="49" fillId="8" borderId="18" xfId="8" applyFont="1" applyFill="1" applyBorder="1" applyAlignment="1" applyProtection="1">
      <alignment horizontal="left" vertical="center"/>
      <protection locked="0"/>
    </xf>
    <xf numFmtId="0" fontId="80" fillId="0" borderId="14" xfId="8" applyFont="1" applyBorder="1" applyAlignment="1">
      <alignment horizontal="center" vertical="center"/>
    </xf>
    <xf numFmtId="0" fontId="80" fillId="0" borderId="11" xfId="8" applyFont="1" applyBorder="1" applyAlignment="1">
      <alignment horizontal="center" vertical="center"/>
    </xf>
    <xf numFmtId="169" fontId="61" fillId="8" borderId="55" xfId="8" applyNumberFormat="1" applyFont="1" applyFill="1" applyBorder="1" applyAlignment="1" applyProtection="1">
      <alignment horizontal="center" vertical="center"/>
      <protection locked="0"/>
    </xf>
    <xf numFmtId="0" fontId="52" fillId="8" borderId="0" xfId="8" applyFont="1" applyFill="1" applyAlignment="1" applyProtection="1">
      <alignment vertical="center"/>
      <protection locked="0"/>
    </xf>
    <xf numFmtId="165" fontId="52" fillId="8" borderId="42" xfId="8" applyNumberFormat="1" applyFont="1" applyFill="1" applyBorder="1" applyAlignment="1" applyProtection="1">
      <alignment horizontal="left" vertical="center"/>
      <protection locked="0"/>
    </xf>
    <xf numFmtId="0" fontId="49" fillId="8" borderId="41" xfId="8" applyFont="1" applyFill="1" applyBorder="1" applyAlignment="1">
      <alignment horizontal="left" vertical="center"/>
    </xf>
    <xf numFmtId="0" fontId="49" fillId="8" borderId="0" xfId="8" applyFont="1" applyFill="1" applyAlignment="1">
      <alignment horizontal="left" vertical="center"/>
    </xf>
    <xf numFmtId="0" fontId="52" fillId="8" borderId="0" xfId="8" applyFont="1" applyFill="1" applyAlignment="1" applyProtection="1">
      <alignment horizontal="left" vertical="center"/>
      <protection locked="0"/>
    </xf>
    <xf numFmtId="1" fontId="52" fillId="8" borderId="0" xfId="8" applyNumberFormat="1" applyFont="1" applyFill="1" applyAlignment="1">
      <alignment horizontal="left" vertical="center"/>
    </xf>
    <xf numFmtId="1" fontId="52" fillId="8" borderId="71" xfId="8" applyNumberFormat="1" applyFont="1" applyFill="1" applyBorder="1" applyAlignment="1" applyProtection="1">
      <alignment horizontal="left" vertical="center"/>
      <protection locked="0"/>
    </xf>
    <xf numFmtId="169" fontId="52" fillId="8" borderId="14" xfId="8" applyNumberFormat="1" applyFont="1" applyFill="1" applyBorder="1" applyAlignment="1">
      <alignment horizontal="center" vertical="center"/>
    </xf>
    <xf numFmtId="1" fontId="62" fillId="8" borderId="11" xfId="8" applyNumberFormat="1" applyFont="1" applyFill="1" applyBorder="1" applyAlignment="1">
      <alignment horizontal="center" vertical="center"/>
    </xf>
    <xf numFmtId="169" fontId="62" fillId="8" borderId="11" xfId="8" applyNumberFormat="1" applyFont="1" applyFill="1" applyBorder="1" applyAlignment="1">
      <alignment horizontal="center" vertical="center"/>
    </xf>
    <xf numFmtId="1" fontId="61" fillId="8" borderId="11" xfId="8" applyNumberFormat="1" applyFont="1" applyFill="1" applyBorder="1" applyAlignment="1">
      <alignment horizontal="center" vertical="center"/>
    </xf>
    <xf numFmtId="169" fontId="61" fillId="8" borderId="11" xfId="8" applyNumberFormat="1" applyFont="1" applyFill="1" applyBorder="1" applyAlignment="1">
      <alignment horizontal="center" vertical="center"/>
    </xf>
    <xf numFmtId="169" fontId="52" fillId="8" borderId="0" xfId="8" applyNumberFormat="1" applyFont="1" applyFill="1" applyAlignment="1">
      <alignment horizontal="left" vertical="center"/>
    </xf>
    <xf numFmtId="169" fontId="52" fillId="8" borderId="71" xfId="8" applyNumberFormat="1" applyFont="1" applyFill="1" applyBorder="1" applyAlignment="1" applyProtection="1">
      <alignment horizontal="left" vertical="center"/>
      <protection locked="0"/>
    </xf>
    <xf numFmtId="0" fontId="52" fillId="8" borderId="7" xfId="8" applyFont="1" applyFill="1" applyBorder="1" applyAlignment="1" applyProtection="1">
      <alignment vertical="center"/>
      <protection locked="0"/>
    </xf>
    <xf numFmtId="165" fontId="52" fillId="8" borderId="36" xfId="8" applyNumberFormat="1" applyFont="1" applyFill="1" applyBorder="1" applyAlignment="1" applyProtection="1">
      <alignment horizontal="left" vertical="center"/>
      <protection locked="0"/>
    </xf>
    <xf numFmtId="0" fontId="49" fillId="8" borderId="53" xfId="8" applyFont="1" applyFill="1" applyBorder="1" applyAlignment="1" applyProtection="1">
      <alignment horizontal="left" vertical="center"/>
      <protection locked="0"/>
    </xf>
    <xf numFmtId="0" fontId="49" fillId="8" borderId="7" xfId="8" applyFont="1" applyFill="1" applyBorder="1" applyAlignment="1" applyProtection="1">
      <alignment horizontal="left" vertical="center"/>
      <protection locked="0"/>
    </xf>
    <xf numFmtId="0" fontId="49" fillId="8" borderId="8" xfId="8" applyFont="1" applyFill="1" applyBorder="1" applyAlignment="1" applyProtection="1">
      <alignment horizontal="left" vertical="center"/>
      <protection locked="0"/>
    </xf>
    <xf numFmtId="0" fontId="62" fillId="8" borderId="59" xfId="8" applyFont="1" applyFill="1" applyBorder="1" applyAlignment="1" applyProtection="1">
      <alignment vertical="center"/>
      <protection locked="0"/>
    </xf>
    <xf numFmtId="165" fontId="52" fillId="8" borderId="59" xfId="8" applyNumberFormat="1" applyFont="1" applyFill="1" applyBorder="1" applyAlignment="1">
      <alignment horizontal="left" vertical="center"/>
    </xf>
    <xf numFmtId="169" fontId="52" fillId="0" borderId="60" xfId="16" applyNumberFormat="1" applyFont="1" applyBorder="1" applyAlignment="1">
      <alignment horizontal="center" vertical="center"/>
    </xf>
    <xf numFmtId="1" fontId="62" fillId="8" borderId="62" xfId="8" applyNumberFormat="1" applyFont="1" applyFill="1" applyBorder="1" applyAlignment="1">
      <alignment horizontal="center" vertical="center"/>
    </xf>
    <xf numFmtId="169" fontId="62" fillId="0" borderId="60" xfId="16" applyNumberFormat="1" applyFont="1" applyBorder="1" applyAlignment="1">
      <alignment horizontal="center" vertical="center"/>
    </xf>
    <xf numFmtId="1" fontId="61" fillId="8" borderId="62" xfId="8" applyNumberFormat="1" applyFont="1" applyFill="1" applyBorder="1" applyAlignment="1">
      <alignment horizontal="center" vertical="center"/>
    </xf>
    <xf numFmtId="1" fontId="62" fillId="8" borderId="61" xfId="8" applyNumberFormat="1" applyFont="1" applyFill="1" applyBorder="1" applyAlignment="1">
      <alignment horizontal="center" vertical="center"/>
    </xf>
    <xf numFmtId="169" fontId="61" fillId="8" borderId="62" xfId="8" applyNumberFormat="1" applyFont="1" applyFill="1" applyBorder="1" applyAlignment="1">
      <alignment horizontal="center" vertical="center"/>
    </xf>
    <xf numFmtId="169" fontId="61" fillId="8" borderId="73" xfId="8" applyNumberFormat="1" applyFont="1" applyFill="1" applyBorder="1" applyAlignment="1" applyProtection="1">
      <alignment horizontal="center" vertical="center"/>
      <protection locked="0"/>
    </xf>
    <xf numFmtId="1" fontId="34" fillId="8" borderId="0" xfId="8" applyNumberFormat="1" applyFont="1" applyFill="1" applyAlignment="1" applyProtection="1">
      <alignment vertical="center"/>
      <protection locked="0"/>
    </xf>
    <xf numFmtId="1" fontId="16" fillId="0" borderId="0" xfId="8" applyNumberFormat="1" applyProtection="1">
      <protection locked="0"/>
    </xf>
    <xf numFmtId="0" fontId="49" fillId="0" borderId="0" xfId="8" applyFont="1" applyAlignment="1" applyProtection="1">
      <alignment horizontal="left" vertical="center"/>
      <protection locked="0"/>
    </xf>
    <xf numFmtId="169" fontId="64" fillId="0" borderId="0" xfId="8" applyNumberFormat="1" applyFont="1" applyProtection="1">
      <protection locked="0"/>
    </xf>
    <xf numFmtId="3" fontId="21" fillId="3" borderId="0" xfId="4" applyNumberFormat="1" applyFont="1" applyFill="1" applyAlignment="1">
      <alignment horizontal="center" vertical="center"/>
    </xf>
    <xf numFmtId="3" fontId="21" fillId="3" borderId="23" xfId="4" applyNumberFormat="1" applyFont="1" applyFill="1" applyBorder="1" applyAlignment="1">
      <alignment horizontal="center" vertical="center"/>
    </xf>
    <xf numFmtId="0" fontId="22" fillId="3" borderId="0" xfId="4" applyFont="1" applyFill="1" applyAlignment="1" applyProtection="1">
      <alignment horizontal="center" vertical="center" wrapText="1"/>
      <protection locked="0"/>
    </xf>
    <xf numFmtId="0" fontId="64" fillId="0" borderId="0" xfId="8" applyFont="1" applyAlignment="1" applyProtection="1">
      <alignment horizontal="center"/>
      <protection locked="0"/>
    </xf>
    <xf numFmtId="0" fontId="66" fillId="3" borderId="0" xfId="8" applyFont="1" applyFill="1" applyAlignment="1" applyProtection="1">
      <alignment horizontal="center"/>
      <protection locked="0"/>
    </xf>
    <xf numFmtId="0" fontId="66" fillId="0" borderId="0" xfId="8" applyFont="1" applyAlignment="1" applyProtection="1">
      <alignment horizontal="center"/>
      <protection locked="0"/>
    </xf>
    <xf numFmtId="0" fontId="70" fillId="0" borderId="0" xfId="8" applyFont="1" applyAlignment="1" applyProtection="1">
      <alignment horizontal="center"/>
      <protection locked="0"/>
    </xf>
    <xf numFmtId="0" fontId="64" fillId="3" borderId="0" xfId="8" applyFont="1" applyFill="1" applyAlignment="1" applyProtection="1">
      <alignment horizontal="center"/>
      <protection locked="0"/>
    </xf>
    <xf numFmtId="0" fontId="72" fillId="0" borderId="0" xfId="8" applyFont="1" applyAlignment="1" applyProtection="1">
      <alignment horizontal="center"/>
      <protection locked="0"/>
    </xf>
    <xf numFmtId="1" fontId="35" fillId="0" borderId="16" xfId="8" applyNumberFormat="1" applyFont="1" applyFill="1" applyBorder="1" applyAlignment="1" applyProtection="1">
      <alignment horizontal="center" vertical="center"/>
      <protection locked="0"/>
    </xf>
    <xf numFmtId="0" fontId="64" fillId="11" borderId="0" xfId="8" applyFont="1" applyFill="1" applyAlignment="1" applyProtection="1">
      <alignment horizontal="center"/>
      <protection locked="0"/>
    </xf>
    <xf numFmtId="0" fontId="11" fillId="2" borderId="0" xfId="4" applyFont="1" applyFill="1" applyAlignment="1">
      <alignment horizontal="center" vertical="center"/>
    </xf>
    <xf numFmtId="0" fontId="16" fillId="2" borderId="0" xfId="4" applyFill="1" applyAlignment="1">
      <alignment horizontal="center" vertical="center"/>
    </xf>
    <xf numFmtId="1" fontId="36" fillId="0" borderId="0" xfId="4" applyNumberFormat="1" applyFont="1" applyFill="1" applyAlignment="1">
      <alignment horizontal="center" vertical="center"/>
    </xf>
    <xf numFmtId="0" fontId="12" fillId="2" borderId="1" xfId="4" applyFont="1" applyFill="1" applyBorder="1" applyAlignment="1" applyProtection="1">
      <alignment vertical="center"/>
      <protection locked="0"/>
    </xf>
    <xf numFmtId="0" fontId="12" fillId="2" borderId="2" xfId="4" applyFont="1" applyFill="1" applyBorder="1" applyAlignment="1" applyProtection="1">
      <alignment vertical="center"/>
      <protection locked="0"/>
    </xf>
    <xf numFmtId="0" fontId="12" fillId="2" borderId="3" xfId="4" applyFont="1" applyFill="1" applyBorder="1" applyAlignment="1" applyProtection="1">
      <alignment horizontal="center" vertical="center"/>
      <protection locked="0"/>
    </xf>
    <xf numFmtId="0" fontId="13" fillId="2" borderId="0" xfId="4" applyFont="1" applyFill="1" applyAlignment="1">
      <alignment horizontal="center" vertical="center"/>
    </xf>
    <xf numFmtId="0" fontId="14" fillId="2" borderId="4" xfId="4" applyFont="1" applyFill="1" applyBorder="1" applyAlignment="1" applyProtection="1">
      <alignment horizontal="center" vertical="center"/>
      <protection locked="0"/>
    </xf>
    <xf numFmtId="0" fontId="14" fillId="2" borderId="5" xfId="4" applyFont="1" applyFill="1" applyBorder="1" applyAlignment="1" applyProtection="1">
      <alignment horizontal="center" vertical="center"/>
      <protection locked="0"/>
    </xf>
    <xf numFmtId="1" fontId="14" fillId="2" borderId="5" xfId="4" applyNumberFormat="1" applyFont="1" applyFill="1" applyBorder="1" applyAlignment="1" applyProtection="1">
      <alignment horizontal="center" vertical="center" wrapText="1"/>
      <protection locked="0"/>
    </xf>
    <xf numFmtId="9" fontId="14" fillId="7" borderId="5" xfId="4" applyNumberFormat="1" applyFont="1" applyFill="1" applyBorder="1" applyAlignment="1" applyProtection="1">
      <alignment horizontal="center" vertical="center" wrapText="1"/>
      <protection locked="0"/>
    </xf>
    <xf numFmtId="2" fontId="14" fillId="2" borderId="5" xfId="4" applyNumberFormat="1" applyFont="1" applyFill="1" applyBorder="1" applyAlignment="1" applyProtection="1">
      <alignment horizontal="center" vertical="center"/>
      <protection locked="0"/>
    </xf>
    <xf numFmtId="1" fontId="14" fillId="2" borderId="9" xfId="4" applyNumberFormat="1" applyFont="1" applyFill="1" applyBorder="1" applyAlignment="1" applyProtection="1">
      <alignment horizontal="center" vertical="center"/>
      <protection locked="0"/>
    </xf>
    <xf numFmtId="0" fontId="15" fillId="2" borderId="0" xfId="4" applyFont="1" applyFill="1" applyAlignment="1">
      <alignment horizontal="center" vertical="center"/>
    </xf>
    <xf numFmtId="0" fontId="14" fillId="2" borderId="10" xfId="4" applyFont="1" applyFill="1" applyBorder="1" applyAlignment="1" applyProtection="1">
      <alignment horizontal="center" vertical="center"/>
      <protection locked="0"/>
    </xf>
    <xf numFmtId="1" fontId="14" fillId="2" borderId="11" xfId="4" applyNumberFormat="1" applyFont="1" applyFill="1" applyBorder="1" applyAlignment="1" applyProtection="1">
      <alignment horizontal="center" vertical="center" wrapText="1"/>
      <protection locked="0"/>
    </xf>
    <xf numFmtId="15" fontId="14" fillId="2" borderId="11" xfId="4" applyNumberFormat="1" applyFont="1" applyFill="1" applyBorder="1" applyAlignment="1" applyProtection="1">
      <alignment horizontal="center" vertical="center" wrapText="1"/>
      <protection locked="0"/>
    </xf>
    <xf numFmtId="2" fontId="14" fillId="3" borderId="11" xfId="4" applyNumberFormat="1" applyFont="1" applyFill="1" applyBorder="1" applyAlignment="1" applyProtection="1">
      <alignment horizontal="center" vertical="center"/>
      <protection locked="0"/>
    </xf>
    <xf numFmtId="49" fontId="14" fillId="2" borderId="11" xfId="4" applyNumberFormat="1" applyFont="1" applyFill="1" applyBorder="1" applyAlignment="1" applyProtection="1">
      <alignment horizontal="center" vertical="center" wrapText="1"/>
      <protection locked="0"/>
    </xf>
    <xf numFmtId="165" fontId="14" fillId="2" borderId="11" xfId="4" applyNumberFormat="1" applyFont="1" applyFill="1" applyBorder="1" applyAlignment="1" applyProtection="1">
      <alignment horizontal="center" vertical="center" wrapText="1"/>
      <protection locked="0"/>
    </xf>
    <xf numFmtId="164" fontId="14" fillId="2" borderId="15" xfId="4" applyNumberFormat="1" applyFont="1" applyFill="1" applyBorder="1" applyAlignment="1" applyProtection="1">
      <alignment horizontal="center" vertical="center"/>
      <protection locked="0"/>
    </xf>
    <xf numFmtId="1" fontId="16" fillId="2" borderId="0" xfId="4" applyNumberFormat="1" applyFill="1" applyAlignment="1">
      <alignment horizontal="center" vertical="center"/>
    </xf>
    <xf numFmtId="0" fontId="38" fillId="0" borderId="16" xfId="4" applyFont="1" applyFill="1" applyBorder="1" applyAlignment="1" applyProtection="1">
      <alignment horizontal="center" vertical="center" wrapText="1"/>
      <protection locked="0"/>
    </xf>
    <xf numFmtId="1" fontId="11" fillId="0" borderId="24" xfId="4" applyNumberFormat="1" applyFont="1" applyBorder="1" applyAlignment="1">
      <alignment horizontal="center" vertical="center"/>
    </xf>
    <xf numFmtId="164" fontId="11" fillId="0" borderId="25" xfId="4" applyNumberFormat="1" applyFont="1" applyBorder="1" applyAlignment="1">
      <alignment horizontal="center" vertical="center"/>
    </xf>
    <xf numFmtId="0" fontId="35" fillId="0" borderId="11" xfId="4" applyFont="1" applyFill="1" applyBorder="1" applyAlignment="1" applyProtection="1">
      <alignment horizontal="center" vertical="center" wrapText="1" shrinkToFit="1"/>
      <protection locked="0"/>
    </xf>
    <xf numFmtId="1" fontId="35" fillId="0" borderId="11" xfId="4" applyNumberFormat="1" applyFont="1" applyFill="1" applyBorder="1" applyAlignment="1" applyProtection="1">
      <alignment horizontal="center" vertical="center" wrapText="1"/>
      <protection locked="0"/>
    </xf>
    <xf numFmtId="2" fontId="25" fillId="0" borderId="11" xfId="4" applyNumberFormat="1" applyFont="1" applyFill="1" applyBorder="1" applyAlignment="1" applyProtection="1">
      <alignment vertical="center"/>
    </xf>
    <xf numFmtId="1" fontId="25" fillId="0" borderId="11" xfId="4" applyNumberFormat="1" applyFont="1" applyFill="1" applyBorder="1" applyAlignment="1" applyProtection="1">
      <alignment vertical="center"/>
      <protection locked="0"/>
    </xf>
    <xf numFmtId="0" fontId="16" fillId="2" borderId="25" xfId="4" applyFont="1" applyFill="1" applyBorder="1" applyAlignment="1">
      <alignment horizontal="center" vertical="center"/>
    </xf>
    <xf numFmtId="1" fontId="11" fillId="0" borderId="0" xfId="4" applyNumberFormat="1" applyFont="1" applyAlignment="1">
      <alignment horizontal="center" vertical="center"/>
    </xf>
    <xf numFmtId="164" fontId="11" fillId="0" borderId="0" xfId="4" applyNumberFormat="1" applyFont="1" applyAlignment="1">
      <alignment horizontal="center" vertical="center"/>
    </xf>
    <xf numFmtId="0" fontId="24" fillId="2" borderId="22" xfId="4" applyFont="1" applyFill="1" applyBorder="1" applyAlignment="1" applyProtection="1">
      <alignment horizontal="center" vertical="center"/>
      <protection locked="0"/>
    </xf>
    <xf numFmtId="1" fontId="19" fillId="2" borderId="11" xfId="4" applyNumberFormat="1" applyFont="1" applyFill="1" applyBorder="1" applyAlignment="1">
      <alignment horizontal="center" vertical="center"/>
    </xf>
    <xf numFmtId="0" fontId="19" fillId="2" borderId="0" xfId="4" applyFont="1" applyFill="1" applyBorder="1" applyAlignment="1">
      <alignment horizontal="center" vertical="center"/>
    </xf>
    <xf numFmtId="0" fontId="16" fillId="2" borderId="23" xfId="4" applyFill="1" applyBorder="1" applyAlignment="1">
      <alignment horizontal="center" vertical="center"/>
    </xf>
    <xf numFmtId="0" fontId="24" fillId="2" borderId="0" xfId="4" applyFont="1" applyFill="1" applyBorder="1" applyAlignment="1" applyProtection="1">
      <alignment horizontal="center" vertical="center"/>
      <protection locked="0"/>
    </xf>
    <xf numFmtId="1" fontId="36" fillId="0" borderId="0" xfId="4" applyNumberFormat="1" applyFont="1" applyFill="1" applyBorder="1" applyAlignment="1" applyProtection="1">
      <alignment horizontal="center" vertical="center"/>
      <protection locked="0"/>
    </xf>
    <xf numFmtId="0" fontId="29" fillId="2" borderId="0" xfId="4" applyFont="1" applyFill="1" applyAlignment="1">
      <alignment horizontal="center" vertical="top"/>
    </xf>
    <xf numFmtId="0" fontId="28" fillId="2" borderId="0" xfId="4" applyFont="1" applyFill="1" applyAlignment="1">
      <alignment horizontal="center" vertical="top"/>
    </xf>
    <xf numFmtId="0" fontId="22" fillId="3" borderId="0" xfId="4" applyFont="1" applyFill="1" applyAlignment="1" applyProtection="1">
      <alignment horizontal="center" vertical="center" wrapText="1"/>
      <protection locked="0"/>
    </xf>
    <xf numFmtId="3" fontId="21" fillId="3" borderId="0" xfId="4" applyNumberFormat="1" applyFont="1" applyFill="1" applyAlignment="1">
      <alignment horizontal="center" vertical="center"/>
    </xf>
    <xf numFmtId="3" fontId="21" fillId="3" borderId="23" xfId="4" applyNumberFormat="1" applyFont="1" applyFill="1" applyBorder="1" applyAlignment="1">
      <alignment horizontal="center" vertical="center"/>
    </xf>
    <xf numFmtId="0" fontId="40" fillId="3" borderId="11" xfId="12" applyFont="1" applyFill="1" applyBorder="1" applyAlignment="1">
      <alignment horizontal="center" vertical="center" wrapText="1"/>
    </xf>
    <xf numFmtId="0" fontId="42" fillId="3" borderId="11" xfId="4" applyFont="1" applyFill="1" applyBorder="1" applyAlignment="1" applyProtection="1">
      <alignment horizontal="center" vertical="center" wrapText="1"/>
      <protection locked="0"/>
    </xf>
    <xf numFmtId="0" fontId="14" fillId="3" borderId="11" xfId="4" applyFont="1" applyFill="1" applyBorder="1" applyAlignment="1" applyProtection="1">
      <alignment horizontal="center" vertical="center" wrapText="1"/>
      <protection locked="0"/>
    </xf>
    <xf numFmtId="165" fontId="35" fillId="0" borderId="11" xfId="4" applyNumberFormat="1" applyFont="1" applyFill="1" applyBorder="1" applyAlignment="1" applyProtection="1">
      <alignment horizontal="center" vertical="center" wrapText="1" shrinkToFit="1"/>
      <protection locked="0"/>
    </xf>
    <xf numFmtId="3" fontId="21" fillId="3" borderId="0" xfId="4" applyNumberFormat="1" applyFont="1" applyFill="1" applyAlignment="1">
      <alignment horizontal="center" vertical="center"/>
    </xf>
    <xf numFmtId="3" fontId="21" fillId="3" borderId="23" xfId="4" applyNumberFormat="1" applyFont="1" applyFill="1" applyBorder="1" applyAlignment="1">
      <alignment horizontal="center" vertical="center"/>
    </xf>
    <xf numFmtId="0" fontId="22" fillId="3" borderId="0" xfId="4" applyFont="1" applyFill="1" applyAlignment="1" applyProtection="1">
      <alignment horizontal="center" vertical="center" wrapText="1"/>
      <protection locked="0"/>
    </xf>
    <xf numFmtId="0" fontId="19" fillId="2" borderId="0" xfId="4" applyFont="1" applyFill="1" applyBorder="1" applyAlignment="1">
      <alignment horizontal="center" vertical="center"/>
    </xf>
    <xf numFmtId="0" fontId="12" fillId="2" borderId="3" xfId="4" applyFont="1" applyFill="1" applyBorder="1" applyAlignment="1" applyProtection="1">
      <alignment horizontal="center" vertical="center"/>
      <protection locked="0"/>
    </xf>
    <xf numFmtId="1" fontId="35" fillId="0" borderId="16" xfId="8" applyNumberFormat="1" applyFont="1" applyFill="1" applyBorder="1" applyAlignment="1" applyProtection="1">
      <alignment horizontal="center" vertical="center"/>
      <protection locked="0"/>
    </xf>
    <xf numFmtId="1" fontId="35" fillId="0" borderId="16" xfId="8" applyNumberFormat="1" applyFont="1" applyFill="1" applyBorder="1" applyAlignment="1" applyProtection="1">
      <alignment horizontal="center" vertical="center" wrapText="1"/>
      <protection locked="0"/>
    </xf>
    <xf numFmtId="3" fontId="21" fillId="3" borderId="0" xfId="4" applyNumberFormat="1" applyFont="1" applyFill="1" applyAlignment="1">
      <alignment horizontal="center" vertical="center"/>
    </xf>
    <xf numFmtId="3" fontId="21" fillId="3" borderId="23" xfId="4" applyNumberFormat="1" applyFont="1" applyFill="1" applyBorder="1" applyAlignment="1">
      <alignment horizontal="center" vertical="center"/>
    </xf>
    <xf numFmtId="0" fontId="22" fillId="3" borderId="0" xfId="4" applyFont="1" applyFill="1" applyAlignment="1" applyProtection="1">
      <alignment horizontal="center" vertical="center" wrapText="1"/>
      <protection locked="0"/>
    </xf>
    <xf numFmtId="0" fontId="30" fillId="4" borderId="11" xfId="18" applyFont="1" applyFill="1" applyBorder="1" applyAlignment="1">
      <alignment horizontal="center" vertical="center"/>
    </xf>
    <xf numFmtId="0" fontId="41" fillId="0" borderId="12" xfId="4" applyFont="1" applyBorder="1" applyAlignment="1">
      <alignment horizontal="center" vertical="center"/>
    </xf>
    <xf numFmtId="0" fontId="30" fillId="2" borderId="11" xfId="18" applyFont="1" applyFill="1" applyBorder="1" applyAlignment="1">
      <alignment horizontal="center" vertical="center" wrapText="1"/>
    </xf>
    <xf numFmtId="0" fontId="30" fillId="2" borderId="11" xfId="18" applyFont="1" applyFill="1" applyBorder="1" applyAlignment="1">
      <alignment horizontal="center" vertical="center"/>
    </xf>
    <xf numFmtId="0" fontId="41" fillId="0" borderId="12" xfId="4" applyFont="1" applyBorder="1" applyAlignment="1">
      <alignment horizontal="center" vertical="center" wrapText="1"/>
    </xf>
    <xf numFmtId="0" fontId="43" fillId="3" borderId="0" xfId="4" applyFont="1" applyFill="1" applyAlignment="1">
      <alignment horizontal="center" vertical="center"/>
    </xf>
    <xf numFmtId="1" fontId="35" fillId="0" borderId="11" xfId="8" applyNumberFormat="1" applyFont="1" applyFill="1" applyBorder="1" applyAlignment="1" applyProtection="1">
      <alignment horizontal="center" vertical="center"/>
      <protection locked="0"/>
    </xf>
    <xf numFmtId="1" fontId="35" fillId="5" borderId="11" xfId="8" applyNumberFormat="1" applyFont="1" applyFill="1" applyBorder="1" applyAlignment="1" applyProtection="1">
      <alignment horizontal="center" vertical="center"/>
      <protection locked="0"/>
    </xf>
    <xf numFmtId="0" fontId="12" fillId="2" borderId="3" xfId="4" applyFont="1" applyFill="1" applyBorder="1" applyAlignment="1" applyProtection="1">
      <alignment horizontal="center" vertical="center"/>
      <protection locked="0"/>
    </xf>
    <xf numFmtId="1" fontId="35" fillId="0" borderId="16" xfId="8" applyNumberFormat="1" applyFont="1" applyFill="1" applyBorder="1" applyAlignment="1" applyProtection="1">
      <alignment horizontal="center" vertical="center"/>
      <protection locked="0"/>
    </xf>
    <xf numFmtId="1" fontId="35" fillId="0" borderId="16" xfId="8" applyNumberFormat="1" applyFont="1" applyFill="1" applyBorder="1" applyAlignment="1" applyProtection="1">
      <alignment horizontal="center" vertical="center" wrapText="1"/>
      <protection locked="0"/>
    </xf>
    <xf numFmtId="0" fontId="19" fillId="2" borderId="0" xfId="4" applyFont="1" applyFill="1" applyBorder="1" applyAlignment="1">
      <alignment horizontal="center" vertical="center"/>
    </xf>
    <xf numFmtId="3" fontId="21" fillId="3" borderId="0" xfId="4" applyNumberFormat="1" applyFont="1" applyFill="1" applyAlignment="1">
      <alignment horizontal="center" vertical="center"/>
    </xf>
    <xf numFmtId="3" fontId="21" fillId="3" borderId="23" xfId="4" applyNumberFormat="1" applyFont="1" applyFill="1" applyBorder="1" applyAlignment="1">
      <alignment horizontal="center" vertical="center"/>
    </xf>
    <xf numFmtId="0" fontId="22" fillId="3" borderId="0" xfId="4" applyFont="1" applyFill="1" applyAlignment="1" applyProtection="1">
      <alignment horizontal="center" vertical="center" wrapText="1"/>
      <protection locked="0"/>
    </xf>
    <xf numFmtId="0" fontId="30" fillId="4" borderId="11" xfId="18" applyFont="1" applyFill="1" applyBorder="1" applyAlignment="1">
      <alignment horizontal="center" vertical="center"/>
    </xf>
    <xf numFmtId="0" fontId="41" fillId="0" borderId="12" xfId="4" applyFont="1" applyBorder="1" applyAlignment="1">
      <alignment horizontal="center" vertical="center"/>
    </xf>
    <xf numFmtId="0" fontId="30" fillId="2" borderId="11" xfId="18" applyFont="1" applyFill="1" applyBorder="1" applyAlignment="1">
      <alignment horizontal="center" vertical="center" wrapText="1"/>
    </xf>
    <xf numFmtId="0" fontId="30" fillId="2" borderId="11" xfId="18" applyFont="1" applyFill="1" applyBorder="1" applyAlignment="1">
      <alignment horizontal="center" vertical="center"/>
    </xf>
    <xf numFmtId="0" fontId="41" fillId="0" borderId="12" xfId="4" applyFont="1" applyBorder="1" applyAlignment="1">
      <alignment horizontal="center" vertical="center" wrapText="1"/>
    </xf>
    <xf numFmtId="0" fontId="43" fillId="3" borderId="0" xfId="4" applyFont="1" applyFill="1" applyAlignment="1">
      <alignment horizontal="center" vertical="center"/>
    </xf>
    <xf numFmtId="1" fontId="35" fillId="0" borderId="11" xfId="8" applyNumberFormat="1" applyFont="1" applyFill="1" applyBorder="1" applyAlignment="1" applyProtection="1">
      <alignment horizontal="center" vertical="center"/>
      <protection locked="0"/>
    </xf>
    <xf numFmtId="1" fontId="35" fillId="6" borderId="11" xfId="8" applyNumberFormat="1" applyFont="1" applyFill="1" applyBorder="1" applyAlignment="1" applyProtection="1">
      <alignment horizontal="center" vertical="center"/>
      <protection locked="0"/>
    </xf>
    <xf numFmtId="1" fontId="35" fillId="0" borderId="11" xfId="8" applyNumberFormat="1" applyFont="1" applyFill="1" applyBorder="1" applyAlignment="1" applyProtection="1">
      <alignment horizontal="center" vertical="center"/>
      <protection locked="0"/>
    </xf>
    <xf numFmtId="0" fontId="12" fillId="2" borderId="3" xfId="4" applyFont="1" applyFill="1" applyBorder="1" applyAlignment="1" applyProtection="1">
      <alignment horizontal="center" vertical="center"/>
      <protection locked="0"/>
    </xf>
    <xf numFmtId="1" fontId="35" fillId="0" borderId="16" xfId="8" applyNumberFormat="1" applyFont="1" applyFill="1" applyBorder="1" applyAlignment="1" applyProtection="1">
      <alignment horizontal="center" vertical="center"/>
      <protection locked="0"/>
    </xf>
    <xf numFmtId="1" fontId="35" fillId="0" borderId="5" xfId="8" applyNumberFormat="1" applyFont="1" applyFill="1" applyBorder="1" applyAlignment="1" applyProtection="1">
      <alignment horizontal="center" vertical="center"/>
      <protection locked="0"/>
    </xf>
    <xf numFmtId="1" fontId="35" fillId="0" borderId="16" xfId="8" applyNumberFormat="1" applyFont="1" applyFill="1" applyBorder="1" applyAlignment="1" applyProtection="1">
      <alignment horizontal="center" vertical="center" wrapText="1"/>
      <protection locked="0"/>
    </xf>
    <xf numFmtId="1" fontId="35" fillId="0" borderId="5" xfId="8" applyNumberFormat="1" applyFont="1" applyFill="1" applyBorder="1" applyAlignment="1" applyProtection="1">
      <alignment horizontal="center" vertical="center" wrapText="1"/>
      <protection locked="0"/>
    </xf>
    <xf numFmtId="1" fontId="35" fillId="0" borderId="16" xfId="4" applyNumberFormat="1" applyFont="1" applyFill="1" applyBorder="1" applyAlignment="1" applyProtection="1">
      <alignment horizontal="center" vertical="center" wrapText="1"/>
      <protection locked="0"/>
    </xf>
    <xf numFmtId="1" fontId="35" fillId="0" borderId="5" xfId="4" applyNumberFormat="1" applyFont="1" applyFill="1" applyBorder="1" applyAlignment="1" applyProtection="1">
      <alignment horizontal="center" vertical="center" wrapText="1"/>
      <protection locked="0"/>
    </xf>
    <xf numFmtId="0" fontId="19" fillId="2" borderId="0" xfId="4" applyFont="1" applyFill="1" applyBorder="1" applyAlignment="1">
      <alignment horizontal="center" vertical="center"/>
    </xf>
    <xf numFmtId="1" fontId="35" fillId="0" borderId="11" xfId="8" applyNumberFormat="1" applyFont="1" applyFill="1" applyBorder="1" applyAlignment="1" applyProtection="1">
      <alignment horizontal="center" vertical="center"/>
      <protection locked="0"/>
    </xf>
    <xf numFmtId="1" fontId="35" fillId="0" borderId="16" xfId="4" applyNumberFormat="1" applyFont="1" applyFill="1" applyBorder="1" applyAlignment="1" applyProtection="1">
      <alignment vertical="center" wrapText="1"/>
      <protection locked="0"/>
    </xf>
    <xf numFmtId="1" fontId="35" fillId="0" borderId="5" xfId="4" applyNumberFormat="1" applyFont="1" applyFill="1" applyBorder="1" applyAlignment="1" applyProtection="1">
      <alignment vertical="center" wrapText="1"/>
      <protection locked="0"/>
    </xf>
    <xf numFmtId="1" fontId="35" fillId="0" borderId="20" xfId="4" applyNumberFormat="1" applyFont="1" applyFill="1" applyBorder="1" applyAlignment="1" applyProtection="1">
      <alignment vertical="center" wrapText="1"/>
      <protection locked="0"/>
    </xf>
    <xf numFmtId="0" fontId="35" fillId="0" borderId="5" xfId="4" applyFont="1" applyFill="1" applyBorder="1" applyAlignment="1" applyProtection="1">
      <alignment horizontal="center" vertical="center" wrapText="1" shrinkToFit="1"/>
      <protection locked="0"/>
    </xf>
    <xf numFmtId="1" fontId="35" fillId="0" borderId="11" xfId="4" applyNumberFormat="1" applyFont="1" applyFill="1" applyBorder="1" applyAlignment="1" applyProtection="1">
      <alignment vertical="center" wrapText="1"/>
      <protection locked="0"/>
    </xf>
    <xf numFmtId="2" fontId="25" fillId="0" borderId="11" xfId="1" applyNumberFormat="1" applyFont="1" applyFill="1" applyBorder="1" applyAlignment="1" applyProtection="1">
      <alignment horizontal="center" vertical="center"/>
    </xf>
    <xf numFmtId="2" fontId="25" fillId="0" borderId="11" xfId="4" applyNumberFormat="1" applyFont="1" applyFill="1" applyBorder="1" applyAlignment="1" applyProtection="1">
      <alignment horizontal="center" vertical="center"/>
    </xf>
    <xf numFmtId="1" fontId="25" fillId="0" borderId="11" xfId="4" applyNumberFormat="1" applyFont="1" applyFill="1" applyBorder="1" applyAlignment="1" applyProtection="1">
      <alignment horizontal="center" vertical="center"/>
      <protection locked="0"/>
    </xf>
    <xf numFmtId="1" fontId="85" fillId="0" borderId="11" xfId="8" applyNumberFormat="1" applyFont="1" applyFill="1" applyBorder="1" applyAlignment="1" applyProtection="1">
      <alignment horizontal="center" vertical="center"/>
      <protection locked="0"/>
    </xf>
    <xf numFmtId="1" fontId="85" fillId="0" borderId="11" xfId="8" applyNumberFormat="1" applyFont="1" applyFill="1" applyBorder="1" applyAlignment="1" applyProtection="1">
      <alignment horizontal="center" vertical="center" wrapText="1"/>
      <protection locked="0"/>
    </xf>
    <xf numFmtId="1" fontId="11" fillId="0" borderId="0" xfId="4" applyNumberFormat="1" applyFont="1" applyBorder="1" applyAlignment="1">
      <alignment horizontal="center" vertical="center"/>
    </xf>
    <xf numFmtId="164" fontId="11" fillId="0" borderId="0" xfId="4" applyNumberFormat="1" applyFont="1" applyBorder="1" applyAlignment="1">
      <alignment horizontal="center" vertical="center"/>
    </xf>
    <xf numFmtId="1" fontId="35" fillId="0" borderId="0" xfId="8" applyNumberFormat="1" applyFont="1" applyFill="1" applyBorder="1" applyAlignment="1" applyProtection="1">
      <alignment horizontal="center" vertical="center"/>
      <protection locked="0"/>
    </xf>
    <xf numFmtId="0" fontId="35" fillId="0" borderId="0" xfId="4" applyFont="1" applyFill="1" applyBorder="1" applyAlignment="1" applyProtection="1">
      <alignment horizontal="center" vertical="center" wrapText="1" shrinkToFit="1"/>
      <protection locked="0"/>
    </xf>
    <xf numFmtId="0" fontId="16" fillId="2" borderId="0" xfId="4" applyFont="1" applyFill="1" applyBorder="1" applyAlignment="1">
      <alignment horizontal="center" vertical="center"/>
    </xf>
    <xf numFmtId="10" fontId="25" fillId="0" borderId="11" xfId="1" applyNumberFormat="1" applyFont="1" applyFill="1" applyBorder="1" applyAlignment="1" applyProtection="1">
      <alignment horizontal="center" vertical="center"/>
    </xf>
    <xf numFmtId="0" fontId="12" fillId="2" borderId="3" xfId="4" applyFont="1" applyFill="1" applyBorder="1" applyAlignment="1" applyProtection="1">
      <alignment horizontal="center" vertical="center"/>
      <protection locked="0"/>
    </xf>
    <xf numFmtId="1" fontId="35" fillId="0" borderId="16" xfId="8" applyNumberFormat="1" applyFont="1" applyFill="1" applyBorder="1" applyAlignment="1" applyProtection="1">
      <alignment horizontal="center" vertical="center"/>
      <protection locked="0"/>
    </xf>
    <xf numFmtId="1" fontId="35" fillId="0" borderId="16" xfId="8" applyNumberFormat="1" applyFont="1" applyFill="1" applyBorder="1" applyAlignment="1" applyProtection="1">
      <alignment horizontal="center" vertical="center" wrapText="1"/>
      <protection locked="0"/>
    </xf>
    <xf numFmtId="1" fontId="35" fillId="0" borderId="16" xfId="4" applyNumberFormat="1" applyFont="1" applyFill="1" applyBorder="1" applyAlignment="1" applyProtection="1">
      <alignment horizontal="center" vertical="center" wrapText="1"/>
      <protection locked="0"/>
    </xf>
    <xf numFmtId="1" fontId="35" fillId="0" borderId="5" xfId="4" applyNumberFormat="1" applyFont="1" applyFill="1" applyBorder="1" applyAlignment="1" applyProtection="1">
      <alignment horizontal="center" vertical="center" wrapText="1"/>
      <protection locked="0"/>
    </xf>
    <xf numFmtId="0" fontId="19" fillId="2" borderId="0" xfId="4" applyFont="1" applyFill="1" applyBorder="1" applyAlignment="1">
      <alignment horizontal="center" vertical="center"/>
    </xf>
    <xf numFmtId="1" fontId="35" fillId="0" borderId="11" xfId="8" applyNumberFormat="1" applyFont="1" applyFill="1" applyBorder="1" applyAlignment="1" applyProtection="1">
      <alignment horizontal="center" vertical="center"/>
      <protection locked="0"/>
    </xf>
    <xf numFmtId="1" fontId="85" fillId="0" borderId="16" xfId="8" applyNumberFormat="1" applyFont="1" applyFill="1" applyBorder="1" applyAlignment="1" applyProtection="1">
      <alignment horizontal="center" vertical="center"/>
      <protection locked="0"/>
    </xf>
    <xf numFmtId="1" fontId="35" fillId="0" borderId="16" xfId="8" applyNumberFormat="1" applyFont="1" applyFill="1" applyBorder="1" applyAlignment="1" applyProtection="1">
      <alignment vertical="center" wrapText="1"/>
      <protection locked="0"/>
    </xf>
    <xf numFmtId="1" fontId="82" fillId="0" borderId="5" xfId="8" applyNumberFormat="1" applyFont="1" applyFill="1" applyBorder="1" applyAlignment="1" applyProtection="1">
      <alignment vertical="center" wrapText="1"/>
      <protection locked="0"/>
    </xf>
    <xf numFmtId="1" fontId="35" fillId="0" borderId="5" xfId="8" applyNumberFormat="1" applyFont="1" applyFill="1" applyBorder="1" applyAlignment="1" applyProtection="1">
      <alignment vertical="center" wrapText="1"/>
      <protection locked="0"/>
    </xf>
    <xf numFmtId="1" fontId="35" fillId="0" borderId="11" xfId="8" applyNumberFormat="1" applyFont="1" applyFill="1" applyBorder="1" applyAlignment="1" applyProtection="1">
      <alignment vertical="center" wrapText="1"/>
      <protection locked="0"/>
    </xf>
    <xf numFmtId="0" fontId="86" fillId="0" borderId="16" xfId="4" applyFont="1" applyFill="1" applyBorder="1" applyAlignment="1" applyProtection="1">
      <alignment horizontal="center" vertical="center" wrapText="1"/>
      <protection locked="0"/>
    </xf>
    <xf numFmtId="2" fontId="87" fillId="0" borderId="11" xfId="1" applyNumberFormat="1" applyFont="1" applyFill="1" applyBorder="1" applyAlignment="1" applyProtection="1">
      <alignment vertical="center"/>
    </xf>
    <xf numFmtId="2" fontId="87" fillId="0" borderId="11" xfId="4" applyNumberFormat="1" applyFont="1" applyFill="1" applyBorder="1" applyAlignment="1" applyProtection="1">
      <alignment vertical="center"/>
    </xf>
    <xf numFmtId="1" fontId="87" fillId="0" borderId="11" xfId="4" applyNumberFormat="1" applyFont="1" applyFill="1" applyBorder="1" applyAlignment="1" applyProtection="1">
      <alignment vertical="center"/>
      <protection locked="0"/>
    </xf>
    <xf numFmtId="2" fontId="87" fillId="0" borderId="11" xfId="1" applyNumberFormat="1" applyFont="1" applyFill="1" applyBorder="1" applyAlignment="1" applyProtection="1">
      <alignment horizontal="center" vertical="center"/>
    </xf>
    <xf numFmtId="2" fontId="87" fillId="0" borderId="11" xfId="4" applyNumberFormat="1" applyFont="1" applyFill="1" applyBorder="1" applyAlignment="1" applyProtection="1">
      <alignment horizontal="center" vertical="center"/>
    </xf>
    <xf numFmtId="1" fontId="87" fillId="0" borderId="11" xfId="4" applyNumberFormat="1" applyFont="1" applyFill="1" applyBorder="1" applyAlignment="1" applyProtection="1">
      <alignment horizontal="center" vertical="center"/>
      <protection locked="0"/>
    </xf>
    <xf numFmtId="0" fontId="35" fillId="0" borderId="16" xfId="4" applyFont="1" applyFill="1" applyBorder="1" applyAlignment="1" applyProtection="1">
      <alignment horizontal="center" vertical="center" wrapText="1" shrinkToFit="1"/>
      <protection locked="0"/>
    </xf>
    <xf numFmtId="0" fontId="16" fillId="2" borderId="74" xfId="4" applyFont="1" applyFill="1" applyBorder="1" applyAlignment="1">
      <alignment horizontal="center" vertical="center"/>
    </xf>
    <xf numFmtId="1" fontId="35" fillId="0" borderId="11" xfId="8" applyNumberFormat="1" applyFont="1" applyFill="1" applyBorder="1" applyAlignment="1" applyProtection="1">
      <alignment horizontal="center" vertical="center"/>
      <protection locked="0"/>
    </xf>
    <xf numFmtId="0" fontId="16" fillId="0" borderId="0" xfId="21" applyFont="1" applyBorder="1"/>
    <xf numFmtId="3" fontId="21" fillId="3" borderId="0" xfId="4" applyNumberFormat="1" applyFont="1" applyFill="1" applyAlignment="1">
      <alignment horizontal="center" vertical="center"/>
    </xf>
    <xf numFmtId="3" fontId="21" fillId="3" borderId="23" xfId="4" applyNumberFormat="1" applyFont="1" applyFill="1" applyBorder="1" applyAlignment="1">
      <alignment horizontal="center" vertical="center"/>
    </xf>
    <xf numFmtId="0" fontId="22" fillId="3" borderId="0" xfId="4" applyFont="1" applyFill="1" applyAlignment="1" applyProtection="1">
      <alignment horizontal="center" vertical="center" wrapText="1"/>
      <protection locked="0"/>
    </xf>
    <xf numFmtId="0" fontId="30" fillId="4" borderId="11" xfId="18" applyFont="1" applyFill="1" applyBorder="1" applyAlignment="1">
      <alignment horizontal="center" vertical="center"/>
    </xf>
    <xf numFmtId="0" fontId="41" fillId="0" borderId="12" xfId="4" applyFont="1" applyBorder="1" applyAlignment="1">
      <alignment horizontal="center" vertical="center"/>
    </xf>
    <xf numFmtId="0" fontId="30" fillId="2" borderId="11" xfId="18" applyFont="1" applyFill="1" applyBorder="1" applyAlignment="1">
      <alignment horizontal="center" vertical="center" wrapText="1"/>
    </xf>
    <xf numFmtId="0" fontId="30" fillId="2" borderId="11" xfId="18" applyFont="1" applyFill="1" applyBorder="1" applyAlignment="1">
      <alignment horizontal="center" vertical="center"/>
    </xf>
    <xf numFmtId="0" fontId="41" fillId="0" borderId="12" xfId="4" applyFont="1" applyBorder="1" applyAlignment="1">
      <alignment horizontal="center" vertical="center" wrapText="1"/>
    </xf>
    <xf numFmtId="0" fontId="43" fillId="3" borderId="0" xfId="4" applyFont="1" applyFill="1" applyAlignment="1">
      <alignment horizontal="center" vertical="center"/>
    </xf>
    <xf numFmtId="0" fontId="88" fillId="3" borderId="35" xfId="4" applyFont="1" applyFill="1" applyBorder="1" applyAlignment="1" applyProtection="1">
      <alignment horizontal="center" vertical="center"/>
      <protection locked="0"/>
    </xf>
    <xf numFmtId="0" fontId="88" fillId="2" borderId="5" xfId="4" applyFont="1" applyFill="1" applyBorder="1" applyAlignment="1" applyProtection="1">
      <alignment horizontal="center" vertical="center" wrapText="1"/>
      <protection locked="0"/>
    </xf>
    <xf numFmtId="1" fontId="88" fillId="3" borderId="33" xfId="4" applyNumberFormat="1" applyFont="1" applyFill="1" applyBorder="1" applyAlignment="1" applyProtection="1">
      <alignment horizontal="center" vertical="center" wrapText="1"/>
      <protection locked="0"/>
    </xf>
    <xf numFmtId="2" fontId="88" fillId="3" borderId="33" xfId="4" applyNumberFormat="1" applyFont="1" applyFill="1" applyBorder="1" applyAlignment="1" applyProtection="1">
      <alignment horizontal="center" vertical="center"/>
      <protection locked="0"/>
    </xf>
    <xf numFmtId="0" fontId="88" fillId="3" borderId="33" xfId="4" applyFont="1" applyFill="1" applyBorder="1" applyAlignment="1" applyProtection="1">
      <alignment horizontal="center" vertical="center"/>
      <protection locked="0"/>
    </xf>
    <xf numFmtId="1" fontId="88" fillId="3" borderId="34" xfId="4" applyNumberFormat="1" applyFont="1" applyFill="1" applyBorder="1" applyAlignment="1" applyProtection="1">
      <alignment horizontal="center" vertical="center"/>
      <protection locked="0"/>
    </xf>
    <xf numFmtId="0" fontId="88" fillId="3" borderId="10" xfId="4" applyFont="1" applyFill="1" applyBorder="1" applyAlignment="1" applyProtection="1">
      <alignment horizontal="center" vertical="center"/>
      <protection locked="0"/>
    </xf>
    <xf numFmtId="0" fontId="88" fillId="2" borderId="11" xfId="4" applyFont="1" applyFill="1" applyBorder="1" applyAlignment="1" applyProtection="1">
      <alignment horizontal="center" vertical="center"/>
      <protection locked="0"/>
    </xf>
    <xf numFmtId="1" fontId="88" fillId="6" borderId="11" xfId="4" applyNumberFormat="1" applyFont="1" applyFill="1" applyBorder="1" applyAlignment="1" applyProtection="1">
      <alignment horizontal="center" vertical="center" wrapText="1"/>
      <protection locked="0"/>
    </xf>
    <xf numFmtId="9" fontId="88" fillId="3" borderId="11" xfId="13" applyFont="1" applyFill="1" applyBorder="1" applyAlignment="1" applyProtection="1">
      <alignment horizontal="center" vertical="center"/>
      <protection locked="0"/>
    </xf>
    <xf numFmtId="2" fontId="88" fillId="3" borderId="11" xfId="4" applyNumberFormat="1" applyFont="1" applyFill="1" applyBorder="1" applyAlignment="1" applyProtection="1">
      <alignment horizontal="center" vertical="center"/>
      <protection locked="0"/>
    </xf>
    <xf numFmtId="9" fontId="88" fillId="3" borderId="15" xfId="13" applyFont="1" applyFill="1" applyBorder="1" applyAlignment="1" applyProtection="1">
      <alignment horizontal="center" vertical="center"/>
      <protection locked="0"/>
    </xf>
    <xf numFmtId="0" fontId="88" fillId="2" borderId="11" xfId="4" applyFont="1" applyFill="1" applyBorder="1" applyAlignment="1">
      <alignment horizontal="center" vertical="center"/>
    </xf>
    <xf numFmtId="49" fontId="88" fillId="2" borderId="11" xfId="4" applyNumberFormat="1" applyFont="1" applyFill="1" applyBorder="1" applyAlignment="1" applyProtection="1">
      <alignment horizontal="center" vertical="center" wrapText="1"/>
      <protection locked="0"/>
    </xf>
    <xf numFmtId="164" fontId="88" fillId="3" borderId="15" xfId="4" applyNumberFormat="1" applyFont="1" applyFill="1" applyBorder="1" applyAlignment="1" applyProtection="1">
      <alignment horizontal="center" vertical="center"/>
      <protection locked="0"/>
    </xf>
    <xf numFmtId="0" fontId="88" fillId="3" borderId="11" xfId="4" applyFont="1" applyFill="1" applyBorder="1" applyAlignment="1" applyProtection="1">
      <alignment horizontal="center" vertical="center"/>
      <protection locked="0"/>
    </xf>
    <xf numFmtId="1" fontId="36" fillId="6" borderId="27" xfId="4" applyNumberFormat="1" applyFont="1" applyFill="1" applyBorder="1" applyAlignment="1">
      <alignment horizontal="center" vertical="center"/>
    </xf>
    <xf numFmtId="165" fontId="64" fillId="5" borderId="0" xfId="8" applyNumberFormat="1" applyFont="1" applyFill="1" applyAlignment="1" applyProtection="1">
      <alignment horizontal="center"/>
      <protection locked="0"/>
    </xf>
    <xf numFmtId="0" fontId="89" fillId="0" borderId="0" xfId="8" applyFont="1" applyProtection="1">
      <protection locked="0"/>
    </xf>
    <xf numFmtId="0" fontId="16" fillId="0" borderId="0" xfId="0" applyFont="1"/>
    <xf numFmtId="1" fontId="25" fillId="8" borderId="51" xfId="8" applyNumberFormat="1" applyFont="1" applyFill="1" applyBorder="1" applyAlignment="1" applyProtection="1">
      <alignment horizontal="center" vertical="center"/>
      <protection locked="0"/>
    </xf>
    <xf numFmtId="0" fontId="16" fillId="8" borderId="52" xfId="8" applyFont="1" applyFill="1" applyBorder="1" applyAlignment="1" applyProtection="1">
      <alignment vertical="center" wrapText="1"/>
      <protection locked="0"/>
    </xf>
    <xf numFmtId="0" fontId="16" fillId="0" borderId="52" xfId="8" applyFont="1" applyFill="1" applyBorder="1" applyAlignment="1" applyProtection="1">
      <alignment vertical="center" wrapText="1"/>
      <protection locked="0"/>
    </xf>
    <xf numFmtId="0" fontId="16" fillId="10" borderId="52" xfId="8" applyFont="1" applyFill="1" applyBorder="1" applyAlignment="1" applyProtection="1">
      <alignment vertical="center" wrapText="1"/>
      <protection locked="0"/>
    </xf>
    <xf numFmtId="1" fontId="90" fillId="8" borderId="51" xfId="8" applyNumberFormat="1" applyFont="1" applyFill="1" applyBorder="1" applyAlignment="1" applyProtection="1">
      <alignment horizontal="center" vertical="center"/>
      <protection locked="0"/>
    </xf>
    <xf numFmtId="0" fontId="69" fillId="8" borderId="52" xfId="8" applyFont="1" applyFill="1" applyBorder="1" applyAlignment="1" applyProtection="1">
      <alignment vertical="center" wrapText="1"/>
      <protection locked="0"/>
    </xf>
    <xf numFmtId="0" fontId="16" fillId="0" borderId="52" xfId="8" applyFont="1" applyBorder="1" applyAlignment="1" applyProtection="1">
      <alignment vertical="center" wrapText="1"/>
      <protection locked="0"/>
    </xf>
    <xf numFmtId="0" fontId="16" fillId="0" borderId="13" xfId="8" applyFont="1" applyBorder="1" applyAlignment="1" applyProtection="1">
      <alignment vertical="center" wrapText="1"/>
      <protection locked="0"/>
    </xf>
    <xf numFmtId="165" fontId="25" fillId="8" borderId="52" xfId="8" applyNumberFormat="1" applyFont="1" applyFill="1" applyBorder="1" applyAlignment="1">
      <alignment horizontal="center" vertical="center" wrapText="1"/>
    </xf>
    <xf numFmtId="165" fontId="25" fillId="8" borderId="13" xfId="8" applyNumberFormat="1" applyFont="1" applyFill="1" applyBorder="1" applyAlignment="1">
      <alignment horizontal="center" vertical="center" wrapText="1"/>
    </xf>
    <xf numFmtId="165" fontId="90" fillId="8" borderId="52" xfId="8" applyNumberFormat="1" applyFont="1" applyFill="1" applyBorder="1" applyAlignment="1">
      <alignment horizontal="center" vertical="center"/>
    </xf>
    <xf numFmtId="165" fontId="90" fillId="8" borderId="13" xfId="8" applyNumberFormat="1" applyFont="1" applyFill="1" applyBorder="1" applyAlignment="1">
      <alignment horizontal="center" vertical="center"/>
    </xf>
    <xf numFmtId="0" fontId="49" fillId="8" borderId="41" xfId="8" applyFont="1" applyFill="1" applyBorder="1" applyAlignment="1">
      <alignment horizontal="center" vertical="center"/>
    </xf>
    <xf numFmtId="0" fontId="49" fillId="8" borderId="0" xfId="8" applyFont="1" applyFill="1" applyAlignment="1">
      <alignment horizontal="center" vertical="center"/>
    </xf>
    <xf numFmtId="0" fontId="49" fillId="8" borderId="53" xfId="8" applyFont="1" applyFill="1" applyBorder="1" applyAlignment="1">
      <alignment horizontal="center" vertical="center"/>
    </xf>
    <xf numFmtId="0" fontId="49" fillId="8" borderId="7" xfId="8" applyFont="1" applyFill="1" applyBorder="1" applyAlignment="1">
      <alignment horizontal="center" vertical="center"/>
    </xf>
    <xf numFmtId="0" fontId="62" fillId="8" borderId="58" xfId="8" applyFont="1" applyFill="1" applyBorder="1" applyAlignment="1">
      <alignment horizontal="right" vertical="center"/>
    </xf>
    <xf numFmtId="0" fontId="62" fillId="8" borderId="59" xfId="8" applyFont="1" applyFill="1" applyBorder="1" applyAlignment="1">
      <alignment horizontal="right" vertical="center"/>
    </xf>
    <xf numFmtId="0" fontId="49" fillId="8" borderId="72" xfId="8" applyFont="1" applyFill="1" applyBorder="1" applyAlignment="1" applyProtection="1">
      <alignment horizontal="center" vertical="center"/>
      <protection locked="0"/>
    </xf>
    <xf numFmtId="0" fontId="49" fillId="8" borderId="62" xfId="8" applyFont="1" applyFill="1" applyBorder="1" applyAlignment="1" applyProtection="1">
      <alignment horizontal="center" vertical="center"/>
      <protection locked="0"/>
    </xf>
    <xf numFmtId="0" fontId="52" fillId="8" borderId="64" xfId="8" applyFont="1" applyFill="1" applyBorder="1" applyAlignment="1">
      <alignment horizontal="center" vertical="center"/>
    </xf>
    <xf numFmtId="0" fontId="52" fillId="8" borderId="65" xfId="8" applyFont="1" applyFill="1" applyBorder="1" applyAlignment="1">
      <alignment horizontal="center" vertical="center"/>
    </xf>
    <xf numFmtId="0" fontId="52" fillId="8" borderId="66" xfId="8" applyFont="1" applyFill="1" applyBorder="1" applyAlignment="1">
      <alignment horizontal="center" vertical="center"/>
    </xf>
    <xf numFmtId="0" fontId="52" fillId="8" borderId="67" xfId="8" applyFont="1" applyFill="1" applyBorder="1" applyAlignment="1">
      <alignment horizontal="center" vertical="center"/>
    </xf>
    <xf numFmtId="0" fontId="49" fillId="8" borderId="69" xfId="8" applyFont="1" applyFill="1" applyBorder="1" applyAlignment="1">
      <alignment horizontal="center" vertical="center"/>
    </xf>
    <xf numFmtId="0" fontId="49" fillId="8" borderId="28" xfId="8" applyFont="1" applyFill="1" applyBorder="1" applyAlignment="1">
      <alignment horizontal="center" vertical="center"/>
    </xf>
    <xf numFmtId="0" fontId="79" fillId="8" borderId="37" xfId="8" applyFont="1" applyFill="1" applyBorder="1" applyAlignment="1" applyProtection="1">
      <alignment horizontal="center" vertical="center"/>
      <protection locked="0"/>
    </xf>
    <xf numFmtId="0" fontId="79" fillId="8" borderId="38" xfId="8" applyFont="1" applyFill="1" applyBorder="1" applyAlignment="1" applyProtection="1">
      <alignment horizontal="center" vertical="center"/>
      <protection locked="0"/>
    </xf>
    <xf numFmtId="0" fontId="79" fillId="8" borderId="39" xfId="8" applyFont="1" applyFill="1" applyBorder="1" applyAlignment="1" applyProtection="1">
      <alignment horizontal="center" vertical="center"/>
      <protection locked="0"/>
    </xf>
    <xf numFmtId="0" fontId="49" fillId="8" borderId="52" xfId="8" applyFont="1" applyFill="1" applyBorder="1" applyAlignment="1" applyProtection="1">
      <alignment horizontal="left" vertical="center"/>
      <protection locked="0"/>
    </xf>
    <xf numFmtId="0" fontId="49" fillId="8" borderId="13" xfId="8" applyFont="1" applyFill="1" applyBorder="1" applyAlignment="1" applyProtection="1">
      <alignment horizontal="left" vertical="center"/>
      <protection locked="0"/>
    </xf>
    <xf numFmtId="168" fontId="61" fillId="0" borderId="52" xfId="16" applyNumberFormat="1" applyFont="1" applyBorder="1" applyAlignment="1">
      <alignment horizontal="center" vertical="center"/>
    </xf>
    <xf numFmtId="168" fontId="61" fillId="0" borderId="13" xfId="16" applyNumberFormat="1" applyFont="1" applyBorder="1" applyAlignment="1">
      <alignment horizontal="center" vertical="center"/>
    </xf>
    <xf numFmtId="164" fontId="49" fillId="0" borderId="11" xfId="16" applyNumberFormat="1" applyFont="1" applyBorder="1" applyAlignment="1">
      <alignment horizontal="center" vertical="center"/>
    </xf>
    <xf numFmtId="9" fontId="49" fillId="8" borderId="11" xfId="10" applyFont="1" applyFill="1" applyBorder="1" applyAlignment="1">
      <alignment horizontal="center" vertical="center"/>
    </xf>
    <xf numFmtId="1" fontId="49" fillId="0" borderId="11" xfId="16" applyNumberFormat="1" applyFont="1" applyBorder="1" applyAlignment="1">
      <alignment horizontal="center" vertical="center"/>
    </xf>
    <xf numFmtId="0" fontId="52" fillId="8" borderId="5" xfId="8" applyFont="1" applyFill="1" applyBorder="1" applyAlignment="1" applyProtection="1">
      <alignment horizontal="right" vertical="center"/>
      <protection locked="0"/>
    </xf>
    <xf numFmtId="0" fontId="52" fillId="8" borderId="6" xfId="8" applyFont="1" applyFill="1" applyBorder="1" applyAlignment="1" applyProtection="1">
      <alignment horizontal="right" vertical="center"/>
      <protection locked="0"/>
    </xf>
    <xf numFmtId="165" fontId="52" fillId="0" borderId="57" xfId="16" applyNumberFormat="1" applyFont="1" applyBorder="1" applyAlignment="1" applyProtection="1">
      <alignment horizontal="center" vertical="center"/>
      <protection locked="0"/>
    </xf>
    <xf numFmtId="165" fontId="52" fillId="0" borderId="6" xfId="16" applyNumberFormat="1" applyFont="1" applyBorder="1" applyAlignment="1" applyProtection="1">
      <alignment horizontal="center" vertical="center"/>
      <protection locked="0"/>
    </xf>
    <xf numFmtId="165" fontId="78" fillId="8" borderId="11" xfId="8" applyNumberFormat="1" applyFont="1" applyFill="1" applyBorder="1" applyAlignment="1">
      <alignment horizontal="center" vertical="center"/>
    </xf>
    <xf numFmtId="165" fontId="49" fillId="8" borderId="11" xfId="8" applyNumberFormat="1" applyFont="1" applyFill="1" applyBorder="1" applyAlignment="1">
      <alignment horizontal="center" vertical="center"/>
    </xf>
    <xf numFmtId="0" fontId="52" fillId="8" borderId="58" xfId="8" applyFont="1" applyFill="1" applyBorder="1" applyAlignment="1" applyProtection="1">
      <alignment horizontal="right" vertical="center"/>
      <protection locked="0"/>
    </xf>
    <xf numFmtId="0" fontId="52" fillId="8" borderId="59" xfId="8" applyFont="1" applyFill="1" applyBorder="1" applyAlignment="1" applyProtection="1">
      <alignment horizontal="right" vertical="center"/>
      <protection locked="0"/>
    </xf>
    <xf numFmtId="165" fontId="33" fillId="8" borderId="58" xfId="8" applyNumberFormat="1" applyFont="1" applyFill="1" applyBorder="1" applyAlignment="1" applyProtection="1">
      <alignment horizontal="center" vertical="center"/>
      <protection locked="0"/>
    </xf>
    <xf numFmtId="165" fontId="33" fillId="8" borderId="60" xfId="8" applyNumberFormat="1" applyFont="1" applyFill="1" applyBorder="1" applyAlignment="1" applyProtection="1">
      <alignment horizontal="center" vertical="center"/>
      <protection locked="0"/>
    </xf>
    <xf numFmtId="165" fontId="33" fillId="8" borderId="61" xfId="8" applyNumberFormat="1" applyFont="1" applyFill="1" applyBorder="1" applyAlignment="1">
      <alignment horizontal="center" vertical="center"/>
    </xf>
    <xf numFmtId="165" fontId="33" fillId="8" borderId="60" xfId="8" applyNumberFormat="1" applyFont="1" applyFill="1" applyBorder="1" applyAlignment="1">
      <alignment horizontal="center" vertical="center"/>
    </xf>
    <xf numFmtId="165" fontId="61" fillId="8" borderId="61" xfId="8" applyNumberFormat="1" applyFont="1" applyFill="1" applyBorder="1" applyAlignment="1">
      <alignment horizontal="center" vertical="center"/>
    </xf>
    <xf numFmtId="165" fontId="61" fillId="8" borderId="60" xfId="8" applyNumberFormat="1" applyFont="1" applyFill="1" applyBorder="1" applyAlignment="1">
      <alignment horizontal="center" vertical="center"/>
    </xf>
    <xf numFmtId="165" fontId="61" fillId="8" borderId="62" xfId="8" applyNumberFormat="1" applyFont="1" applyFill="1" applyBorder="1" applyAlignment="1">
      <alignment horizontal="center" vertical="center"/>
    </xf>
    <xf numFmtId="0" fontId="77" fillId="8" borderId="52" xfId="8" applyFont="1" applyFill="1" applyBorder="1" applyAlignment="1" applyProtection="1">
      <alignment horizontal="left" vertical="center" wrapText="1"/>
      <protection locked="0"/>
    </xf>
    <xf numFmtId="0" fontId="77" fillId="8" borderId="13" xfId="8" applyFont="1" applyFill="1" applyBorder="1" applyAlignment="1" applyProtection="1">
      <alignment horizontal="left" vertical="center" wrapText="1"/>
      <protection locked="0"/>
    </xf>
    <xf numFmtId="165" fontId="76" fillId="8" borderId="52" xfId="8" applyNumberFormat="1" applyFont="1" applyFill="1" applyBorder="1" applyAlignment="1">
      <alignment horizontal="center" vertical="center" wrapText="1"/>
    </xf>
    <xf numFmtId="165" fontId="76" fillId="8" borderId="13" xfId="8" applyNumberFormat="1" applyFont="1" applyFill="1" applyBorder="1" applyAlignment="1">
      <alignment horizontal="center" vertical="center" wrapText="1"/>
    </xf>
    <xf numFmtId="164" fontId="77" fillId="0" borderId="11" xfId="16" applyNumberFormat="1" applyFont="1" applyBorder="1" applyAlignment="1">
      <alignment horizontal="center" vertical="center"/>
    </xf>
    <xf numFmtId="9" fontId="77" fillId="8" borderId="11" xfId="10" applyFont="1" applyFill="1" applyBorder="1" applyAlignment="1">
      <alignment horizontal="center" vertical="center"/>
    </xf>
    <xf numFmtId="1" fontId="77" fillId="0" borderId="11" xfId="16" applyNumberFormat="1" applyFont="1" applyBorder="1" applyAlignment="1">
      <alignment horizontal="center" vertical="center"/>
    </xf>
    <xf numFmtId="0" fontId="49" fillId="8" borderId="52" xfId="8" applyFont="1" applyFill="1" applyBorder="1" applyAlignment="1" applyProtection="1">
      <alignment horizontal="left" vertical="center" wrapText="1"/>
      <protection locked="0"/>
    </xf>
    <xf numFmtId="0" fontId="49" fillId="8" borderId="13" xfId="8" applyFont="1" applyFill="1" applyBorder="1" applyAlignment="1" applyProtection="1">
      <alignment horizontal="left" vertical="center" wrapText="1"/>
      <protection locked="0"/>
    </xf>
    <xf numFmtId="165" fontId="61" fillId="8" borderId="52" xfId="8" applyNumberFormat="1" applyFont="1" applyFill="1" applyBorder="1" applyAlignment="1">
      <alignment horizontal="center" vertical="center" wrapText="1"/>
    </xf>
    <xf numFmtId="165" fontId="61" fillId="8" borderId="13" xfId="8" applyNumberFormat="1" applyFont="1" applyFill="1" applyBorder="1" applyAlignment="1">
      <alignment horizontal="center" vertical="center" wrapText="1"/>
    </xf>
    <xf numFmtId="0" fontId="49" fillId="0" borderId="13" xfId="8" applyFont="1" applyBorder="1" applyAlignment="1" applyProtection="1">
      <alignment vertical="center" wrapText="1"/>
      <protection locked="0"/>
    </xf>
    <xf numFmtId="0" fontId="49" fillId="0" borderId="13" xfId="8" applyFont="1" applyBorder="1" applyAlignment="1" applyProtection="1">
      <alignment vertical="center"/>
      <protection locked="0"/>
    </xf>
    <xf numFmtId="0" fontId="49" fillId="0" borderId="40" xfId="8" applyFont="1" applyBorder="1" applyAlignment="1" applyProtection="1">
      <alignment vertical="center"/>
      <protection locked="0"/>
    </xf>
    <xf numFmtId="0" fontId="49" fillId="0" borderId="52" xfId="8" applyFont="1" applyBorder="1" applyAlignment="1" applyProtection="1">
      <alignment horizontal="left" vertical="center" wrapText="1"/>
      <protection locked="0"/>
    </xf>
    <xf numFmtId="0" fontId="49" fillId="0" borderId="13" xfId="8" applyFont="1" applyBorder="1" applyAlignment="1" applyProtection="1">
      <alignment horizontal="left" vertical="center"/>
      <protection locked="0"/>
    </xf>
    <xf numFmtId="0" fontId="49" fillId="0" borderId="40" xfId="8" applyFont="1" applyBorder="1" applyAlignment="1" applyProtection="1">
      <alignment horizontal="left" vertical="center"/>
      <protection locked="0"/>
    </xf>
    <xf numFmtId="0" fontId="49" fillId="0" borderId="13" xfId="8" applyFont="1" applyBorder="1" applyAlignment="1" applyProtection="1">
      <alignment horizontal="left" vertical="center" wrapText="1"/>
      <protection locked="0"/>
    </xf>
    <xf numFmtId="0" fontId="49" fillId="8" borderId="40" xfId="8" applyFont="1" applyFill="1" applyBorder="1" applyAlignment="1" applyProtection="1">
      <alignment horizontal="left" vertical="center" wrapText="1"/>
      <protection locked="0"/>
    </xf>
    <xf numFmtId="0" fontId="49" fillId="0" borderId="13" xfId="16" applyFont="1" applyBorder="1" applyAlignment="1">
      <alignment horizontal="left" vertical="center" wrapText="1"/>
    </xf>
    <xf numFmtId="0" fontId="49" fillId="0" borderId="40" xfId="16" applyFont="1" applyBorder="1" applyAlignment="1">
      <alignment horizontal="left" vertical="center" wrapText="1"/>
    </xf>
    <xf numFmtId="0" fontId="74" fillId="8" borderId="52" xfId="8" applyFont="1" applyFill="1" applyBorder="1" applyAlignment="1" applyProtection="1">
      <alignment horizontal="left" vertical="center" wrapText="1"/>
      <protection locked="0"/>
    </xf>
    <xf numFmtId="0" fontId="74" fillId="8" borderId="13" xfId="8" applyFont="1" applyFill="1" applyBorder="1" applyAlignment="1" applyProtection="1">
      <alignment horizontal="left" vertical="center" wrapText="1"/>
      <protection locked="0"/>
    </xf>
    <xf numFmtId="0" fontId="74" fillId="8" borderId="40" xfId="8" applyFont="1" applyFill="1" applyBorder="1" applyAlignment="1" applyProtection="1">
      <alignment horizontal="left" vertical="center" wrapText="1"/>
      <protection locked="0"/>
    </xf>
    <xf numFmtId="165" fontId="73" fillId="8" borderId="52" xfId="8" applyNumberFormat="1" applyFont="1" applyFill="1" applyBorder="1" applyAlignment="1">
      <alignment horizontal="center" vertical="center"/>
    </xf>
    <xf numFmtId="165" fontId="73" fillId="8" borderId="13" xfId="8" applyNumberFormat="1" applyFont="1" applyFill="1" applyBorder="1" applyAlignment="1">
      <alignment horizontal="center" vertical="center"/>
    </xf>
    <xf numFmtId="164" fontId="74" fillId="0" borderId="12" xfId="16" applyNumberFormat="1" applyFont="1" applyBorder="1" applyAlignment="1">
      <alignment horizontal="center" vertical="center"/>
    </xf>
    <xf numFmtId="164" fontId="74" fillId="0" borderId="14" xfId="16" applyNumberFormat="1" applyFont="1" applyBorder="1" applyAlignment="1">
      <alignment horizontal="center" vertical="center"/>
    </xf>
    <xf numFmtId="9" fontId="74" fillId="8" borderId="12" xfId="10" applyFont="1" applyFill="1" applyBorder="1" applyAlignment="1">
      <alignment horizontal="center" vertical="center"/>
    </xf>
    <xf numFmtId="9" fontId="74" fillId="8" borderId="14" xfId="10" applyFont="1" applyFill="1" applyBorder="1" applyAlignment="1">
      <alignment horizontal="center" vertical="center"/>
    </xf>
    <xf numFmtId="1" fontId="74" fillId="0" borderId="12" xfId="16" applyNumberFormat="1" applyFont="1" applyBorder="1" applyAlignment="1">
      <alignment horizontal="center" vertical="center"/>
    </xf>
    <xf numFmtId="1" fontId="74" fillId="0" borderId="14" xfId="16" applyNumberFormat="1" applyFont="1" applyBorder="1" applyAlignment="1">
      <alignment horizontal="center" vertical="center"/>
    </xf>
    <xf numFmtId="164" fontId="49" fillId="0" borderId="12" xfId="16" applyNumberFormat="1" applyFont="1" applyBorder="1" applyAlignment="1">
      <alignment horizontal="center" vertical="center"/>
    </xf>
    <xf numFmtId="164" fontId="49" fillId="0" borderId="14" xfId="16" applyNumberFormat="1" applyFont="1" applyBorder="1" applyAlignment="1">
      <alignment horizontal="center" vertical="center"/>
    </xf>
    <xf numFmtId="9" fontId="49" fillId="8" borderId="12" xfId="10" applyFont="1" applyFill="1" applyBorder="1" applyAlignment="1">
      <alignment horizontal="center" vertical="center"/>
    </xf>
    <xf numFmtId="9" fontId="49" fillId="8" borderId="14" xfId="10" applyFont="1" applyFill="1" applyBorder="1" applyAlignment="1">
      <alignment horizontal="center" vertical="center"/>
    </xf>
    <xf numFmtId="1" fontId="49" fillId="0" borderId="12" xfId="16" applyNumberFormat="1" applyFont="1" applyBorder="1" applyAlignment="1">
      <alignment horizontal="center" vertical="center"/>
    </xf>
    <xf numFmtId="1" fontId="49" fillId="0" borderId="14" xfId="16" applyNumberFormat="1" applyFont="1" applyBorder="1" applyAlignment="1">
      <alignment horizontal="center" vertical="center"/>
    </xf>
    <xf numFmtId="0" fontId="52" fillId="3" borderId="52" xfId="8" applyFont="1" applyFill="1" applyBorder="1" applyAlignment="1" applyProtection="1">
      <alignment horizontal="left" vertical="center"/>
      <protection locked="0"/>
    </xf>
    <xf numFmtId="0" fontId="52" fillId="3" borderId="13" xfId="8" applyFont="1" applyFill="1" applyBorder="1" applyAlignment="1" applyProtection="1">
      <alignment horizontal="left" vertical="center"/>
      <protection locked="0"/>
    </xf>
    <xf numFmtId="0" fontId="52" fillId="3" borderId="40" xfId="8" applyFont="1" applyFill="1" applyBorder="1" applyAlignment="1" applyProtection="1">
      <alignment horizontal="left" vertical="center"/>
      <protection locked="0"/>
    </xf>
    <xf numFmtId="164" fontId="49" fillId="3" borderId="12" xfId="16" applyNumberFormat="1" applyFont="1" applyFill="1" applyBorder="1" applyAlignment="1">
      <alignment horizontal="center" vertical="center"/>
    </xf>
    <xf numFmtId="164" fontId="49" fillId="3" borderId="14" xfId="16" applyNumberFormat="1" applyFont="1" applyFill="1" applyBorder="1" applyAlignment="1">
      <alignment horizontal="center" vertical="center"/>
    </xf>
    <xf numFmtId="9" fontId="49" fillId="3" borderId="12" xfId="10" applyFont="1" applyFill="1" applyBorder="1" applyAlignment="1">
      <alignment horizontal="center" vertical="center"/>
    </xf>
    <xf numFmtId="9" fontId="49" fillId="3" borderId="14" xfId="10" applyFont="1" applyFill="1" applyBorder="1" applyAlignment="1">
      <alignment horizontal="center" vertical="center"/>
    </xf>
    <xf numFmtId="1" fontId="49" fillId="3" borderId="12" xfId="16" applyNumberFormat="1" applyFont="1" applyFill="1" applyBorder="1" applyAlignment="1">
      <alignment horizontal="center" vertical="center"/>
    </xf>
    <xf numFmtId="1" fontId="49" fillId="3" borderId="14" xfId="16" applyNumberFormat="1" applyFont="1" applyFill="1" applyBorder="1" applyAlignment="1">
      <alignment horizontal="center" vertical="center"/>
    </xf>
    <xf numFmtId="0" fontId="67" fillId="0" borderId="13" xfId="16" applyFont="1" applyBorder="1" applyAlignment="1">
      <alignment horizontal="left" vertical="center" wrapText="1"/>
    </xf>
    <xf numFmtId="0" fontId="67" fillId="0" borderId="40" xfId="16" applyFont="1" applyBorder="1" applyAlignment="1">
      <alignment horizontal="left" vertical="center" wrapText="1"/>
    </xf>
    <xf numFmtId="0" fontId="49" fillId="10" borderId="52" xfId="8" applyFont="1" applyFill="1" applyBorder="1" applyAlignment="1" applyProtection="1">
      <alignment horizontal="left" vertical="center" wrapText="1"/>
      <protection locked="0"/>
    </xf>
    <xf numFmtId="0" fontId="49" fillId="10" borderId="13" xfId="8" applyFont="1" applyFill="1" applyBorder="1" applyAlignment="1" applyProtection="1">
      <alignment horizontal="left" vertical="center" wrapText="1"/>
      <protection locked="0"/>
    </xf>
    <xf numFmtId="0" fontId="49" fillId="10" borderId="40" xfId="8" applyFont="1" applyFill="1" applyBorder="1" applyAlignment="1" applyProtection="1">
      <alignment horizontal="left" vertical="center" wrapText="1"/>
      <protection locked="0"/>
    </xf>
    <xf numFmtId="0" fontId="67" fillId="10" borderId="13" xfId="16" applyFont="1" applyFill="1" applyBorder="1" applyAlignment="1">
      <alignment horizontal="left" vertical="center" wrapText="1"/>
    </xf>
    <xf numFmtId="0" fontId="67" fillId="10" borderId="40" xfId="16" applyFont="1" applyFill="1" applyBorder="1" applyAlignment="1">
      <alignment horizontal="left" vertical="center" wrapText="1"/>
    </xf>
    <xf numFmtId="0" fontId="49" fillId="10" borderId="13" xfId="8" applyFont="1" applyFill="1" applyBorder="1" applyAlignment="1" applyProtection="1">
      <alignment horizontal="left" vertical="center"/>
      <protection locked="0"/>
    </xf>
    <xf numFmtId="0" fontId="49" fillId="10" borderId="40" xfId="8" applyFont="1" applyFill="1" applyBorder="1" applyAlignment="1" applyProtection="1">
      <alignment horizontal="left" vertical="center"/>
      <protection locked="0"/>
    </xf>
    <xf numFmtId="0" fontId="49" fillId="0" borderId="52" xfId="8" applyFont="1" applyFill="1" applyBorder="1" applyAlignment="1" applyProtection="1">
      <alignment horizontal="left" vertical="center" wrapText="1"/>
      <protection locked="0"/>
    </xf>
    <xf numFmtId="0" fontId="49" fillId="0" borderId="13" xfId="8" applyFont="1" applyFill="1" applyBorder="1" applyAlignment="1" applyProtection="1">
      <alignment horizontal="left" vertical="center" wrapText="1"/>
      <protection locked="0"/>
    </xf>
    <xf numFmtId="0" fontId="49" fillId="0" borderId="40" xfId="8" applyFont="1" applyFill="1" applyBorder="1" applyAlignment="1" applyProtection="1">
      <alignment horizontal="left" vertical="center" wrapText="1"/>
      <protection locked="0"/>
    </xf>
    <xf numFmtId="0" fontId="52" fillId="3" borderId="52" xfId="8" applyFont="1" applyFill="1" applyBorder="1" applyAlignment="1" applyProtection="1">
      <alignment horizontal="left" vertical="center" wrapText="1"/>
      <protection locked="0"/>
    </xf>
    <xf numFmtId="0" fontId="52" fillId="3" borderId="13" xfId="8" applyFont="1" applyFill="1" applyBorder="1" applyAlignment="1" applyProtection="1">
      <alignment horizontal="left" vertical="center" wrapText="1"/>
      <protection locked="0"/>
    </xf>
    <xf numFmtId="0" fontId="52" fillId="3" borderId="40" xfId="8" applyFont="1" applyFill="1" applyBorder="1" applyAlignment="1" applyProtection="1">
      <alignment horizontal="left" vertical="center" wrapText="1"/>
      <protection locked="0"/>
    </xf>
    <xf numFmtId="164" fontId="49" fillId="3" borderId="11" xfId="16" applyNumberFormat="1" applyFont="1" applyFill="1" applyBorder="1" applyAlignment="1">
      <alignment horizontal="center" vertical="center"/>
    </xf>
    <xf numFmtId="9" fontId="49" fillId="3" borderId="11" xfId="10" applyFont="1" applyFill="1" applyBorder="1" applyAlignment="1">
      <alignment horizontal="center" vertical="center"/>
    </xf>
    <xf numFmtId="1" fontId="49" fillId="3" borderId="11" xfId="16" applyNumberFormat="1" applyFont="1" applyFill="1" applyBorder="1" applyAlignment="1">
      <alignment horizontal="center" vertical="center"/>
    </xf>
    <xf numFmtId="169" fontId="49" fillId="3" borderId="56" xfId="16" applyNumberFormat="1" applyFont="1" applyFill="1" applyBorder="1" applyAlignment="1" applyProtection="1">
      <alignment horizontal="center" vertical="center"/>
      <protection locked="0"/>
    </xf>
    <xf numFmtId="169" fontId="49" fillId="3" borderId="12" xfId="16" applyNumberFormat="1" applyFont="1" applyFill="1" applyBorder="1" applyAlignment="1" applyProtection="1">
      <alignment horizontal="center" vertical="center"/>
      <protection locked="0"/>
    </xf>
    <xf numFmtId="165" fontId="61" fillId="8" borderId="52" xfId="8" applyNumberFormat="1" applyFont="1" applyFill="1" applyBorder="1" applyAlignment="1">
      <alignment horizontal="center" vertical="center"/>
    </xf>
    <xf numFmtId="165" fontId="61" fillId="8" borderId="13" xfId="8" applyNumberFormat="1" applyFont="1" applyFill="1" applyBorder="1" applyAlignment="1">
      <alignment horizontal="center" vertical="center"/>
    </xf>
    <xf numFmtId="0" fontId="50" fillId="8" borderId="0" xfId="8" applyFont="1" applyFill="1" applyAlignment="1" applyProtection="1">
      <alignment horizontal="center" vertical="top"/>
      <protection locked="0"/>
    </xf>
    <xf numFmtId="49" fontId="55" fillId="8" borderId="7" xfId="8" applyNumberFormat="1" applyFont="1" applyFill="1" applyBorder="1" applyAlignment="1">
      <alignment horizontal="left" vertical="center"/>
    </xf>
    <xf numFmtId="49" fontId="55" fillId="8" borderId="36" xfId="8" applyNumberFormat="1" applyFont="1" applyFill="1" applyBorder="1" applyAlignment="1">
      <alignment horizontal="left" vertical="center"/>
    </xf>
    <xf numFmtId="0" fontId="55" fillId="8" borderId="13" xfId="8" applyFont="1" applyFill="1" applyBorder="1" applyAlignment="1">
      <alignment horizontal="left" vertical="center"/>
    </xf>
    <xf numFmtId="0" fontId="55" fillId="8" borderId="40" xfId="8" applyFont="1" applyFill="1" applyBorder="1" applyAlignment="1">
      <alignment horizontal="left" vertical="center"/>
    </xf>
    <xf numFmtId="167" fontId="55" fillId="3" borderId="13" xfId="8" quotePrefix="1" applyNumberFormat="1" applyFont="1" applyFill="1" applyBorder="1" applyAlignment="1" applyProtection="1">
      <alignment horizontal="left" vertical="center"/>
      <protection locked="0"/>
    </xf>
    <xf numFmtId="167" fontId="55" fillId="3" borderId="13" xfId="8" applyNumberFormat="1" applyFont="1" applyFill="1" applyBorder="1" applyAlignment="1" applyProtection="1">
      <alignment horizontal="left" vertical="center"/>
      <protection locked="0"/>
    </xf>
    <xf numFmtId="0" fontId="31" fillId="9" borderId="49" xfId="8" applyFont="1" applyFill="1" applyBorder="1" applyAlignment="1" applyProtection="1">
      <alignment horizontal="center" vertical="center" wrapText="1"/>
      <protection locked="0"/>
    </xf>
    <xf numFmtId="0" fontId="31" fillId="9" borderId="48" xfId="8" applyFont="1" applyFill="1" applyBorder="1" applyAlignment="1" applyProtection="1">
      <alignment horizontal="center" vertical="center" wrapText="1"/>
      <protection locked="0"/>
    </xf>
    <xf numFmtId="0" fontId="52" fillId="8" borderId="52" xfId="8" applyFont="1" applyFill="1" applyBorder="1" applyAlignment="1" applyProtection="1">
      <alignment horizontal="left" vertical="center"/>
      <protection locked="0"/>
    </xf>
    <xf numFmtId="0" fontId="52" fillId="8" borderId="13" xfId="8" applyFont="1" applyFill="1" applyBorder="1" applyAlignment="1" applyProtection="1">
      <alignment horizontal="left" vertical="center"/>
      <protection locked="0"/>
    </xf>
    <xf numFmtId="168" fontId="62" fillId="0" borderId="53" xfId="16" applyNumberFormat="1" applyFont="1" applyBorder="1" applyAlignment="1">
      <alignment horizontal="center" vertical="center"/>
    </xf>
    <xf numFmtId="168" fontId="62" fillId="0" borderId="8" xfId="16" applyNumberFormat="1" applyFont="1" applyBorder="1" applyAlignment="1">
      <alignment horizontal="center" vertical="center"/>
    </xf>
    <xf numFmtId="49" fontId="55" fillId="3" borderId="13" xfId="8" applyNumberFormat="1" applyFont="1" applyFill="1" applyBorder="1" applyAlignment="1" applyProtection="1">
      <alignment horizontal="left" vertical="center"/>
      <protection locked="0"/>
    </xf>
    <xf numFmtId="0" fontId="55" fillId="3" borderId="13" xfId="8" applyFont="1" applyFill="1" applyBorder="1" applyAlignment="1" applyProtection="1">
      <alignment horizontal="left" vertical="center"/>
      <protection locked="0"/>
    </xf>
    <xf numFmtId="0" fontId="31" fillId="9" borderId="46" xfId="8" applyFont="1" applyFill="1" applyBorder="1" applyAlignment="1" applyProtection="1">
      <alignment horizontal="center" vertical="center" wrapText="1"/>
      <protection locked="0"/>
    </xf>
    <xf numFmtId="0" fontId="31" fillId="9" borderId="47" xfId="8" applyFont="1" applyFill="1" applyBorder="1" applyAlignment="1" applyProtection="1">
      <alignment horizontal="center" vertical="center" wrapText="1"/>
      <protection locked="0"/>
    </xf>
    <xf numFmtId="0" fontId="52" fillId="8" borderId="52" xfId="8" applyFont="1" applyFill="1" applyBorder="1" applyAlignment="1" applyProtection="1">
      <alignment horizontal="left" vertical="center" wrapText="1"/>
      <protection locked="0"/>
    </xf>
    <xf numFmtId="0" fontId="52" fillId="8" borderId="13" xfId="8" applyFont="1" applyFill="1" applyBorder="1" applyAlignment="1" applyProtection="1">
      <alignment horizontal="left" vertical="center" wrapText="1"/>
      <protection locked="0"/>
    </xf>
    <xf numFmtId="0" fontId="52" fillId="8" borderId="40" xfId="8" applyFont="1" applyFill="1" applyBorder="1" applyAlignment="1" applyProtection="1">
      <alignment horizontal="left" vertical="center" wrapText="1"/>
      <protection locked="0"/>
    </xf>
    <xf numFmtId="165" fontId="62" fillId="8" borderId="52" xfId="8" applyNumberFormat="1" applyFont="1" applyFill="1" applyBorder="1" applyAlignment="1">
      <alignment horizontal="center" vertical="center"/>
    </xf>
    <xf numFmtId="165" fontId="62" fillId="8" borderId="13" xfId="8" applyNumberFormat="1" applyFont="1" applyFill="1" applyBorder="1" applyAlignment="1">
      <alignment horizontal="center" vertical="center"/>
    </xf>
    <xf numFmtId="0" fontId="12" fillId="2" borderId="2" xfId="4" applyFont="1" applyFill="1" applyBorder="1" applyAlignment="1" applyProtection="1">
      <alignment horizontal="center" vertical="center"/>
      <protection locked="0"/>
    </xf>
    <xf numFmtId="0" fontId="12" fillId="2" borderId="3" xfId="4" applyFont="1" applyFill="1" applyBorder="1" applyAlignment="1" applyProtection="1">
      <alignment horizontal="center" vertical="center"/>
      <protection locked="0"/>
    </xf>
    <xf numFmtId="166" fontId="14" fillId="2" borderId="30" xfId="4" applyNumberFormat="1" applyFont="1" applyFill="1" applyBorder="1" applyAlignment="1" applyProtection="1">
      <alignment horizontal="center" vertical="center"/>
      <protection locked="0"/>
    </xf>
    <xf numFmtId="166" fontId="14" fillId="2" borderId="31" xfId="4" applyNumberFormat="1" applyFont="1" applyFill="1" applyBorder="1" applyAlignment="1" applyProtection="1">
      <alignment horizontal="center" vertical="center"/>
      <protection locked="0"/>
    </xf>
    <xf numFmtId="166" fontId="14" fillId="2" borderId="32" xfId="4" applyNumberFormat="1" applyFont="1" applyFill="1" applyBorder="1" applyAlignment="1" applyProtection="1">
      <alignment horizontal="center" vertical="center"/>
      <protection locked="0"/>
    </xf>
    <xf numFmtId="0" fontId="14" fillId="2" borderId="6" xfId="4" applyFont="1" applyFill="1" applyBorder="1" applyAlignment="1" applyProtection="1">
      <alignment horizontal="center" vertical="center"/>
      <protection locked="0"/>
    </xf>
    <xf numFmtId="0" fontId="14" fillId="2" borderId="7" xfId="4" applyFont="1" applyFill="1" applyBorder="1" applyAlignment="1" applyProtection="1">
      <alignment horizontal="center" vertical="center"/>
      <protection locked="0"/>
    </xf>
    <xf numFmtId="0" fontId="14" fillId="2" borderId="8" xfId="4" applyFont="1" applyFill="1" applyBorder="1" applyAlignment="1" applyProtection="1">
      <alignment horizontal="center" vertical="center"/>
      <protection locked="0"/>
    </xf>
    <xf numFmtId="0" fontId="14" fillId="2" borderId="12" xfId="4" applyFont="1" applyFill="1" applyBorder="1" applyAlignment="1" applyProtection="1">
      <alignment horizontal="center" vertical="center"/>
      <protection locked="0"/>
    </xf>
    <xf numFmtId="0" fontId="14" fillId="2" borderId="13" xfId="4" applyFont="1" applyFill="1" applyBorder="1" applyAlignment="1" applyProtection="1">
      <alignment horizontal="center" vertical="center"/>
      <protection locked="0"/>
    </xf>
    <xf numFmtId="0" fontId="14" fillId="2" borderId="14" xfId="4" applyFont="1" applyFill="1" applyBorder="1" applyAlignment="1" applyProtection="1">
      <alignment horizontal="center" vertical="center"/>
      <protection locked="0"/>
    </xf>
    <xf numFmtId="3" fontId="14" fillId="2" borderId="12" xfId="4" applyNumberFormat="1" applyFont="1" applyFill="1" applyBorder="1" applyAlignment="1" applyProtection="1">
      <alignment horizontal="center" vertical="center"/>
      <protection locked="0"/>
    </xf>
    <xf numFmtId="3" fontId="14" fillId="2" borderId="13" xfId="4" applyNumberFormat="1" applyFont="1" applyFill="1" applyBorder="1" applyAlignment="1" applyProtection="1">
      <alignment horizontal="center" vertical="center"/>
      <protection locked="0"/>
    </xf>
    <xf numFmtId="3" fontId="14" fillId="2" borderId="14" xfId="4" applyNumberFormat="1" applyFont="1" applyFill="1" applyBorder="1" applyAlignment="1" applyProtection="1">
      <alignment horizontal="center" vertical="center"/>
      <protection locked="0"/>
    </xf>
    <xf numFmtId="0" fontId="15" fillId="2" borderId="12" xfId="4" applyNumberFormat="1" applyFont="1" applyFill="1" applyBorder="1" applyAlignment="1">
      <alignment horizontal="center" vertical="center"/>
    </xf>
    <xf numFmtId="2" fontId="15" fillId="2" borderId="13" xfId="4" applyNumberFormat="1" applyFont="1" applyFill="1" applyBorder="1" applyAlignment="1">
      <alignment horizontal="center" vertical="center"/>
    </xf>
    <xf numFmtId="2" fontId="15" fillId="2" borderId="14" xfId="4" applyNumberFormat="1" applyFont="1" applyFill="1" applyBorder="1" applyAlignment="1">
      <alignment horizontal="center" vertical="center"/>
    </xf>
    <xf numFmtId="0" fontId="17" fillId="0" borderId="10" xfId="4" applyFont="1" applyFill="1" applyBorder="1" applyAlignment="1" applyProtection="1">
      <alignment horizontal="center" vertical="center" wrapText="1"/>
      <protection locked="0"/>
    </xf>
    <xf numFmtId="0" fontId="17" fillId="0" borderId="26" xfId="4" applyFont="1" applyFill="1" applyBorder="1" applyAlignment="1" applyProtection="1">
      <alignment horizontal="center" vertical="center" wrapText="1"/>
      <protection locked="0"/>
    </xf>
    <xf numFmtId="0" fontId="17" fillId="0" borderId="11" xfId="4" applyFont="1" applyFill="1" applyBorder="1" applyAlignment="1" applyProtection="1">
      <alignment horizontal="center" vertical="center" wrapText="1"/>
      <protection locked="0"/>
    </xf>
    <xf numFmtId="0" fontId="17" fillId="0" borderId="16" xfId="4" applyFont="1" applyFill="1" applyBorder="1" applyAlignment="1" applyProtection="1">
      <alignment horizontal="center" vertical="center" wrapText="1"/>
      <protection locked="0"/>
    </xf>
    <xf numFmtId="0" fontId="38" fillId="0" borderId="19" xfId="4" applyFont="1" applyFill="1" applyBorder="1" applyAlignment="1" applyProtection="1">
      <alignment horizontal="center" vertical="center" wrapText="1"/>
      <protection locked="0"/>
    </xf>
    <xf numFmtId="0" fontId="38" fillId="0" borderId="18" xfId="4" applyFont="1" applyFill="1" applyBorder="1" applyAlignment="1" applyProtection="1">
      <alignment horizontal="center" vertical="center" wrapText="1"/>
      <protection locked="0"/>
    </xf>
    <xf numFmtId="0" fontId="38" fillId="0" borderId="6" xfId="4" applyFont="1" applyFill="1" applyBorder="1" applyAlignment="1" applyProtection="1">
      <alignment horizontal="center" vertical="center" wrapText="1"/>
      <protection locked="0"/>
    </xf>
    <xf numFmtId="0" fontId="38" fillId="0" borderId="8" xfId="4" applyFont="1" applyFill="1" applyBorder="1" applyAlignment="1" applyProtection="1">
      <alignment horizontal="center" vertical="center" wrapText="1"/>
      <protection locked="0"/>
    </xf>
    <xf numFmtId="0" fontId="18" fillId="0" borderId="11" xfId="4" applyFont="1" applyFill="1" applyBorder="1" applyAlignment="1" applyProtection="1">
      <alignment horizontal="center" vertical="center" wrapText="1"/>
      <protection locked="0"/>
    </xf>
    <xf numFmtId="0" fontId="18" fillId="0" borderId="16" xfId="4" applyFont="1" applyFill="1" applyBorder="1" applyAlignment="1" applyProtection="1">
      <alignment horizontal="center" vertical="center" wrapText="1"/>
      <protection locked="0"/>
    </xf>
    <xf numFmtId="0" fontId="17" fillId="0" borderId="11" xfId="4" applyFont="1" applyFill="1" applyBorder="1" applyAlignment="1" applyProtection="1">
      <alignment horizontal="center" vertical="center" wrapText="1" shrinkToFit="1"/>
      <protection locked="0"/>
    </xf>
    <xf numFmtId="0" fontId="17" fillId="0" borderId="16" xfId="4" applyFont="1" applyFill="1" applyBorder="1" applyAlignment="1" applyProtection="1">
      <alignment horizontal="center" vertical="center" wrapText="1" shrinkToFit="1"/>
      <protection locked="0"/>
    </xf>
    <xf numFmtId="0" fontId="35" fillId="0" borderId="12" xfId="4" applyFont="1" applyFill="1" applyBorder="1" applyAlignment="1" applyProtection="1">
      <alignment horizontal="center" vertical="center" wrapText="1"/>
      <protection locked="0"/>
    </xf>
    <xf numFmtId="0" fontId="35" fillId="0" borderId="14" xfId="4" applyFont="1" applyFill="1" applyBorder="1" applyAlignment="1" applyProtection="1">
      <alignment horizontal="center" vertical="center" wrapText="1"/>
      <protection locked="0"/>
    </xf>
    <xf numFmtId="1" fontId="35" fillId="0" borderId="16" xfId="8" applyNumberFormat="1" applyFont="1" applyFill="1" applyBorder="1" applyAlignment="1" applyProtection="1">
      <alignment horizontal="center" vertical="center"/>
      <protection locked="0"/>
    </xf>
    <xf numFmtId="1" fontId="35" fillId="0" borderId="5" xfId="8" applyNumberFormat="1" applyFont="1" applyFill="1" applyBorder="1" applyAlignment="1" applyProtection="1">
      <alignment horizontal="center" vertical="center"/>
      <protection locked="0"/>
    </xf>
    <xf numFmtId="1" fontId="35" fillId="0" borderId="16" xfId="8" applyNumberFormat="1" applyFont="1" applyFill="1" applyBorder="1" applyAlignment="1" applyProtection="1">
      <alignment horizontal="center" vertical="center" wrapText="1"/>
      <protection locked="0"/>
    </xf>
    <xf numFmtId="1" fontId="35" fillId="0" borderId="5" xfId="8" applyNumberFormat="1" applyFont="1" applyFill="1" applyBorder="1" applyAlignment="1" applyProtection="1">
      <alignment horizontal="center" vertical="center" wrapText="1"/>
      <protection locked="0"/>
    </xf>
    <xf numFmtId="1" fontId="35" fillId="11" borderId="16" xfId="4" applyNumberFormat="1" applyFont="1" applyFill="1" applyBorder="1" applyAlignment="1" applyProtection="1">
      <alignment horizontal="center" vertical="center" wrapText="1"/>
      <protection locked="0"/>
    </xf>
    <xf numFmtId="1" fontId="35" fillId="11" borderId="5" xfId="4" applyNumberFormat="1" applyFont="1" applyFill="1" applyBorder="1" applyAlignment="1" applyProtection="1">
      <alignment horizontal="center" vertical="center" wrapText="1"/>
      <protection locked="0"/>
    </xf>
    <xf numFmtId="0" fontId="19" fillId="0" borderId="16" xfId="4" applyFont="1" applyFill="1" applyBorder="1" applyAlignment="1">
      <alignment horizontal="center" vertical="center" wrapText="1"/>
    </xf>
    <xf numFmtId="0" fontId="19" fillId="0" borderId="20" xfId="4" applyFont="1" applyFill="1" applyBorder="1" applyAlignment="1">
      <alignment horizontal="center" vertical="center" wrapText="1"/>
    </xf>
    <xf numFmtId="0" fontId="19" fillId="0" borderId="17" xfId="4" applyFont="1" applyFill="1" applyBorder="1" applyAlignment="1">
      <alignment horizontal="center" vertical="center" wrapText="1"/>
    </xf>
    <xf numFmtId="0" fontId="19" fillId="0" borderId="21" xfId="4" applyFont="1" applyFill="1" applyBorder="1" applyAlignment="1">
      <alignment horizontal="center" vertical="center" wrapText="1"/>
    </xf>
    <xf numFmtId="1" fontId="35" fillId="0" borderId="16" xfId="4" applyNumberFormat="1" applyFont="1" applyFill="1" applyBorder="1" applyAlignment="1" applyProtection="1">
      <alignment horizontal="center" vertical="center" wrapText="1"/>
      <protection locked="0"/>
    </xf>
    <xf numFmtId="1" fontId="35" fillId="0" borderId="5" xfId="4" applyNumberFormat="1" applyFont="1" applyFill="1" applyBorder="1" applyAlignment="1" applyProtection="1">
      <alignment horizontal="center" vertical="center" wrapText="1"/>
      <protection locked="0"/>
    </xf>
    <xf numFmtId="0" fontId="19" fillId="2" borderId="0" xfId="4" applyFont="1" applyFill="1" applyBorder="1" applyAlignment="1">
      <alignment horizontal="center" vertical="center"/>
    </xf>
    <xf numFmtId="0" fontId="15" fillId="0" borderId="11" xfId="4" applyFont="1" applyFill="1" applyBorder="1" applyAlignment="1">
      <alignment horizontal="center" vertical="top"/>
    </xf>
    <xf numFmtId="0" fontId="31" fillId="0" borderId="11" xfId="4" applyFont="1" applyFill="1" applyBorder="1" applyAlignment="1">
      <alignment horizontal="center" vertical="center"/>
    </xf>
    <xf numFmtId="0" fontId="15" fillId="0" borderId="11" xfId="4" applyFont="1" applyFill="1" applyBorder="1" applyAlignment="1">
      <alignment horizontal="center" vertical="center"/>
    </xf>
    <xf numFmtId="0" fontId="31" fillId="0" borderId="11" xfId="4" applyFont="1" applyFill="1" applyBorder="1" applyAlignment="1">
      <alignment horizontal="center" vertical="center" wrapText="1"/>
    </xf>
    <xf numFmtId="0" fontId="31" fillId="0" borderId="11" xfId="4" applyFont="1" applyFill="1" applyBorder="1" applyAlignment="1">
      <alignment horizontal="center" vertical="top"/>
    </xf>
    <xf numFmtId="0" fontId="31" fillId="0" borderId="12" xfId="4" applyFont="1" applyFill="1" applyBorder="1" applyAlignment="1">
      <alignment horizontal="center" vertical="center"/>
    </xf>
    <xf numFmtId="0" fontId="31" fillId="0" borderId="14" xfId="4" applyFont="1" applyFill="1" applyBorder="1" applyAlignment="1">
      <alignment horizontal="center" vertical="center"/>
    </xf>
    <xf numFmtId="0" fontId="36" fillId="0" borderId="11" xfId="4" applyFont="1" applyFill="1" applyBorder="1" applyAlignment="1">
      <alignment horizontal="center" vertical="center"/>
    </xf>
    <xf numFmtId="1" fontId="35" fillId="0" borderId="20" xfId="8" applyNumberFormat="1" applyFont="1" applyFill="1" applyBorder="1" applyAlignment="1" applyProtection="1">
      <alignment horizontal="center" vertical="center"/>
      <protection locked="0"/>
    </xf>
    <xf numFmtId="3" fontId="21" fillId="3" borderId="0" xfId="4" applyNumberFormat="1" applyFont="1" applyFill="1" applyAlignment="1">
      <alignment horizontal="center" vertical="center"/>
    </xf>
    <xf numFmtId="3" fontId="21" fillId="3" borderId="23" xfId="4" applyNumberFormat="1" applyFont="1" applyFill="1" applyBorder="1" applyAlignment="1">
      <alignment horizontal="center" vertical="center"/>
    </xf>
    <xf numFmtId="0" fontId="12" fillId="3" borderId="1" xfId="4" applyFont="1" applyFill="1" applyBorder="1" applyAlignment="1" applyProtection="1">
      <alignment horizontal="center" vertical="center"/>
      <protection locked="0"/>
    </xf>
    <xf numFmtId="0" fontId="12" fillId="3" borderId="2" xfId="4" applyFont="1" applyFill="1" applyBorder="1" applyAlignment="1" applyProtection="1">
      <alignment horizontal="center" vertical="center"/>
      <protection locked="0"/>
    </xf>
    <xf numFmtId="0" fontId="12" fillId="3" borderId="3" xfId="4" applyFont="1" applyFill="1" applyBorder="1" applyAlignment="1" applyProtection="1">
      <alignment horizontal="center" vertical="center"/>
      <protection locked="0"/>
    </xf>
    <xf numFmtId="166" fontId="17" fillId="3" borderId="33" xfId="4" applyNumberFormat="1" applyFont="1" applyFill="1" applyBorder="1" applyAlignment="1" applyProtection="1">
      <alignment horizontal="center" vertical="center"/>
      <protection locked="0"/>
    </xf>
    <xf numFmtId="0" fontId="17" fillId="3" borderId="30" xfId="4" applyFont="1" applyFill="1" applyBorder="1" applyAlignment="1" applyProtection="1">
      <alignment horizontal="center" vertical="center"/>
      <protection locked="0"/>
    </xf>
    <xf numFmtId="0" fontId="17" fillId="3" borderId="31" xfId="4" applyFont="1" applyFill="1" applyBorder="1" applyAlignment="1" applyProtection="1">
      <alignment horizontal="center" vertical="center"/>
      <protection locked="0"/>
    </xf>
    <xf numFmtId="0" fontId="17" fillId="3" borderId="32" xfId="4" applyFont="1" applyFill="1" applyBorder="1" applyAlignment="1" applyProtection="1">
      <alignment horizontal="center" vertical="center"/>
      <protection locked="0"/>
    </xf>
    <xf numFmtId="0" fontId="14" fillId="3" borderId="11" xfId="4" applyFont="1" applyFill="1" applyBorder="1" applyAlignment="1" applyProtection="1">
      <alignment horizontal="center" vertical="center"/>
      <protection locked="0"/>
    </xf>
    <xf numFmtId="3" fontId="17" fillId="3" borderId="12" xfId="4" applyNumberFormat="1" applyFont="1" applyFill="1" applyBorder="1" applyAlignment="1" applyProtection="1">
      <alignment horizontal="center" vertical="center"/>
      <protection locked="0"/>
    </xf>
    <xf numFmtId="3" fontId="17" fillId="3" borderId="13" xfId="4" applyNumberFormat="1" applyFont="1" applyFill="1" applyBorder="1" applyAlignment="1" applyProtection="1">
      <alignment horizontal="center" vertical="center"/>
      <protection locked="0"/>
    </xf>
    <xf numFmtId="3" fontId="17" fillId="3" borderId="14" xfId="4" applyNumberFormat="1" applyFont="1" applyFill="1" applyBorder="1" applyAlignment="1" applyProtection="1">
      <alignment horizontal="center" vertical="center"/>
      <protection locked="0"/>
    </xf>
    <xf numFmtId="1" fontId="45" fillId="3" borderId="11" xfId="4" applyNumberFormat="1" applyFont="1" applyFill="1" applyBorder="1" applyAlignment="1" applyProtection="1">
      <alignment horizontal="center" vertical="center"/>
      <protection locked="0"/>
    </xf>
    <xf numFmtId="0" fontId="45" fillId="3" borderId="11" xfId="4" applyFont="1" applyFill="1" applyBorder="1" applyAlignment="1" applyProtection="1">
      <alignment horizontal="center" vertical="center"/>
      <protection locked="0"/>
    </xf>
    <xf numFmtId="0" fontId="17" fillId="3" borderId="12" xfId="4" applyFont="1" applyFill="1" applyBorder="1" applyAlignment="1" applyProtection="1">
      <alignment horizontal="center" vertical="center"/>
      <protection locked="0"/>
    </xf>
    <xf numFmtId="0" fontId="17" fillId="3" borderId="13" xfId="4" applyFont="1" applyFill="1" applyBorder="1" applyAlignment="1" applyProtection="1">
      <alignment horizontal="center" vertical="center"/>
      <protection locked="0"/>
    </xf>
    <xf numFmtId="1" fontId="27" fillId="6" borderId="12" xfId="4" applyNumberFormat="1" applyFont="1" applyFill="1" applyBorder="1" applyAlignment="1">
      <alignment horizontal="center" vertical="center"/>
    </xf>
    <xf numFmtId="1" fontId="27" fillId="6" borderId="14" xfId="4" applyNumberFormat="1" applyFont="1" applyFill="1" applyBorder="1" applyAlignment="1">
      <alignment horizontal="center" vertical="center"/>
    </xf>
    <xf numFmtId="0" fontId="17" fillId="3" borderId="14" xfId="4" applyFont="1" applyFill="1" applyBorder="1" applyAlignment="1" applyProtection="1">
      <alignment horizontal="center" vertical="center"/>
      <protection locked="0"/>
    </xf>
    <xf numFmtId="0" fontId="22" fillId="3" borderId="0" xfId="4" applyFont="1" applyFill="1" applyAlignment="1" applyProtection="1">
      <alignment horizontal="center" vertical="center" wrapText="1"/>
      <protection locked="0"/>
    </xf>
    <xf numFmtId="0" fontId="30" fillId="4" borderId="11" xfId="18" applyFont="1" applyFill="1" applyBorder="1" applyAlignment="1">
      <alignment horizontal="center" vertical="center"/>
    </xf>
    <xf numFmtId="0" fontId="41" fillId="0" borderId="11" xfId="4" applyFont="1" applyBorder="1" applyAlignment="1">
      <alignment horizontal="center" vertical="center"/>
    </xf>
    <xf numFmtId="0" fontId="41" fillId="0" borderId="11" xfId="4" applyFont="1" applyBorder="1" applyAlignment="1">
      <alignment horizontal="center" vertical="center" wrapText="1"/>
    </xf>
    <xf numFmtId="0" fontId="41" fillId="0" borderId="12" xfId="4" applyFont="1" applyBorder="1" applyAlignment="1">
      <alignment horizontal="center" vertical="center"/>
    </xf>
    <xf numFmtId="0" fontId="41" fillId="0" borderId="14" xfId="4" applyFont="1" applyBorder="1" applyAlignment="1">
      <alignment horizontal="center" vertical="center"/>
    </xf>
    <xf numFmtId="0" fontId="30" fillId="2" borderId="11" xfId="18" applyFont="1" applyFill="1" applyBorder="1" applyAlignment="1">
      <alignment horizontal="center" vertical="center" wrapText="1"/>
    </xf>
    <xf numFmtId="0" fontId="30" fillId="2" borderId="11" xfId="18" applyFont="1" applyFill="1" applyBorder="1" applyAlignment="1">
      <alignment horizontal="center" vertical="center"/>
    </xf>
    <xf numFmtId="0" fontId="41" fillId="0" borderId="19" xfId="4" applyFont="1" applyBorder="1" applyAlignment="1">
      <alignment horizontal="center" vertical="center"/>
    </xf>
    <xf numFmtId="0" fontId="41" fillId="0" borderId="18" xfId="4" applyFont="1" applyBorder="1" applyAlignment="1">
      <alignment horizontal="center" vertical="center"/>
    </xf>
    <xf numFmtId="0" fontId="41" fillId="0" borderId="6" xfId="4" applyFont="1" applyBorder="1" applyAlignment="1">
      <alignment horizontal="center" vertical="center"/>
    </xf>
    <xf numFmtId="0" fontId="41" fillId="0" borderId="8" xfId="4" applyFont="1" applyBorder="1" applyAlignment="1">
      <alignment horizontal="center" vertical="center"/>
    </xf>
    <xf numFmtId="0" fontId="30" fillId="0" borderId="16" xfId="18" applyFont="1" applyBorder="1" applyAlignment="1">
      <alignment horizontal="center" vertical="center"/>
    </xf>
    <xf numFmtId="0" fontId="30" fillId="0" borderId="5" xfId="18" applyFont="1" applyBorder="1" applyAlignment="1">
      <alignment horizontal="center" vertical="center"/>
    </xf>
    <xf numFmtId="0" fontId="15" fillId="0" borderId="12" xfId="4" applyFont="1" applyBorder="1" applyAlignment="1">
      <alignment horizontal="center" vertical="center"/>
    </xf>
    <xf numFmtId="0" fontId="15" fillId="0" borderId="14" xfId="4" applyFont="1" applyBorder="1" applyAlignment="1">
      <alignment horizontal="center" vertical="center"/>
    </xf>
    <xf numFmtId="0" fontId="41" fillId="0" borderId="12" xfId="4" applyFont="1" applyBorder="1" applyAlignment="1">
      <alignment horizontal="center" vertical="center" wrapText="1"/>
    </xf>
    <xf numFmtId="0" fontId="41" fillId="0" borderId="14" xfId="4" applyFont="1" applyBorder="1" applyAlignment="1">
      <alignment horizontal="center" vertical="center" wrapText="1"/>
    </xf>
    <xf numFmtId="0" fontId="43" fillId="3" borderId="0" xfId="4" applyFont="1" applyFill="1" applyAlignment="1">
      <alignment horizontal="center" vertical="center"/>
    </xf>
    <xf numFmtId="0" fontId="36" fillId="5" borderId="11" xfId="0" applyFont="1" applyFill="1" applyBorder="1" applyAlignment="1">
      <alignment horizontal="center" vertical="center"/>
    </xf>
    <xf numFmtId="0" fontId="44" fillId="2" borderId="12" xfId="18" applyFont="1" applyFill="1" applyBorder="1" applyAlignment="1">
      <alignment horizontal="center" vertical="center"/>
    </xf>
    <xf numFmtId="0" fontId="44" fillId="2" borderId="14" xfId="18" applyFont="1" applyFill="1" applyBorder="1" applyAlignment="1">
      <alignment horizontal="center" vertical="center"/>
    </xf>
    <xf numFmtId="0" fontId="30" fillId="2" borderId="12" xfId="18" applyFont="1" applyFill="1" applyBorder="1" applyAlignment="1">
      <alignment horizontal="center" vertical="center"/>
    </xf>
    <xf numFmtId="0" fontId="30" fillId="2" borderId="14" xfId="18" applyFont="1" applyFill="1" applyBorder="1" applyAlignment="1">
      <alignment horizontal="center" vertical="center"/>
    </xf>
    <xf numFmtId="1" fontId="35" fillId="0" borderId="20" xfId="8" applyNumberFormat="1" applyFont="1" applyFill="1" applyBorder="1" applyAlignment="1" applyProtection="1">
      <alignment horizontal="center" vertical="center" wrapText="1"/>
      <protection locked="0"/>
    </xf>
    <xf numFmtId="1" fontId="35" fillId="0" borderId="11" xfId="8" applyNumberFormat="1" applyFont="1" applyFill="1" applyBorder="1" applyAlignment="1" applyProtection="1">
      <alignment horizontal="center" vertical="center"/>
      <protection locked="0"/>
    </xf>
    <xf numFmtId="0" fontId="35" fillId="5" borderId="12" xfId="4" applyFont="1" applyFill="1" applyBorder="1" applyAlignment="1" applyProtection="1">
      <alignment horizontal="center" vertical="center" wrapText="1"/>
      <protection locked="0"/>
    </xf>
    <xf numFmtId="0" fontId="35" fillId="5" borderId="14" xfId="4" applyFont="1" applyFill="1" applyBorder="1" applyAlignment="1" applyProtection="1">
      <alignment horizontal="center" vertical="center" wrapText="1"/>
      <protection locked="0"/>
    </xf>
    <xf numFmtId="1" fontId="35" fillId="11" borderId="20" xfId="4" applyNumberFormat="1" applyFont="1" applyFill="1" applyBorder="1" applyAlignment="1" applyProtection="1">
      <alignment horizontal="center" vertical="center" wrapText="1"/>
      <protection locked="0"/>
    </xf>
    <xf numFmtId="1" fontId="35" fillId="0" borderId="20" xfId="4" applyNumberFormat="1" applyFont="1" applyFill="1" applyBorder="1" applyAlignment="1" applyProtection="1">
      <alignment horizontal="center" vertical="center" wrapText="1"/>
      <protection locked="0"/>
    </xf>
    <xf numFmtId="1" fontId="35" fillId="12" borderId="16" xfId="8" applyNumberFormat="1" applyFont="1" applyFill="1" applyBorder="1" applyAlignment="1" applyProtection="1">
      <alignment horizontal="center" vertical="center"/>
      <protection locked="0"/>
    </xf>
    <xf numFmtId="1" fontId="35" fillId="12" borderId="20" xfId="8" applyNumberFormat="1" applyFont="1" applyFill="1" applyBorder="1" applyAlignment="1" applyProtection="1">
      <alignment horizontal="center" vertical="center"/>
      <protection locked="0"/>
    </xf>
    <xf numFmtId="1" fontId="35" fillId="12" borderId="5" xfId="8" applyNumberFormat="1" applyFont="1" applyFill="1" applyBorder="1" applyAlignment="1" applyProtection="1">
      <alignment horizontal="center" vertical="center"/>
      <protection locked="0"/>
    </xf>
    <xf numFmtId="1" fontId="82" fillId="0" borderId="16" xfId="8" applyNumberFormat="1" applyFont="1" applyFill="1" applyBorder="1" applyAlignment="1" applyProtection="1">
      <alignment horizontal="center" vertical="center" wrapText="1"/>
      <protection locked="0"/>
    </xf>
    <xf numFmtId="1" fontId="82" fillId="0" borderId="20" xfId="8" applyNumberFormat="1" applyFont="1" applyFill="1" applyBorder="1" applyAlignment="1" applyProtection="1">
      <alignment horizontal="center" vertical="center" wrapText="1"/>
      <protection locked="0"/>
    </xf>
    <xf numFmtId="1" fontId="82" fillId="0" borderId="5" xfId="8" applyNumberFormat="1" applyFont="1" applyFill="1" applyBorder="1" applyAlignment="1" applyProtection="1">
      <alignment horizontal="center" vertical="center" wrapText="1"/>
      <protection locked="0"/>
    </xf>
    <xf numFmtId="2" fontId="25" fillId="0" borderId="16" xfId="1" applyNumberFormat="1" applyFont="1" applyFill="1" applyBorder="1" applyAlignment="1" applyProtection="1">
      <alignment horizontal="center" vertical="center"/>
    </xf>
    <xf numFmtId="2" fontId="25" fillId="0" borderId="5" xfId="1" applyNumberFormat="1" applyFont="1" applyFill="1" applyBorder="1" applyAlignment="1" applyProtection="1">
      <alignment horizontal="center" vertical="center"/>
    </xf>
    <xf numFmtId="2" fontId="25" fillId="0" borderId="16" xfId="4" applyNumberFormat="1" applyFont="1" applyFill="1" applyBorder="1" applyAlignment="1" applyProtection="1">
      <alignment horizontal="center" vertical="center"/>
    </xf>
    <xf numFmtId="2" fontId="25" fillId="0" borderId="5" xfId="4" applyNumberFormat="1" applyFont="1" applyFill="1" applyBorder="1" applyAlignment="1" applyProtection="1">
      <alignment horizontal="center" vertical="center"/>
    </xf>
    <xf numFmtId="1" fontId="25" fillId="0" borderId="16" xfId="4" applyNumberFormat="1" applyFont="1" applyFill="1" applyBorder="1" applyAlignment="1" applyProtection="1">
      <alignment horizontal="center" vertical="center"/>
      <protection locked="0"/>
    </xf>
    <xf numFmtId="1" fontId="25" fillId="0" borderId="5" xfId="4" applyNumberFormat="1" applyFont="1" applyFill="1" applyBorder="1" applyAlignment="1" applyProtection="1">
      <alignment horizontal="center" vertical="center"/>
      <protection locked="0"/>
    </xf>
    <xf numFmtId="10" fontId="25" fillId="0" borderId="16" xfId="1" applyNumberFormat="1" applyFont="1" applyFill="1" applyBorder="1" applyAlignment="1" applyProtection="1">
      <alignment horizontal="center" vertical="center"/>
    </xf>
    <xf numFmtId="10" fontId="25" fillId="0" borderId="5" xfId="1" applyNumberFormat="1" applyFont="1" applyFill="1" applyBorder="1" applyAlignment="1" applyProtection="1">
      <alignment horizontal="center" vertical="center"/>
    </xf>
    <xf numFmtId="1" fontId="85" fillId="0" borderId="16" xfId="8" applyNumberFormat="1" applyFont="1" applyFill="1" applyBorder="1" applyAlignment="1" applyProtection="1">
      <alignment horizontal="center" vertical="center"/>
      <protection locked="0"/>
    </xf>
    <xf numFmtId="1" fontId="84" fillId="0" borderId="5" xfId="8" applyNumberFormat="1" applyFont="1" applyFill="1" applyBorder="1" applyAlignment="1" applyProtection="1">
      <alignment horizontal="center" vertical="center"/>
      <protection locked="0"/>
    </xf>
    <xf numFmtId="0" fontId="35" fillId="0" borderId="11" xfId="4" applyFont="1" applyFill="1" applyBorder="1" applyAlignment="1" applyProtection="1">
      <alignment horizontal="center" vertical="center" wrapText="1"/>
      <protection locked="0"/>
    </xf>
    <xf numFmtId="1" fontId="87" fillId="0" borderId="16" xfId="4" applyNumberFormat="1" applyFont="1" applyFill="1" applyBorder="1" applyAlignment="1" applyProtection="1">
      <alignment horizontal="center" vertical="center"/>
      <protection locked="0"/>
    </xf>
    <xf numFmtId="1" fontId="87" fillId="0" borderId="5" xfId="4" applyNumberFormat="1" applyFont="1" applyFill="1" applyBorder="1" applyAlignment="1" applyProtection="1">
      <alignment horizontal="center" vertical="center"/>
      <protection locked="0"/>
    </xf>
    <xf numFmtId="2" fontId="87" fillId="0" borderId="16" xfId="4" applyNumberFormat="1" applyFont="1" applyFill="1" applyBorder="1" applyAlignment="1" applyProtection="1">
      <alignment horizontal="center" vertical="center"/>
    </xf>
    <xf numFmtId="2" fontId="87" fillId="0" borderId="5" xfId="4" applyNumberFormat="1" applyFont="1" applyFill="1" applyBorder="1" applyAlignment="1" applyProtection="1">
      <alignment horizontal="center" vertical="center"/>
    </xf>
    <xf numFmtId="2" fontId="87" fillId="0" borderId="16" xfId="1" applyNumberFormat="1" applyFont="1" applyFill="1" applyBorder="1" applyAlignment="1" applyProtection="1">
      <alignment horizontal="center" vertical="center"/>
    </xf>
    <xf numFmtId="2" fontId="87" fillId="0" borderId="5" xfId="1" applyNumberFormat="1" applyFont="1" applyFill="1" applyBorder="1" applyAlignment="1" applyProtection="1">
      <alignment horizontal="center" vertical="center"/>
    </xf>
    <xf numFmtId="1" fontId="87" fillId="0" borderId="20" xfId="4" applyNumberFormat="1" applyFont="1" applyFill="1" applyBorder="1" applyAlignment="1" applyProtection="1">
      <alignment horizontal="center" vertical="center"/>
      <protection locked="0"/>
    </xf>
    <xf numFmtId="2" fontId="87" fillId="0" borderId="20" xfId="4" applyNumberFormat="1" applyFont="1" applyFill="1" applyBorder="1" applyAlignment="1" applyProtection="1">
      <alignment horizontal="center" vertical="center"/>
    </xf>
    <xf numFmtId="2" fontId="87" fillId="0" borderId="20" xfId="1" applyNumberFormat="1" applyFont="1" applyFill="1" applyBorder="1" applyAlignment="1" applyProtection="1">
      <alignment horizontal="center" vertical="center"/>
    </xf>
    <xf numFmtId="2" fontId="87" fillId="0" borderId="11" xfId="1" applyNumberFormat="1" applyFont="1" applyFill="1" applyBorder="1" applyAlignment="1" applyProtection="1">
      <alignment horizontal="center" vertical="center"/>
    </xf>
    <xf numFmtId="1" fontId="35" fillId="0" borderId="11" xfId="4" applyNumberFormat="1" applyFont="1" applyFill="1" applyBorder="1" applyAlignment="1" applyProtection="1">
      <alignment horizontal="center" vertical="center" wrapText="1"/>
      <protection locked="0"/>
    </xf>
    <xf numFmtId="0" fontId="45" fillId="0" borderId="10" xfId="4" applyFont="1" applyFill="1" applyBorder="1" applyAlignment="1" applyProtection="1">
      <alignment horizontal="center" vertical="center" wrapText="1"/>
      <protection locked="0"/>
    </xf>
    <xf numFmtId="0" fontId="45" fillId="0" borderId="26" xfId="4" applyFont="1" applyFill="1" applyBorder="1" applyAlignment="1" applyProtection="1">
      <alignment horizontal="center" vertical="center" wrapText="1"/>
      <protection locked="0"/>
    </xf>
    <xf numFmtId="0" fontId="45" fillId="0" borderId="11" xfId="4" applyFont="1" applyFill="1" applyBorder="1" applyAlignment="1" applyProtection="1">
      <alignment horizontal="center" vertical="center" wrapText="1"/>
      <protection locked="0"/>
    </xf>
    <xf numFmtId="0" fontId="86" fillId="0" borderId="19" xfId="4" applyFont="1" applyFill="1" applyBorder="1" applyAlignment="1" applyProtection="1">
      <alignment horizontal="center" vertical="center" wrapText="1"/>
      <protection locked="0"/>
    </xf>
    <xf numFmtId="0" fontId="86" fillId="0" borderId="18" xfId="4" applyFont="1" applyFill="1" applyBorder="1" applyAlignment="1" applyProtection="1">
      <alignment horizontal="center" vertical="center" wrapText="1"/>
      <protection locked="0"/>
    </xf>
    <xf numFmtId="0" fontId="86" fillId="0" borderId="6" xfId="4" applyFont="1" applyFill="1" applyBorder="1" applyAlignment="1" applyProtection="1">
      <alignment horizontal="center" vertical="center" wrapText="1"/>
      <protection locked="0"/>
    </xf>
    <xf numFmtId="0" fontId="86" fillId="0" borderId="8" xfId="4" applyFont="1" applyFill="1" applyBorder="1" applyAlignment="1" applyProtection="1">
      <alignment horizontal="center" vertical="center" wrapText="1"/>
      <protection locked="0"/>
    </xf>
    <xf numFmtId="0" fontId="45" fillId="0" borderId="16" xfId="4" applyFont="1" applyFill="1" applyBorder="1" applyAlignment="1" applyProtection="1">
      <alignment horizontal="center" vertical="center" wrapText="1"/>
      <protection locked="0"/>
    </xf>
    <xf numFmtId="0" fontId="35" fillId="0" borderId="16" xfId="4" applyFont="1" applyFill="1" applyBorder="1" applyAlignment="1" applyProtection="1">
      <alignment horizontal="center" vertical="center" wrapText="1"/>
      <protection locked="0"/>
    </xf>
    <xf numFmtId="1" fontId="87" fillId="0" borderId="11" xfId="4" applyNumberFormat="1" applyFont="1" applyFill="1" applyBorder="1" applyAlignment="1" applyProtection="1">
      <alignment horizontal="center" vertical="center"/>
      <protection locked="0"/>
    </xf>
    <xf numFmtId="2" fontId="87" fillId="0" borderId="11" xfId="4" applyNumberFormat="1" applyFont="1" applyFill="1" applyBorder="1" applyAlignment="1" applyProtection="1">
      <alignment horizontal="center" vertical="center"/>
    </xf>
    <xf numFmtId="0" fontId="45" fillId="0" borderId="20" xfId="4" applyFont="1" applyFill="1" applyBorder="1" applyAlignment="1" applyProtection="1">
      <alignment horizontal="center" vertical="center" wrapText="1"/>
      <protection locked="0"/>
    </xf>
    <xf numFmtId="0" fontId="45" fillId="0" borderId="5" xfId="4" applyFont="1" applyFill="1" applyBorder="1" applyAlignment="1" applyProtection="1">
      <alignment horizontal="center" vertical="center" wrapText="1"/>
      <protection locked="0"/>
    </xf>
    <xf numFmtId="0" fontId="27" fillId="0" borderId="16" xfId="4" applyFont="1" applyFill="1" applyBorder="1" applyAlignment="1">
      <alignment horizontal="center" vertical="center" wrapText="1"/>
    </xf>
    <xf numFmtId="0" fontId="27" fillId="0" borderId="20" xfId="4" applyFont="1" applyFill="1" applyBorder="1" applyAlignment="1">
      <alignment horizontal="center" vertical="center" wrapText="1"/>
    </xf>
    <xf numFmtId="0" fontId="27" fillId="0" borderId="17" xfId="4" applyFont="1" applyFill="1" applyBorder="1" applyAlignment="1">
      <alignment horizontal="center" vertical="center" wrapText="1"/>
    </xf>
    <xf numFmtId="0" fontId="27" fillId="0" borderId="21" xfId="4" applyFont="1" applyFill="1" applyBorder="1" applyAlignment="1">
      <alignment horizontal="center" vertical="center" wrapText="1"/>
    </xf>
    <xf numFmtId="0" fontId="45" fillId="0" borderId="11" xfId="4" applyFont="1" applyFill="1" applyBorder="1" applyAlignment="1" applyProtection="1">
      <alignment horizontal="center" vertical="center" wrapText="1" shrinkToFit="1"/>
      <protection locked="0"/>
    </xf>
    <xf numFmtId="0" fontId="45" fillId="0" borderId="16" xfId="4" applyFont="1" applyFill="1" applyBorder="1" applyAlignment="1" applyProtection="1">
      <alignment horizontal="center" vertical="center" wrapText="1" shrinkToFit="1"/>
      <protection locked="0"/>
    </xf>
    <xf numFmtId="166" fontId="88" fillId="3" borderId="33" xfId="4" applyNumberFormat="1" applyFont="1" applyFill="1" applyBorder="1" applyAlignment="1" applyProtection="1">
      <alignment horizontal="center" vertical="center"/>
      <protection locked="0"/>
    </xf>
    <xf numFmtId="0" fontId="88" fillId="3" borderId="30" xfId="4" applyFont="1" applyFill="1" applyBorder="1" applyAlignment="1" applyProtection="1">
      <alignment horizontal="center" vertical="center"/>
      <protection locked="0"/>
    </xf>
    <xf numFmtId="0" fontId="88" fillId="3" borderId="31" xfId="4" applyFont="1" applyFill="1" applyBorder="1" applyAlignment="1" applyProtection="1">
      <alignment horizontal="center" vertical="center"/>
      <protection locked="0"/>
    </xf>
    <xf numFmtId="0" fontId="88" fillId="3" borderId="32" xfId="4" applyFont="1" applyFill="1" applyBorder="1" applyAlignment="1" applyProtection="1">
      <alignment horizontal="center" vertical="center"/>
      <protection locked="0"/>
    </xf>
    <xf numFmtId="0" fontId="88" fillId="3" borderId="11" xfId="4" applyFont="1" applyFill="1" applyBorder="1" applyAlignment="1" applyProtection="1">
      <alignment horizontal="center" vertical="center"/>
      <protection locked="0"/>
    </xf>
    <xf numFmtId="3" fontId="88" fillId="3" borderId="12" xfId="4" applyNumberFormat="1" applyFont="1" applyFill="1" applyBorder="1" applyAlignment="1" applyProtection="1">
      <alignment horizontal="center" vertical="center"/>
      <protection locked="0"/>
    </xf>
    <xf numFmtId="3" fontId="88" fillId="3" borderId="13" xfId="4" applyNumberFormat="1" applyFont="1" applyFill="1" applyBorder="1" applyAlignment="1" applyProtection="1">
      <alignment horizontal="center" vertical="center"/>
      <protection locked="0"/>
    </xf>
    <xf numFmtId="3" fontId="88" fillId="3" borderId="14" xfId="4" applyNumberFormat="1" applyFont="1" applyFill="1" applyBorder="1" applyAlignment="1" applyProtection="1">
      <alignment horizontal="center" vertical="center"/>
      <protection locked="0"/>
    </xf>
    <xf numFmtId="1" fontId="88" fillId="3" borderId="11" xfId="4" applyNumberFormat="1" applyFont="1" applyFill="1" applyBorder="1" applyAlignment="1" applyProtection="1">
      <alignment horizontal="center" vertical="center"/>
      <protection locked="0"/>
    </xf>
    <xf numFmtId="0" fontId="88" fillId="3" borderId="12" xfId="4" applyFont="1" applyFill="1" applyBorder="1" applyAlignment="1" applyProtection="1">
      <alignment horizontal="center" vertical="center"/>
      <protection locked="0"/>
    </xf>
    <xf numFmtId="0" fontId="88" fillId="3" borderId="13" xfId="4" applyFont="1" applyFill="1" applyBorder="1" applyAlignment="1" applyProtection="1">
      <alignment horizontal="center" vertical="center"/>
      <protection locked="0"/>
    </xf>
    <xf numFmtId="1" fontId="36" fillId="6" borderId="12" xfId="4" applyNumberFormat="1" applyFont="1" applyFill="1" applyBorder="1" applyAlignment="1">
      <alignment horizontal="center" vertical="center"/>
    </xf>
    <xf numFmtId="1" fontId="36" fillId="6" borderId="14" xfId="4" applyNumberFormat="1" applyFont="1" applyFill="1" applyBorder="1" applyAlignment="1">
      <alignment horizontal="center" vertical="center"/>
    </xf>
    <xf numFmtId="0" fontId="88" fillId="3" borderId="14" xfId="4" applyFont="1" applyFill="1" applyBorder="1" applyAlignment="1" applyProtection="1">
      <alignment horizontal="center" vertical="center"/>
      <protection locked="0"/>
    </xf>
  </cellXfs>
  <cellStyles count="26">
    <cellStyle name="Normal" xfId="0" builtinId="0"/>
    <cellStyle name="Normal 2" xfId="2"/>
    <cellStyle name="Normal 2 2" xfId="5"/>
    <cellStyle name="Normal 2 2 2" xfId="6"/>
    <cellStyle name="Normal 2 2 2 2" xfId="7"/>
    <cellStyle name="Normal 2 2 2 3" xfId="14"/>
    <cellStyle name="Normal 2 2 2 3 2" xfId="15"/>
    <cellStyle name="Normal 2 2 2 3 2 2" xfId="18"/>
    <cellStyle name="Normal 2 2 3" xfId="16"/>
    <cellStyle name="Normal 2 3" xfId="17"/>
    <cellStyle name="Normal 2 3 2" xfId="24"/>
    <cellStyle name="Normal 3" xfId="4"/>
    <cellStyle name="Normal 3 2" xfId="20"/>
    <cellStyle name="Normal 3 3" xfId="22"/>
    <cellStyle name="Normal 4" xfId="9"/>
    <cellStyle name="Normal 5" xfId="19"/>
    <cellStyle name="Normal 5 2" xfId="12"/>
    <cellStyle name="Normal 6" xfId="11"/>
    <cellStyle name="Normal 7" xfId="21"/>
    <cellStyle name="Normal 8" xfId="23"/>
    <cellStyle name="Normal 9" xfId="25"/>
    <cellStyle name="Normal_S.W.S_7B_1" xfId="3"/>
    <cellStyle name="Normal_SP108188(SAM09)" xfId="8"/>
    <cellStyle name="Percent" xfId="1" builtinId="5"/>
    <cellStyle name="Percent 2" xfId="10"/>
    <cellStyle name="Percent 2 2" xfId="13"/>
  </cellStyles>
  <dxfs count="457">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
      <font>
        <b/>
        <i val="0"/>
        <condense val="0"/>
        <extend val="0"/>
      </font>
      <fill>
        <patternFill>
          <bgColor indexed="13"/>
        </patternFill>
      </fill>
    </dxf>
  </dxfs>
  <tableStyles count="0" defaultTableStyle="TableStyleMedium2" defaultPivotStyle="PivotStyleLight16"/>
  <colors>
    <mruColors>
      <color rgb="FFFF66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id-ID"/>
              <a:t>Line Balancing Distribution</a:t>
            </a:r>
          </a:p>
        </c:rich>
      </c:tx>
      <c:layout>
        <c:manualLayout>
          <c:xMode val="edge"/>
          <c:yMode val="edge"/>
          <c:x val="0.39041951863510038"/>
          <c:y val="0.13552213689131296"/>
        </c:manualLayout>
      </c:layout>
      <c:overlay val="0"/>
      <c:spPr>
        <a:noFill/>
        <a:ln w="25400">
          <a:noFill/>
        </a:ln>
      </c:spPr>
    </c:title>
    <c:autoTitleDeleted val="0"/>
    <c:plotArea>
      <c:layout>
        <c:manualLayout>
          <c:layoutTarget val="inner"/>
          <c:xMode val="edge"/>
          <c:yMode val="edge"/>
          <c:x val="8.8265670533231394E-2"/>
          <c:y val="0.16091655636887481"/>
          <c:w val="0.89554727847755011"/>
          <c:h val="0.61703787741560279"/>
        </c:manualLayout>
      </c:layout>
      <c:barChart>
        <c:barDir val="col"/>
        <c:grouping val="clustered"/>
        <c:varyColors val="0"/>
        <c:ser>
          <c:idx val="0"/>
          <c:order val="0"/>
          <c:tx>
            <c:strRef>
              <c:f>'PRE-BALANCING'!$K$7</c:f>
              <c:strCache>
                <c:ptCount val="1"/>
                <c:pt idx="0">
                  <c:v>SMV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'PRE-BALANCING'!$C$10:$C$59</c:f>
              <c:strCache>
                <c:ptCount val="48"/>
                <c:pt idx="0">
                  <c:v>31a</c:v>
                </c:pt>
                <c:pt idx="1">
                  <c:v>1</c:v>
                </c:pt>
                <c:pt idx="2">
                  <c:v>4</c:v>
                </c:pt>
                <c:pt idx="3">
                  <c:v>2</c:v>
                </c:pt>
                <c:pt idx="4">
                  <c:v>3</c:v>
                </c:pt>
                <c:pt idx="5">
                  <c:v>5</c:v>
                </c:pt>
                <c:pt idx="6">
                  <c:v>6</c:v>
                </c:pt>
                <c:pt idx="7">
                  <c:v>7</c:v>
                </c:pt>
                <c:pt idx="8">
                  <c:v>8</c:v>
                </c:pt>
                <c:pt idx="9">
                  <c:v>9</c:v>
                </c:pt>
                <c:pt idx="10">
                  <c:v>10</c:v>
                </c:pt>
                <c:pt idx="11">
                  <c:v>11</c:v>
                </c:pt>
                <c:pt idx="12">
                  <c:v>12</c:v>
                </c:pt>
                <c:pt idx="13">
                  <c:v>13</c:v>
                </c:pt>
                <c:pt idx="14">
                  <c:v>15</c:v>
                </c:pt>
                <c:pt idx="15">
                  <c:v>14</c:v>
                </c:pt>
                <c:pt idx="16">
                  <c:v>16</c:v>
                </c:pt>
                <c:pt idx="17">
                  <c:v>17</c:v>
                </c:pt>
                <c:pt idx="18">
                  <c:v>18</c:v>
                </c:pt>
                <c:pt idx="19">
                  <c:v>19</c:v>
                </c:pt>
                <c:pt idx="20">
                  <c:v>20</c:v>
                </c:pt>
                <c:pt idx="21">
                  <c:v>21</c:v>
                </c:pt>
                <c:pt idx="22">
                  <c:v>24</c:v>
                </c:pt>
                <c:pt idx="23">
                  <c:v>27</c:v>
                </c:pt>
                <c:pt idx="24">
                  <c:v>28</c:v>
                </c:pt>
                <c:pt idx="25">
                  <c:v>22</c:v>
                </c:pt>
                <c:pt idx="26">
                  <c:v>25</c:v>
                </c:pt>
                <c:pt idx="27">
                  <c:v>26</c:v>
                </c:pt>
                <c:pt idx="28">
                  <c:v>29</c:v>
                </c:pt>
                <c:pt idx="29">
                  <c:v>30</c:v>
                </c:pt>
                <c:pt idx="30">
                  <c:v>31b</c:v>
                </c:pt>
                <c:pt idx="31">
                  <c:v>32</c:v>
                </c:pt>
                <c:pt idx="32">
                  <c:v>33</c:v>
                </c:pt>
                <c:pt idx="33">
                  <c:v>34</c:v>
                </c:pt>
                <c:pt idx="34">
                  <c:v>35</c:v>
                </c:pt>
                <c:pt idx="35">
                  <c:v>36</c:v>
                </c:pt>
                <c:pt idx="36">
                  <c:v>37</c:v>
                </c:pt>
                <c:pt idx="37">
                  <c:v>38</c:v>
                </c:pt>
                <c:pt idx="38">
                  <c:v>38</c:v>
                </c:pt>
                <c:pt idx="39">
                  <c:v>39</c:v>
                </c:pt>
                <c:pt idx="40">
                  <c:v>39</c:v>
                </c:pt>
                <c:pt idx="41">
                  <c:v>40</c:v>
                </c:pt>
                <c:pt idx="42">
                  <c:v>41</c:v>
                </c:pt>
                <c:pt idx="43">
                  <c:v>42</c:v>
                </c:pt>
                <c:pt idx="44">
                  <c:v>43</c:v>
                </c:pt>
                <c:pt idx="45">
                  <c:v>44</c:v>
                </c:pt>
                <c:pt idx="46">
                  <c:v>45</c:v>
                </c:pt>
                <c:pt idx="47">
                  <c:v>46</c:v>
                </c:pt>
              </c:strCache>
            </c:strRef>
          </c:cat>
          <c:val>
            <c:numRef>
              <c:f>'PRE-BALANCING'!$L$10:$L$60</c:f>
              <c:numCache>
                <c:formatCode>0</c:formatCode>
                <c:ptCount val="51"/>
                <c:pt idx="0">
                  <c:v>77.876000000000005</c:v>
                </c:pt>
                <c:pt idx="1">
                  <c:v>84.293333333333322</c:v>
                </c:pt>
                <c:pt idx="3">
                  <c:v>51.423999999999992</c:v>
                </c:pt>
                <c:pt idx="5">
                  <c:v>78.484800000000007</c:v>
                </c:pt>
                <c:pt idx="7">
                  <c:v>76.883200000000002</c:v>
                </c:pt>
                <c:pt idx="9">
                  <c:v>78.647999999999996</c:v>
                </c:pt>
                <c:pt idx="11">
                  <c:v>80.423999999999992</c:v>
                </c:pt>
                <c:pt idx="12">
                  <c:v>55.616</c:v>
                </c:pt>
                <c:pt idx="14">
                  <c:v>61.88000000000001</c:v>
                </c:pt>
                <c:pt idx="15">
                  <c:v>59.256</c:v>
                </c:pt>
                <c:pt idx="17">
                  <c:v>63.383999999999993</c:v>
                </c:pt>
                <c:pt idx="18">
                  <c:v>56.783999999999999</c:v>
                </c:pt>
                <c:pt idx="19">
                  <c:v>82.432000000000002</c:v>
                </c:pt>
                <c:pt idx="20">
                  <c:v>56.488</c:v>
                </c:pt>
                <c:pt idx="21">
                  <c:v>66.016000000000005</c:v>
                </c:pt>
                <c:pt idx="23">
                  <c:v>72.75200000000001</c:v>
                </c:pt>
                <c:pt idx="25">
                  <c:v>63.151999999999994</c:v>
                </c:pt>
                <c:pt idx="26">
                  <c:v>57.952000000000005</c:v>
                </c:pt>
                <c:pt idx="27">
                  <c:v>72.016000000000005</c:v>
                </c:pt>
                <c:pt idx="28">
                  <c:v>55.463999999999999</c:v>
                </c:pt>
                <c:pt idx="29">
                  <c:v>55.599199999999996</c:v>
                </c:pt>
                <c:pt idx="30">
                  <c:v>62.30080000000001</c:v>
                </c:pt>
                <c:pt idx="31">
                  <c:v>45.640000000000008</c:v>
                </c:pt>
                <c:pt idx="32">
                  <c:v>66.656000000000006</c:v>
                </c:pt>
                <c:pt idx="33">
                  <c:v>56.040000000000006</c:v>
                </c:pt>
                <c:pt idx="35">
                  <c:v>55.136000000000003</c:v>
                </c:pt>
                <c:pt idx="36">
                  <c:v>79.678400000000011</c:v>
                </c:pt>
                <c:pt idx="38">
                  <c:v>85.49760000000002</c:v>
                </c:pt>
                <c:pt idx="39">
                  <c:v>73.88</c:v>
                </c:pt>
                <c:pt idx="40">
                  <c:v>73.88</c:v>
                </c:pt>
                <c:pt idx="41">
                  <c:v>63.639999999999993</c:v>
                </c:pt>
                <c:pt idx="42">
                  <c:v>66.320000000000007</c:v>
                </c:pt>
                <c:pt idx="43">
                  <c:v>78.75200000000001</c:v>
                </c:pt>
                <c:pt idx="45">
                  <c:v>78.125454545454545</c:v>
                </c:pt>
              </c:numCache>
            </c:numRef>
          </c:val>
          <c:extLst xmlns:c16r2="http://schemas.microsoft.com/office/drawing/2015/06/chart">
            <c:ext xmlns:c16="http://schemas.microsoft.com/office/drawing/2014/chart" uri="{C3380CC4-5D6E-409C-BE32-E72D297353CC}">
              <c16:uniqueId val="{00000000-63FA-4800-A926-5D51CABE5C44}"/>
            </c:ext>
          </c:extLst>
        </c:ser>
        <c:dLbls>
          <c:showLegendKey val="0"/>
          <c:showVal val="0"/>
          <c:showCatName val="0"/>
          <c:showSerName val="0"/>
          <c:showPercent val="0"/>
          <c:showBubbleSize val="0"/>
        </c:dLbls>
        <c:gapWidth val="150"/>
        <c:axId val="351524384"/>
        <c:axId val="351531048"/>
      </c:barChart>
      <c:lineChart>
        <c:grouping val="standard"/>
        <c:varyColors val="0"/>
        <c:ser>
          <c:idx val="1"/>
          <c:order val="1"/>
          <c:tx>
            <c:strRef>
              <c:f>'PRE-BALANCING'!$K$3:$M$3</c:f>
              <c:strCache>
                <c:ptCount val="1"/>
                <c:pt idx="0">
                  <c:v>Takt Time (secs)</c:v>
                </c:pt>
              </c:strCache>
            </c:strRef>
          </c:tx>
          <c:marker>
            <c:symbol val="none"/>
          </c:marker>
          <c:val>
            <c:numRef>
              <c:f>'PRE-BALANCING'!$B$10:$B$60</c:f>
              <c:numCache>
                <c:formatCode>0.0</c:formatCode>
                <c:ptCount val="51"/>
                <c:pt idx="0">
                  <c:v>117.95221843003412</c:v>
                </c:pt>
                <c:pt idx="1">
                  <c:v>117.95221843003412</c:v>
                </c:pt>
                <c:pt idx="2">
                  <c:v>117.95221843003412</c:v>
                </c:pt>
                <c:pt idx="3">
                  <c:v>117.95221843003412</c:v>
                </c:pt>
                <c:pt idx="4">
                  <c:v>117.95221843003412</c:v>
                </c:pt>
                <c:pt idx="5">
                  <c:v>117.95221843003412</c:v>
                </c:pt>
                <c:pt idx="6">
                  <c:v>117.95221843003412</c:v>
                </c:pt>
                <c:pt idx="7">
                  <c:v>117.95221843003412</c:v>
                </c:pt>
                <c:pt idx="8">
                  <c:v>117.95221843003412</c:v>
                </c:pt>
                <c:pt idx="9">
                  <c:v>117.95221843003412</c:v>
                </c:pt>
                <c:pt idx="10">
                  <c:v>117.95221843003412</c:v>
                </c:pt>
                <c:pt idx="11">
                  <c:v>117.95221843003412</c:v>
                </c:pt>
                <c:pt idx="12">
                  <c:v>117.95221843003412</c:v>
                </c:pt>
                <c:pt idx="13">
                  <c:v>117.95221843003412</c:v>
                </c:pt>
                <c:pt idx="14">
                  <c:v>117.95221843003412</c:v>
                </c:pt>
                <c:pt idx="15">
                  <c:v>117.95221843003412</c:v>
                </c:pt>
                <c:pt idx="16">
                  <c:v>117.95221843003412</c:v>
                </c:pt>
                <c:pt idx="17">
                  <c:v>117.95221843003412</c:v>
                </c:pt>
                <c:pt idx="18">
                  <c:v>117.95221843003412</c:v>
                </c:pt>
                <c:pt idx="19">
                  <c:v>117.95221843003412</c:v>
                </c:pt>
                <c:pt idx="20">
                  <c:v>117.95221843003412</c:v>
                </c:pt>
                <c:pt idx="21">
                  <c:v>117.95221843003412</c:v>
                </c:pt>
                <c:pt idx="22">
                  <c:v>117.95221843003412</c:v>
                </c:pt>
                <c:pt idx="23">
                  <c:v>117.95221843003412</c:v>
                </c:pt>
                <c:pt idx="24">
                  <c:v>117.95221843003412</c:v>
                </c:pt>
                <c:pt idx="25">
                  <c:v>117.95221843003412</c:v>
                </c:pt>
                <c:pt idx="26">
                  <c:v>117.95221843003412</c:v>
                </c:pt>
                <c:pt idx="27">
                  <c:v>117.95221843003412</c:v>
                </c:pt>
                <c:pt idx="28">
                  <c:v>117.95221843003412</c:v>
                </c:pt>
                <c:pt idx="29">
                  <c:v>117.95221843003412</c:v>
                </c:pt>
                <c:pt idx="30">
                  <c:v>117.95221843003412</c:v>
                </c:pt>
                <c:pt idx="31">
                  <c:v>117.95221843003412</c:v>
                </c:pt>
                <c:pt idx="32">
                  <c:v>117.95221843003412</c:v>
                </c:pt>
                <c:pt idx="33">
                  <c:v>117.95221843003412</c:v>
                </c:pt>
                <c:pt idx="34">
                  <c:v>117.95221843003412</c:v>
                </c:pt>
                <c:pt idx="35">
                  <c:v>117.95221843003412</c:v>
                </c:pt>
                <c:pt idx="36">
                  <c:v>117.95221843003412</c:v>
                </c:pt>
                <c:pt idx="37">
                  <c:v>117.95221843003412</c:v>
                </c:pt>
                <c:pt idx="38">
                  <c:v>117.95221843003412</c:v>
                </c:pt>
                <c:pt idx="39">
                  <c:v>117.95221843003412</c:v>
                </c:pt>
                <c:pt idx="40">
                  <c:v>117.95221843003412</c:v>
                </c:pt>
                <c:pt idx="41">
                  <c:v>117.95221843003412</c:v>
                </c:pt>
                <c:pt idx="42">
                  <c:v>117.95221843003412</c:v>
                </c:pt>
                <c:pt idx="43">
                  <c:v>117.95221843003412</c:v>
                </c:pt>
                <c:pt idx="44">
                  <c:v>117.95221843003412</c:v>
                </c:pt>
                <c:pt idx="45">
                  <c:v>117.95221843003412</c:v>
                </c:pt>
                <c:pt idx="46">
                  <c:v>117.95221843003412</c:v>
                </c:pt>
                <c:pt idx="47">
                  <c:v>117.95221843003412</c:v>
                </c:pt>
                <c:pt idx="48">
                  <c:v>117.95221843003412</c:v>
                </c:pt>
                <c:pt idx="49">
                  <c:v>117.95221843003412</c:v>
                </c:pt>
              </c:numCache>
            </c:numRef>
          </c:val>
          <c:smooth val="0"/>
          <c:extLst xmlns:c16r2="http://schemas.microsoft.com/office/drawing/2015/06/chart">
            <c:ext xmlns:c16="http://schemas.microsoft.com/office/drawing/2014/chart" uri="{C3380CC4-5D6E-409C-BE32-E72D297353CC}">
              <c16:uniqueId val="{00000001-63FA-4800-A926-5D51CABE5C44}"/>
            </c:ext>
          </c:extLst>
        </c:ser>
        <c:ser>
          <c:idx val="2"/>
          <c:order val="2"/>
          <c:tx>
            <c:strRef>
              <c:f>'PRE-BALANCING'!$O$3</c:f>
              <c:strCache>
                <c:ptCount val="1"/>
                <c:pt idx="0">
                  <c:v>Highest CT</c:v>
                </c:pt>
              </c:strCache>
            </c:strRef>
          </c:tx>
          <c:spPr>
            <a:ln w="28575" cap="rnd">
              <a:solidFill>
                <a:schemeClr val="accent3"/>
              </a:solidFill>
              <a:round/>
            </a:ln>
            <a:effectLst/>
          </c:spPr>
          <c:marker>
            <c:symbol val="none"/>
          </c:marker>
          <c:val>
            <c:numRef>
              <c:f>'PRE-BALANCING'!$A$8:$A$60</c:f>
              <c:numCache>
                <c:formatCode>General</c:formatCode>
                <c:ptCount val="53"/>
                <c:pt idx="2" formatCode="0">
                  <c:v>85.49760000000002</c:v>
                </c:pt>
                <c:pt idx="3" formatCode="0">
                  <c:v>85.49760000000002</c:v>
                </c:pt>
                <c:pt idx="4" formatCode="0">
                  <c:v>85.49760000000002</c:v>
                </c:pt>
                <c:pt idx="5" formatCode="0">
                  <c:v>85.49760000000002</c:v>
                </c:pt>
                <c:pt idx="6" formatCode="0">
                  <c:v>85.49760000000002</c:v>
                </c:pt>
                <c:pt idx="7" formatCode="0">
                  <c:v>85.49760000000002</c:v>
                </c:pt>
                <c:pt idx="8" formatCode="0">
                  <c:v>85.49760000000002</c:v>
                </c:pt>
                <c:pt idx="9" formatCode="0">
                  <c:v>85.49760000000002</c:v>
                </c:pt>
                <c:pt idx="10" formatCode="0">
                  <c:v>85.49760000000002</c:v>
                </c:pt>
                <c:pt idx="11" formatCode="0">
                  <c:v>85.49760000000002</c:v>
                </c:pt>
                <c:pt idx="12" formatCode="0">
                  <c:v>85.49760000000002</c:v>
                </c:pt>
                <c:pt idx="13" formatCode="0">
                  <c:v>85.49760000000002</c:v>
                </c:pt>
                <c:pt idx="14" formatCode="0">
                  <c:v>85.49760000000002</c:v>
                </c:pt>
                <c:pt idx="15" formatCode="0">
                  <c:v>85.49760000000002</c:v>
                </c:pt>
                <c:pt idx="16" formatCode="0">
                  <c:v>85.49760000000002</c:v>
                </c:pt>
                <c:pt idx="17" formatCode="0">
                  <c:v>85.49760000000002</c:v>
                </c:pt>
                <c:pt idx="18" formatCode="0">
                  <c:v>85.49760000000002</c:v>
                </c:pt>
                <c:pt idx="19" formatCode="0">
                  <c:v>85.49760000000002</c:v>
                </c:pt>
                <c:pt idx="20" formatCode="0">
                  <c:v>85.49760000000002</c:v>
                </c:pt>
                <c:pt idx="21" formatCode="0">
                  <c:v>85.49760000000002</c:v>
                </c:pt>
                <c:pt idx="22" formatCode="0">
                  <c:v>85.49760000000002</c:v>
                </c:pt>
                <c:pt idx="23" formatCode="0">
                  <c:v>85.49760000000002</c:v>
                </c:pt>
                <c:pt idx="24" formatCode="0">
                  <c:v>85.49760000000002</c:v>
                </c:pt>
                <c:pt idx="25" formatCode="0">
                  <c:v>85.49760000000002</c:v>
                </c:pt>
                <c:pt idx="26" formatCode="0">
                  <c:v>85.49760000000002</c:v>
                </c:pt>
                <c:pt idx="27" formatCode="0">
                  <c:v>85.49760000000002</c:v>
                </c:pt>
                <c:pt idx="28" formatCode="0">
                  <c:v>85.49760000000002</c:v>
                </c:pt>
                <c:pt idx="29" formatCode="0">
                  <c:v>85.49760000000002</c:v>
                </c:pt>
                <c:pt idx="30" formatCode="0">
                  <c:v>85.49760000000002</c:v>
                </c:pt>
                <c:pt idx="31" formatCode="0">
                  <c:v>85.49760000000002</c:v>
                </c:pt>
                <c:pt idx="32" formatCode="0">
                  <c:v>85.49760000000002</c:v>
                </c:pt>
                <c:pt idx="33" formatCode="0">
                  <c:v>85.49760000000002</c:v>
                </c:pt>
                <c:pt idx="34" formatCode="0">
                  <c:v>85.49760000000002</c:v>
                </c:pt>
                <c:pt idx="35" formatCode="0">
                  <c:v>85.49760000000002</c:v>
                </c:pt>
                <c:pt idx="36" formatCode="0">
                  <c:v>85.49760000000002</c:v>
                </c:pt>
                <c:pt idx="37" formatCode="0">
                  <c:v>85.49760000000002</c:v>
                </c:pt>
                <c:pt idx="38" formatCode="0">
                  <c:v>85.49760000000002</c:v>
                </c:pt>
                <c:pt idx="39" formatCode="0">
                  <c:v>85.49760000000002</c:v>
                </c:pt>
                <c:pt idx="40" formatCode="0">
                  <c:v>85.49760000000002</c:v>
                </c:pt>
                <c:pt idx="41" formatCode="0">
                  <c:v>85.49760000000002</c:v>
                </c:pt>
                <c:pt idx="42" formatCode="0">
                  <c:v>85.49760000000002</c:v>
                </c:pt>
                <c:pt idx="43" formatCode="0">
                  <c:v>85.49760000000002</c:v>
                </c:pt>
                <c:pt idx="44" formatCode="0">
                  <c:v>85.49760000000002</c:v>
                </c:pt>
                <c:pt idx="45" formatCode="0">
                  <c:v>85.49760000000002</c:v>
                </c:pt>
                <c:pt idx="46" formatCode="0">
                  <c:v>85.49760000000002</c:v>
                </c:pt>
                <c:pt idx="47" formatCode="0">
                  <c:v>85.49760000000002</c:v>
                </c:pt>
                <c:pt idx="48" formatCode="0">
                  <c:v>85.49760000000002</c:v>
                </c:pt>
                <c:pt idx="49" formatCode="0">
                  <c:v>85.49760000000002</c:v>
                </c:pt>
                <c:pt idx="50" formatCode="0">
                  <c:v>85.49760000000002</c:v>
                </c:pt>
                <c:pt idx="51" formatCode="0">
                  <c:v>85.49760000000002</c:v>
                </c:pt>
              </c:numCache>
            </c:numRef>
          </c:val>
          <c:smooth val="0"/>
          <c:extLst xmlns:c16r2="http://schemas.microsoft.com/office/drawing/2015/06/chart">
            <c:ext xmlns:c16="http://schemas.microsoft.com/office/drawing/2014/chart" uri="{C3380CC4-5D6E-409C-BE32-E72D297353CC}">
              <c16:uniqueId val="{00000002-63FA-4800-A926-5D51CABE5C44}"/>
            </c:ext>
          </c:extLst>
        </c:ser>
        <c:dLbls>
          <c:showLegendKey val="0"/>
          <c:showVal val="0"/>
          <c:showCatName val="0"/>
          <c:showSerName val="0"/>
          <c:showPercent val="0"/>
          <c:showBubbleSize val="0"/>
        </c:dLbls>
        <c:marker val="1"/>
        <c:smooth val="0"/>
        <c:axId val="351524384"/>
        <c:axId val="351531048"/>
      </c:lineChart>
      <c:catAx>
        <c:axId val="351524384"/>
        <c:scaling>
          <c:orientation val="minMax"/>
        </c:scaling>
        <c:delete val="0"/>
        <c:axPos val="b"/>
        <c:title>
          <c:tx>
            <c:rich>
              <a:bodyPr/>
              <a:lstStyle/>
              <a:p>
                <a:pPr>
                  <a:defRPr sz="1000" b="0" i="0" u="none" strike="noStrike" baseline="0">
                    <a:solidFill>
                      <a:srgbClr val="333333"/>
                    </a:solidFill>
                    <a:latin typeface="Calibri"/>
                    <a:ea typeface="Calibri"/>
                    <a:cs typeface="Calibri"/>
                  </a:defRPr>
                </a:pPr>
                <a:r>
                  <a:rPr lang="id-ID"/>
                  <a:t>Operation No.</a:t>
                </a:r>
              </a:p>
            </c:rich>
          </c:tx>
          <c:layout>
            <c:manualLayout>
              <c:xMode val="edge"/>
              <c:yMode val="edge"/>
              <c:x val="0.45188409300077154"/>
              <c:y val="0.83967278042340521"/>
            </c:manualLayout>
          </c:layout>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1531048"/>
        <c:crosses val="autoZero"/>
        <c:auto val="1"/>
        <c:lblAlgn val="ctr"/>
        <c:lblOffset val="100"/>
        <c:noMultiLvlLbl val="0"/>
      </c:catAx>
      <c:valAx>
        <c:axId val="351531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id-ID"/>
                  <a:t>Minutes</a:t>
                </a:r>
              </a:p>
            </c:rich>
          </c:tx>
          <c:overlay val="0"/>
          <c:spPr>
            <a:noFill/>
            <a:ln w="25400">
              <a:noFill/>
            </a:ln>
          </c:spPr>
        </c:title>
        <c:numFmt formatCode="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351524384"/>
        <c:crosses val="autoZero"/>
        <c:crossBetween val="between"/>
      </c:valAx>
      <c:spPr>
        <a:noFill/>
        <a:ln w="25400">
          <a:noFill/>
        </a:ln>
      </c:spPr>
    </c:plotArea>
    <c:legend>
      <c:legendPos val="r"/>
      <c:layout>
        <c:manualLayout>
          <c:xMode val="edge"/>
          <c:yMode val="edge"/>
          <c:x val="0.25103375019299057"/>
          <c:y val="0.91317491002247464"/>
          <c:w val="0.63283495445422266"/>
          <c:h val="6.287425149700598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id-ID"/>
              <a:t>Line Balancing Distribution</a:t>
            </a:r>
          </a:p>
        </c:rich>
      </c:tx>
      <c:layout>
        <c:manualLayout>
          <c:xMode val="edge"/>
          <c:yMode val="edge"/>
          <c:x val="0.39041951863510038"/>
          <c:y val="0.13552213689131296"/>
        </c:manualLayout>
      </c:layout>
      <c:overlay val="0"/>
      <c:spPr>
        <a:noFill/>
        <a:ln w="25400">
          <a:noFill/>
        </a:ln>
      </c:spPr>
    </c:title>
    <c:autoTitleDeleted val="0"/>
    <c:plotArea>
      <c:layout>
        <c:manualLayout>
          <c:layoutTarget val="inner"/>
          <c:xMode val="edge"/>
          <c:yMode val="edge"/>
          <c:x val="8.8265670533231394E-2"/>
          <c:y val="0.16091655636887481"/>
          <c:w val="0.89554727847755011"/>
          <c:h val="0.61703787741560279"/>
        </c:manualLayout>
      </c:layout>
      <c:barChart>
        <c:barDir val="col"/>
        <c:grouping val="clustered"/>
        <c:varyColors val="0"/>
        <c:ser>
          <c:idx val="0"/>
          <c:order val="0"/>
          <c:tx>
            <c:strRef>
              <c:f>'PRE-BALANCING_L13_MT_Jun-22'!$K$7</c:f>
              <c:strCache>
                <c:ptCount val="1"/>
                <c:pt idx="0">
                  <c:v>SMV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'PRE-BALANCING_L13_MT_Jun-22'!$C$10:$C$51</c:f>
              <c:strCache>
                <c:ptCount val="40"/>
                <c:pt idx="0">
                  <c:v>31a</c:v>
                </c:pt>
                <c:pt idx="1">
                  <c:v>8 + additional</c:v>
                </c:pt>
                <c:pt idx="2">
                  <c:v>1</c:v>
                </c:pt>
                <c:pt idx="3">
                  <c:v>4</c:v>
                </c:pt>
                <c:pt idx="4">
                  <c:v>24</c:v>
                </c:pt>
                <c:pt idx="5">
                  <c:v>2</c:v>
                </c:pt>
                <c:pt idx="6">
                  <c:v>5</c:v>
                </c:pt>
                <c:pt idx="7">
                  <c:v>3</c:v>
                </c:pt>
                <c:pt idx="8">
                  <c:v>6</c:v>
                </c:pt>
                <c:pt idx="9">
                  <c:v>7c</c:v>
                </c:pt>
                <c:pt idx="10">
                  <c:v>Additional</c:v>
                </c:pt>
                <c:pt idx="11">
                  <c:v>Additional</c:v>
                </c:pt>
                <c:pt idx="12">
                  <c:v>Additional</c:v>
                </c:pt>
                <c:pt idx="13">
                  <c:v>Additional</c:v>
                </c:pt>
                <c:pt idx="14">
                  <c:v>Additional</c:v>
                </c:pt>
                <c:pt idx="15">
                  <c:v>Additional</c:v>
                </c:pt>
                <c:pt idx="16">
                  <c:v>27</c:v>
                </c:pt>
                <c:pt idx="17">
                  <c:v>28</c:v>
                </c:pt>
                <c:pt idx="18">
                  <c:v>29</c:v>
                </c:pt>
                <c:pt idx="19">
                  <c:v>30</c:v>
                </c:pt>
                <c:pt idx="20">
                  <c:v>31b</c:v>
                </c:pt>
                <c:pt idx="21">
                  <c:v>32</c:v>
                </c:pt>
                <c:pt idx="22">
                  <c:v>33</c:v>
                </c:pt>
                <c:pt idx="23">
                  <c:v>35</c:v>
                </c:pt>
                <c:pt idx="24">
                  <c:v>36</c:v>
                </c:pt>
                <c:pt idx="25">
                  <c:v>34</c:v>
                </c:pt>
                <c:pt idx="26">
                  <c:v>37</c:v>
                </c:pt>
                <c:pt idx="27">
                  <c:v>22</c:v>
                </c:pt>
                <c:pt idx="28">
                  <c:v>25</c:v>
                </c:pt>
                <c:pt idx="29">
                  <c:v>26</c:v>
                </c:pt>
                <c:pt idx="30">
                  <c:v>38</c:v>
                </c:pt>
                <c:pt idx="31">
                  <c:v>39</c:v>
                </c:pt>
                <c:pt idx="32">
                  <c:v>39</c:v>
                </c:pt>
                <c:pt idx="33">
                  <c:v>40</c:v>
                </c:pt>
                <c:pt idx="34">
                  <c:v>41</c:v>
                </c:pt>
                <c:pt idx="35">
                  <c:v>42</c:v>
                </c:pt>
                <c:pt idx="36">
                  <c:v>43</c:v>
                </c:pt>
                <c:pt idx="37">
                  <c:v>44</c:v>
                </c:pt>
                <c:pt idx="38">
                  <c:v>45</c:v>
                </c:pt>
                <c:pt idx="39">
                  <c:v>46</c:v>
                </c:pt>
              </c:strCache>
            </c:strRef>
          </c:cat>
          <c:val>
            <c:numRef>
              <c:f>'PRE-BALANCING_L13_MT_Jun-22'!$L$10:$L$52</c:f>
              <c:numCache>
                <c:formatCode>0</c:formatCode>
                <c:ptCount val="43"/>
                <c:pt idx="0">
                  <c:v>104.05200000000001</c:v>
                </c:pt>
                <c:pt idx="2">
                  <c:v>108.49411764705883</c:v>
                </c:pt>
                <c:pt idx="5">
                  <c:v>69.096000000000004</c:v>
                </c:pt>
                <c:pt idx="7">
                  <c:v>69.263999999999996</c:v>
                </c:pt>
                <c:pt idx="10">
                  <c:v>0</c:v>
                </c:pt>
                <c:pt idx="11">
                  <c:v>0</c:v>
                </c:pt>
                <c:pt idx="12">
                  <c:v>0</c:v>
                </c:pt>
                <c:pt idx="13">
                  <c:v>0</c:v>
                </c:pt>
                <c:pt idx="14">
                  <c:v>0</c:v>
                </c:pt>
                <c:pt idx="15">
                  <c:v>0</c:v>
                </c:pt>
                <c:pt idx="16">
                  <c:v>72.75200000000001</c:v>
                </c:pt>
                <c:pt idx="18">
                  <c:v>55.463999999999999</c:v>
                </c:pt>
                <c:pt idx="19">
                  <c:v>40.023999999999994</c:v>
                </c:pt>
                <c:pt idx="20">
                  <c:v>77.876000000000005</c:v>
                </c:pt>
                <c:pt idx="21">
                  <c:v>45.640000000000008</c:v>
                </c:pt>
                <c:pt idx="22">
                  <c:v>66.656000000000006</c:v>
                </c:pt>
                <c:pt idx="23">
                  <c:v>27.712</c:v>
                </c:pt>
                <c:pt idx="24">
                  <c:v>55.136000000000003</c:v>
                </c:pt>
                <c:pt idx="25">
                  <c:v>86.632000000000005</c:v>
                </c:pt>
                <c:pt idx="27">
                  <c:v>63.151999999999994</c:v>
                </c:pt>
                <c:pt idx="28">
                  <c:v>57.952000000000005</c:v>
                </c:pt>
                <c:pt idx="29">
                  <c:v>72.016000000000005</c:v>
                </c:pt>
                <c:pt idx="30">
                  <c:v>106.87200000000001</c:v>
                </c:pt>
                <c:pt idx="31">
                  <c:v>73.88</c:v>
                </c:pt>
                <c:pt idx="32">
                  <c:v>73.88</c:v>
                </c:pt>
                <c:pt idx="33">
                  <c:v>63.639999999999993</c:v>
                </c:pt>
                <c:pt idx="34">
                  <c:v>56.288000000000004</c:v>
                </c:pt>
                <c:pt idx="35">
                  <c:v>78.75200000000001</c:v>
                </c:pt>
                <c:pt idx="37">
                  <c:v>78.125454545454545</c:v>
                </c:pt>
              </c:numCache>
            </c:numRef>
          </c:val>
          <c:extLst xmlns:c16r2="http://schemas.microsoft.com/office/drawing/2015/06/chart">
            <c:ext xmlns:c16="http://schemas.microsoft.com/office/drawing/2014/chart" uri="{C3380CC4-5D6E-409C-BE32-E72D297353CC}">
              <c16:uniqueId val="{00000000-63FA-4800-A926-5D51CABE5C44}"/>
            </c:ext>
          </c:extLst>
        </c:ser>
        <c:dLbls>
          <c:showLegendKey val="0"/>
          <c:showVal val="0"/>
          <c:showCatName val="0"/>
          <c:showSerName val="0"/>
          <c:showPercent val="0"/>
          <c:showBubbleSize val="0"/>
        </c:dLbls>
        <c:gapWidth val="150"/>
        <c:axId val="351525952"/>
        <c:axId val="351526344"/>
      </c:barChart>
      <c:lineChart>
        <c:grouping val="standard"/>
        <c:varyColors val="0"/>
        <c:ser>
          <c:idx val="1"/>
          <c:order val="1"/>
          <c:tx>
            <c:strRef>
              <c:f>'PRE-BALANCING_L13_MT_Jun-22'!$K$3:$M$3</c:f>
              <c:strCache>
                <c:ptCount val="1"/>
                <c:pt idx="0">
                  <c:v>Takt Time (secs)</c:v>
                </c:pt>
              </c:strCache>
            </c:strRef>
          </c:tx>
          <c:marker>
            <c:symbol val="none"/>
          </c:marker>
          <c:val>
            <c:numRef>
              <c:f>'PRE-BALANCING_L13_MT_Jun-22'!$B$10:$B$52</c:f>
              <c:numCache>
                <c:formatCode>0.0</c:formatCode>
                <c:ptCount val="43"/>
                <c:pt idx="0">
                  <c:v>117.95221843003412</c:v>
                </c:pt>
                <c:pt idx="1">
                  <c:v>117.95221843003412</c:v>
                </c:pt>
                <c:pt idx="2">
                  <c:v>117.95221843003412</c:v>
                </c:pt>
                <c:pt idx="3">
                  <c:v>117.95221843003412</c:v>
                </c:pt>
                <c:pt idx="4">
                  <c:v>117.95221843003412</c:v>
                </c:pt>
                <c:pt idx="5">
                  <c:v>117.95221843003412</c:v>
                </c:pt>
                <c:pt idx="6">
                  <c:v>117.95221843003412</c:v>
                </c:pt>
                <c:pt idx="7">
                  <c:v>117.95221843003412</c:v>
                </c:pt>
                <c:pt idx="8">
                  <c:v>117.95221843003412</c:v>
                </c:pt>
                <c:pt idx="9">
                  <c:v>117.95221843003412</c:v>
                </c:pt>
                <c:pt idx="10">
                  <c:v>117.95221843003412</c:v>
                </c:pt>
                <c:pt idx="11">
                  <c:v>117.95221843003412</c:v>
                </c:pt>
                <c:pt idx="12">
                  <c:v>117.95221843003412</c:v>
                </c:pt>
                <c:pt idx="13">
                  <c:v>117.95221843003412</c:v>
                </c:pt>
                <c:pt idx="14">
                  <c:v>117.95221843003412</c:v>
                </c:pt>
                <c:pt idx="16">
                  <c:v>117.95221843003412</c:v>
                </c:pt>
                <c:pt idx="17">
                  <c:v>117.95221843003412</c:v>
                </c:pt>
                <c:pt idx="18">
                  <c:v>117.95221843003412</c:v>
                </c:pt>
                <c:pt idx="19">
                  <c:v>117.95221843003412</c:v>
                </c:pt>
                <c:pt idx="20">
                  <c:v>117.95221843003412</c:v>
                </c:pt>
                <c:pt idx="21">
                  <c:v>117.95221843003412</c:v>
                </c:pt>
                <c:pt idx="22">
                  <c:v>117.95221843003412</c:v>
                </c:pt>
                <c:pt idx="23">
                  <c:v>117.95221843003412</c:v>
                </c:pt>
                <c:pt idx="24">
                  <c:v>117.95221843003412</c:v>
                </c:pt>
                <c:pt idx="25">
                  <c:v>117.95221843003412</c:v>
                </c:pt>
                <c:pt idx="26">
                  <c:v>117.95221843003412</c:v>
                </c:pt>
                <c:pt idx="27">
                  <c:v>117.95221843003412</c:v>
                </c:pt>
                <c:pt idx="28">
                  <c:v>117.95221843003412</c:v>
                </c:pt>
                <c:pt idx="29">
                  <c:v>117.95221843003412</c:v>
                </c:pt>
                <c:pt idx="30">
                  <c:v>117.95221843003412</c:v>
                </c:pt>
                <c:pt idx="31">
                  <c:v>117.95221843003412</c:v>
                </c:pt>
                <c:pt idx="32">
                  <c:v>117.95221843003412</c:v>
                </c:pt>
                <c:pt idx="33">
                  <c:v>117.95221843003412</c:v>
                </c:pt>
                <c:pt idx="34">
                  <c:v>117.95221843003412</c:v>
                </c:pt>
                <c:pt idx="35">
                  <c:v>117.95221843003412</c:v>
                </c:pt>
                <c:pt idx="36">
                  <c:v>117.95221843003412</c:v>
                </c:pt>
                <c:pt idx="37">
                  <c:v>117.95221843003412</c:v>
                </c:pt>
                <c:pt idx="38">
                  <c:v>117.95221843003412</c:v>
                </c:pt>
                <c:pt idx="39">
                  <c:v>117.95221843003412</c:v>
                </c:pt>
                <c:pt idx="40">
                  <c:v>117.95221843003412</c:v>
                </c:pt>
                <c:pt idx="41">
                  <c:v>117.95221843003412</c:v>
                </c:pt>
              </c:numCache>
            </c:numRef>
          </c:val>
          <c:smooth val="0"/>
          <c:extLst xmlns:c16r2="http://schemas.microsoft.com/office/drawing/2015/06/chart">
            <c:ext xmlns:c16="http://schemas.microsoft.com/office/drawing/2014/chart" uri="{C3380CC4-5D6E-409C-BE32-E72D297353CC}">
              <c16:uniqueId val="{00000001-63FA-4800-A926-5D51CABE5C44}"/>
            </c:ext>
          </c:extLst>
        </c:ser>
        <c:ser>
          <c:idx val="2"/>
          <c:order val="2"/>
          <c:tx>
            <c:strRef>
              <c:f>'PRE-BALANCING_L13_MT_Jun-22'!$O$3</c:f>
              <c:strCache>
                <c:ptCount val="1"/>
                <c:pt idx="0">
                  <c:v>Highest CT</c:v>
                </c:pt>
              </c:strCache>
            </c:strRef>
          </c:tx>
          <c:spPr>
            <a:ln w="28575" cap="rnd">
              <a:solidFill>
                <a:schemeClr val="accent3"/>
              </a:solidFill>
              <a:round/>
            </a:ln>
            <a:effectLst/>
          </c:spPr>
          <c:marker>
            <c:symbol val="none"/>
          </c:marker>
          <c:val>
            <c:numRef>
              <c:f>'PRE-BALANCING_L13_MT_Jun-22'!$A$8:$A$52</c:f>
              <c:numCache>
                <c:formatCode>General</c:formatCode>
                <c:ptCount val="45"/>
                <c:pt idx="2" formatCode="0">
                  <c:v>108.49411764705883</c:v>
                </c:pt>
                <c:pt idx="3" formatCode="0">
                  <c:v>108.49411764705883</c:v>
                </c:pt>
                <c:pt idx="4" formatCode="0">
                  <c:v>108.49411764705883</c:v>
                </c:pt>
                <c:pt idx="5" formatCode="0">
                  <c:v>108.49411764705883</c:v>
                </c:pt>
                <c:pt idx="6" formatCode="0">
                  <c:v>108.49411764705883</c:v>
                </c:pt>
                <c:pt idx="7" formatCode="0">
                  <c:v>108.49411764705883</c:v>
                </c:pt>
                <c:pt idx="8" formatCode="0">
                  <c:v>108.49411764705883</c:v>
                </c:pt>
                <c:pt idx="9" formatCode="0">
                  <c:v>108.49411764705883</c:v>
                </c:pt>
                <c:pt idx="10" formatCode="0">
                  <c:v>108.49411764705883</c:v>
                </c:pt>
                <c:pt idx="11" formatCode="0">
                  <c:v>108.49411764705883</c:v>
                </c:pt>
                <c:pt idx="12" formatCode="0">
                  <c:v>108.49411764705883</c:v>
                </c:pt>
                <c:pt idx="13" formatCode="0">
                  <c:v>108.49411764705883</c:v>
                </c:pt>
                <c:pt idx="14" formatCode="0">
                  <c:v>108.49411764705883</c:v>
                </c:pt>
                <c:pt idx="15" formatCode="0">
                  <c:v>108.49411764705883</c:v>
                </c:pt>
                <c:pt idx="16" formatCode="0">
                  <c:v>108.49411764705883</c:v>
                </c:pt>
                <c:pt idx="18" formatCode="0">
                  <c:v>108.49411764705883</c:v>
                </c:pt>
                <c:pt idx="19" formatCode="0">
                  <c:v>108.49411764705883</c:v>
                </c:pt>
                <c:pt idx="20" formatCode="0">
                  <c:v>108.49411764705883</c:v>
                </c:pt>
                <c:pt idx="21" formatCode="0">
                  <c:v>108.49411764705883</c:v>
                </c:pt>
                <c:pt idx="22" formatCode="0">
                  <c:v>108.49411764705883</c:v>
                </c:pt>
                <c:pt idx="23" formatCode="0">
                  <c:v>108.49411764705883</c:v>
                </c:pt>
                <c:pt idx="24" formatCode="0">
                  <c:v>108.49411764705883</c:v>
                </c:pt>
                <c:pt idx="25" formatCode="0">
                  <c:v>108.49411764705883</c:v>
                </c:pt>
                <c:pt idx="26" formatCode="0">
                  <c:v>108.49411764705883</c:v>
                </c:pt>
                <c:pt idx="27" formatCode="0">
                  <c:v>108.49411764705883</c:v>
                </c:pt>
                <c:pt idx="28" formatCode="0">
                  <c:v>108.49411764705883</c:v>
                </c:pt>
                <c:pt idx="29" formatCode="0">
                  <c:v>108.49411764705883</c:v>
                </c:pt>
                <c:pt idx="30" formatCode="0">
                  <c:v>108.49411764705883</c:v>
                </c:pt>
                <c:pt idx="31" formatCode="0">
                  <c:v>108.49411764705883</c:v>
                </c:pt>
                <c:pt idx="32" formatCode="0">
                  <c:v>108.49411764705883</c:v>
                </c:pt>
                <c:pt idx="33" formatCode="0">
                  <c:v>108.49411764705883</c:v>
                </c:pt>
                <c:pt idx="34" formatCode="0">
                  <c:v>108.49411764705883</c:v>
                </c:pt>
                <c:pt idx="35" formatCode="0">
                  <c:v>108.49411764705883</c:v>
                </c:pt>
                <c:pt idx="36" formatCode="0">
                  <c:v>108.49411764705883</c:v>
                </c:pt>
                <c:pt idx="37" formatCode="0">
                  <c:v>108.49411764705883</c:v>
                </c:pt>
                <c:pt idx="38" formatCode="0">
                  <c:v>108.49411764705883</c:v>
                </c:pt>
                <c:pt idx="39" formatCode="0">
                  <c:v>108.49411764705883</c:v>
                </c:pt>
                <c:pt idx="40" formatCode="0">
                  <c:v>108.49411764705883</c:v>
                </c:pt>
                <c:pt idx="41" formatCode="0">
                  <c:v>108.49411764705883</c:v>
                </c:pt>
                <c:pt idx="42" formatCode="0">
                  <c:v>108.49411764705883</c:v>
                </c:pt>
                <c:pt idx="43" formatCode="0">
                  <c:v>108.49411764705883</c:v>
                </c:pt>
              </c:numCache>
            </c:numRef>
          </c:val>
          <c:smooth val="0"/>
          <c:extLst xmlns:c16r2="http://schemas.microsoft.com/office/drawing/2015/06/chart">
            <c:ext xmlns:c16="http://schemas.microsoft.com/office/drawing/2014/chart" uri="{C3380CC4-5D6E-409C-BE32-E72D297353CC}">
              <c16:uniqueId val="{00000002-63FA-4800-A926-5D51CABE5C44}"/>
            </c:ext>
          </c:extLst>
        </c:ser>
        <c:dLbls>
          <c:showLegendKey val="0"/>
          <c:showVal val="0"/>
          <c:showCatName val="0"/>
          <c:showSerName val="0"/>
          <c:showPercent val="0"/>
          <c:showBubbleSize val="0"/>
        </c:dLbls>
        <c:marker val="1"/>
        <c:smooth val="0"/>
        <c:axId val="351525952"/>
        <c:axId val="351526344"/>
      </c:lineChart>
      <c:catAx>
        <c:axId val="351525952"/>
        <c:scaling>
          <c:orientation val="minMax"/>
        </c:scaling>
        <c:delete val="0"/>
        <c:axPos val="b"/>
        <c:title>
          <c:tx>
            <c:rich>
              <a:bodyPr/>
              <a:lstStyle/>
              <a:p>
                <a:pPr>
                  <a:defRPr sz="1000" b="0" i="0" u="none" strike="noStrike" baseline="0">
                    <a:solidFill>
                      <a:srgbClr val="333333"/>
                    </a:solidFill>
                    <a:latin typeface="Calibri"/>
                    <a:ea typeface="Calibri"/>
                    <a:cs typeface="Calibri"/>
                  </a:defRPr>
                </a:pPr>
                <a:r>
                  <a:rPr lang="id-ID"/>
                  <a:t>Operation No.</a:t>
                </a:r>
              </a:p>
            </c:rich>
          </c:tx>
          <c:layout>
            <c:manualLayout>
              <c:xMode val="edge"/>
              <c:yMode val="edge"/>
              <c:x val="0.45188409300077154"/>
              <c:y val="0.83967278042340521"/>
            </c:manualLayout>
          </c:layout>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1526344"/>
        <c:crosses val="autoZero"/>
        <c:auto val="1"/>
        <c:lblAlgn val="ctr"/>
        <c:lblOffset val="100"/>
        <c:noMultiLvlLbl val="0"/>
      </c:catAx>
      <c:valAx>
        <c:axId val="351526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id-ID"/>
                  <a:t>Minutes</a:t>
                </a:r>
              </a:p>
            </c:rich>
          </c:tx>
          <c:overlay val="0"/>
          <c:spPr>
            <a:noFill/>
            <a:ln w="25400">
              <a:noFill/>
            </a:ln>
          </c:spPr>
        </c:title>
        <c:numFmt formatCode="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351525952"/>
        <c:crosses val="autoZero"/>
        <c:crossBetween val="between"/>
      </c:valAx>
      <c:spPr>
        <a:noFill/>
        <a:ln w="25400">
          <a:noFill/>
        </a:ln>
      </c:spPr>
    </c:plotArea>
    <c:legend>
      <c:legendPos val="r"/>
      <c:layout>
        <c:manualLayout>
          <c:xMode val="edge"/>
          <c:yMode val="edge"/>
          <c:x val="0.25103375019299057"/>
          <c:y val="0.91317491002247464"/>
          <c:w val="0.63283495445422266"/>
          <c:h val="6.287425149700598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id-ID"/>
              <a:t>Line Balancing Distribution</a:t>
            </a:r>
          </a:p>
        </c:rich>
      </c:tx>
      <c:layout>
        <c:manualLayout>
          <c:xMode val="edge"/>
          <c:yMode val="edge"/>
          <c:x val="0.39041951863510038"/>
          <c:y val="0.13552213689131296"/>
        </c:manualLayout>
      </c:layout>
      <c:overlay val="0"/>
      <c:spPr>
        <a:noFill/>
        <a:ln w="25400">
          <a:noFill/>
        </a:ln>
      </c:spPr>
    </c:title>
    <c:autoTitleDeleted val="0"/>
    <c:plotArea>
      <c:layout>
        <c:manualLayout>
          <c:layoutTarget val="inner"/>
          <c:xMode val="edge"/>
          <c:yMode val="edge"/>
          <c:x val="8.8265670533231394E-2"/>
          <c:y val="0.16091655636887481"/>
          <c:w val="0.89554727847755011"/>
          <c:h val="0.61703787741560279"/>
        </c:manualLayout>
      </c:layout>
      <c:barChart>
        <c:barDir val="col"/>
        <c:grouping val="clustered"/>
        <c:varyColors val="0"/>
        <c:ser>
          <c:idx val="0"/>
          <c:order val="0"/>
          <c:tx>
            <c:strRef>
              <c:f>'PRE-BALANCING_L11_MT_Jul-02'!$K$7</c:f>
              <c:strCache>
                <c:ptCount val="1"/>
                <c:pt idx="0">
                  <c:v>SMV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'PRE-BALANCING_L11_MT_Jul-02'!$C$10:$C$51</c:f>
              <c:strCache>
                <c:ptCount val="40"/>
                <c:pt idx="0">
                  <c:v>31a</c:v>
                </c:pt>
                <c:pt idx="1">
                  <c:v>8 + additional</c:v>
                </c:pt>
                <c:pt idx="2">
                  <c:v>1</c:v>
                </c:pt>
                <c:pt idx="3">
                  <c:v>4</c:v>
                </c:pt>
                <c:pt idx="4">
                  <c:v>24</c:v>
                </c:pt>
                <c:pt idx="5">
                  <c:v>2</c:v>
                </c:pt>
                <c:pt idx="6">
                  <c:v>5</c:v>
                </c:pt>
                <c:pt idx="7">
                  <c:v>6</c:v>
                </c:pt>
                <c:pt idx="8">
                  <c:v>7c</c:v>
                </c:pt>
                <c:pt idx="9">
                  <c:v>Additional</c:v>
                </c:pt>
                <c:pt idx="10">
                  <c:v>Additional</c:v>
                </c:pt>
                <c:pt idx="11">
                  <c:v>3</c:v>
                </c:pt>
                <c:pt idx="12">
                  <c:v>Additional</c:v>
                </c:pt>
                <c:pt idx="13">
                  <c:v>Additional</c:v>
                </c:pt>
                <c:pt idx="14">
                  <c:v>Additional</c:v>
                </c:pt>
                <c:pt idx="15">
                  <c:v>Additional</c:v>
                </c:pt>
                <c:pt idx="16">
                  <c:v>27</c:v>
                </c:pt>
                <c:pt idx="17">
                  <c:v>28</c:v>
                </c:pt>
                <c:pt idx="18">
                  <c:v>29</c:v>
                </c:pt>
                <c:pt idx="19">
                  <c:v>30</c:v>
                </c:pt>
                <c:pt idx="20">
                  <c:v>31b</c:v>
                </c:pt>
                <c:pt idx="21">
                  <c:v>32</c:v>
                </c:pt>
                <c:pt idx="22">
                  <c:v>33</c:v>
                </c:pt>
                <c:pt idx="23">
                  <c:v>35</c:v>
                </c:pt>
                <c:pt idx="24">
                  <c:v>36</c:v>
                </c:pt>
                <c:pt idx="25">
                  <c:v>34</c:v>
                </c:pt>
                <c:pt idx="26">
                  <c:v>37</c:v>
                </c:pt>
                <c:pt idx="27">
                  <c:v>22</c:v>
                </c:pt>
                <c:pt idx="28">
                  <c:v>25</c:v>
                </c:pt>
                <c:pt idx="29">
                  <c:v>26</c:v>
                </c:pt>
                <c:pt idx="30">
                  <c:v>38</c:v>
                </c:pt>
                <c:pt idx="31">
                  <c:v>39</c:v>
                </c:pt>
                <c:pt idx="32">
                  <c:v>39</c:v>
                </c:pt>
                <c:pt idx="33">
                  <c:v>40</c:v>
                </c:pt>
                <c:pt idx="34">
                  <c:v>41</c:v>
                </c:pt>
                <c:pt idx="35">
                  <c:v>42</c:v>
                </c:pt>
                <c:pt idx="36">
                  <c:v>43</c:v>
                </c:pt>
                <c:pt idx="37">
                  <c:v>44</c:v>
                </c:pt>
                <c:pt idx="38">
                  <c:v>45</c:v>
                </c:pt>
                <c:pt idx="39">
                  <c:v>46</c:v>
                </c:pt>
              </c:strCache>
            </c:strRef>
          </c:cat>
          <c:val>
            <c:numRef>
              <c:f>'PRE-BALANCING_L11_MT_Jul-02'!$L$10:$L$52</c:f>
              <c:numCache>
                <c:formatCode>0</c:formatCode>
                <c:ptCount val="43"/>
                <c:pt idx="0">
                  <c:v>104.05200000000001</c:v>
                </c:pt>
                <c:pt idx="2">
                  <c:v>108.49411764705883</c:v>
                </c:pt>
                <c:pt idx="5">
                  <c:v>69.096000000000004</c:v>
                </c:pt>
                <c:pt idx="9">
                  <c:v>0</c:v>
                </c:pt>
                <c:pt idx="10">
                  <c:v>0</c:v>
                </c:pt>
                <c:pt idx="11">
                  <c:v>23.039999999999996</c:v>
                </c:pt>
                <c:pt idx="12">
                  <c:v>0</c:v>
                </c:pt>
                <c:pt idx="13">
                  <c:v>0</c:v>
                </c:pt>
                <c:pt idx="14">
                  <c:v>0</c:v>
                </c:pt>
                <c:pt idx="15">
                  <c:v>0</c:v>
                </c:pt>
                <c:pt idx="16">
                  <c:v>72.75200000000001</c:v>
                </c:pt>
                <c:pt idx="18">
                  <c:v>55.463999999999999</c:v>
                </c:pt>
                <c:pt idx="19">
                  <c:v>40.023999999999994</c:v>
                </c:pt>
                <c:pt idx="20">
                  <c:v>77.876000000000005</c:v>
                </c:pt>
                <c:pt idx="21">
                  <c:v>45.640000000000008</c:v>
                </c:pt>
                <c:pt idx="22">
                  <c:v>66.656000000000006</c:v>
                </c:pt>
                <c:pt idx="23">
                  <c:v>27.712</c:v>
                </c:pt>
                <c:pt idx="24">
                  <c:v>55.136000000000003</c:v>
                </c:pt>
                <c:pt idx="25">
                  <c:v>86.632000000000005</c:v>
                </c:pt>
                <c:pt idx="27">
                  <c:v>63.151999999999994</c:v>
                </c:pt>
                <c:pt idx="28">
                  <c:v>57.952000000000005</c:v>
                </c:pt>
                <c:pt idx="29">
                  <c:v>72.016000000000005</c:v>
                </c:pt>
                <c:pt idx="30">
                  <c:v>106.87200000000001</c:v>
                </c:pt>
                <c:pt idx="31">
                  <c:v>73.88</c:v>
                </c:pt>
                <c:pt idx="32">
                  <c:v>73.88</c:v>
                </c:pt>
                <c:pt idx="33">
                  <c:v>63.639999999999993</c:v>
                </c:pt>
                <c:pt idx="34">
                  <c:v>56.288000000000004</c:v>
                </c:pt>
                <c:pt idx="35">
                  <c:v>78.75200000000001</c:v>
                </c:pt>
                <c:pt idx="37">
                  <c:v>78.125454545454545</c:v>
                </c:pt>
              </c:numCache>
            </c:numRef>
          </c:val>
          <c:extLst xmlns:c16r2="http://schemas.microsoft.com/office/drawing/2015/06/chart">
            <c:ext xmlns:c16="http://schemas.microsoft.com/office/drawing/2014/chart" uri="{C3380CC4-5D6E-409C-BE32-E72D297353CC}">
              <c16:uniqueId val="{00000000-63FA-4800-A926-5D51CABE5C44}"/>
            </c:ext>
          </c:extLst>
        </c:ser>
        <c:dLbls>
          <c:showLegendKey val="0"/>
          <c:showVal val="0"/>
          <c:showCatName val="0"/>
          <c:showSerName val="0"/>
          <c:showPercent val="0"/>
          <c:showBubbleSize val="0"/>
        </c:dLbls>
        <c:gapWidth val="150"/>
        <c:axId val="351530656"/>
        <c:axId val="354021304"/>
      </c:barChart>
      <c:lineChart>
        <c:grouping val="standard"/>
        <c:varyColors val="0"/>
        <c:ser>
          <c:idx val="1"/>
          <c:order val="1"/>
          <c:tx>
            <c:strRef>
              <c:f>'PRE-BALANCING_L11_MT_Jul-02'!$K$3:$M$3</c:f>
              <c:strCache>
                <c:ptCount val="1"/>
                <c:pt idx="0">
                  <c:v>Takt Time (secs)</c:v>
                </c:pt>
              </c:strCache>
            </c:strRef>
          </c:tx>
          <c:marker>
            <c:symbol val="none"/>
          </c:marker>
          <c:val>
            <c:numRef>
              <c:f>'PRE-BALANCING_L11_MT_Jul-02'!$B$10:$B$52</c:f>
              <c:numCache>
                <c:formatCode>0.0</c:formatCode>
                <c:ptCount val="43"/>
                <c:pt idx="0">
                  <c:v>117.95221843003412</c:v>
                </c:pt>
                <c:pt idx="1">
                  <c:v>117.95221843003412</c:v>
                </c:pt>
                <c:pt idx="2">
                  <c:v>117.95221843003412</c:v>
                </c:pt>
                <c:pt idx="3">
                  <c:v>117.95221843003412</c:v>
                </c:pt>
                <c:pt idx="4">
                  <c:v>117.95221843003412</c:v>
                </c:pt>
                <c:pt idx="5">
                  <c:v>117.95221843003412</c:v>
                </c:pt>
                <c:pt idx="6">
                  <c:v>117.95221843003412</c:v>
                </c:pt>
                <c:pt idx="7">
                  <c:v>117.95221843003412</c:v>
                </c:pt>
                <c:pt idx="8">
                  <c:v>117.95221843003412</c:v>
                </c:pt>
                <c:pt idx="9">
                  <c:v>117.95221843003412</c:v>
                </c:pt>
                <c:pt idx="10">
                  <c:v>117.95221843003412</c:v>
                </c:pt>
                <c:pt idx="11">
                  <c:v>117.95221843003412</c:v>
                </c:pt>
                <c:pt idx="12">
                  <c:v>117.95221843003412</c:v>
                </c:pt>
                <c:pt idx="13">
                  <c:v>117.95221843003412</c:v>
                </c:pt>
                <c:pt idx="14">
                  <c:v>117.95221843003412</c:v>
                </c:pt>
                <c:pt idx="16">
                  <c:v>117.95221843003412</c:v>
                </c:pt>
                <c:pt idx="17">
                  <c:v>117.95221843003412</c:v>
                </c:pt>
                <c:pt idx="18">
                  <c:v>117.95221843003412</c:v>
                </c:pt>
                <c:pt idx="19">
                  <c:v>117.95221843003412</c:v>
                </c:pt>
                <c:pt idx="20">
                  <c:v>117.95221843003412</c:v>
                </c:pt>
                <c:pt idx="21">
                  <c:v>117.95221843003412</c:v>
                </c:pt>
                <c:pt idx="22">
                  <c:v>117.95221843003412</c:v>
                </c:pt>
                <c:pt idx="23">
                  <c:v>117.95221843003412</c:v>
                </c:pt>
                <c:pt idx="24">
                  <c:v>117.95221843003412</c:v>
                </c:pt>
                <c:pt idx="25">
                  <c:v>117.95221843003412</c:v>
                </c:pt>
                <c:pt idx="26">
                  <c:v>117.95221843003412</c:v>
                </c:pt>
                <c:pt idx="27">
                  <c:v>117.95221843003412</c:v>
                </c:pt>
                <c:pt idx="28">
                  <c:v>117.95221843003412</c:v>
                </c:pt>
                <c:pt idx="29">
                  <c:v>117.95221843003412</c:v>
                </c:pt>
                <c:pt idx="30">
                  <c:v>117.95221843003412</c:v>
                </c:pt>
                <c:pt idx="31">
                  <c:v>117.95221843003412</c:v>
                </c:pt>
                <c:pt idx="32">
                  <c:v>117.95221843003412</c:v>
                </c:pt>
                <c:pt idx="33">
                  <c:v>117.95221843003412</c:v>
                </c:pt>
                <c:pt idx="34">
                  <c:v>117.95221843003412</c:v>
                </c:pt>
                <c:pt idx="35">
                  <c:v>117.95221843003412</c:v>
                </c:pt>
                <c:pt idx="36">
                  <c:v>117.95221843003412</c:v>
                </c:pt>
                <c:pt idx="37">
                  <c:v>117.95221843003412</c:v>
                </c:pt>
                <c:pt idx="38">
                  <c:v>117.95221843003412</c:v>
                </c:pt>
                <c:pt idx="39">
                  <c:v>117.95221843003412</c:v>
                </c:pt>
                <c:pt idx="40">
                  <c:v>117.95221843003412</c:v>
                </c:pt>
                <c:pt idx="41">
                  <c:v>117.95221843003412</c:v>
                </c:pt>
              </c:numCache>
            </c:numRef>
          </c:val>
          <c:smooth val="0"/>
          <c:extLst xmlns:c16r2="http://schemas.microsoft.com/office/drawing/2015/06/chart">
            <c:ext xmlns:c16="http://schemas.microsoft.com/office/drawing/2014/chart" uri="{C3380CC4-5D6E-409C-BE32-E72D297353CC}">
              <c16:uniqueId val="{00000001-63FA-4800-A926-5D51CABE5C44}"/>
            </c:ext>
          </c:extLst>
        </c:ser>
        <c:ser>
          <c:idx val="2"/>
          <c:order val="2"/>
          <c:tx>
            <c:strRef>
              <c:f>'PRE-BALANCING_L11_MT_Jul-02'!$O$3</c:f>
              <c:strCache>
                <c:ptCount val="1"/>
                <c:pt idx="0">
                  <c:v>Highest CT</c:v>
                </c:pt>
              </c:strCache>
            </c:strRef>
          </c:tx>
          <c:spPr>
            <a:ln w="28575" cap="rnd">
              <a:solidFill>
                <a:schemeClr val="accent3"/>
              </a:solidFill>
              <a:round/>
            </a:ln>
            <a:effectLst/>
          </c:spPr>
          <c:marker>
            <c:symbol val="none"/>
          </c:marker>
          <c:val>
            <c:numRef>
              <c:f>'PRE-BALANCING_L11_MT_Jul-02'!$A$8:$A$52</c:f>
              <c:numCache>
                <c:formatCode>General</c:formatCode>
                <c:ptCount val="45"/>
                <c:pt idx="2" formatCode="0">
                  <c:v>108.49411764705883</c:v>
                </c:pt>
                <c:pt idx="3" formatCode="0">
                  <c:v>108.49411764705883</c:v>
                </c:pt>
                <c:pt idx="4" formatCode="0">
                  <c:v>108.49411764705883</c:v>
                </c:pt>
                <c:pt idx="5" formatCode="0">
                  <c:v>108.49411764705883</c:v>
                </c:pt>
                <c:pt idx="6" formatCode="0">
                  <c:v>108.49411764705883</c:v>
                </c:pt>
                <c:pt idx="7" formatCode="0">
                  <c:v>108.49411764705883</c:v>
                </c:pt>
                <c:pt idx="8" formatCode="0">
                  <c:v>108.49411764705883</c:v>
                </c:pt>
                <c:pt idx="9" formatCode="0">
                  <c:v>108.49411764705883</c:v>
                </c:pt>
                <c:pt idx="10" formatCode="0">
                  <c:v>108.49411764705883</c:v>
                </c:pt>
                <c:pt idx="11" formatCode="0">
                  <c:v>108.49411764705883</c:v>
                </c:pt>
                <c:pt idx="12" formatCode="0">
                  <c:v>108.49411764705883</c:v>
                </c:pt>
                <c:pt idx="13" formatCode="0">
                  <c:v>108.49411764705883</c:v>
                </c:pt>
                <c:pt idx="14" formatCode="0">
                  <c:v>108.49411764705883</c:v>
                </c:pt>
                <c:pt idx="15" formatCode="0">
                  <c:v>108.49411764705883</c:v>
                </c:pt>
                <c:pt idx="16" formatCode="0">
                  <c:v>108.49411764705883</c:v>
                </c:pt>
                <c:pt idx="18" formatCode="0">
                  <c:v>108.49411764705883</c:v>
                </c:pt>
                <c:pt idx="19" formatCode="0">
                  <c:v>108.49411764705883</c:v>
                </c:pt>
                <c:pt idx="20" formatCode="0">
                  <c:v>108.49411764705883</c:v>
                </c:pt>
                <c:pt idx="21" formatCode="0">
                  <c:v>108.49411764705883</c:v>
                </c:pt>
                <c:pt idx="22" formatCode="0">
                  <c:v>108.49411764705883</c:v>
                </c:pt>
                <c:pt idx="23" formatCode="0">
                  <c:v>108.49411764705883</c:v>
                </c:pt>
                <c:pt idx="24" formatCode="0">
                  <c:v>108.49411764705883</c:v>
                </c:pt>
                <c:pt idx="25" formatCode="0">
                  <c:v>108.49411764705883</c:v>
                </c:pt>
                <c:pt idx="26" formatCode="0">
                  <c:v>108.49411764705883</c:v>
                </c:pt>
                <c:pt idx="27" formatCode="0">
                  <c:v>108.49411764705883</c:v>
                </c:pt>
                <c:pt idx="28" formatCode="0">
                  <c:v>108.49411764705883</c:v>
                </c:pt>
                <c:pt idx="29" formatCode="0">
                  <c:v>108.49411764705883</c:v>
                </c:pt>
                <c:pt idx="30" formatCode="0">
                  <c:v>108.49411764705883</c:v>
                </c:pt>
                <c:pt idx="31" formatCode="0">
                  <c:v>108.49411764705883</c:v>
                </c:pt>
                <c:pt idx="32" formatCode="0">
                  <c:v>108.49411764705883</c:v>
                </c:pt>
                <c:pt idx="33" formatCode="0">
                  <c:v>108.49411764705883</c:v>
                </c:pt>
                <c:pt idx="34" formatCode="0">
                  <c:v>108.49411764705883</c:v>
                </c:pt>
                <c:pt idx="35" formatCode="0">
                  <c:v>108.49411764705883</c:v>
                </c:pt>
                <c:pt idx="36" formatCode="0">
                  <c:v>108.49411764705883</c:v>
                </c:pt>
                <c:pt idx="37" formatCode="0">
                  <c:v>108.49411764705883</c:v>
                </c:pt>
                <c:pt idx="38" formatCode="0">
                  <c:v>108.49411764705883</c:v>
                </c:pt>
                <c:pt idx="39" formatCode="0">
                  <c:v>108.49411764705883</c:v>
                </c:pt>
                <c:pt idx="40" formatCode="0">
                  <c:v>108.49411764705883</c:v>
                </c:pt>
                <c:pt idx="41" formatCode="0">
                  <c:v>108.49411764705883</c:v>
                </c:pt>
                <c:pt idx="42" formatCode="0">
                  <c:v>108.49411764705883</c:v>
                </c:pt>
                <c:pt idx="43" formatCode="0">
                  <c:v>108.49411764705883</c:v>
                </c:pt>
              </c:numCache>
            </c:numRef>
          </c:val>
          <c:smooth val="0"/>
          <c:extLst xmlns:c16r2="http://schemas.microsoft.com/office/drawing/2015/06/chart">
            <c:ext xmlns:c16="http://schemas.microsoft.com/office/drawing/2014/chart" uri="{C3380CC4-5D6E-409C-BE32-E72D297353CC}">
              <c16:uniqueId val="{00000002-63FA-4800-A926-5D51CABE5C44}"/>
            </c:ext>
          </c:extLst>
        </c:ser>
        <c:dLbls>
          <c:showLegendKey val="0"/>
          <c:showVal val="0"/>
          <c:showCatName val="0"/>
          <c:showSerName val="0"/>
          <c:showPercent val="0"/>
          <c:showBubbleSize val="0"/>
        </c:dLbls>
        <c:marker val="1"/>
        <c:smooth val="0"/>
        <c:axId val="351530656"/>
        <c:axId val="354021304"/>
      </c:lineChart>
      <c:catAx>
        <c:axId val="351530656"/>
        <c:scaling>
          <c:orientation val="minMax"/>
        </c:scaling>
        <c:delete val="0"/>
        <c:axPos val="b"/>
        <c:title>
          <c:tx>
            <c:rich>
              <a:bodyPr/>
              <a:lstStyle/>
              <a:p>
                <a:pPr>
                  <a:defRPr sz="1000" b="0" i="0" u="none" strike="noStrike" baseline="0">
                    <a:solidFill>
                      <a:srgbClr val="333333"/>
                    </a:solidFill>
                    <a:latin typeface="Calibri"/>
                    <a:ea typeface="Calibri"/>
                    <a:cs typeface="Calibri"/>
                  </a:defRPr>
                </a:pPr>
                <a:r>
                  <a:rPr lang="id-ID"/>
                  <a:t>Operation No.</a:t>
                </a:r>
              </a:p>
            </c:rich>
          </c:tx>
          <c:layout>
            <c:manualLayout>
              <c:xMode val="edge"/>
              <c:yMode val="edge"/>
              <c:x val="0.45188409300077154"/>
              <c:y val="0.83967278042340521"/>
            </c:manualLayout>
          </c:layout>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4021304"/>
        <c:crosses val="autoZero"/>
        <c:auto val="1"/>
        <c:lblAlgn val="ctr"/>
        <c:lblOffset val="100"/>
        <c:noMultiLvlLbl val="0"/>
      </c:catAx>
      <c:valAx>
        <c:axId val="35402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id-ID"/>
                  <a:t>Minutes</a:t>
                </a:r>
              </a:p>
            </c:rich>
          </c:tx>
          <c:overlay val="0"/>
          <c:spPr>
            <a:noFill/>
            <a:ln w="25400">
              <a:noFill/>
            </a:ln>
          </c:spPr>
        </c:title>
        <c:numFmt formatCode="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351530656"/>
        <c:crosses val="autoZero"/>
        <c:crossBetween val="between"/>
      </c:valAx>
      <c:spPr>
        <a:noFill/>
        <a:ln w="25400">
          <a:noFill/>
        </a:ln>
      </c:spPr>
    </c:plotArea>
    <c:legend>
      <c:legendPos val="r"/>
      <c:layout>
        <c:manualLayout>
          <c:xMode val="edge"/>
          <c:yMode val="edge"/>
          <c:x val="0.25103375019299057"/>
          <c:y val="0.91317491002247464"/>
          <c:w val="0.63283495445422266"/>
          <c:h val="6.287425149700598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id-ID"/>
              <a:t>Line Balancing Distribution</a:t>
            </a:r>
          </a:p>
        </c:rich>
      </c:tx>
      <c:layout>
        <c:manualLayout>
          <c:xMode val="edge"/>
          <c:yMode val="edge"/>
          <c:x val="0.39041951863510038"/>
          <c:y val="0.13552213689131296"/>
        </c:manualLayout>
      </c:layout>
      <c:overlay val="0"/>
      <c:spPr>
        <a:noFill/>
        <a:ln w="25400">
          <a:noFill/>
        </a:ln>
      </c:spPr>
    </c:title>
    <c:autoTitleDeleted val="0"/>
    <c:plotArea>
      <c:layout>
        <c:manualLayout>
          <c:layoutTarget val="inner"/>
          <c:xMode val="edge"/>
          <c:yMode val="edge"/>
          <c:x val="8.8265670533231394E-2"/>
          <c:y val="0.16091655636887481"/>
          <c:w val="0.89554727847755011"/>
          <c:h val="0.61703787741560279"/>
        </c:manualLayout>
      </c:layout>
      <c:barChart>
        <c:barDir val="col"/>
        <c:grouping val="clustered"/>
        <c:varyColors val="0"/>
        <c:ser>
          <c:idx val="0"/>
          <c:order val="0"/>
          <c:tx>
            <c:strRef>
              <c:f>'ACTUAL LINE13'!$K$7</c:f>
              <c:strCache>
                <c:ptCount val="1"/>
                <c:pt idx="0">
                  <c:v>SMV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'ACTUAL LINE13'!$C$10:$C$44</c:f>
              <c:strCache>
                <c:ptCount val="35"/>
                <c:pt idx="0">
                  <c:v>24</c:v>
                </c:pt>
                <c:pt idx="1">
                  <c:v>2</c:v>
                </c:pt>
                <c:pt idx="2">
                  <c:v>5</c:v>
                </c:pt>
                <c:pt idx="3">
                  <c:v>3</c:v>
                </c:pt>
                <c:pt idx="4">
                  <c:v>Additional</c:v>
                </c:pt>
                <c:pt idx="5">
                  <c:v>6</c:v>
                </c:pt>
                <c:pt idx="6">
                  <c:v>7c</c:v>
                </c:pt>
                <c:pt idx="7">
                  <c:v>Additional</c:v>
                </c:pt>
                <c:pt idx="8">
                  <c:v>Additional</c:v>
                </c:pt>
                <c:pt idx="9">
                  <c:v>Additional</c:v>
                </c:pt>
                <c:pt idx="10">
                  <c:v>Additional</c:v>
                </c:pt>
                <c:pt idx="11">
                  <c:v>Additional</c:v>
                </c:pt>
                <c:pt idx="12">
                  <c:v>27</c:v>
                </c:pt>
                <c:pt idx="13">
                  <c:v>28</c:v>
                </c:pt>
                <c:pt idx="14">
                  <c:v>29</c:v>
                </c:pt>
                <c:pt idx="15">
                  <c:v>30</c:v>
                </c:pt>
                <c:pt idx="16">
                  <c:v>31b</c:v>
                </c:pt>
                <c:pt idx="17">
                  <c:v>32</c:v>
                </c:pt>
                <c:pt idx="18">
                  <c:v>33</c:v>
                </c:pt>
                <c:pt idx="19">
                  <c:v>34</c:v>
                </c:pt>
                <c:pt idx="20">
                  <c:v>35</c:v>
                </c:pt>
                <c:pt idx="21">
                  <c:v>36</c:v>
                </c:pt>
                <c:pt idx="22">
                  <c:v>37</c:v>
                </c:pt>
                <c:pt idx="23">
                  <c:v>22</c:v>
                </c:pt>
                <c:pt idx="24">
                  <c:v>25</c:v>
                </c:pt>
                <c:pt idx="25">
                  <c:v>26</c:v>
                </c:pt>
                <c:pt idx="26">
                  <c:v>38</c:v>
                </c:pt>
                <c:pt idx="27">
                  <c:v>39</c:v>
                </c:pt>
                <c:pt idx="28">
                  <c:v>39</c:v>
                </c:pt>
                <c:pt idx="29">
                  <c:v>40</c:v>
                </c:pt>
                <c:pt idx="30">
                  <c:v>41</c:v>
                </c:pt>
                <c:pt idx="31">
                  <c:v>42</c:v>
                </c:pt>
                <c:pt idx="32">
                  <c:v>43</c:v>
                </c:pt>
                <c:pt idx="33">
                  <c:v>44</c:v>
                </c:pt>
                <c:pt idx="34">
                  <c:v>45</c:v>
                </c:pt>
              </c:strCache>
            </c:strRef>
          </c:cat>
          <c:val>
            <c:numRef>
              <c:f>'ACTUAL LINE13'!$L$10:$L$44</c:f>
              <c:numCache>
                <c:formatCode>0</c:formatCode>
                <c:ptCount val="35"/>
                <c:pt idx="1">
                  <c:v>69.096000000000004</c:v>
                </c:pt>
                <c:pt idx="3">
                  <c:v>69.263999999999996</c:v>
                </c:pt>
                <c:pt idx="4">
                  <c:v>0</c:v>
                </c:pt>
                <c:pt idx="7">
                  <c:v>0</c:v>
                </c:pt>
                <c:pt idx="8">
                  <c:v>0</c:v>
                </c:pt>
                <c:pt idx="9">
                  <c:v>0</c:v>
                </c:pt>
                <c:pt idx="10">
                  <c:v>0</c:v>
                </c:pt>
                <c:pt idx="11">
                  <c:v>0</c:v>
                </c:pt>
                <c:pt idx="12">
                  <c:v>72.75200000000001</c:v>
                </c:pt>
                <c:pt idx="14">
                  <c:v>55.463999999999999</c:v>
                </c:pt>
                <c:pt idx="15">
                  <c:v>40.023999999999994</c:v>
                </c:pt>
                <c:pt idx="16">
                  <c:v>77.876000000000005</c:v>
                </c:pt>
                <c:pt idx="17">
                  <c:v>45.640000000000008</c:v>
                </c:pt>
                <c:pt idx="18">
                  <c:v>66.656000000000006</c:v>
                </c:pt>
                <c:pt idx="19">
                  <c:v>56.040000000000006</c:v>
                </c:pt>
                <c:pt idx="20">
                  <c:v>27.712</c:v>
                </c:pt>
                <c:pt idx="21">
                  <c:v>55.136000000000003</c:v>
                </c:pt>
                <c:pt idx="23">
                  <c:v>63.151999999999994</c:v>
                </c:pt>
                <c:pt idx="24">
                  <c:v>57.952000000000005</c:v>
                </c:pt>
                <c:pt idx="25">
                  <c:v>72.016000000000005</c:v>
                </c:pt>
                <c:pt idx="26">
                  <c:v>106.87200000000001</c:v>
                </c:pt>
                <c:pt idx="27">
                  <c:v>73.88</c:v>
                </c:pt>
                <c:pt idx="28">
                  <c:v>73.88</c:v>
                </c:pt>
                <c:pt idx="29">
                  <c:v>63.639999999999993</c:v>
                </c:pt>
                <c:pt idx="30">
                  <c:v>56.288000000000004</c:v>
                </c:pt>
                <c:pt idx="31">
                  <c:v>78.75200000000001</c:v>
                </c:pt>
                <c:pt idx="33">
                  <c:v>78.125454545454545</c:v>
                </c:pt>
              </c:numCache>
            </c:numRef>
          </c:val>
          <c:extLst xmlns:c16r2="http://schemas.microsoft.com/office/drawing/2015/06/chart">
            <c:ext xmlns:c16="http://schemas.microsoft.com/office/drawing/2014/chart" uri="{C3380CC4-5D6E-409C-BE32-E72D297353CC}">
              <c16:uniqueId val="{00000000-63FA-4800-A926-5D51CABE5C44}"/>
            </c:ext>
          </c:extLst>
        </c:ser>
        <c:dLbls>
          <c:showLegendKey val="0"/>
          <c:showVal val="0"/>
          <c:showCatName val="0"/>
          <c:showSerName val="0"/>
          <c:showPercent val="0"/>
          <c:showBubbleSize val="0"/>
        </c:dLbls>
        <c:gapWidth val="150"/>
        <c:axId val="433743152"/>
        <c:axId val="433744328"/>
      </c:barChart>
      <c:lineChart>
        <c:grouping val="standard"/>
        <c:varyColors val="0"/>
        <c:ser>
          <c:idx val="1"/>
          <c:order val="1"/>
          <c:tx>
            <c:strRef>
              <c:f>'ACTUAL LINE13'!$K$3:$O$3</c:f>
              <c:strCache>
                <c:ptCount val="1"/>
                <c:pt idx="0">
                  <c:v>Takt Time (secs)</c:v>
                </c:pt>
              </c:strCache>
            </c:strRef>
          </c:tx>
          <c:marker>
            <c:symbol val="none"/>
          </c:marker>
          <c:val>
            <c:numRef>
              <c:f>'ACTUAL LINE13'!$B$10:$B$44</c:f>
              <c:numCache>
                <c:formatCode>0.0</c:formatCode>
                <c:ptCount val="35"/>
                <c:pt idx="0">
                  <c:v>90</c:v>
                </c:pt>
                <c:pt idx="1">
                  <c:v>90</c:v>
                </c:pt>
                <c:pt idx="2">
                  <c:v>90</c:v>
                </c:pt>
                <c:pt idx="3">
                  <c:v>90</c:v>
                </c:pt>
                <c:pt idx="4">
                  <c:v>90</c:v>
                </c:pt>
                <c:pt idx="5">
                  <c:v>90</c:v>
                </c:pt>
                <c:pt idx="6">
                  <c:v>90</c:v>
                </c:pt>
                <c:pt idx="7">
                  <c:v>90</c:v>
                </c:pt>
                <c:pt idx="8">
                  <c:v>90</c:v>
                </c:pt>
                <c:pt idx="9">
                  <c:v>90</c:v>
                </c:pt>
                <c:pt idx="10">
                  <c:v>90</c:v>
                </c:pt>
                <c:pt idx="12">
                  <c:v>90</c:v>
                </c:pt>
                <c:pt idx="13">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7">
                  <c:v>90</c:v>
                </c:pt>
                <c:pt idx="28">
                  <c:v>90</c:v>
                </c:pt>
                <c:pt idx="29">
                  <c:v>90</c:v>
                </c:pt>
                <c:pt idx="30">
                  <c:v>90</c:v>
                </c:pt>
                <c:pt idx="31">
                  <c:v>90</c:v>
                </c:pt>
                <c:pt idx="32">
                  <c:v>90</c:v>
                </c:pt>
                <c:pt idx="33">
                  <c:v>90</c:v>
                </c:pt>
                <c:pt idx="34">
                  <c:v>90</c:v>
                </c:pt>
              </c:numCache>
            </c:numRef>
          </c:val>
          <c:smooth val="0"/>
          <c:extLst xmlns:c16r2="http://schemas.microsoft.com/office/drawing/2015/06/chart">
            <c:ext xmlns:c16="http://schemas.microsoft.com/office/drawing/2014/chart" uri="{C3380CC4-5D6E-409C-BE32-E72D297353CC}">
              <c16:uniqueId val="{00000001-63FA-4800-A926-5D51CABE5C44}"/>
            </c:ext>
          </c:extLst>
        </c:ser>
        <c:ser>
          <c:idx val="2"/>
          <c:order val="2"/>
          <c:tx>
            <c:strRef>
              <c:f>'ACTUAL LINE13'!$Q$3</c:f>
              <c:strCache>
                <c:ptCount val="1"/>
                <c:pt idx="0">
                  <c:v>Highest CT</c:v>
                </c:pt>
              </c:strCache>
            </c:strRef>
          </c:tx>
          <c:spPr>
            <a:ln w="28575" cap="rnd">
              <a:solidFill>
                <a:schemeClr val="accent3"/>
              </a:solidFill>
              <a:round/>
            </a:ln>
            <a:effectLst/>
          </c:spPr>
          <c:marker>
            <c:symbol val="none"/>
          </c:marker>
          <c:val>
            <c:numRef>
              <c:f>'ACTUAL LINE13'!$A$8:$A$44</c:f>
              <c:numCache>
                <c:formatCode>General</c:formatCode>
                <c:ptCount val="37"/>
                <c:pt idx="2" formatCode="0">
                  <c:v>170</c:v>
                </c:pt>
                <c:pt idx="3" formatCode="0">
                  <c:v>170</c:v>
                </c:pt>
                <c:pt idx="4" formatCode="0">
                  <c:v>170</c:v>
                </c:pt>
                <c:pt idx="5" formatCode="0">
                  <c:v>170</c:v>
                </c:pt>
                <c:pt idx="6" formatCode="0">
                  <c:v>170</c:v>
                </c:pt>
                <c:pt idx="7" formatCode="0">
                  <c:v>170</c:v>
                </c:pt>
                <c:pt idx="8" formatCode="0">
                  <c:v>170</c:v>
                </c:pt>
                <c:pt idx="9" formatCode="0">
                  <c:v>170</c:v>
                </c:pt>
                <c:pt idx="10" formatCode="0">
                  <c:v>170</c:v>
                </c:pt>
                <c:pt idx="11" formatCode="0">
                  <c:v>170</c:v>
                </c:pt>
                <c:pt idx="12" formatCode="0">
                  <c:v>170</c:v>
                </c:pt>
                <c:pt idx="14" formatCode="0">
                  <c:v>170</c:v>
                </c:pt>
                <c:pt idx="15" formatCode="0">
                  <c:v>170</c:v>
                </c:pt>
                <c:pt idx="16" formatCode="0">
                  <c:v>170</c:v>
                </c:pt>
                <c:pt idx="17" formatCode="0">
                  <c:v>170</c:v>
                </c:pt>
                <c:pt idx="18" formatCode="0">
                  <c:v>170</c:v>
                </c:pt>
                <c:pt idx="19" formatCode="0">
                  <c:v>170</c:v>
                </c:pt>
                <c:pt idx="20" formatCode="0">
                  <c:v>170</c:v>
                </c:pt>
                <c:pt idx="21" formatCode="0">
                  <c:v>170</c:v>
                </c:pt>
                <c:pt idx="22" formatCode="0">
                  <c:v>170</c:v>
                </c:pt>
                <c:pt idx="23" formatCode="0">
                  <c:v>170</c:v>
                </c:pt>
                <c:pt idx="24" formatCode="0">
                  <c:v>170</c:v>
                </c:pt>
                <c:pt idx="25" formatCode="0">
                  <c:v>170</c:v>
                </c:pt>
                <c:pt idx="26" formatCode="0">
                  <c:v>170</c:v>
                </c:pt>
                <c:pt idx="27" formatCode="0">
                  <c:v>170</c:v>
                </c:pt>
                <c:pt idx="28" formatCode="0">
                  <c:v>170</c:v>
                </c:pt>
                <c:pt idx="29" formatCode="0">
                  <c:v>170</c:v>
                </c:pt>
                <c:pt idx="30" formatCode="0">
                  <c:v>170</c:v>
                </c:pt>
                <c:pt idx="31" formatCode="0">
                  <c:v>170</c:v>
                </c:pt>
                <c:pt idx="32" formatCode="0">
                  <c:v>170</c:v>
                </c:pt>
                <c:pt idx="33" formatCode="0">
                  <c:v>170</c:v>
                </c:pt>
                <c:pt idx="34" formatCode="0">
                  <c:v>170</c:v>
                </c:pt>
                <c:pt idx="35" formatCode="0">
                  <c:v>170</c:v>
                </c:pt>
                <c:pt idx="36" formatCode="0">
                  <c:v>170</c:v>
                </c:pt>
              </c:numCache>
            </c:numRef>
          </c:val>
          <c:smooth val="0"/>
          <c:extLst xmlns:c16r2="http://schemas.microsoft.com/office/drawing/2015/06/chart">
            <c:ext xmlns:c16="http://schemas.microsoft.com/office/drawing/2014/chart" uri="{C3380CC4-5D6E-409C-BE32-E72D297353CC}">
              <c16:uniqueId val="{00000002-63FA-4800-A926-5D51CABE5C44}"/>
            </c:ext>
          </c:extLst>
        </c:ser>
        <c:dLbls>
          <c:showLegendKey val="0"/>
          <c:showVal val="0"/>
          <c:showCatName val="0"/>
          <c:showSerName val="0"/>
          <c:showPercent val="0"/>
          <c:showBubbleSize val="0"/>
        </c:dLbls>
        <c:marker val="1"/>
        <c:smooth val="0"/>
        <c:axId val="433743152"/>
        <c:axId val="433744328"/>
      </c:lineChart>
      <c:catAx>
        <c:axId val="433743152"/>
        <c:scaling>
          <c:orientation val="minMax"/>
        </c:scaling>
        <c:delete val="0"/>
        <c:axPos val="b"/>
        <c:title>
          <c:tx>
            <c:rich>
              <a:bodyPr/>
              <a:lstStyle/>
              <a:p>
                <a:pPr>
                  <a:defRPr sz="1000" b="0" i="0" u="none" strike="noStrike" baseline="0">
                    <a:solidFill>
                      <a:srgbClr val="333333"/>
                    </a:solidFill>
                    <a:latin typeface="Calibri"/>
                    <a:ea typeface="Calibri"/>
                    <a:cs typeface="Calibri"/>
                  </a:defRPr>
                </a:pPr>
                <a:r>
                  <a:rPr lang="id-ID"/>
                  <a:t>Operation No.</a:t>
                </a:r>
              </a:p>
            </c:rich>
          </c:tx>
          <c:layout>
            <c:manualLayout>
              <c:xMode val="edge"/>
              <c:yMode val="edge"/>
              <c:x val="0.45188409300077154"/>
              <c:y val="0.83967278042340521"/>
            </c:manualLayout>
          </c:layout>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33744328"/>
        <c:crosses val="autoZero"/>
        <c:auto val="1"/>
        <c:lblAlgn val="ctr"/>
        <c:lblOffset val="100"/>
        <c:noMultiLvlLbl val="0"/>
      </c:catAx>
      <c:valAx>
        <c:axId val="433744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id-ID"/>
                  <a:t>Minutes</a:t>
                </a:r>
              </a:p>
            </c:rich>
          </c:tx>
          <c:overlay val="0"/>
          <c:spPr>
            <a:noFill/>
            <a:ln w="25400">
              <a:noFill/>
            </a:ln>
          </c:spPr>
        </c:title>
        <c:numFmt formatCode="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433743152"/>
        <c:crosses val="autoZero"/>
        <c:crossBetween val="between"/>
      </c:valAx>
      <c:spPr>
        <a:noFill/>
        <a:ln w="25400">
          <a:noFill/>
        </a:ln>
      </c:spPr>
    </c:plotArea>
    <c:legend>
      <c:legendPos val="r"/>
      <c:layout>
        <c:manualLayout>
          <c:xMode val="edge"/>
          <c:yMode val="edge"/>
          <c:x val="0.25103375019299057"/>
          <c:y val="0.91317491002247464"/>
          <c:w val="0.63283495445422266"/>
          <c:h val="6.287425149700598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id-ID"/>
              <a:t>Line Balancing Distribution</a:t>
            </a:r>
          </a:p>
        </c:rich>
      </c:tx>
      <c:layout>
        <c:manualLayout>
          <c:xMode val="edge"/>
          <c:yMode val="edge"/>
          <c:x val="0.39041951863510038"/>
          <c:y val="0.13552213689131296"/>
        </c:manualLayout>
      </c:layout>
      <c:overlay val="0"/>
      <c:spPr>
        <a:noFill/>
        <a:ln w="25400">
          <a:noFill/>
        </a:ln>
      </c:spPr>
    </c:title>
    <c:autoTitleDeleted val="0"/>
    <c:plotArea>
      <c:layout>
        <c:manualLayout>
          <c:layoutTarget val="inner"/>
          <c:xMode val="edge"/>
          <c:yMode val="edge"/>
          <c:x val="8.8265670533231394E-2"/>
          <c:y val="0.16091655636887481"/>
          <c:w val="0.89554727847755011"/>
          <c:h val="0.61703787741560279"/>
        </c:manualLayout>
      </c:layout>
      <c:barChart>
        <c:barDir val="col"/>
        <c:grouping val="clustered"/>
        <c:varyColors val="0"/>
        <c:ser>
          <c:idx val="0"/>
          <c:order val="0"/>
          <c:tx>
            <c:strRef>
              <c:f>'ACTUAL LINE13'!$K$7</c:f>
              <c:strCache>
                <c:ptCount val="1"/>
                <c:pt idx="0">
                  <c:v>SMV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'ACTUAL LINE13'!$C$10:$C$44</c:f>
              <c:strCache>
                <c:ptCount val="35"/>
                <c:pt idx="0">
                  <c:v>24</c:v>
                </c:pt>
                <c:pt idx="1">
                  <c:v>2</c:v>
                </c:pt>
                <c:pt idx="2">
                  <c:v>5</c:v>
                </c:pt>
                <c:pt idx="3">
                  <c:v>3</c:v>
                </c:pt>
                <c:pt idx="4">
                  <c:v>Additional</c:v>
                </c:pt>
                <c:pt idx="5">
                  <c:v>6</c:v>
                </c:pt>
                <c:pt idx="6">
                  <c:v>7c</c:v>
                </c:pt>
                <c:pt idx="7">
                  <c:v>Additional</c:v>
                </c:pt>
                <c:pt idx="8">
                  <c:v>Additional</c:v>
                </c:pt>
                <c:pt idx="9">
                  <c:v>Additional</c:v>
                </c:pt>
                <c:pt idx="10">
                  <c:v>Additional</c:v>
                </c:pt>
                <c:pt idx="11">
                  <c:v>Additional</c:v>
                </c:pt>
                <c:pt idx="12">
                  <c:v>27</c:v>
                </c:pt>
                <c:pt idx="13">
                  <c:v>28</c:v>
                </c:pt>
                <c:pt idx="14">
                  <c:v>29</c:v>
                </c:pt>
                <c:pt idx="15">
                  <c:v>30</c:v>
                </c:pt>
                <c:pt idx="16">
                  <c:v>31b</c:v>
                </c:pt>
                <c:pt idx="17">
                  <c:v>32</c:v>
                </c:pt>
                <c:pt idx="18">
                  <c:v>33</c:v>
                </c:pt>
                <c:pt idx="19">
                  <c:v>34</c:v>
                </c:pt>
                <c:pt idx="20">
                  <c:v>35</c:v>
                </c:pt>
                <c:pt idx="21">
                  <c:v>36</c:v>
                </c:pt>
                <c:pt idx="22">
                  <c:v>37</c:v>
                </c:pt>
                <c:pt idx="23">
                  <c:v>22</c:v>
                </c:pt>
                <c:pt idx="24">
                  <c:v>25</c:v>
                </c:pt>
                <c:pt idx="25">
                  <c:v>26</c:v>
                </c:pt>
                <c:pt idx="26">
                  <c:v>38</c:v>
                </c:pt>
                <c:pt idx="27">
                  <c:v>39</c:v>
                </c:pt>
                <c:pt idx="28">
                  <c:v>39</c:v>
                </c:pt>
                <c:pt idx="29">
                  <c:v>40</c:v>
                </c:pt>
                <c:pt idx="30">
                  <c:v>41</c:v>
                </c:pt>
                <c:pt idx="31">
                  <c:v>42</c:v>
                </c:pt>
                <c:pt idx="32">
                  <c:v>43</c:v>
                </c:pt>
                <c:pt idx="33">
                  <c:v>44</c:v>
                </c:pt>
                <c:pt idx="34">
                  <c:v>45</c:v>
                </c:pt>
              </c:strCache>
            </c:strRef>
          </c:cat>
          <c:val>
            <c:numRef>
              <c:f>'ACTUAL LINE13'!$L$10:$L$44</c:f>
              <c:numCache>
                <c:formatCode>0</c:formatCode>
                <c:ptCount val="35"/>
                <c:pt idx="1">
                  <c:v>69.096000000000004</c:v>
                </c:pt>
                <c:pt idx="3">
                  <c:v>69.263999999999996</c:v>
                </c:pt>
                <c:pt idx="4">
                  <c:v>0</c:v>
                </c:pt>
                <c:pt idx="7">
                  <c:v>0</c:v>
                </c:pt>
                <c:pt idx="8">
                  <c:v>0</c:v>
                </c:pt>
                <c:pt idx="9">
                  <c:v>0</c:v>
                </c:pt>
                <c:pt idx="10">
                  <c:v>0</c:v>
                </c:pt>
                <c:pt idx="11">
                  <c:v>0</c:v>
                </c:pt>
                <c:pt idx="12">
                  <c:v>72.75200000000001</c:v>
                </c:pt>
                <c:pt idx="14">
                  <c:v>55.463999999999999</c:v>
                </c:pt>
                <c:pt idx="15">
                  <c:v>40.023999999999994</c:v>
                </c:pt>
                <c:pt idx="16">
                  <c:v>77.876000000000005</c:v>
                </c:pt>
                <c:pt idx="17">
                  <c:v>45.640000000000008</c:v>
                </c:pt>
                <c:pt idx="18">
                  <c:v>66.656000000000006</c:v>
                </c:pt>
                <c:pt idx="19">
                  <c:v>56.040000000000006</c:v>
                </c:pt>
                <c:pt idx="20">
                  <c:v>27.712</c:v>
                </c:pt>
                <c:pt idx="21">
                  <c:v>55.136000000000003</c:v>
                </c:pt>
                <c:pt idx="23">
                  <c:v>63.151999999999994</c:v>
                </c:pt>
                <c:pt idx="24">
                  <c:v>57.952000000000005</c:v>
                </c:pt>
                <c:pt idx="25">
                  <c:v>72.016000000000005</c:v>
                </c:pt>
                <c:pt idx="26">
                  <c:v>106.87200000000001</c:v>
                </c:pt>
                <c:pt idx="27">
                  <c:v>73.88</c:v>
                </c:pt>
                <c:pt idx="28">
                  <c:v>73.88</c:v>
                </c:pt>
                <c:pt idx="29">
                  <c:v>63.639999999999993</c:v>
                </c:pt>
                <c:pt idx="30">
                  <c:v>56.288000000000004</c:v>
                </c:pt>
                <c:pt idx="31">
                  <c:v>78.75200000000001</c:v>
                </c:pt>
                <c:pt idx="33">
                  <c:v>78.125454545454545</c:v>
                </c:pt>
              </c:numCache>
            </c:numRef>
          </c:val>
          <c:extLst xmlns:c16r2="http://schemas.microsoft.com/office/drawing/2015/06/chart">
            <c:ext xmlns:c16="http://schemas.microsoft.com/office/drawing/2014/chart" uri="{C3380CC4-5D6E-409C-BE32-E72D297353CC}">
              <c16:uniqueId val="{00000000-63FA-4800-A926-5D51CABE5C44}"/>
            </c:ext>
          </c:extLst>
        </c:ser>
        <c:dLbls>
          <c:showLegendKey val="0"/>
          <c:showVal val="0"/>
          <c:showCatName val="0"/>
          <c:showSerName val="0"/>
          <c:showPercent val="0"/>
          <c:showBubbleSize val="0"/>
        </c:dLbls>
        <c:gapWidth val="150"/>
        <c:axId val="433747464"/>
        <c:axId val="433747856"/>
      </c:barChart>
      <c:lineChart>
        <c:grouping val="standard"/>
        <c:varyColors val="0"/>
        <c:ser>
          <c:idx val="1"/>
          <c:order val="1"/>
          <c:tx>
            <c:strRef>
              <c:f>'PROPOSAL LINE13'!$K$3:$O$3</c:f>
              <c:strCache>
                <c:ptCount val="1"/>
                <c:pt idx="0">
                  <c:v>Takt Time (secs)</c:v>
                </c:pt>
              </c:strCache>
            </c:strRef>
          </c:tx>
          <c:marker>
            <c:symbol val="none"/>
          </c:marker>
          <c:val>
            <c:numRef>
              <c:f>'PROPOSAL LINE13'!$B$10:$B$45</c:f>
              <c:numCache>
                <c:formatCode>0.0</c:formatCode>
                <c:ptCount val="36"/>
                <c:pt idx="0">
                  <c:v>90</c:v>
                </c:pt>
                <c:pt idx="1">
                  <c:v>90</c:v>
                </c:pt>
                <c:pt idx="2">
                  <c:v>90</c:v>
                </c:pt>
                <c:pt idx="3">
                  <c:v>90</c:v>
                </c:pt>
                <c:pt idx="4">
                  <c:v>90</c:v>
                </c:pt>
                <c:pt idx="5">
                  <c:v>90</c:v>
                </c:pt>
                <c:pt idx="6">
                  <c:v>90</c:v>
                </c:pt>
                <c:pt idx="7">
                  <c:v>90</c:v>
                </c:pt>
                <c:pt idx="8">
                  <c:v>90</c:v>
                </c:pt>
                <c:pt idx="9">
                  <c:v>90</c:v>
                </c:pt>
                <c:pt idx="10">
                  <c:v>90</c:v>
                </c:pt>
                <c:pt idx="11">
                  <c:v>90</c:v>
                </c:pt>
                <c:pt idx="12">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8">
                  <c:v>90</c:v>
                </c:pt>
                <c:pt idx="29">
                  <c:v>90</c:v>
                </c:pt>
                <c:pt idx="30">
                  <c:v>90</c:v>
                </c:pt>
                <c:pt idx="31">
                  <c:v>90</c:v>
                </c:pt>
                <c:pt idx="32">
                  <c:v>90</c:v>
                </c:pt>
                <c:pt idx="33">
                  <c:v>90</c:v>
                </c:pt>
                <c:pt idx="34">
                  <c:v>90</c:v>
                </c:pt>
                <c:pt idx="35">
                  <c:v>90</c:v>
                </c:pt>
              </c:numCache>
            </c:numRef>
          </c:val>
          <c:smooth val="0"/>
          <c:extLst xmlns:c16r2="http://schemas.microsoft.com/office/drawing/2015/06/chart">
            <c:ext xmlns:c16="http://schemas.microsoft.com/office/drawing/2014/chart" uri="{C3380CC4-5D6E-409C-BE32-E72D297353CC}">
              <c16:uniqueId val="{00000001-63FA-4800-A926-5D51CABE5C44}"/>
            </c:ext>
          </c:extLst>
        </c:ser>
        <c:ser>
          <c:idx val="2"/>
          <c:order val="2"/>
          <c:tx>
            <c:strRef>
              <c:f>'PROPOSAL LINE13'!$Q$3</c:f>
              <c:strCache>
                <c:ptCount val="1"/>
                <c:pt idx="0">
                  <c:v>Highest CT</c:v>
                </c:pt>
              </c:strCache>
            </c:strRef>
          </c:tx>
          <c:spPr>
            <a:ln w="28575" cap="rnd">
              <a:solidFill>
                <a:schemeClr val="accent3"/>
              </a:solidFill>
              <a:round/>
            </a:ln>
            <a:effectLst/>
          </c:spPr>
          <c:marker>
            <c:symbol val="none"/>
          </c:marker>
          <c:val>
            <c:numRef>
              <c:f>'PROPOSAL LINE13'!$A$8:$A$45</c:f>
              <c:numCache>
                <c:formatCode>General</c:formatCode>
                <c:ptCount val="38"/>
                <c:pt idx="2" formatCode="0">
                  <c:v>91</c:v>
                </c:pt>
                <c:pt idx="3" formatCode="0">
                  <c:v>91</c:v>
                </c:pt>
                <c:pt idx="4" formatCode="0">
                  <c:v>91</c:v>
                </c:pt>
                <c:pt idx="5" formatCode="0">
                  <c:v>91</c:v>
                </c:pt>
                <c:pt idx="6" formatCode="0">
                  <c:v>91</c:v>
                </c:pt>
                <c:pt idx="7" formatCode="0">
                  <c:v>91</c:v>
                </c:pt>
                <c:pt idx="8" formatCode="0">
                  <c:v>91</c:v>
                </c:pt>
                <c:pt idx="9" formatCode="0">
                  <c:v>91</c:v>
                </c:pt>
                <c:pt idx="10" formatCode="0">
                  <c:v>91</c:v>
                </c:pt>
                <c:pt idx="11" formatCode="0">
                  <c:v>91</c:v>
                </c:pt>
                <c:pt idx="12" formatCode="0">
                  <c:v>91</c:v>
                </c:pt>
                <c:pt idx="13" formatCode="0">
                  <c:v>91</c:v>
                </c:pt>
                <c:pt idx="14" formatCode="0">
                  <c:v>91</c:v>
                </c:pt>
                <c:pt idx="16" formatCode="0">
                  <c:v>91</c:v>
                </c:pt>
                <c:pt idx="17" formatCode="0">
                  <c:v>91</c:v>
                </c:pt>
                <c:pt idx="18" formatCode="0">
                  <c:v>91</c:v>
                </c:pt>
                <c:pt idx="19" formatCode="0">
                  <c:v>91</c:v>
                </c:pt>
                <c:pt idx="20" formatCode="0">
                  <c:v>91</c:v>
                </c:pt>
                <c:pt idx="21" formatCode="0">
                  <c:v>91</c:v>
                </c:pt>
                <c:pt idx="22" formatCode="0">
                  <c:v>91</c:v>
                </c:pt>
                <c:pt idx="23" formatCode="0">
                  <c:v>91</c:v>
                </c:pt>
                <c:pt idx="24" formatCode="0">
                  <c:v>91</c:v>
                </c:pt>
                <c:pt idx="25" formatCode="0">
                  <c:v>91</c:v>
                </c:pt>
                <c:pt idx="26" formatCode="0">
                  <c:v>91</c:v>
                </c:pt>
                <c:pt idx="27" formatCode="0">
                  <c:v>91</c:v>
                </c:pt>
                <c:pt idx="28" formatCode="0">
                  <c:v>91</c:v>
                </c:pt>
                <c:pt idx="30" formatCode="0">
                  <c:v>91</c:v>
                </c:pt>
                <c:pt idx="31" formatCode="0">
                  <c:v>91</c:v>
                </c:pt>
                <c:pt idx="32" formatCode="0">
                  <c:v>91</c:v>
                </c:pt>
                <c:pt idx="33" formatCode="0">
                  <c:v>91</c:v>
                </c:pt>
                <c:pt idx="34" formatCode="0">
                  <c:v>91</c:v>
                </c:pt>
                <c:pt idx="35" formatCode="0">
                  <c:v>91</c:v>
                </c:pt>
                <c:pt idx="36" formatCode="0">
                  <c:v>91</c:v>
                </c:pt>
                <c:pt idx="37" formatCode="0">
                  <c:v>91</c:v>
                </c:pt>
              </c:numCache>
            </c:numRef>
          </c:val>
          <c:smooth val="0"/>
          <c:extLst xmlns:c16r2="http://schemas.microsoft.com/office/drawing/2015/06/chart">
            <c:ext xmlns:c16="http://schemas.microsoft.com/office/drawing/2014/chart" uri="{C3380CC4-5D6E-409C-BE32-E72D297353CC}">
              <c16:uniqueId val="{00000002-63FA-4800-A926-5D51CABE5C44}"/>
            </c:ext>
          </c:extLst>
        </c:ser>
        <c:dLbls>
          <c:showLegendKey val="0"/>
          <c:showVal val="0"/>
          <c:showCatName val="0"/>
          <c:showSerName val="0"/>
          <c:showPercent val="0"/>
          <c:showBubbleSize val="0"/>
        </c:dLbls>
        <c:marker val="1"/>
        <c:smooth val="0"/>
        <c:axId val="433747464"/>
        <c:axId val="433747856"/>
      </c:lineChart>
      <c:catAx>
        <c:axId val="433747464"/>
        <c:scaling>
          <c:orientation val="minMax"/>
        </c:scaling>
        <c:delete val="0"/>
        <c:axPos val="b"/>
        <c:title>
          <c:tx>
            <c:rich>
              <a:bodyPr/>
              <a:lstStyle/>
              <a:p>
                <a:pPr>
                  <a:defRPr sz="1000" b="0" i="0" u="none" strike="noStrike" baseline="0">
                    <a:solidFill>
                      <a:srgbClr val="333333"/>
                    </a:solidFill>
                    <a:latin typeface="Calibri"/>
                    <a:ea typeface="Calibri"/>
                    <a:cs typeface="Calibri"/>
                  </a:defRPr>
                </a:pPr>
                <a:r>
                  <a:rPr lang="id-ID"/>
                  <a:t>Operation No.</a:t>
                </a:r>
              </a:p>
            </c:rich>
          </c:tx>
          <c:layout>
            <c:manualLayout>
              <c:xMode val="edge"/>
              <c:yMode val="edge"/>
              <c:x val="0.45188409300077154"/>
              <c:y val="0.83967278042340521"/>
            </c:manualLayout>
          </c:layout>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33747856"/>
        <c:crosses val="autoZero"/>
        <c:auto val="1"/>
        <c:lblAlgn val="ctr"/>
        <c:lblOffset val="100"/>
        <c:noMultiLvlLbl val="0"/>
      </c:catAx>
      <c:valAx>
        <c:axId val="43374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id-ID"/>
                  <a:t>Minutes</a:t>
                </a:r>
              </a:p>
            </c:rich>
          </c:tx>
          <c:overlay val="0"/>
          <c:spPr>
            <a:noFill/>
            <a:ln w="25400">
              <a:noFill/>
            </a:ln>
          </c:spPr>
        </c:title>
        <c:numFmt formatCode="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433747464"/>
        <c:crosses val="autoZero"/>
        <c:crossBetween val="between"/>
      </c:valAx>
      <c:spPr>
        <a:noFill/>
        <a:ln w="25400">
          <a:noFill/>
        </a:ln>
      </c:spPr>
    </c:plotArea>
    <c:legend>
      <c:legendPos val="r"/>
      <c:layout>
        <c:manualLayout>
          <c:xMode val="edge"/>
          <c:yMode val="edge"/>
          <c:x val="0.25103375019299057"/>
          <c:y val="0.91317491002247464"/>
          <c:w val="0.63283495445422266"/>
          <c:h val="6.287425149700598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id-ID"/>
              <a:t>Line Balancing Distribution</a:t>
            </a:r>
          </a:p>
        </c:rich>
      </c:tx>
      <c:layout>
        <c:manualLayout>
          <c:xMode val="edge"/>
          <c:yMode val="edge"/>
          <c:x val="0.39041951863510038"/>
          <c:y val="0.13552213689131296"/>
        </c:manualLayout>
      </c:layout>
      <c:overlay val="0"/>
      <c:spPr>
        <a:noFill/>
        <a:ln w="25400">
          <a:noFill/>
        </a:ln>
      </c:spPr>
    </c:title>
    <c:autoTitleDeleted val="0"/>
    <c:plotArea>
      <c:layout>
        <c:manualLayout>
          <c:layoutTarget val="inner"/>
          <c:xMode val="edge"/>
          <c:yMode val="edge"/>
          <c:x val="8.8265670533231394E-2"/>
          <c:y val="0.16091655636887481"/>
          <c:w val="0.89554727847755011"/>
          <c:h val="0.61703787741560279"/>
        </c:manualLayout>
      </c:layout>
      <c:barChart>
        <c:barDir val="col"/>
        <c:grouping val="clustered"/>
        <c:varyColors val="0"/>
        <c:ser>
          <c:idx val="0"/>
          <c:order val="0"/>
          <c:tx>
            <c:strRef>
              <c:f>'ACTUAL LINE11'!$K$7</c:f>
              <c:strCache>
                <c:ptCount val="1"/>
                <c:pt idx="0">
                  <c:v>SMV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'ACTUAL LINE11'!$C$10:$C$46</c:f>
              <c:strCache>
                <c:ptCount val="35"/>
                <c:pt idx="0">
                  <c:v>24</c:v>
                </c:pt>
                <c:pt idx="1">
                  <c:v>6</c:v>
                </c:pt>
                <c:pt idx="2">
                  <c:v>7c</c:v>
                </c:pt>
                <c:pt idx="3">
                  <c:v>2</c:v>
                </c:pt>
                <c:pt idx="4">
                  <c:v>5</c:v>
                </c:pt>
                <c:pt idx="5">
                  <c:v>Additional</c:v>
                </c:pt>
                <c:pt idx="6">
                  <c:v>Additional</c:v>
                </c:pt>
                <c:pt idx="7">
                  <c:v>3</c:v>
                </c:pt>
                <c:pt idx="8">
                  <c:v>Additional</c:v>
                </c:pt>
                <c:pt idx="9">
                  <c:v>Additional</c:v>
                </c:pt>
                <c:pt idx="10">
                  <c:v>Additional</c:v>
                </c:pt>
                <c:pt idx="11">
                  <c:v>Additional</c:v>
                </c:pt>
                <c:pt idx="12">
                  <c:v>27</c:v>
                </c:pt>
                <c:pt idx="13">
                  <c:v>28</c:v>
                </c:pt>
                <c:pt idx="14">
                  <c:v>29</c:v>
                </c:pt>
                <c:pt idx="15">
                  <c:v>30</c:v>
                </c:pt>
                <c:pt idx="16">
                  <c:v>31b</c:v>
                </c:pt>
                <c:pt idx="17">
                  <c:v>32</c:v>
                </c:pt>
                <c:pt idx="18">
                  <c:v>33</c:v>
                </c:pt>
                <c:pt idx="19">
                  <c:v>35</c:v>
                </c:pt>
                <c:pt idx="20">
                  <c:v>36</c:v>
                </c:pt>
                <c:pt idx="21">
                  <c:v>34</c:v>
                </c:pt>
                <c:pt idx="22">
                  <c:v>37</c:v>
                </c:pt>
                <c:pt idx="23">
                  <c:v>22</c:v>
                </c:pt>
                <c:pt idx="24">
                  <c:v>25</c:v>
                </c:pt>
                <c:pt idx="25">
                  <c:v>26</c:v>
                </c:pt>
                <c:pt idx="26">
                  <c:v>38</c:v>
                </c:pt>
                <c:pt idx="27">
                  <c:v>39</c:v>
                </c:pt>
                <c:pt idx="28">
                  <c:v>39</c:v>
                </c:pt>
                <c:pt idx="29">
                  <c:v>40</c:v>
                </c:pt>
                <c:pt idx="30">
                  <c:v>41</c:v>
                </c:pt>
                <c:pt idx="31">
                  <c:v>42</c:v>
                </c:pt>
                <c:pt idx="32">
                  <c:v>43</c:v>
                </c:pt>
                <c:pt idx="33">
                  <c:v>44</c:v>
                </c:pt>
                <c:pt idx="34">
                  <c:v>45</c:v>
                </c:pt>
              </c:strCache>
            </c:strRef>
          </c:cat>
          <c:val>
            <c:numRef>
              <c:f>'ACTUAL LINE11'!$L$10:$L$47</c:f>
              <c:numCache>
                <c:formatCode>0</c:formatCode>
                <c:ptCount val="38"/>
                <c:pt idx="3">
                  <c:v>69.096000000000004</c:v>
                </c:pt>
                <c:pt idx="5">
                  <c:v>0</c:v>
                </c:pt>
                <c:pt idx="6">
                  <c:v>0</c:v>
                </c:pt>
                <c:pt idx="7">
                  <c:v>23.039999999999996</c:v>
                </c:pt>
                <c:pt idx="8">
                  <c:v>0</c:v>
                </c:pt>
                <c:pt idx="9">
                  <c:v>0</c:v>
                </c:pt>
                <c:pt idx="10">
                  <c:v>0</c:v>
                </c:pt>
                <c:pt idx="11">
                  <c:v>0</c:v>
                </c:pt>
                <c:pt idx="12">
                  <c:v>72.75200000000001</c:v>
                </c:pt>
                <c:pt idx="14">
                  <c:v>55.463999999999999</c:v>
                </c:pt>
                <c:pt idx="15">
                  <c:v>40.023999999999994</c:v>
                </c:pt>
                <c:pt idx="16">
                  <c:v>77.876000000000005</c:v>
                </c:pt>
                <c:pt idx="17">
                  <c:v>45.640000000000008</c:v>
                </c:pt>
                <c:pt idx="18">
                  <c:v>66.656000000000006</c:v>
                </c:pt>
                <c:pt idx="19">
                  <c:v>27.712</c:v>
                </c:pt>
                <c:pt idx="20">
                  <c:v>55.136000000000003</c:v>
                </c:pt>
                <c:pt idx="21">
                  <c:v>86.632000000000005</c:v>
                </c:pt>
                <c:pt idx="23">
                  <c:v>63.151999999999994</c:v>
                </c:pt>
                <c:pt idx="24">
                  <c:v>57.952000000000005</c:v>
                </c:pt>
                <c:pt idx="25">
                  <c:v>72.016000000000005</c:v>
                </c:pt>
                <c:pt idx="26">
                  <c:v>106.87200000000001</c:v>
                </c:pt>
                <c:pt idx="27">
                  <c:v>73.88</c:v>
                </c:pt>
                <c:pt idx="28">
                  <c:v>73.88</c:v>
                </c:pt>
                <c:pt idx="29">
                  <c:v>63.639999999999993</c:v>
                </c:pt>
                <c:pt idx="30">
                  <c:v>56.288000000000004</c:v>
                </c:pt>
                <c:pt idx="31">
                  <c:v>78.75200000000001</c:v>
                </c:pt>
                <c:pt idx="33">
                  <c:v>78.125454545454545</c:v>
                </c:pt>
              </c:numCache>
            </c:numRef>
          </c:val>
          <c:extLst xmlns:c16r2="http://schemas.microsoft.com/office/drawing/2015/06/chart">
            <c:ext xmlns:c16="http://schemas.microsoft.com/office/drawing/2014/chart" uri="{C3380CC4-5D6E-409C-BE32-E72D297353CC}">
              <c16:uniqueId val="{00000000-63FA-4800-A926-5D51CABE5C44}"/>
            </c:ext>
          </c:extLst>
        </c:ser>
        <c:dLbls>
          <c:showLegendKey val="0"/>
          <c:showVal val="0"/>
          <c:showCatName val="0"/>
          <c:showSerName val="0"/>
          <c:showPercent val="0"/>
          <c:showBubbleSize val="0"/>
        </c:dLbls>
        <c:gapWidth val="150"/>
        <c:axId val="433743544"/>
        <c:axId val="433746680"/>
      </c:barChart>
      <c:lineChart>
        <c:grouping val="standard"/>
        <c:varyColors val="0"/>
        <c:ser>
          <c:idx val="1"/>
          <c:order val="1"/>
          <c:tx>
            <c:strRef>
              <c:f>'ACTUAL LINE11'!$K$3:$O$3</c:f>
              <c:strCache>
                <c:ptCount val="1"/>
                <c:pt idx="0">
                  <c:v>Takt Time (secs)</c:v>
                </c:pt>
              </c:strCache>
            </c:strRef>
          </c:tx>
          <c:marker>
            <c:symbol val="none"/>
          </c:marker>
          <c:val>
            <c:numRef>
              <c:f>'ACTUAL LINE11'!$B$10:$B$47</c:f>
              <c:numCache>
                <c:formatCode>0.0</c:formatCode>
                <c:ptCount val="38"/>
                <c:pt idx="0">
                  <c:v>90</c:v>
                </c:pt>
                <c:pt idx="1">
                  <c:v>90</c:v>
                </c:pt>
                <c:pt idx="2">
                  <c:v>90</c:v>
                </c:pt>
                <c:pt idx="3">
                  <c:v>90</c:v>
                </c:pt>
                <c:pt idx="4">
                  <c:v>90</c:v>
                </c:pt>
                <c:pt idx="5">
                  <c:v>90</c:v>
                </c:pt>
                <c:pt idx="6">
                  <c:v>90</c:v>
                </c:pt>
                <c:pt idx="7">
                  <c:v>90</c:v>
                </c:pt>
                <c:pt idx="8">
                  <c:v>90</c:v>
                </c:pt>
                <c:pt idx="9">
                  <c:v>90</c:v>
                </c:pt>
                <c:pt idx="10">
                  <c:v>90</c:v>
                </c:pt>
                <c:pt idx="12">
                  <c:v>90</c:v>
                </c:pt>
                <c:pt idx="13">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7">
                  <c:v>90</c:v>
                </c:pt>
                <c:pt idx="28">
                  <c:v>90</c:v>
                </c:pt>
                <c:pt idx="29">
                  <c:v>90</c:v>
                </c:pt>
                <c:pt idx="30">
                  <c:v>90</c:v>
                </c:pt>
                <c:pt idx="31">
                  <c:v>90</c:v>
                </c:pt>
                <c:pt idx="32">
                  <c:v>90</c:v>
                </c:pt>
                <c:pt idx="33">
                  <c:v>90</c:v>
                </c:pt>
                <c:pt idx="34">
                  <c:v>90</c:v>
                </c:pt>
                <c:pt idx="35">
                  <c:v>90</c:v>
                </c:pt>
                <c:pt idx="36">
                  <c:v>90</c:v>
                </c:pt>
              </c:numCache>
            </c:numRef>
          </c:val>
          <c:smooth val="0"/>
          <c:extLst xmlns:c16r2="http://schemas.microsoft.com/office/drawing/2015/06/chart">
            <c:ext xmlns:c16="http://schemas.microsoft.com/office/drawing/2014/chart" uri="{C3380CC4-5D6E-409C-BE32-E72D297353CC}">
              <c16:uniqueId val="{00000001-63FA-4800-A926-5D51CABE5C44}"/>
            </c:ext>
          </c:extLst>
        </c:ser>
        <c:ser>
          <c:idx val="2"/>
          <c:order val="2"/>
          <c:tx>
            <c:strRef>
              <c:f>'ACTUAL LINE11'!$Q$3</c:f>
              <c:strCache>
                <c:ptCount val="1"/>
                <c:pt idx="0">
                  <c:v>Highest CT</c:v>
                </c:pt>
              </c:strCache>
            </c:strRef>
          </c:tx>
          <c:spPr>
            <a:ln w="28575" cap="rnd">
              <a:solidFill>
                <a:schemeClr val="accent3"/>
              </a:solidFill>
              <a:round/>
            </a:ln>
            <a:effectLst/>
          </c:spPr>
          <c:marker>
            <c:symbol val="none"/>
          </c:marker>
          <c:val>
            <c:numRef>
              <c:f>'ACTUAL LINE11'!$A$8:$A$47</c:f>
              <c:numCache>
                <c:formatCode>General</c:formatCode>
                <c:ptCount val="40"/>
                <c:pt idx="2" formatCode="0">
                  <c:v>151</c:v>
                </c:pt>
                <c:pt idx="3" formatCode="0">
                  <c:v>151</c:v>
                </c:pt>
                <c:pt idx="4" formatCode="0">
                  <c:v>151</c:v>
                </c:pt>
                <c:pt idx="5" formatCode="0">
                  <c:v>151</c:v>
                </c:pt>
                <c:pt idx="6" formatCode="0">
                  <c:v>151</c:v>
                </c:pt>
                <c:pt idx="7" formatCode="0">
                  <c:v>151</c:v>
                </c:pt>
                <c:pt idx="8" formatCode="0">
                  <c:v>151</c:v>
                </c:pt>
                <c:pt idx="9" formatCode="0">
                  <c:v>151</c:v>
                </c:pt>
                <c:pt idx="10" formatCode="0">
                  <c:v>151</c:v>
                </c:pt>
                <c:pt idx="11" formatCode="0">
                  <c:v>151</c:v>
                </c:pt>
                <c:pt idx="12" formatCode="0">
                  <c:v>151</c:v>
                </c:pt>
                <c:pt idx="14" formatCode="0">
                  <c:v>151</c:v>
                </c:pt>
                <c:pt idx="15" formatCode="0">
                  <c:v>151</c:v>
                </c:pt>
                <c:pt idx="16" formatCode="0">
                  <c:v>151</c:v>
                </c:pt>
                <c:pt idx="17" formatCode="0">
                  <c:v>151</c:v>
                </c:pt>
                <c:pt idx="18" formatCode="0">
                  <c:v>151</c:v>
                </c:pt>
                <c:pt idx="19" formatCode="0">
                  <c:v>151</c:v>
                </c:pt>
                <c:pt idx="20" formatCode="0">
                  <c:v>151</c:v>
                </c:pt>
                <c:pt idx="21" formatCode="0">
                  <c:v>151</c:v>
                </c:pt>
                <c:pt idx="22" formatCode="0">
                  <c:v>151</c:v>
                </c:pt>
                <c:pt idx="23" formatCode="0">
                  <c:v>151</c:v>
                </c:pt>
                <c:pt idx="24" formatCode="0">
                  <c:v>151</c:v>
                </c:pt>
                <c:pt idx="25" formatCode="0">
                  <c:v>151</c:v>
                </c:pt>
                <c:pt idx="26" formatCode="0">
                  <c:v>151</c:v>
                </c:pt>
                <c:pt idx="27" formatCode="0">
                  <c:v>151</c:v>
                </c:pt>
                <c:pt idx="28" formatCode="0">
                  <c:v>151</c:v>
                </c:pt>
                <c:pt idx="29" formatCode="0">
                  <c:v>151</c:v>
                </c:pt>
                <c:pt idx="30" formatCode="0">
                  <c:v>151</c:v>
                </c:pt>
                <c:pt idx="31" formatCode="0">
                  <c:v>151</c:v>
                </c:pt>
                <c:pt idx="32" formatCode="0">
                  <c:v>151</c:v>
                </c:pt>
                <c:pt idx="33" formatCode="0">
                  <c:v>151</c:v>
                </c:pt>
                <c:pt idx="34" formatCode="0">
                  <c:v>151</c:v>
                </c:pt>
                <c:pt idx="35" formatCode="0">
                  <c:v>151</c:v>
                </c:pt>
                <c:pt idx="36" formatCode="0">
                  <c:v>151</c:v>
                </c:pt>
                <c:pt idx="37" formatCode="0">
                  <c:v>151</c:v>
                </c:pt>
                <c:pt idx="38" formatCode="0">
                  <c:v>151</c:v>
                </c:pt>
              </c:numCache>
            </c:numRef>
          </c:val>
          <c:smooth val="0"/>
          <c:extLst xmlns:c16r2="http://schemas.microsoft.com/office/drawing/2015/06/chart">
            <c:ext xmlns:c16="http://schemas.microsoft.com/office/drawing/2014/chart" uri="{C3380CC4-5D6E-409C-BE32-E72D297353CC}">
              <c16:uniqueId val="{00000002-63FA-4800-A926-5D51CABE5C44}"/>
            </c:ext>
          </c:extLst>
        </c:ser>
        <c:dLbls>
          <c:showLegendKey val="0"/>
          <c:showVal val="0"/>
          <c:showCatName val="0"/>
          <c:showSerName val="0"/>
          <c:showPercent val="0"/>
          <c:showBubbleSize val="0"/>
        </c:dLbls>
        <c:marker val="1"/>
        <c:smooth val="0"/>
        <c:axId val="433743544"/>
        <c:axId val="433746680"/>
      </c:lineChart>
      <c:catAx>
        <c:axId val="433743544"/>
        <c:scaling>
          <c:orientation val="minMax"/>
        </c:scaling>
        <c:delete val="0"/>
        <c:axPos val="b"/>
        <c:title>
          <c:tx>
            <c:rich>
              <a:bodyPr/>
              <a:lstStyle/>
              <a:p>
                <a:pPr>
                  <a:defRPr sz="1000" b="0" i="0" u="none" strike="noStrike" baseline="0">
                    <a:solidFill>
                      <a:srgbClr val="333333"/>
                    </a:solidFill>
                    <a:latin typeface="Calibri"/>
                    <a:ea typeface="Calibri"/>
                    <a:cs typeface="Calibri"/>
                  </a:defRPr>
                </a:pPr>
                <a:r>
                  <a:rPr lang="id-ID"/>
                  <a:t>Operation No.</a:t>
                </a:r>
              </a:p>
            </c:rich>
          </c:tx>
          <c:layout>
            <c:manualLayout>
              <c:xMode val="edge"/>
              <c:yMode val="edge"/>
              <c:x val="0.45188409300077154"/>
              <c:y val="0.83967278042340521"/>
            </c:manualLayout>
          </c:layout>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33746680"/>
        <c:crosses val="autoZero"/>
        <c:auto val="1"/>
        <c:lblAlgn val="ctr"/>
        <c:lblOffset val="100"/>
        <c:noMultiLvlLbl val="0"/>
      </c:catAx>
      <c:valAx>
        <c:axId val="433746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id-ID"/>
                  <a:t>Minutes</a:t>
                </a:r>
              </a:p>
            </c:rich>
          </c:tx>
          <c:overlay val="0"/>
          <c:spPr>
            <a:noFill/>
            <a:ln w="25400">
              <a:noFill/>
            </a:ln>
          </c:spPr>
        </c:title>
        <c:numFmt formatCode="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433743544"/>
        <c:crosses val="autoZero"/>
        <c:crossBetween val="between"/>
      </c:valAx>
      <c:spPr>
        <a:noFill/>
        <a:ln w="25400">
          <a:noFill/>
        </a:ln>
      </c:spPr>
    </c:plotArea>
    <c:legend>
      <c:legendPos val="r"/>
      <c:layout>
        <c:manualLayout>
          <c:xMode val="edge"/>
          <c:yMode val="edge"/>
          <c:x val="0.25103375019299057"/>
          <c:y val="0.91317491002247464"/>
          <c:w val="0.63283495445422266"/>
          <c:h val="6.287425149700598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id-ID"/>
              <a:t>Line Balancing Distribution</a:t>
            </a:r>
          </a:p>
        </c:rich>
      </c:tx>
      <c:layout>
        <c:manualLayout>
          <c:xMode val="edge"/>
          <c:yMode val="edge"/>
          <c:x val="0.39041951863510038"/>
          <c:y val="0.13552213689131296"/>
        </c:manualLayout>
      </c:layout>
      <c:overlay val="0"/>
      <c:spPr>
        <a:noFill/>
        <a:ln w="25400">
          <a:noFill/>
        </a:ln>
      </c:spPr>
    </c:title>
    <c:autoTitleDeleted val="0"/>
    <c:plotArea>
      <c:layout>
        <c:manualLayout>
          <c:layoutTarget val="inner"/>
          <c:xMode val="edge"/>
          <c:yMode val="edge"/>
          <c:x val="8.8265670533231394E-2"/>
          <c:y val="0.16091655636887481"/>
          <c:w val="0.89554727847755011"/>
          <c:h val="0.61703787741560279"/>
        </c:manualLayout>
      </c:layout>
      <c:barChart>
        <c:barDir val="col"/>
        <c:grouping val="clustered"/>
        <c:varyColors val="0"/>
        <c:ser>
          <c:idx val="0"/>
          <c:order val="0"/>
          <c:tx>
            <c:strRef>
              <c:f>PROPOSAL!$K$7</c:f>
              <c:strCache>
                <c:ptCount val="1"/>
                <c:pt idx="0">
                  <c:v>SMV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PROPOSAL!$C$10:$C$49</c:f>
              <c:strCache>
                <c:ptCount val="38"/>
                <c:pt idx="0">
                  <c:v>24</c:v>
                </c:pt>
                <c:pt idx="1">
                  <c:v>6</c:v>
                </c:pt>
                <c:pt idx="2">
                  <c:v>7c</c:v>
                </c:pt>
                <c:pt idx="3">
                  <c:v>2</c:v>
                </c:pt>
                <c:pt idx="4">
                  <c:v>5</c:v>
                </c:pt>
                <c:pt idx="5">
                  <c:v>Additional</c:v>
                </c:pt>
                <c:pt idx="6">
                  <c:v>Additional</c:v>
                </c:pt>
                <c:pt idx="7">
                  <c:v>3</c:v>
                </c:pt>
                <c:pt idx="8">
                  <c:v>12</c:v>
                </c:pt>
                <c:pt idx="9">
                  <c:v>13</c:v>
                </c:pt>
                <c:pt idx="11">
                  <c:v>Additional</c:v>
                </c:pt>
                <c:pt idx="12">
                  <c:v>26</c:v>
                </c:pt>
                <c:pt idx="14">
                  <c:v>27</c:v>
                </c:pt>
                <c:pt idx="15">
                  <c:v>28</c:v>
                </c:pt>
                <c:pt idx="16">
                  <c:v>29</c:v>
                </c:pt>
                <c:pt idx="17">
                  <c:v>30</c:v>
                </c:pt>
                <c:pt idx="18">
                  <c:v>31b</c:v>
                </c:pt>
                <c:pt idx="19">
                  <c:v>32</c:v>
                </c:pt>
                <c:pt idx="20">
                  <c:v>33</c:v>
                </c:pt>
                <c:pt idx="21">
                  <c:v>35</c:v>
                </c:pt>
                <c:pt idx="22">
                  <c:v>36</c:v>
                </c:pt>
                <c:pt idx="23">
                  <c:v>34</c:v>
                </c:pt>
                <c:pt idx="24">
                  <c:v>37</c:v>
                </c:pt>
                <c:pt idx="25">
                  <c:v>22</c:v>
                </c:pt>
                <c:pt idx="26">
                  <c:v>25</c:v>
                </c:pt>
                <c:pt idx="27">
                  <c:v>26</c:v>
                </c:pt>
                <c:pt idx="28">
                  <c:v>38</c:v>
                </c:pt>
                <c:pt idx="30">
                  <c:v>39</c:v>
                </c:pt>
                <c:pt idx="31">
                  <c:v>39</c:v>
                </c:pt>
                <c:pt idx="32">
                  <c:v>40</c:v>
                </c:pt>
                <c:pt idx="33">
                  <c:v>41</c:v>
                </c:pt>
                <c:pt idx="34">
                  <c:v>42</c:v>
                </c:pt>
                <c:pt idx="35">
                  <c:v>43</c:v>
                </c:pt>
                <c:pt idx="36">
                  <c:v>44</c:v>
                </c:pt>
                <c:pt idx="37">
                  <c:v>45</c:v>
                </c:pt>
              </c:strCache>
            </c:strRef>
          </c:cat>
          <c:val>
            <c:numRef>
              <c:f>PROPOSAL!$L$10:$L$50</c:f>
              <c:numCache>
                <c:formatCode>0</c:formatCode>
                <c:ptCount val="41"/>
                <c:pt idx="3">
                  <c:v>69.096000000000004</c:v>
                </c:pt>
                <c:pt idx="5">
                  <c:v>0</c:v>
                </c:pt>
                <c:pt idx="6">
                  <c:v>0</c:v>
                </c:pt>
                <c:pt idx="7">
                  <c:v>23.039999999999996</c:v>
                </c:pt>
                <c:pt idx="8">
                  <c:v>0</c:v>
                </c:pt>
                <c:pt idx="9">
                  <c:v>0</c:v>
                </c:pt>
                <c:pt idx="11">
                  <c:v>0</c:v>
                </c:pt>
                <c:pt idx="12">
                  <c:v>0</c:v>
                </c:pt>
                <c:pt idx="13">
                  <c:v>0</c:v>
                </c:pt>
                <c:pt idx="14">
                  <c:v>72.75200000000001</c:v>
                </c:pt>
                <c:pt idx="16">
                  <c:v>55.463999999999999</c:v>
                </c:pt>
                <c:pt idx="17">
                  <c:v>40.023999999999994</c:v>
                </c:pt>
                <c:pt idx="18">
                  <c:v>77.876000000000005</c:v>
                </c:pt>
                <c:pt idx="19">
                  <c:v>45.640000000000008</c:v>
                </c:pt>
                <c:pt idx="20">
                  <c:v>66.656000000000006</c:v>
                </c:pt>
                <c:pt idx="21">
                  <c:v>27.712</c:v>
                </c:pt>
                <c:pt idx="22">
                  <c:v>55.136000000000003</c:v>
                </c:pt>
                <c:pt idx="23">
                  <c:v>86.632000000000005</c:v>
                </c:pt>
                <c:pt idx="25">
                  <c:v>63.151999999999994</c:v>
                </c:pt>
                <c:pt idx="26">
                  <c:v>57.952000000000005</c:v>
                </c:pt>
                <c:pt idx="27">
                  <c:v>72.016000000000005</c:v>
                </c:pt>
                <c:pt idx="28">
                  <c:v>106.87200000000001</c:v>
                </c:pt>
                <c:pt idx="29">
                  <c:v>106.87200000000001</c:v>
                </c:pt>
                <c:pt idx="30">
                  <c:v>73.88</c:v>
                </c:pt>
                <c:pt idx="31">
                  <c:v>73.88</c:v>
                </c:pt>
                <c:pt idx="32">
                  <c:v>63.639999999999993</c:v>
                </c:pt>
                <c:pt idx="33">
                  <c:v>56.288000000000004</c:v>
                </c:pt>
                <c:pt idx="34">
                  <c:v>78.75200000000001</c:v>
                </c:pt>
                <c:pt idx="36">
                  <c:v>78.125454545454545</c:v>
                </c:pt>
              </c:numCache>
            </c:numRef>
          </c:val>
          <c:extLst xmlns:c16r2="http://schemas.microsoft.com/office/drawing/2015/06/chart">
            <c:ext xmlns:c16="http://schemas.microsoft.com/office/drawing/2014/chart" uri="{C3380CC4-5D6E-409C-BE32-E72D297353CC}">
              <c16:uniqueId val="{00000000-63FA-4800-A926-5D51CABE5C44}"/>
            </c:ext>
          </c:extLst>
        </c:ser>
        <c:dLbls>
          <c:showLegendKey val="0"/>
          <c:showVal val="0"/>
          <c:showCatName val="0"/>
          <c:showSerName val="0"/>
          <c:showPercent val="0"/>
          <c:showBubbleSize val="0"/>
        </c:dLbls>
        <c:gapWidth val="150"/>
        <c:axId val="433748248"/>
        <c:axId val="433743936"/>
      </c:barChart>
      <c:lineChart>
        <c:grouping val="standard"/>
        <c:varyColors val="0"/>
        <c:ser>
          <c:idx val="1"/>
          <c:order val="1"/>
          <c:tx>
            <c:strRef>
              <c:f>PROPOSAL!$K$3:$O$3</c:f>
              <c:strCache>
                <c:ptCount val="1"/>
                <c:pt idx="0">
                  <c:v>Takt Time (secs)</c:v>
                </c:pt>
              </c:strCache>
            </c:strRef>
          </c:tx>
          <c:marker>
            <c:symbol val="none"/>
          </c:marker>
          <c:val>
            <c:numRef>
              <c:f>PROPOSAL!$B$10:$B$50</c:f>
              <c:numCache>
                <c:formatCode>0.0</c:formatCode>
                <c:ptCount val="41"/>
                <c:pt idx="0">
                  <c:v>90</c:v>
                </c:pt>
                <c:pt idx="1">
                  <c:v>90</c:v>
                </c:pt>
                <c:pt idx="2">
                  <c:v>90</c:v>
                </c:pt>
                <c:pt idx="3">
                  <c:v>90</c:v>
                </c:pt>
                <c:pt idx="4">
                  <c:v>90</c:v>
                </c:pt>
                <c:pt idx="5">
                  <c:v>90</c:v>
                </c:pt>
                <c:pt idx="6">
                  <c:v>90</c:v>
                </c:pt>
                <c:pt idx="7">
                  <c:v>90</c:v>
                </c:pt>
                <c:pt idx="8">
                  <c:v>90</c:v>
                </c:pt>
                <c:pt idx="9">
                  <c:v>90</c:v>
                </c:pt>
                <c:pt idx="11">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7">
                  <c:v>90</c:v>
                </c:pt>
                <c:pt idx="28">
                  <c:v>90</c:v>
                </c:pt>
                <c:pt idx="30">
                  <c:v>90</c:v>
                </c:pt>
                <c:pt idx="31">
                  <c:v>90</c:v>
                </c:pt>
                <c:pt idx="32">
                  <c:v>90</c:v>
                </c:pt>
                <c:pt idx="33">
                  <c:v>90</c:v>
                </c:pt>
                <c:pt idx="34">
                  <c:v>90</c:v>
                </c:pt>
                <c:pt idx="35">
                  <c:v>90</c:v>
                </c:pt>
                <c:pt idx="36">
                  <c:v>90</c:v>
                </c:pt>
                <c:pt idx="37">
                  <c:v>90</c:v>
                </c:pt>
                <c:pt idx="38">
                  <c:v>90</c:v>
                </c:pt>
                <c:pt idx="39">
                  <c:v>90</c:v>
                </c:pt>
              </c:numCache>
            </c:numRef>
          </c:val>
          <c:smooth val="0"/>
          <c:extLst xmlns:c16r2="http://schemas.microsoft.com/office/drawing/2015/06/chart">
            <c:ext xmlns:c16="http://schemas.microsoft.com/office/drawing/2014/chart" uri="{C3380CC4-5D6E-409C-BE32-E72D297353CC}">
              <c16:uniqueId val="{00000001-63FA-4800-A926-5D51CABE5C44}"/>
            </c:ext>
          </c:extLst>
        </c:ser>
        <c:ser>
          <c:idx val="2"/>
          <c:order val="2"/>
          <c:tx>
            <c:strRef>
              <c:f>PROPOSAL!$Q$3</c:f>
              <c:strCache>
                <c:ptCount val="1"/>
                <c:pt idx="0">
                  <c:v>Highest CT</c:v>
                </c:pt>
              </c:strCache>
            </c:strRef>
          </c:tx>
          <c:spPr>
            <a:ln w="28575" cap="rnd">
              <a:solidFill>
                <a:schemeClr val="accent3"/>
              </a:solidFill>
              <a:round/>
            </a:ln>
            <a:effectLst/>
          </c:spPr>
          <c:marker>
            <c:symbol val="none"/>
          </c:marker>
          <c:val>
            <c:numRef>
              <c:f>PROPOSAL!$A$8:$A$50</c:f>
              <c:numCache>
                <c:formatCode>General</c:formatCode>
                <c:ptCount val="43"/>
                <c:pt idx="2" formatCode="0">
                  <c:v>90</c:v>
                </c:pt>
                <c:pt idx="3" formatCode="0">
                  <c:v>90</c:v>
                </c:pt>
                <c:pt idx="4" formatCode="0">
                  <c:v>90</c:v>
                </c:pt>
                <c:pt idx="5" formatCode="0">
                  <c:v>90</c:v>
                </c:pt>
                <c:pt idx="6" formatCode="0">
                  <c:v>90</c:v>
                </c:pt>
                <c:pt idx="7" formatCode="0">
                  <c:v>90</c:v>
                </c:pt>
                <c:pt idx="8" formatCode="0">
                  <c:v>90</c:v>
                </c:pt>
                <c:pt idx="9" formatCode="0">
                  <c:v>90</c:v>
                </c:pt>
                <c:pt idx="10" formatCode="0">
                  <c:v>90</c:v>
                </c:pt>
                <c:pt idx="11" formatCode="0">
                  <c:v>90</c:v>
                </c:pt>
                <c:pt idx="13" formatCode="0">
                  <c:v>90</c:v>
                </c:pt>
                <c:pt idx="16" formatCode="0">
                  <c:v>90</c:v>
                </c:pt>
                <c:pt idx="17" formatCode="0">
                  <c:v>90</c:v>
                </c:pt>
                <c:pt idx="18" formatCode="0">
                  <c:v>90</c:v>
                </c:pt>
                <c:pt idx="19" formatCode="0">
                  <c:v>90</c:v>
                </c:pt>
                <c:pt idx="20" formatCode="0">
                  <c:v>90</c:v>
                </c:pt>
                <c:pt idx="21" formatCode="0">
                  <c:v>90</c:v>
                </c:pt>
                <c:pt idx="22" formatCode="0">
                  <c:v>90</c:v>
                </c:pt>
                <c:pt idx="23" formatCode="0">
                  <c:v>90</c:v>
                </c:pt>
                <c:pt idx="24" formatCode="0">
                  <c:v>90</c:v>
                </c:pt>
                <c:pt idx="25" formatCode="0">
                  <c:v>90</c:v>
                </c:pt>
                <c:pt idx="26" formatCode="0">
                  <c:v>90</c:v>
                </c:pt>
                <c:pt idx="27" formatCode="0">
                  <c:v>90</c:v>
                </c:pt>
                <c:pt idx="28" formatCode="0">
                  <c:v>90</c:v>
                </c:pt>
                <c:pt idx="29" formatCode="0">
                  <c:v>90</c:v>
                </c:pt>
                <c:pt idx="30" formatCode="0">
                  <c:v>90</c:v>
                </c:pt>
                <c:pt idx="32" formatCode="0">
                  <c:v>90</c:v>
                </c:pt>
                <c:pt idx="33" formatCode="0">
                  <c:v>90</c:v>
                </c:pt>
                <c:pt idx="34" formatCode="0">
                  <c:v>90</c:v>
                </c:pt>
                <c:pt idx="35" formatCode="0">
                  <c:v>90</c:v>
                </c:pt>
                <c:pt idx="36" formatCode="0">
                  <c:v>90</c:v>
                </c:pt>
                <c:pt idx="37" formatCode="0">
                  <c:v>90</c:v>
                </c:pt>
                <c:pt idx="38" formatCode="0">
                  <c:v>90</c:v>
                </c:pt>
                <c:pt idx="39" formatCode="0">
                  <c:v>90</c:v>
                </c:pt>
                <c:pt idx="40" formatCode="0">
                  <c:v>90</c:v>
                </c:pt>
                <c:pt idx="41" formatCode="0">
                  <c:v>90</c:v>
                </c:pt>
              </c:numCache>
            </c:numRef>
          </c:val>
          <c:smooth val="0"/>
          <c:extLst xmlns:c16r2="http://schemas.microsoft.com/office/drawing/2015/06/chart">
            <c:ext xmlns:c16="http://schemas.microsoft.com/office/drawing/2014/chart" uri="{C3380CC4-5D6E-409C-BE32-E72D297353CC}">
              <c16:uniqueId val="{00000002-63FA-4800-A926-5D51CABE5C44}"/>
            </c:ext>
          </c:extLst>
        </c:ser>
        <c:dLbls>
          <c:showLegendKey val="0"/>
          <c:showVal val="0"/>
          <c:showCatName val="0"/>
          <c:showSerName val="0"/>
          <c:showPercent val="0"/>
          <c:showBubbleSize val="0"/>
        </c:dLbls>
        <c:marker val="1"/>
        <c:smooth val="0"/>
        <c:axId val="433748248"/>
        <c:axId val="433743936"/>
      </c:lineChart>
      <c:catAx>
        <c:axId val="433748248"/>
        <c:scaling>
          <c:orientation val="minMax"/>
        </c:scaling>
        <c:delete val="0"/>
        <c:axPos val="b"/>
        <c:title>
          <c:tx>
            <c:rich>
              <a:bodyPr/>
              <a:lstStyle/>
              <a:p>
                <a:pPr>
                  <a:defRPr sz="1000" b="0" i="0" u="none" strike="noStrike" baseline="0">
                    <a:solidFill>
                      <a:srgbClr val="333333"/>
                    </a:solidFill>
                    <a:latin typeface="Calibri"/>
                    <a:ea typeface="Calibri"/>
                    <a:cs typeface="Calibri"/>
                  </a:defRPr>
                </a:pPr>
                <a:r>
                  <a:rPr lang="id-ID"/>
                  <a:t>Operation No.</a:t>
                </a:r>
              </a:p>
            </c:rich>
          </c:tx>
          <c:layout>
            <c:manualLayout>
              <c:xMode val="edge"/>
              <c:yMode val="edge"/>
              <c:x val="0.45188409300077154"/>
              <c:y val="0.83967278042340521"/>
            </c:manualLayout>
          </c:layout>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33743936"/>
        <c:crosses val="autoZero"/>
        <c:auto val="1"/>
        <c:lblAlgn val="ctr"/>
        <c:lblOffset val="100"/>
        <c:noMultiLvlLbl val="0"/>
      </c:catAx>
      <c:valAx>
        <c:axId val="43374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id-ID"/>
                  <a:t>Minutes</a:t>
                </a:r>
              </a:p>
            </c:rich>
          </c:tx>
          <c:overlay val="0"/>
          <c:spPr>
            <a:noFill/>
            <a:ln w="25400">
              <a:noFill/>
            </a:ln>
          </c:spPr>
        </c:title>
        <c:numFmt formatCode="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433748248"/>
        <c:crosses val="autoZero"/>
        <c:crossBetween val="between"/>
      </c:valAx>
      <c:spPr>
        <a:noFill/>
        <a:ln w="25400">
          <a:noFill/>
        </a:ln>
      </c:spPr>
    </c:plotArea>
    <c:legend>
      <c:legendPos val="r"/>
      <c:layout>
        <c:manualLayout>
          <c:xMode val="edge"/>
          <c:yMode val="edge"/>
          <c:x val="0.25103375019299057"/>
          <c:y val="0.91317491002247464"/>
          <c:w val="0.63283495445422266"/>
          <c:h val="6.287425149700598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5.emf"/><Relationship Id="rId13" Type="http://schemas.openxmlformats.org/officeDocument/2006/relationships/image" Target="../media/image150.emf"/><Relationship Id="rId18" Type="http://schemas.openxmlformats.org/officeDocument/2006/relationships/image" Target="../media/image155.emf"/><Relationship Id="rId3" Type="http://schemas.openxmlformats.org/officeDocument/2006/relationships/image" Target="../media/image56.emf"/><Relationship Id="rId21" Type="http://schemas.openxmlformats.org/officeDocument/2006/relationships/image" Target="../media/image158.emf"/><Relationship Id="rId7" Type="http://schemas.openxmlformats.org/officeDocument/2006/relationships/image" Target="../media/image144.emf"/><Relationship Id="rId12" Type="http://schemas.openxmlformats.org/officeDocument/2006/relationships/image" Target="../media/image149.emf"/><Relationship Id="rId17" Type="http://schemas.openxmlformats.org/officeDocument/2006/relationships/image" Target="../media/image154.emf"/><Relationship Id="rId2" Type="http://schemas.openxmlformats.org/officeDocument/2006/relationships/image" Target="../media/image55.emf"/><Relationship Id="rId16" Type="http://schemas.openxmlformats.org/officeDocument/2006/relationships/image" Target="../media/image153.emf"/><Relationship Id="rId20" Type="http://schemas.openxmlformats.org/officeDocument/2006/relationships/image" Target="../media/image157.emf"/><Relationship Id="rId1" Type="http://schemas.openxmlformats.org/officeDocument/2006/relationships/image" Target="../media/image3.jpeg"/><Relationship Id="rId6" Type="http://schemas.openxmlformats.org/officeDocument/2006/relationships/image" Target="../media/image143.emf"/><Relationship Id="rId11" Type="http://schemas.openxmlformats.org/officeDocument/2006/relationships/image" Target="../media/image148.emf"/><Relationship Id="rId24" Type="http://schemas.openxmlformats.org/officeDocument/2006/relationships/image" Target="../media/image161.emf"/><Relationship Id="rId5" Type="http://schemas.openxmlformats.org/officeDocument/2006/relationships/image" Target="../media/image142.emf"/><Relationship Id="rId15" Type="http://schemas.openxmlformats.org/officeDocument/2006/relationships/image" Target="../media/image152.emf"/><Relationship Id="rId23" Type="http://schemas.openxmlformats.org/officeDocument/2006/relationships/image" Target="../media/image160.emf"/><Relationship Id="rId10" Type="http://schemas.openxmlformats.org/officeDocument/2006/relationships/image" Target="../media/image147.emf"/><Relationship Id="rId19" Type="http://schemas.openxmlformats.org/officeDocument/2006/relationships/image" Target="../media/image156.emf"/><Relationship Id="rId4" Type="http://schemas.openxmlformats.org/officeDocument/2006/relationships/image" Target="../media/image57.emf"/><Relationship Id="rId9" Type="http://schemas.openxmlformats.org/officeDocument/2006/relationships/image" Target="../media/image146.emf"/><Relationship Id="rId14" Type="http://schemas.openxmlformats.org/officeDocument/2006/relationships/image" Target="../media/image151.emf"/><Relationship Id="rId22" Type="http://schemas.openxmlformats.org/officeDocument/2006/relationships/image" Target="../media/image159.emf"/></Relationships>
</file>

<file path=xl/drawings/_rels/drawing13.xml.rels><?xml version="1.0" encoding="UTF-8" standalone="yes"?>
<Relationships xmlns="http://schemas.openxmlformats.org/package/2006/relationships"><Relationship Id="rId8" Type="http://schemas.openxmlformats.org/officeDocument/2006/relationships/image" Target="../media/image168.emf"/><Relationship Id="rId13" Type="http://schemas.openxmlformats.org/officeDocument/2006/relationships/image" Target="../media/image173.emf"/><Relationship Id="rId3" Type="http://schemas.openxmlformats.org/officeDocument/2006/relationships/image" Target="../media/image163.emf"/><Relationship Id="rId7" Type="http://schemas.openxmlformats.org/officeDocument/2006/relationships/image" Target="../media/image167.emf"/><Relationship Id="rId12" Type="http://schemas.openxmlformats.org/officeDocument/2006/relationships/image" Target="../media/image172.emf"/><Relationship Id="rId2" Type="http://schemas.openxmlformats.org/officeDocument/2006/relationships/image" Target="../media/image162.emf"/><Relationship Id="rId1" Type="http://schemas.openxmlformats.org/officeDocument/2006/relationships/image" Target="../media/image3.jpeg"/><Relationship Id="rId6" Type="http://schemas.openxmlformats.org/officeDocument/2006/relationships/image" Target="../media/image166.emf"/><Relationship Id="rId11" Type="http://schemas.openxmlformats.org/officeDocument/2006/relationships/image" Target="../media/image171.emf"/><Relationship Id="rId5" Type="http://schemas.openxmlformats.org/officeDocument/2006/relationships/image" Target="../media/image165.emf"/><Relationship Id="rId15" Type="http://schemas.openxmlformats.org/officeDocument/2006/relationships/image" Target="../media/image175.emf"/><Relationship Id="rId10" Type="http://schemas.openxmlformats.org/officeDocument/2006/relationships/image" Target="../media/image170.emf"/><Relationship Id="rId4" Type="http://schemas.openxmlformats.org/officeDocument/2006/relationships/image" Target="../media/image164.emf"/><Relationship Id="rId9" Type="http://schemas.openxmlformats.org/officeDocument/2006/relationships/image" Target="../media/image169.emf"/><Relationship Id="rId14" Type="http://schemas.openxmlformats.org/officeDocument/2006/relationships/image" Target="../media/image174.e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3" Type="http://schemas.openxmlformats.org/officeDocument/2006/relationships/image" Target="../media/image15.emf"/><Relationship Id="rId18" Type="http://schemas.openxmlformats.org/officeDocument/2006/relationships/image" Target="../media/image20.emf"/><Relationship Id="rId26" Type="http://schemas.openxmlformats.org/officeDocument/2006/relationships/image" Target="../media/image28.emf"/><Relationship Id="rId39" Type="http://schemas.openxmlformats.org/officeDocument/2006/relationships/image" Target="../media/image41.emf"/><Relationship Id="rId3" Type="http://schemas.openxmlformats.org/officeDocument/2006/relationships/image" Target="../media/image5.emf"/><Relationship Id="rId21" Type="http://schemas.openxmlformats.org/officeDocument/2006/relationships/image" Target="../media/image23.emf"/><Relationship Id="rId34" Type="http://schemas.openxmlformats.org/officeDocument/2006/relationships/image" Target="../media/image36.emf"/><Relationship Id="rId42" Type="http://schemas.openxmlformats.org/officeDocument/2006/relationships/image" Target="../media/image44.emf"/><Relationship Id="rId47" Type="http://schemas.openxmlformats.org/officeDocument/2006/relationships/image" Target="../media/image49.emf"/><Relationship Id="rId50" Type="http://schemas.openxmlformats.org/officeDocument/2006/relationships/image" Target="../media/image52.emf"/><Relationship Id="rId7" Type="http://schemas.openxmlformats.org/officeDocument/2006/relationships/image" Target="../media/image9.emf"/><Relationship Id="rId12" Type="http://schemas.openxmlformats.org/officeDocument/2006/relationships/image" Target="../media/image14.emf"/><Relationship Id="rId17" Type="http://schemas.openxmlformats.org/officeDocument/2006/relationships/image" Target="../media/image19.emf"/><Relationship Id="rId25" Type="http://schemas.openxmlformats.org/officeDocument/2006/relationships/image" Target="../media/image27.emf"/><Relationship Id="rId33" Type="http://schemas.openxmlformats.org/officeDocument/2006/relationships/image" Target="../media/image35.emf"/><Relationship Id="rId38" Type="http://schemas.openxmlformats.org/officeDocument/2006/relationships/image" Target="../media/image40.emf"/><Relationship Id="rId46" Type="http://schemas.openxmlformats.org/officeDocument/2006/relationships/image" Target="../media/image48.emf"/><Relationship Id="rId2" Type="http://schemas.openxmlformats.org/officeDocument/2006/relationships/image" Target="../media/image4.emf"/><Relationship Id="rId16" Type="http://schemas.openxmlformats.org/officeDocument/2006/relationships/image" Target="../media/image18.emf"/><Relationship Id="rId20" Type="http://schemas.openxmlformats.org/officeDocument/2006/relationships/image" Target="../media/image22.emf"/><Relationship Id="rId29" Type="http://schemas.openxmlformats.org/officeDocument/2006/relationships/image" Target="../media/image31.emf"/><Relationship Id="rId41" Type="http://schemas.openxmlformats.org/officeDocument/2006/relationships/image" Target="../media/image43.emf"/><Relationship Id="rId1" Type="http://schemas.openxmlformats.org/officeDocument/2006/relationships/image" Target="../media/image3.jpeg"/><Relationship Id="rId6" Type="http://schemas.openxmlformats.org/officeDocument/2006/relationships/image" Target="../media/image8.emf"/><Relationship Id="rId11" Type="http://schemas.openxmlformats.org/officeDocument/2006/relationships/image" Target="../media/image13.emf"/><Relationship Id="rId24" Type="http://schemas.openxmlformats.org/officeDocument/2006/relationships/image" Target="../media/image26.emf"/><Relationship Id="rId32" Type="http://schemas.openxmlformats.org/officeDocument/2006/relationships/image" Target="../media/image34.emf"/><Relationship Id="rId37" Type="http://schemas.openxmlformats.org/officeDocument/2006/relationships/image" Target="../media/image39.emf"/><Relationship Id="rId40" Type="http://schemas.openxmlformats.org/officeDocument/2006/relationships/image" Target="../media/image42.emf"/><Relationship Id="rId45" Type="http://schemas.openxmlformats.org/officeDocument/2006/relationships/image" Target="../media/image47.emf"/><Relationship Id="rId5" Type="http://schemas.openxmlformats.org/officeDocument/2006/relationships/image" Target="../media/image7.emf"/><Relationship Id="rId15" Type="http://schemas.openxmlformats.org/officeDocument/2006/relationships/image" Target="../media/image17.emf"/><Relationship Id="rId23" Type="http://schemas.openxmlformats.org/officeDocument/2006/relationships/image" Target="../media/image25.emf"/><Relationship Id="rId28" Type="http://schemas.openxmlformats.org/officeDocument/2006/relationships/image" Target="../media/image30.emf"/><Relationship Id="rId36" Type="http://schemas.openxmlformats.org/officeDocument/2006/relationships/image" Target="../media/image38.emf"/><Relationship Id="rId49" Type="http://schemas.openxmlformats.org/officeDocument/2006/relationships/image" Target="../media/image51.emf"/><Relationship Id="rId10" Type="http://schemas.openxmlformats.org/officeDocument/2006/relationships/image" Target="../media/image12.emf"/><Relationship Id="rId19" Type="http://schemas.openxmlformats.org/officeDocument/2006/relationships/image" Target="../media/image21.emf"/><Relationship Id="rId31" Type="http://schemas.openxmlformats.org/officeDocument/2006/relationships/image" Target="../media/image33.emf"/><Relationship Id="rId44" Type="http://schemas.openxmlformats.org/officeDocument/2006/relationships/image" Target="../media/image46.emf"/><Relationship Id="rId52" Type="http://schemas.openxmlformats.org/officeDocument/2006/relationships/image" Target="../media/image54.emf"/><Relationship Id="rId4" Type="http://schemas.openxmlformats.org/officeDocument/2006/relationships/image" Target="../media/image6.emf"/><Relationship Id="rId9" Type="http://schemas.openxmlformats.org/officeDocument/2006/relationships/image" Target="../media/image11.emf"/><Relationship Id="rId14" Type="http://schemas.openxmlformats.org/officeDocument/2006/relationships/image" Target="../media/image16.emf"/><Relationship Id="rId22" Type="http://schemas.openxmlformats.org/officeDocument/2006/relationships/image" Target="../media/image24.emf"/><Relationship Id="rId27" Type="http://schemas.openxmlformats.org/officeDocument/2006/relationships/image" Target="../media/image29.emf"/><Relationship Id="rId30" Type="http://schemas.openxmlformats.org/officeDocument/2006/relationships/image" Target="../media/image32.emf"/><Relationship Id="rId35" Type="http://schemas.openxmlformats.org/officeDocument/2006/relationships/image" Target="../media/image37.emf"/><Relationship Id="rId43" Type="http://schemas.openxmlformats.org/officeDocument/2006/relationships/image" Target="../media/image45.emf"/><Relationship Id="rId48" Type="http://schemas.openxmlformats.org/officeDocument/2006/relationships/image" Target="../media/image50.emf"/><Relationship Id="rId8" Type="http://schemas.openxmlformats.org/officeDocument/2006/relationships/image" Target="../media/image10.emf"/><Relationship Id="rId51" Type="http://schemas.openxmlformats.org/officeDocument/2006/relationships/image" Target="../media/image53.emf"/></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8" Type="http://schemas.openxmlformats.org/officeDocument/2006/relationships/image" Target="../media/image61.emf"/><Relationship Id="rId13" Type="http://schemas.openxmlformats.org/officeDocument/2006/relationships/image" Target="../media/image66.emf"/><Relationship Id="rId18" Type="http://schemas.openxmlformats.org/officeDocument/2006/relationships/image" Target="../media/image71.emf"/><Relationship Id="rId26" Type="http://schemas.openxmlformats.org/officeDocument/2006/relationships/image" Target="../media/image79.emf"/><Relationship Id="rId39" Type="http://schemas.openxmlformats.org/officeDocument/2006/relationships/image" Target="../media/image92.emf"/><Relationship Id="rId3" Type="http://schemas.openxmlformats.org/officeDocument/2006/relationships/image" Target="../media/image56.emf"/><Relationship Id="rId21" Type="http://schemas.openxmlformats.org/officeDocument/2006/relationships/image" Target="../media/image74.emf"/><Relationship Id="rId34" Type="http://schemas.openxmlformats.org/officeDocument/2006/relationships/image" Target="../media/image87.emf"/><Relationship Id="rId42" Type="http://schemas.openxmlformats.org/officeDocument/2006/relationships/image" Target="../media/image95.emf"/><Relationship Id="rId7" Type="http://schemas.openxmlformats.org/officeDocument/2006/relationships/image" Target="../media/image60.emf"/><Relationship Id="rId12" Type="http://schemas.openxmlformats.org/officeDocument/2006/relationships/image" Target="../media/image65.emf"/><Relationship Id="rId17" Type="http://schemas.openxmlformats.org/officeDocument/2006/relationships/image" Target="../media/image70.emf"/><Relationship Id="rId25" Type="http://schemas.openxmlformats.org/officeDocument/2006/relationships/image" Target="../media/image78.emf"/><Relationship Id="rId33" Type="http://schemas.openxmlformats.org/officeDocument/2006/relationships/image" Target="../media/image86.emf"/><Relationship Id="rId38" Type="http://schemas.openxmlformats.org/officeDocument/2006/relationships/image" Target="../media/image91.emf"/><Relationship Id="rId2" Type="http://schemas.openxmlformats.org/officeDocument/2006/relationships/image" Target="../media/image55.emf"/><Relationship Id="rId16" Type="http://schemas.openxmlformats.org/officeDocument/2006/relationships/image" Target="../media/image69.emf"/><Relationship Id="rId20" Type="http://schemas.openxmlformats.org/officeDocument/2006/relationships/image" Target="../media/image73.emf"/><Relationship Id="rId29" Type="http://schemas.openxmlformats.org/officeDocument/2006/relationships/image" Target="../media/image82.emf"/><Relationship Id="rId41" Type="http://schemas.openxmlformats.org/officeDocument/2006/relationships/image" Target="../media/image94.emf"/><Relationship Id="rId1" Type="http://schemas.openxmlformats.org/officeDocument/2006/relationships/image" Target="../media/image3.jpeg"/><Relationship Id="rId6" Type="http://schemas.openxmlformats.org/officeDocument/2006/relationships/image" Target="../media/image59.emf"/><Relationship Id="rId11" Type="http://schemas.openxmlformats.org/officeDocument/2006/relationships/image" Target="../media/image64.emf"/><Relationship Id="rId24" Type="http://schemas.openxmlformats.org/officeDocument/2006/relationships/image" Target="../media/image77.emf"/><Relationship Id="rId32" Type="http://schemas.openxmlformats.org/officeDocument/2006/relationships/image" Target="../media/image85.emf"/><Relationship Id="rId37" Type="http://schemas.openxmlformats.org/officeDocument/2006/relationships/image" Target="../media/image90.emf"/><Relationship Id="rId40" Type="http://schemas.openxmlformats.org/officeDocument/2006/relationships/image" Target="../media/image93.emf"/><Relationship Id="rId45" Type="http://schemas.openxmlformats.org/officeDocument/2006/relationships/image" Target="../media/image98.emf"/><Relationship Id="rId5" Type="http://schemas.openxmlformats.org/officeDocument/2006/relationships/image" Target="../media/image58.emf"/><Relationship Id="rId15" Type="http://schemas.openxmlformats.org/officeDocument/2006/relationships/image" Target="../media/image68.emf"/><Relationship Id="rId23" Type="http://schemas.openxmlformats.org/officeDocument/2006/relationships/image" Target="../media/image76.emf"/><Relationship Id="rId28" Type="http://schemas.openxmlformats.org/officeDocument/2006/relationships/image" Target="../media/image81.emf"/><Relationship Id="rId36" Type="http://schemas.openxmlformats.org/officeDocument/2006/relationships/image" Target="../media/image89.emf"/><Relationship Id="rId10" Type="http://schemas.openxmlformats.org/officeDocument/2006/relationships/image" Target="../media/image63.emf"/><Relationship Id="rId19" Type="http://schemas.openxmlformats.org/officeDocument/2006/relationships/image" Target="../media/image72.emf"/><Relationship Id="rId31" Type="http://schemas.openxmlformats.org/officeDocument/2006/relationships/image" Target="../media/image84.emf"/><Relationship Id="rId44" Type="http://schemas.openxmlformats.org/officeDocument/2006/relationships/image" Target="../media/image97.emf"/><Relationship Id="rId4" Type="http://schemas.openxmlformats.org/officeDocument/2006/relationships/image" Target="../media/image57.emf"/><Relationship Id="rId9" Type="http://schemas.openxmlformats.org/officeDocument/2006/relationships/image" Target="../media/image62.emf"/><Relationship Id="rId14" Type="http://schemas.openxmlformats.org/officeDocument/2006/relationships/image" Target="../media/image67.emf"/><Relationship Id="rId22" Type="http://schemas.openxmlformats.org/officeDocument/2006/relationships/image" Target="../media/image75.emf"/><Relationship Id="rId27" Type="http://schemas.openxmlformats.org/officeDocument/2006/relationships/image" Target="../media/image80.emf"/><Relationship Id="rId30" Type="http://schemas.openxmlformats.org/officeDocument/2006/relationships/image" Target="../media/image83.emf"/><Relationship Id="rId35" Type="http://schemas.openxmlformats.org/officeDocument/2006/relationships/image" Target="../media/image88.emf"/><Relationship Id="rId43" Type="http://schemas.openxmlformats.org/officeDocument/2006/relationships/image" Target="../media/image96.emf"/></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image" Target="../media/image106.emf"/><Relationship Id="rId13" Type="http://schemas.openxmlformats.org/officeDocument/2006/relationships/image" Target="../media/image111.emf"/><Relationship Id="rId18" Type="http://schemas.openxmlformats.org/officeDocument/2006/relationships/image" Target="../media/image116.emf"/><Relationship Id="rId26" Type="http://schemas.openxmlformats.org/officeDocument/2006/relationships/image" Target="../media/image124.emf"/><Relationship Id="rId39" Type="http://schemas.openxmlformats.org/officeDocument/2006/relationships/image" Target="../media/image137.emf"/><Relationship Id="rId3" Type="http://schemas.openxmlformats.org/officeDocument/2006/relationships/image" Target="../media/image101.emf"/><Relationship Id="rId21" Type="http://schemas.openxmlformats.org/officeDocument/2006/relationships/image" Target="../media/image119.emf"/><Relationship Id="rId34" Type="http://schemas.openxmlformats.org/officeDocument/2006/relationships/image" Target="../media/image132.emf"/><Relationship Id="rId42" Type="http://schemas.openxmlformats.org/officeDocument/2006/relationships/image" Target="../media/image140.emf"/><Relationship Id="rId7" Type="http://schemas.openxmlformats.org/officeDocument/2006/relationships/image" Target="../media/image105.emf"/><Relationship Id="rId12" Type="http://schemas.openxmlformats.org/officeDocument/2006/relationships/image" Target="../media/image110.emf"/><Relationship Id="rId17" Type="http://schemas.openxmlformats.org/officeDocument/2006/relationships/image" Target="../media/image115.emf"/><Relationship Id="rId25" Type="http://schemas.openxmlformats.org/officeDocument/2006/relationships/image" Target="../media/image123.emf"/><Relationship Id="rId33" Type="http://schemas.openxmlformats.org/officeDocument/2006/relationships/image" Target="../media/image131.emf"/><Relationship Id="rId38" Type="http://schemas.openxmlformats.org/officeDocument/2006/relationships/image" Target="../media/image136.emf"/><Relationship Id="rId2" Type="http://schemas.openxmlformats.org/officeDocument/2006/relationships/image" Target="../media/image100.emf"/><Relationship Id="rId16" Type="http://schemas.openxmlformats.org/officeDocument/2006/relationships/image" Target="../media/image114.emf"/><Relationship Id="rId20" Type="http://schemas.openxmlformats.org/officeDocument/2006/relationships/image" Target="../media/image118.emf"/><Relationship Id="rId29" Type="http://schemas.openxmlformats.org/officeDocument/2006/relationships/image" Target="../media/image127.emf"/><Relationship Id="rId41" Type="http://schemas.openxmlformats.org/officeDocument/2006/relationships/image" Target="../media/image139.emf"/><Relationship Id="rId1" Type="http://schemas.openxmlformats.org/officeDocument/2006/relationships/image" Target="../media/image3.jpeg"/><Relationship Id="rId6" Type="http://schemas.openxmlformats.org/officeDocument/2006/relationships/image" Target="../media/image104.emf"/><Relationship Id="rId11" Type="http://schemas.openxmlformats.org/officeDocument/2006/relationships/image" Target="../media/image109.emf"/><Relationship Id="rId24" Type="http://schemas.openxmlformats.org/officeDocument/2006/relationships/image" Target="../media/image122.emf"/><Relationship Id="rId32" Type="http://schemas.openxmlformats.org/officeDocument/2006/relationships/image" Target="../media/image130.emf"/><Relationship Id="rId37" Type="http://schemas.openxmlformats.org/officeDocument/2006/relationships/image" Target="../media/image135.emf"/><Relationship Id="rId40" Type="http://schemas.openxmlformats.org/officeDocument/2006/relationships/image" Target="../media/image138.emf"/><Relationship Id="rId5" Type="http://schemas.openxmlformats.org/officeDocument/2006/relationships/image" Target="../media/image103.emf"/><Relationship Id="rId15" Type="http://schemas.openxmlformats.org/officeDocument/2006/relationships/image" Target="../media/image113.emf"/><Relationship Id="rId23" Type="http://schemas.openxmlformats.org/officeDocument/2006/relationships/image" Target="../media/image121.emf"/><Relationship Id="rId28" Type="http://schemas.openxmlformats.org/officeDocument/2006/relationships/image" Target="../media/image126.emf"/><Relationship Id="rId36" Type="http://schemas.openxmlformats.org/officeDocument/2006/relationships/image" Target="../media/image134.emf"/><Relationship Id="rId10" Type="http://schemas.openxmlformats.org/officeDocument/2006/relationships/image" Target="../media/image108.emf"/><Relationship Id="rId19" Type="http://schemas.openxmlformats.org/officeDocument/2006/relationships/image" Target="../media/image117.emf"/><Relationship Id="rId31" Type="http://schemas.openxmlformats.org/officeDocument/2006/relationships/image" Target="../media/image129.emf"/><Relationship Id="rId4" Type="http://schemas.openxmlformats.org/officeDocument/2006/relationships/image" Target="../media/image102.emf"/><Relationship Id="rId9" Type="http://schemas.openxmlformats.org/officeDocument/2006/relationships/image" Target="../media/image107.emf"/><Relationship Id="rId14" Type="http://schemas.openxmlformats.org/officeDocument/2006/relationships/image" Target="../media/image112.emf"/><Relationship Id="rId22" Type="http://schemas.openxmlformats.org/officeDocument/2006/relationships/image" Target="../media/image120.emf"/><Relationship Id="rId27" Type="http://schemas.openxmlformats.org/officeDocument/2006/relationships/image" Target="../media/image125.emf"/><Relationship Id="rId30" Type="http://schemas.openxmlformats.org/officeDocument/2006/relationships/image" Target="../media/image128.emf"/><Relationship Id="rId35" Type="http://schemas.openxmlformats.org/officeDocument/2006/relationships/image" Target="../media/image133.emf"/><Relationship Id="rId43" Type="http://schemas.openxmlformats.org/officeDocument/2006/relationships/image" Target="../media/image141.emf"/></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9.emf"/></Relationships>
</file>

<file path=xl/drawings/drawing1.xml><?xml version="1.0" encoding="utf-8"?>
<xdr:wsDr xmlns:xdr="http://schemas.openxmlformats.org/drawingml/2006/spreadsheetDrawing" xmlns:a="http://schemas.openxmlformats.org/drawingml/2006/main">
  <xdr:twoCellAnchor>
    <xdr:from>
      <xdr:col>11</xdr:col>
      <xdr:colOff>1320800</xdr:colOff>
      <xdr:row>4</xdr:row>
      <xdr:rowOff>19050</xdr:rowOff>
    </xdr:from>
    <xdr:to>
      <xdr:col>20</xdr:col>
      <xdr:colOff>783409</xdr:colOff>
      <xdr:row>11</xdr:row>
      <xdr:rowOff>21669</xdr:rowOff>
    </xdr:to>
    <xdr:grpSp>
      <xdr:nvGrpSpPr>
        <xdr:cNvPr id="2" name="Group 1">
          <a:extLst>
            <a:ext uri="{FF2B5EF4-FFF2-40B4-BE49-F238E27FC236}">
              <a16:creationId xmlns:a16="http://schemas.microsoft.com/office/drawing/2014/main" xmlns="" id="{07AC1C7A-B58A-4352-B0E7-E4039A0158AD}"/>
            </a:ext>
          </a:extLst>
        </xdr:cNvPr>
        <xdr:cNvGrpSpPr/>
      </xdr:nvGrpSpPr>
      <xdr:grpSpPr>
        <a:xfrm>
          <a:off x="10632440" y="1786890"/>
          <a:ext cx="8850449" cy="4483179"/>
          <a:chOff x="10325100" y="1739900"/>
          <a:chExt cx="9051109" cy="4447619"/>
        </a:xfrm>
      </xdr:grpSpPr>
      <xdr:pic>
        <xdr:nvPicPr>
          <xdr:cNvPr id="3" name="Picture 2">
            <a:extLst>
              <a:ext uri="{FF2B5EF4-FFF2-40B4-BE49-F238E27FC236}">
                <a16:creationId xmlns:a16="http://schemas.microsoft.com/office/drawing/2014/main" xmlns="" id="{33D060E9-C900-4C8C-AEF2-7572D5D20537}"/>
              </a:ext>
            </a:extLst>
          </xdr:cNvPr>
          <xdr:cNvPicPr>
            <a:picLocks noChangeAspect="1"/>
          </xdr:cNvPicPr>
        </xdr:nvPicPr>
        <xdr:blipFill>
          <a:blip xmlns:r="http://schemas.openxmlformats.org/officeDocument/2006/relationships" r:embed="rId1"/>
          <a:stretch>
            <a:fillRect/>
          </a:stretch>
        </xdr:blipFill>
        <xdr:spPr>
          <a:xfrm>
            <a:off x="12852400" y="1739900"/>
            <a:ext cx="6523809" cy="4447619"/>
          </a:xfrm>
          <a:prstGeom prst="rect">
            <a:avLst/>
          </a:prstGeom>
        </xdr:spPr>
      </xdr:pic>
      <xdr:pic>
        <xdr:nvPicPr>
          <xdr:cNvPr id="4" name="Picture 3">
            <a:extLst>
              <a:ext uri="{FF2B5EF4-FFF2-40B4-BE49-F238E27FC236}">
                <a16:creationId xmlns:a16="http://schemas.microsoft.com/office/drawing/2014/main" xmlns="" id="{E33AD253-28D5-4BA9-8B97-6B6ED6B9206D}"/>
              </a:ext>
            </a:extLst>
          </xdr:cNvPr>
          <xdr:cNvPicPr>
            <a:picLocks noChangeAspect="1"/>
          </xdr:cNvPicPr>
        </xdr:nvPicPr>
        <xdr:blipFill>
          <a:blip xmlns:r="http://schemas.openxmlformats.org/officeDocument/2006/relationships" r:embed="rId2"/>
          <a:stretch>
            <a:fillRect/>
          </a:stretch>
        </xdr:blipFill>
        <xdr:spPr>
          <a:xfrm>
            <a:off x="10325100" y="2413000"/>
            <a:ext cx="2336800" cy="3404750"/>
          </a:xfrm>
          <a:prstGeom prst="rect">
            <a:avLst/>
          </a:prstGeom>
        </xdr:spPr>
      </xdr:pic>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34570</xdr:colOff>
      <xdr:row>48</xdr:row>
      <xdr:rowOff>406684</xdr:rowOff>
    </xdr:from>
    <xdr:to>
      <xdr:col>17</xdr:col>
      <xdr:colOff>929919</xdr:colOff>
      <xdr:row>54</xdr:row>
      <xdr:rowOff>181938</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95251</xdr:colOff>
      <xdr:row>1</xdr:row>
      <xdr:rowOff>66675</xdr:rowOff>
    </xdr:from>
    <xdr:to>
      <xdr:col>2</xdr:col>
      <xdr:colOff>684945</xdr:colOff>
      <xdr:row>1</xdr:row>
      <xdr:rowOff>447675</xdr:rowOff>
    </xdr:to>
    <xdr:pic>
      <xdr:nvPicPr>
        <xdr:cNvPr id="3" name="Picture 1" descr="Logo BITG">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6" y="24765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738455</xdr:colOff>
      <xdr:row>1</xdr:row>
      <xdr:rowOff>117725</xdr:rowOff>
    </xdr:from>
    <xdr:ext cx="3891706" cy="291234"/>
    <xdr:sp macro="" textlink="">
      <xdr:nvSpPr>
        <xdr:cNvPr id="4" name="TextBox 3">
          <a:extLst>
            <a:ext uri="{FF2B5EF4-FFF2-40B4-BE49-F238E27FC236}">
              <a16:creationId xmlns="" xmlns:a16="http://schemas.microsoft.com/office/drawing/2014/main" id="{00000000-0008-0000-0100-000005000000}"/>
            </a:ext>
          </a:extLst>
        </xdr:cNvPr>
        <xdr:cNvSpPr txBox="1"/>
      </xdr:nvSpPr>
      <xdr:spPr>
        <a:xfrm>
          <a:off x="1052780" y="298700"/>
          <a:ext cx="389170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1100" b="1">
              <a:latin typeface="Arial Black" panose="020B0A04020102020204" pitchFamily="34" charset="0"/>
            </a:rPr>
            <a:t>BODYNITS INTERNATIONAL TIEN GIANG (BITG)</a:t>
          </a: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2</xdr:col>
      <xdr:colOff>34570</xdr:colOff>
      <xdr:row>51</xdr:row>
      <xdr:rowOff>406684</xdr:rowOff>
    </xdr:from>
    <xdr:to>
      <xdr:col>17</xdr:col>
      <xdr:colOff>929919</xdr:colOff>
      <xdr:row>57</xdr:row>
      <xdr:rowOff>181938</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95251</xdr:colOff>
      <xdr:row>1</xdr:row>
      <xdr:rowOff>66675</xdr:rowOff>
    </xdr:from>
    <xdr:to>
      <xdr:col>2</xdr:col>
      <xdr:colOff>684945</xdr:colOff>
      <xdr:row>1</xdr:row>
      <xdr:rowOff>447675</xdr:rowOff>
    </xdr:to>
    <xdr:pic>
      <xdr:nvPicPr>
        <xdr:cNvPr id="3" name="Picture 1" descr="Logo BITG">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6" y="24765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738455</xdr:colOff>
      <xdr:row>1</xdr:row>
      <xdr:rowOff>117725</xdr:rowOff>
    </xdr:from>
    <xdr:ext cx="3891706" cy="291234"/>
    <xdr:sp macro="" textlink="">
      <xdr:nvSpPr>
        <xdr:cNvPr id="4" name="TextBox 3">
          <a:extLst>
            <a:ext uri="{FF2B5EF4-FFF2-40B4-BE49-F238E27FC236}">
              <a16:creationId xmlns="" xmlns:a16="http://schemas.microsoft.com/office/drawing/2014/main" id="{00000000-0008-0000-0100-000005000000}"/>
            </a:ext>
          </a:extLst>
        </xdr:cNvPr>
        <xdr:cNvSpPr txBox="1"/>
      </xdr:nvSpPr>
      <xdr:spPr>
        <a:xfrm>
          <a:off x="1052780" y="298700"/>
          <a:ext cx="389170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1100" b="1">
              <a:latin typeface="Arial Black" panose="020B0A04020102020204" pitchFamily="34" charset="0"/>
            </a:rPr>
            <a:t>BODYNITS INTERNATIONAL TIEN GIANG (BITG)</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6</xdr:col>
      <xdr:colOff>323849</xdr:colOff>
      <xdr:row>6</xdr:row>
      <xdr:rowOff>0</xdr:rowOff>
    </xdr:from>
    <xdr:to>
      <xdr:col>9</xdr:col>
      <xdr:colOff>561974</xdr:colOff>
      <xdr:row>6</xdr:row>
      <xdr:rowOff>0</xdr:rowOff>
    </xdr:to>
    <xdr:sp macro="" textlink="">
      <xdr:nvSpPr>
        <xdr:cNvPr id="2" name="Rectangle 1">
          <a:extLst>
            <a:ext uri="{FF2B5EF4-FFF2-40B4-BE49-F238E27FC236}">
              <a16:creationId xmlns:a16="http://schemas.microsoft.com/office/drawing/2014/main" xmlns="" id="{5D63D521-790F-457D-A95E-F77DD49BD4C3}"/>
            </a:ext>
          </a:extLst>
        </xdr:cNvPr>
        <xdr:cNvSpPr/>
      </xdr:nvSpPr>
      <xdr:spPr bwMode="auto">
        <a:xfrm rot="5400000">
          <a:off x="7881937" y="461962"/>
          <a:ext cx="0" cy="3629025"/>
        </a:xfrm>
        <a:prstGeom prst="rect">
          <a:avLst/>
        </a:prstGeom>
        <a:solidFill>
          <a:schemeClr val="bg1">
            <a:lumMod val="85000"/>
          </a:schemeClr>
        </a:solidFill>
        <a:ln w="9525" cap="flat" cmpd="sng" algn="ctr">
          <a:solidFill>
            <a:schemeClr val="accent1"/>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sz="1000"/>
            <a:t>LONG</a:t>
          </a:r>
          <a:r>
            <a:rPr lang="en-US" sz="1000" baseline="0"/>
            <a:t> TABLE</a:t>
          </a:r>
          <a:endParaRPr lang="id-ID" sz="1000"/>
        </a:p>
      </xdr:txBody>
    </xdr:sp>
    <xdr:clientData/>
  </xdr:twoCellAnchor>
  <xdr:twoCellAnchor>
    <xdr:from>
      <xdr:col>5</xdr:col>
      <xdr:colOff>923703</xdr:colOff>
      <xdr:row>6</xdr:row>
      <xdr:rowOff>95250</xdr:rowOff>
    </xdr:from>
    <xdr:to>
      <xdr:col>6</xdr:col>
      <xdr:colOff>888547</xdr:colOff>
      <xdr:row>7</xdr:row>
      <xdr:rowOff>566852</xdr:rowOff>
    </xdr:to>
    <xdr:sp macro="" textlink="">
      <xdr:nvSpPr>
        <xdr:cNvPr id="3" name="Rectangle 2">
          <a:extLst>
            <a:ext uri="{FF2B5EF4-FFF2-40B4-BE49-F238E27FC236}">
              <a16:creationId xmlns:a16="http://schemas.microsoft.com/office/drawing/2014/main" xmlns="" id="{2C9D1384-A967-4042-A255-120A32305600}"/>
            </a:ext>
          </a:extLst>
        </xdr:cNvPr>
        <xdr:cNvSpPr/>
      </xdr:nvSpPr>
      <xdr:spPr bwMode="auto">
        <a:xfrm flipH="1">
          <a:off x="4714653" y="2371725"/>
          <a:ext cx="1917469" cy="709727"/>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PACKING</a:t>
          </a:r>
          <a:endParaRPr lang="id-ID">
            <a:effectLst/>
          </a:endParaRPr>
        </a:p>
      </xdr:txBody>
    </xdr:sp>
    <xdr:clientData/>
  </xdr:twoCellAnchor>
  <xdr:oneCellAnchor>
    <xdr:from>
      <xdr:col>1</xdr:col>
      <xdr:colOff>561974</xdr:colOff>
      <xdr:row>1</xdr:row>
      <xdr:rowOff>47626</xdr:rowOff>
    </xdr:from>
    <xdr:ext cx="3876676" cy="291234"/>
    <xdr:sp macro="" textlink="">
      <xdr:nvSpPr>
        <xdr:cNvPr id="4" name="TextBox 3">
          <a:extLst>
            <a:ext uri="{FF2B5EF4-FFF2-40B4-BE49-F238E27FC236}">
              <a16:creationId xmlns:a16="http://schemas.microsoft.com/office/drawing/2014/main" xmlns="" id="{54B47921-13E2-4043-B9FC-4523B17C278C}"/>
            </a:ext>
          </a:extLst>
        </xdr:cNvPr>
        <xdr:cNvSpPr txBox="1"/>
      </xdr:nvSpPr>
      <xdr:spPr>
        <a:xfrm>
          <a:off x="1009649" y="142876"/>
          <a:ext cx="387667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SG" sz="1100" b="1">
              <a:latin typeface="Arial Black" panose="020B0A04020102020204" pitchFamily="34" charset="0"/>
            </a:rPr>
            <a:t>BODYNITS INTERNATIONAL TIEN GIANG (BITG)</a:t>
          </a:r>
        </a:p>
      </xdr:txBody>
    </xdr:sp>
    <xdr:clientData/>
  </xdr:oneCellAnchor>
  <xdr:twoCellAnchor>
    <xdr:from>
      <xdr:col>1</xdr:col>
      <xdr:colOff>57150</xdr:colOff>
      <xdr:row>1</xdr:row>
      <xdr:rowOff>57150</xdr:rowOff>
    </xdr:from>
    <xdr:to>
      <xdr:col>1</xdr:col>
      <xdr:colOff>646844</xdr:colOff>
      <xdr:row>1</xdr:row>
      <xdr:rowOff>438150</xdr:rowOff>
    </xdr:to>
    <xdr:pic>
      <xdr:nvPicPr>
        <xdr:cNvPr id="5" name="Picture 1" descr="Logo BITG">
          <a:extLst>
            <a:ext uri="{FF2B5EF4-FFF2-40B4-BE49-F238E27FC236}">
              <a16:creationId xmlns:a16="http://schemas.microsoft.com/office/drawing/2014/main" xmlns="" id="{718F30F5-3413-4E76-9D35-2C2405C9D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15240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1498490</xdr:colOff>
      <xdr:row>9</xdr:row>
      <xdr:rowOff>163285</xdr:rowOff>
    </xdr:from>
    <xdr:to>
      <xdr:col>6</xdr:col>
      <xdr:colOff>381003</xdr:colOff>
      <xdr:row>147</xdr:row>
      <xdr:rowOff>231320</xdr:rowOff>
    </xdr:to>
    <xdr:sp macro="" textlink="">
      <xdr:nvSpPr>
        <xdr:cNvPr id="6" name="Rectangle 5">
          <a:extLst>
            <a:ext uri="{FF2B5EF4-FFF2-40B4-BE49-F238E27FC236}">
              <a16:creationId xmlns:a16="http://schemas.microsoft.com/office/drawing/2014/main" xmlns="" id="{0064DF82-AF18-4489-AAD3-4FDFD412E65D}"/>
            </a:ext>
          </a:extLst>
        </xdr:cNvPr>
        <xdr:cNvSpPr/>
      </xdr:nvSpPr>
      <xdr:spPr>
        <a:xfrm>
          <a:off x="5294883" y="4190999"/>
          <a:ext cx="841941" cy="3140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1744664</xdr:colOff>
      <xdr:row>9</xdr:row>
      <xdr:rowOff>189657</xdr:rowOff>
    </xdr:from>
    <xdr:to>
      <xdr:col>6</xdr:col>
      <xdr:colOff>130517</xdr:colOff>
      <xdr:row>147</xdr:row>
      <xdr:rowOff>244991</xdr:rowOff>
    </xdr:to>
    <xdr:sp macro="" textlink="">
      <xdr:nvSpPr>
        <xdr:cNvPr id="7" name="Up Arrow 69">
          <a:extLst>
            <a:ext uri="{FF2B5EF4-FFF2-40B4-BE49-F238E27FC236}">
              <a16:creationId xmlns:a16="http://schemas.microsoft.com/office/drawing/2014/main" xmlns="" id="{814BC888-8FF7-4F8F-A578-AE06B4D6C5D5}"/>
            </a:ext>
          </a:extLst>
        </xdr:cNvPr>
        <xdr:cNvSpPr/>
      </xdr:nvSpPr>
      <xdr:spPr>
        <a:xfrm>
          <a:off x="5535614" y="4218732"/>
          <a:ext cx="338478" cy="35364509"/>
        </a:xfrm>
        <a:prstGeom prst="up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923702</xdr:colOff>
      <xdr:row>7</xdr:row>
      <xdr:rowOff>639536</xdr:rowOff>
    </xdr:from>
    <xdr:to>
      <xdr:col>6</xdr:col>
      <xdr:colOff>888546</xdr:colOff>
      <xdr:row>8</xdr:row>
      <xdr:rowOff>122464</xdr:rowOff>
    </xdr:to>
    <xdr:sp macro="" textlink="">
      <xdr:nvSpPr>
        <xdr:cNvPr id="8" name="Rectangle 7">
          <a:extLst>
            <a:ext uri="{FF2B5EF4-FFF2-40B4-BE49-F238E27FC236}">
              <a16:creationId xmlns:a16="http://schemas.microsoft.com/office/drawing/2014/main" xmlns="" id="{75EBA883-F67E-4799-98B6-D8946FA91CCF}"/>
            </a:ext>
          </a:extLst>
        </xdr:cNvPr>
        <xdr:cNvSpPr/>
      </xdr:nvSpPr>
      <xdr:spPr bwMode="auto">
        <a:xfrm flipH="1">
          <a:off x="4714652" y="3154136"/>
          <a:ext cx="1917469" cy="749753"/>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CHECKING</a:t>
          </a:r>
          <a:endParaRPr lang="id-ID">
            <a:effectLst/>
          </a:endParaRPr>
        </a:p>
      </xdr:txBody>
    </xdr:sp>
    <xdr:clientData/>
  </xdr:twoCellAnchor>
  <xdr:twoCellAnchor>
    <xdr:from>
      <xdr:col>5</xdr:col>
      <xdr:colOff>530678</xdr:colOff>
      <xdr:row>148</xdr:row>
      <xdr:rowOff>13609</xdr:rowOff>
    </xdr:from>
    <xdr:to>
      <xdr:col>7</xdr:col>
      <xdr:colOff>299357</xdr:colOff>
      <xdr:row>150</xdr:row>
      <xdr:rowOff>176893</xdr:rowOff>
    </xdr:to>
    <xdr:sp macro="" textlink="">
      <xdr:nvSpPr>
        <xdr:cNvPr id="9" name="Rectangle: Rounded Corners 14">
          <a:extLst>
            <a:ext uri="{FF2B5EF4-FFF2-40B4-BE49-F238E27FC236}">
              <a16:creationId xmlns:a16="http://schemas.microsoft.com/office/drawing/2014/main" xmlns="" id="{DBACEDB1-0455-4FDE-892A-E969DC5C233C}"/>
            </a:ext>
          </a:extLst>
        </xdr:cNvPr>
        <xdr:cNvSpPr/>
      </xdr:nvSpPr>
      <xdr:spPr>
        <a:xfrm>
          <a:off x="4321628" y="39704284"/>
          <a:ext cx="2683329" cy="73478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t>LINE</a:t>
          </a:r>
        </a:p>
      </xdr:txBody>
    </xdr:sp>
    <xdr:clientData/>
  </xdr:twoCellAnchor>
  <xdr:twoCellAnchor>
    <xdr:from>
      <xdr:col>11</xdr:col>
      <xdr:colOff>418800</xdr:colOff>
      <xdr:row>155</xdr:row>
      <xdr:rowOff>272138</xdr:rowOff>
    </xdr:from>
    <xdr:to>
      <xdr:col>11</xdr:col>
      <xdr:colOff>666750</xdr:colOff>
      <xdr:row>157</xdr:row>
      <xdr:rowOff>217710</xdr:rowOff>
    </xdr:to>
    <xdr:grpSp>
      <xdr:nvGrpSpPr>
        <xdr:cNvPr id="10" name="Group 9">
          <a:extLst>
            <a:ext uri="{FF2B5EF4-FFF2-40B4-BE49-F238E27FC236}">
              <a16:creationId xmlns:a16="http://schemas.microsoft.com/office/drawing/2014/main" xmlns="" id="{129906CF-0658-420B-B463-3B81235B0D11}"/>
            </a:ext>
          </a:extLst>
        </xdr:cNvPr>
        <xdr:cNvGrpSpPr/>
      </xdr:nvGrpSpPr>
      <xdr:grpSpPr>
        <a:xfrm rot="10800000">
          <a:off x="11040283" y="37774057"/>
          <a:ext cx="247950" cy="521502"/>
          <a:chOff x="1194406" y="32874856"/>
          <a:chExt cx="606586" cy="942183"/>
        </a:xfrm>
      </xdr:grpSpPr>
      <xdr:sp macro="" textlink="">
        <xdr:nvSpPr>
          <xdr:cNvPr id="11" name="Moon 10">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2" name="Oval 11">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446016</xdr:colOff>
      <xdr:row>144</xdr:row>
      <xdr:rowOff>40817</xdr:rowOff>
    </xdr:from>
    <xdr:to>
      <xdr:col>12</xdr:col>
      <xdr:colOff>2</xdr:colOff>
      <xdr:row>145</xdr:row>
      <xdr:rowOff>272139</xdr:rowOff>
    </xdr:to>
    <xdr:grpSp>
      <xdr:nvGrpSpPr>
        <xdr:cNvPr id="16" name="Group 15">
          <a:extLst>
            <a:ext uri="{FF2B5EF4-FFF2-40B4-BE49-F238E27FC236}">
              <a16:creationId xmlns:a16="http://schemas.microsoft.com/office/drawing/2014/main" xmlns="" id="{129906CF-0658-420B-B463-3B81235B0D11}"/>
            </a:ext>
          </a:extLst>
        </xdr:cNvPr>
        <xdr:cNvGrpSpPr/>
      </xdr:nvGrpSpPr>
      <xdr:grpSpPr>
        <a:xfrm rot="10800000">
          <a:off x="11067499" y="34208986"/>
          <a:ext cx="251747" cy="519287"/>
          <a:chOff x="1194406" y="32874856"/>
          <a:chExt cx="606586" cy="942183"/>
        </a:xfrm>
      </xdr:grpSpPr>
      <xdr:sp macro="" textlink="">
        <xdr:nvSpPr>
          <xdr:cNvPr id="17" name="Moon 16">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8" name="Oval 17">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136072</xdr:colOff>
      <xdr:row>150</xdr:row>
      <xdr:rowOff>231321</xdr:rowOff>
    </xdr:from>
    <xdr:to>
      <xdr:col>11</xdr:col>
      <xdr:colOff>421821</xdr:colOff>
      <xdr:row>160</xdr:row>
      <xdr:rowOff>201384</xdr:rowOff>
    </xdr:to>
    <xdr:grpSp>
      <xdr:nvGrpSpPr>
        <xdr:cNvPr id="20" name="Group 19"/>
        <xdr:cNvGrpSpPr/>
      </xdr:nvGrpSpPr>
      <xdr:grpSpPr>
        <a:xfrm>
          <a:off x="5873223" y="36193734"/>
          <a:ext cx="5170081" cy="3049074"/>
          <a:chOff x="5891893" y="49339500"/>
          <a:chExt cx="5806168" cy="2582635"/>
        </a:xfrm>
      </xdr:grpSpPr>
      <xdr:pic>
        <xdr:nvPicPr>
          <xdr:cNvPr id="21" name="Picture 2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91893" y="49339500"/>
            <a:ext cx="1443718" cy="2581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Picture 2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07036" y="50591357"/>
            <a:ext cx="4391025" cy="133077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 name="Picture 2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07035" y="49339500"/>
            <a:ext cx="4391025" cy="125866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459621</xdr:colOff>
      <xdr:row>127</xdr:row>
      <xdr:rowOff>122460</xdr:rowOff>
    </xdr:from>
    <xdr:to>
      <xdr:col>12</xdr:col>
      <xdr:colOff>13607</xdr:colOff>
      <xdr:row>129</xdr:row>
      <xdr:rowOff>54425</xdr:rowOff>
    </xdr:to>
    <xdr:grpSp>
      <xdr:nvGrpSpPr>
        <xdr:cNvPr id="32" name="Group 31">
          <a:extLst>
            <a:ext uri="{FF2B5EF4-FFF2-40B4-BE49-F238E27FC236}">
              <a16:creationId xmlns:a16="http://schemas.microsoft.com/office/drawing/2014/main" xmlns="" id="{129906CF-0658-420B-B463-3B81235B0D11}"/>
            </a:ext>
          </a:extLst>
        </xdr:cNvPr>
        <xdr:cNvGrpSpPr/>
      </xdr:nvGrpSpPr>
      <xdr:grpSpPr>
        <a:xfrm rot="10800000">
          <a:off x="11081104" y="30314495"/>
          <a:ext cx="251747" cy="518971"/>
          <a:chOff x="1194406" y="32874856"/>
          <a:chExt cx="606586" cy="942183"/>
        </a:xfrm>
      </xdr:grpSpPr>
      <xdr:sp macro="" textlink="">
        <xdr:nvSpPr>
          <xdr:cNvPr id="33" name="Moon 32">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4" name="Oval 33">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446014</xdr:colOff>
      <xdr:row>92</xdr:row>
      <xdr:rowOff>176891</xdr:rowOff>
    </xdr:from>
    <xdr:to>
      <xdr:col>12</xdr:col>
      <xdr:colOff>0</xdr:colOff>
      <xdr:row>94</xdr:row>
      <xdr:rowOff>244927</xdr:rowOff>
    </xdr:to>
    <xdr:grpSp>
      <xdr:nvGrpSpPr>
        <xdr:cNvPr id="35" name="Group 34">
          <a:extLst>
            <a:ext uri="{FF2B5EF4-FFF2-40B4-BE49-F238E27FC236}">
              <a16:creationId xmlns:a16="http://schemas.microsoft.com/office/drawing/2014/main" xmlns="" id="{129906CF-0658-420B-B463-3B81235B0D11}"/>
            </a:ext>
          </a:extLst>
        </xdr:cNvPr>
        <xdr:cNvGrpSpPr/>
      </xdr:nvGrpSpPr>
      <xdr:grpSpPr>
        <a:xfrm rot="10800000">
          <a:off x="11067497" y="22837531"/>
          <a:ext cx="251747" cy="501534"/>
          <a:chOff x="1194406" y="32874856"/>
          <a:chExt cx="606586" cy="942183"/>
        </a:xfrm>
      </xdr:grpSpPr>
      <xdr:sp macro="" textlink="">
        <xdr:nvSpPr>
          <xdr:cNvPr id="36" name="Moon 3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7" name="Oval 3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13607</xdr:colOff>
      <xdr:row>133</xdr:row>
      <xdr:rowOff>122460</xdr:rowOff>
    </xdr:from>
    <xdr:to>
      <xdr:col>0</xdr:col>
      <xdr:colOff>261557</xdr:colOff>
      <xdr:row>135</xdr:row>
      <xdr:rowOff>231319</xdr:rowOff>
    </xdr:to>
    <xdr:grpSp>
      <xdr:nvGrpSpPr>
        <xdr:cNvPr id="39" name="Group 38">
          <a:extLst>
            <a:ext uri="{FF2B5EF4-FFF2-40B4-BE49-F238E27FC236}">
              <a16:creationId xmlns:a16="http://schemas.microsoft.com/office/drawing/2014/main" xmlns="" id="{3BCB394B-241A-4581-BC5E-3DBD9D07A2BE}"/>
            </a:ext>
          </a:extLst>
        </xdr:cNvPr>
        <xdr:cNvGrpSpPr/>
      </xdr:nvGrpSpPr>
      <xdr:grpSpPr>
        <a:xfrm>
          <a:off x="13607" y="32141966"/>
          <a:ext cx="247950" cy="507580"/>
          <a:chOff x="1194406" y="32874856"/>
          <a:chExt cx="606586" cy="942183"/>
        </a:xfrm>
      </xdr:grpSpPr>
      <xdr:sp macro="" textlink="">
        <xdr:nvSpPr>
          <xdr:cNvPr id="40" name="Moon 39">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41" name="Oval 40">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13607</xdr:colOff>
      <xdr:row>120</xdr:row>
      <xdr:rowOff>58509</xdr:rowOff>
    </xdr:from>
    <xdr:to>
      <xdr:col>0</xdr:col>
      <xdr:colOff>261557</xdr:colOff>
      <xdr:row>122</xdr:row>
      <xdr:rowOff>136069</xdr:rowOff>
    </xdr:to>
    <xdr:grpSp>
      <xdr:nvGrpSpPr>
        <xdr:cNvPr id="43" name="Group 42">
          <a:extLst>
            <a:ext uri="{FF2B5EF4-FFF2-40B4-BE49-F238E27FC236}">
              <a16:creationId xmlns:a16="http://schemas.microsoft.com/office/drawing/2014/main" xmlns="" id="{3BCB394B-241A-4581-BC5E-3DBD9D07A2BE}"/>
            </a:ext>
          </a:extLst>
        </xdr:cNvPr>
        <xdr:cNvGrpSpPr/>
      </xdr:nvGrpSpPr>
      <xdr:grpSpPr>
        <a:xfrm>
          <a:off x="13607" y="28877172"/>
          <a:ext cx="247950" cy="520583"/>
          <a:chOff x="1194406" y="32874856"/>
          <a:chExt cx="606586" cy="942183"/>
        </a:xfrm>
      </xdr:grpSpPr>
      <xdr:sp macro="" textlink="">
        <xdr:nvSpPr>
          <xdr:cNvPr id="44" name="Moon 4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45" name="Oval 4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0</xdr:colOff>
      <xdr:row>104</xdr:row>
      <xdr:rowOff>27212</xdr:rowOff>
    </xdr:from>
    <xdr:to>
      <xdr:col>0</xdr:col>
      <xdr:colOff>247950</xdr:colOff>
      <xdr:row>106</xdr:row>
      <xdr:rowOff>136071</xdr:rowOff>
    </xdr:to>
    <xdr:grpSp>
      <xdr:nvGrpSpPr>
        <xdr:cNvPr id="51" name="Group 50">
          <a:extLst>
            <a:ext uri="{FF2B5EF4-FFF2-40B4-BE49-F238E27FC236}">
              <a16:creationId xmlns:a16="http://schemas.microsoft.com/office/drawing/2014/main" xmlns="" id="{3BCB394B-241A-4581-BC5E-3DBD9D07A2BE}"/>
            </a:ext>
          </a:extLst>
        </xdr:cNvPr>
        <xdr:cNvGrpSpPr/>
      </xdr:nvGrpSpPr>
      <xdr:grpSpPr>
        <a:xfrm>
          <a:off x="0" y="25345991"/>
          <a:ext cx="247950" cy="507580"/>
          <a:chOff x="1194406" y="32874856"/>
          <a:chExt cx="606586" cy="942183"/>
        </a:xfrm>
      </xdr:grpSpPr>
      <xdr:sp macro="" textlink="">
        <xdr:nvSpPr>
          <xdr:cNvPr id="52" name="Moon 51">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53" name="Oval 52">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27214</xdr:colOff>
      <xdr:row>85</xdr:row>
      <xdr:rowOff>244925</xdr:rowOff>
    </xdr:from>
    <xdr:to>
      <xdr:col>0</xdr:col>
      <xdr:colOff>275164</xdr:colOff>
      <xdr:row>88</xdr:row>
      <xdr:rowOff>72114</xdr:rowOff>
    </xdr:to>
    <xdr:grpSp>
      <xdr:nvGrpSpPr>
        <xdr:cNvPr id="55" name="Group 54">
          <a:extLst>
            <a:ext uri="{FF2B5EF4-FFF2-40B4-BE49-F238E27FC236}">
              <a16:creationId xmlns:a16="http://schemas.microsoft.com/office/drawing/2014/main" xmlns="" id="{3BCB394B-241A-4581-BC5E-3DBD9D07A2BE}"/>
            </a:ext>
          </a:extLst>
        </xdr:cNvPr>
        <xdr:cNvGrpSpPr/>
      </xdr:nvGrpSpPr>
      <xdr:grpSpPr>
        <a:xfrm>
          <a:off x="27214" y="21323307"/>
          <a:ext cx="247950" cy="523400"/>
          <a:chOff x="1194406" y="32874856"/>
          <a:chExt cx="606586" cy="942183"/>
        </a:xfrm>
      </xdr:grpSpPr>
      <xdr:sp macro="" textlink="">
        <xdr:nvSpPr>
          <xdr:cNvPr id="56" name="Moon 55">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57" name="Oval 56">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459621</xdr:colOff>
      <xdr:row>76</xdr:row>
      <xdr:rowOff>163283</xdr:rowOff>
    </xdr:from>
    <xdr:to>
      <xdr:col>12</xdr:col>
      <xdr:colOff>13607</xdr:colOff>
      <xdr:row>79</xdr:row>
      <xdr:rowOff>27211</xdr:rowOff>
    </xdr:to>
    <xdr:grpSp>
      <xdr:nvGrpSpPr>
        <xdr:cNvPr id="73" name="Group 72">
          <a:extLst>
            <a:ext uri="{FF2B5EF4-FFF2-40B4-BE49-F238E27FC236}">
              <a16:creationId xmlns:a16="http://schemas.microsoft.com/office/drawing/2014/main" xmlns="" id="{129906CF-0658-420B-B463-3B81235B0D11}"/>
            </a:ext>
          </a:extLst>
        </xdr:cNvPr>
        <xdr:cNvGrpSpPr/>
      </xdr:nvGrpSpPr>
      <xdr:grpSpPr>
        <a:xfrm rot="10800000">
          <a:off x="11081104" y="19279736"/>
          <a:ext cx="251747" cy="506312"/>
          <a:chOff x="1194406" y="32874856"/>
          <a:chExt cx="606586" cy="942183"/>
        </a:xfrm>
      </xdr:grpSpPr>
      <xdr:sp macro="" textlink="">
        <xdr:nvSpPr>
          <xdr:cNvPr id="74" name="Moon 73">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75" name="Oval 74">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459622</xdr:colOff>
      <xdr:row>58</xdr:row>
      <xdr:rowOff>194579</xdr:rowOff>
    </xdr:from>
    <xdr:to>
      <xdr:col>12</xdr:col>
      <xdr:colOff>13608</xdr:colOff>
      <xdr:row>61</xdr:row>
      <xdr:rowOff>68032</xdr:rowOff>
    </xdr:to>
    <xdr:grpSp>
      <xdr:nvGrpSpPr>
        <xdr:cNvPr id="77" name="Group 76">
          <a:extLst>
            <a:ext uri="{FF2B5EF4-FFF2-40B4-BE49-F238E27FC236}">
              <a16:creationId xmlns:a16="http://schemas.microsoft.com/office/drawing/2014/main" xmlns="" id="{129906CF-0658-420B-B463-3B81235B0D11}"/>
            </a:ext>
          </a:extLst>
        </xdr:cNvPr>
        <xdr:cNvGrpSpPr/>
      </xdr:nvGrpSpPr>
      <xdr:grpSpPr>
        <a:xfrm rot="10800000">
          <a:off x="11081105" y="15279521"/>
          <a:ext cx="251747" cy="515837"/>
          <a:chOff x="1194406" y="32874856"/>
          <a:chExt cx="606586" cy="942183"/>
        </a:xfrm>
      </xdr:grpSpPr>
      <xdr:sp macro="" textlink="">
        <xdr:nvSpPr>
          <xdr:cNvPr id="78" name="Moon 77">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79" name="Oval 78">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13608</xdr:colOff>
      <xdr:row>67</xdr:row>
      <xdr:rowOff>149675</xdr:rowOff>
    </xdr:from>
    <xdr:to>
      <xdr:col>0</xdr:col>
      <xdr:colOff>261558</xdr:colOff>
      <xdr:row>70</xdr:row>
      <xdr:rowOff>13604</xdr:rowOff>
    </xdr:to>
    <xdr:grpSp>
      <xdr:nvGrpSpPr>
        <xdr:cNvPr id="80" name="Group 79">
          <a:extLst>
            <a:ext uri="{FF2B5EF4-FFF2-40B4-BE49-F238E27FC236}">
              <a16:creationId xmlns:a16="http://schemas.microsoft.com/office/drawing/2014/main" xmlns="" id="{3BCB394B-241A-4581-BC5E-3DBD9D07A2BE}"/>
            </a:ext>
          </a:extLst>
        </xdr:cNvPr>
        <xdr:cNvGrpSpPr/>
      </xdr:nvGrpSpPr>
      <xdr:grpSpPr>
        <a:xfrm>
          <a:off x="13608" y="17250373"/>
          <a:ext cx="247950" cy="506312"/>
          <a:chOff x="1194406" y="32874856"/>
          <a:chExt cx="606586" cy="942183"/>
        </a:xfrm>
      </xdr:grpSpPr>
      <xdr:sp macro="" textlink="">
        <xdr:nvSpPr>
          <xdr:cNvPr id="81" name="Moon 80">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82" name="Oval 81">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446013</xdr:colOff>
      <xdr:row>42</xdr:row>
      <xdr:rowOff>167364</xdr:rowOff>
    </xdr:from>
    <xdr:to>
      <xdr:col>11</xdr:col>
      <xdr:colOff>693963</xdr:colOff>
      <xdr:row>45</xdr:row>
      <xdr:rowOff>40819</xdr:rowOff>
    </xdr:to>
    <xdr:grpSp>
      <xdr:nvGrpSpPr>
        <xdr:cNvPr id="88" name="Group 87">
          <a:extLst>
            <a:ext uri="{FF2B5EF4-FFF2-40B4-BE49-F238E27FC236}">
              <a16:creationId xmlns:a16="http://schemas.microsoft.com/office/drawing/2014/main" xmlns="" id="{129906CF-0658-420B-B463-3B81235B0D11}"/>
            </a:ext>
          </a:extLst>
        </xdr:cNvPr>
        <xdr:cNvGrpSpPr/>
      </xdr:nvGrpSpPr>
      <xdr:grpSpPr>
        <a:xfrm rot="10800000">
          <a:off x="11067496" y="11663817"/>
          <a:ext cx="247950" cy="515839"/>
          <a:chOff x="1194406" y="32874856"/>
          <a:chExt cx="606586" cy="942183"/>
        </a:xfrm>
      </xdr:grpSpPr>
      <xdr:sp macro="" textlink="">
        <xdr:nvSpPr>
          <xdr:cNvPr id="89" name="Moon 88">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90" name="Oval 89">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446013</xdr:colOff>
      <xdr:row>27</xdr:row>
      <xdr:rowOff>208186</xdr:rowOff>
    </xdr:from>
    <xdr:to>
      <xdr:col>11</xdr:col>
      <xdr:colOff>693963</xdr:colOff>
      <xdr:row>30</xdr:row>
      <xdr:rowOff>40820</xdr:rowOff>
    </xdr:to>
    <xdr:grpSp>
      <xdr:nvGrpSpPr>
        <xdr:cNvPr id="95" name="Group 94">
          <a:extLst>
            <a:ext uri="{FF2B5EF4-FFF2-40B4-BE49-F238E27FC236}">
              <a16:creationId xmlns:a16="http://schemas.microsoft.com/office/drawing/2014/main" xmlns="" id="{129906CF-0658-420B-B463-3B81235B0D11}"/>
            </a:ext>
          </a:extLst>
        </xdr:cNvPr>
        <xdr:cNvGrpSpPr/>
      </xdr:nvGrpSpPr>
      <xdr:grpSpPr>
        <a:xfrm rot="10800000">
          <a:off x="11067496" y="8315512"/>
          <a:ext cx="247950" cy="519320"/>
          <a:chOff x="1194406" y="32874856"/>
          <a:chExt cx="606586" cy="942183"/>
        </a:xfrm>
      </xdr:grpSpPr>
      <xdr:sp macro="" textlink="">
        <xdr:nvSpPr>
          <xdr:cNvPr id="96" name="Moon 9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97" name="Oval 9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0</xdr:colOff>
      <xdr:row>50</xdr:row>
      <xdr:rowOff>180970</xdr:rowOff>
    </xdr:from>
    <xdr:to>
      <xdr:col>0</xdr:col>
      <xdr:colOff>247950</xdr:colOff>
      <xdr:row>53</xdr:row>
      <xdr:rowOff>13603</xdr:rowOff>
    </xdr:to>
    <xdr:grpSp>
      <xdr:nvGrpSpPr>
        <xdr:cNvPr id="99" name="Group 98">
          <a:extLst>
            <a:ext uri="{FF2B5EF4-FFF2-40B4-BE49-F238E27FC236}">
              <a16:creationId xmlns:a16="http://schemas.microsoft.com/office/drawing/2014/main" xmlns="" id="{3BCB394B-241A-4581-BC5E-3DBD9D07A2BE}"/>
            </a:ext>
          </a:extLst>
        </xdr:cNvPr>
        <xdr:cNvGrpSpPr/>
      </xdr:nvGrpSpPr>
      <xdr:grpSpPr>
        <a:xfrm>
          <a:off x="0" y="13449517"/>
          <a:ext cx="247950" cy="519319"/>
          <a:chOff x="1194406" y="32874856"/>
          <a:chExt cx="606586" cy="942183"/>
        </a:xfrm>
      </xdr:grpSpPr>
      <xdr:sp macro="" textlink="">
        <xdr:nvSpPr>
          <xdr:cNvPr id="100" name="Moon 99">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01" name="Oval 100">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13607</xdr:colOff>
      <xdr:row>36</xdr:row>
      <xdr:rowOff>31294</xdr:rowOff>
    </xdr:from>
    <xdr:to>
      <xdr:col>0</xdr:col>
      <xdr:colOff>261557</xdr:colOff>
      <xdr:row>38</xdr:row>
      <xdr:rowOff>108855</xdr:rowOff>
    </xdr:to>
    <xdr:grpSp>
      <xdr:nvGrpSpPr>
        <xdr:cNvPr id="116" name="Group 115">
          <a:extLst>
            <a:ext uri="{FF2B5EF4-FFF2-40B4-BE49-F238E27FC236}">
              <a16:creationId xmlns:a16="http://schemas.microsoft.com/office/drawing/2014/main" xmlns="" id="{3BCB394B-241A-4581-BC5E-3DBD9D07A2BE}"/>
            </a:ext>
          </a:extLst>
        </xdr:cNvPr>
        <xdr:cNvGrpSpPr/>
      </xdr:nvGrpSpPr>
      <xdr:grpSpPr>
        <a:xfrm>
          <a:off x="13607" y="10154375"/>
          <a:ext cx="247950" cy="520585"/>
          <a:chOff x="1194406" y="32874856"/>
          <a:chExt cx="606586" cy="942183"/>
        </a:xfrm>
      </xdr:grpSpPr>
      <xdr:sp macro="" textlink="">
        <xdr:nvSpPr>
          <xdr:cNvPr id="117" name="Moon 116">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18" name="Oval 117">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418799</xdr:colOff>
      <xdr:row>14</xdr:row>
      <xdr:rowOff>140151</xdr:rowOff>
    </xdr:from>
    <xdr:to>
      <xdr:col>11</xdr:col>
      <xdr:colOff>666749</xdr:colOff>
      <xdr:row>17</xdr:row>
      <xdr:rowOff>13605</xdr:rowOff>
    </xdr:to>
    <xdr:grpSp>
      <xdr:nvGrpSpPr>
        <xdr:cNvPr id="123" name="Group 122">
          <a:extLst>
            <a:ext uri="{FF2B5EF4-FFF2-40B4-BE49-F238E27FC236}">
              <a16:creationId xmlns:a16="http://schemas.microsoft.com/office/drawing/2014/main" xmlns="" id="{129906CF-0658-420B-B463-3B81235B0D11}"/>
            </a:ext>
          </a:extLst>
        </xdr:cNvPr>
        <xdr:cNvGrpSpPr/>
      </xdr:nvGrpSpPr>
      <xdr:grpSpPr>
        <a:xfrm rot="10800000">
          <a:off x="11040282" y="5345674"/>
          <a:ext cx="247950" cy="515838"/>
          <a:chOff x="1194406" y="32874856"/>
          <a:chExt cx="606586" cy="942183"/>
        </a:xfrm>
      </xdr:grpSpPr>
      <xdr:sp macro="" textlink="">
        <xdr:nvSpPr>
          <xdr:cNvPr id="124" name="Moon 123">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25" name="Oval 124">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0</xdr:colOff>
      <xdr:row>21</xdr:row>
      <xdr:rowOff>153756</xdr:rowOff>
    </xdr:from>
    <xdr:to>
      <xdr:col>0</xdr:col>
      <xdr:colOff>247950</xdr:colOff>
      <xdr:row>24</xdr:row>
      <xdr:rowOff>27211</xdr:rowOff>
    </xdr:to>
    <xdr:grpSp>
      <xdr:nvGrpSpPr>
        <xdr:cNvPr id="133" name="Group 132">
          <a:extLst>
            <a:ext uri="{FF2B5EF4-FFF2-40B4-BE49-F238E27FC236}">
              <a16:creationId xmlns:a16="http://schemas.microsoft.com/office/drawing/2014/main" xmlns="" id="{3BCB394B-241A-4581-BC5E-3DBD9D07A2BE}"/>
            </a:ext>
          </a:extLst>
        </xdr:cNvPr>
        <xdr:cNvGrpSpPr/>
      </xdr:nvGrpSpPr>
      <xdr:grpSpPr>
        <a:xfrm>
          <a:off x="0" y="6932012"/>
          <a:ext cx="247950" cy="515839"/>
          <a:chOff x="1194406" y="32874856"/>
          <a:chExt cx="606586" cy="942183"/>
        </a:xfrm>
      </xdr:grpSpPr>
      <xdr:sp macro="" textlink="">
        <xdr:nvSpPr>
          <xdr:cNvPr id="134" name="Moon 13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35" name="Oval 13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394607</xdr:colOff>
      <xdr:row>140</xdr:row>
      <xdr:rowOff>108857</xdr:rowOff>
    </xdr:from>
    <xdr:to>
      <xdr:col>11</xdr:col>
      <xdr:colOff>436788</xdr:colOff>
      <xdr:row>147</xdr:row>
      <xdr:rowOff>258537</xdr:rowOff>
    </xdr:to>
    <xdr:pic>
      <xdr:nvPicPr>
        <xdr:cNvPr id="183" name="Picture 18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150428" y="37433250"/>
          <a:ext cx="4940753" cy="1537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408215</xdr:colOff>
      <xdr:row>125</xdr:row>
      <xdr:rowOff>13606</xdr:rowOff>
    </xdr:from>
    <xdr:to>
      <xdr:col>11</xdr:col>
      <xdr:colOff>450396</xdr:colOff>
      <xdr:row>131</xdr:row>
      <xdr:rowOff>190499</xdr:rowOff>
    </xdr:to>
    <xdr:pic>
      <xdr:nvPicPr>
        <xdr:cNvPr id="184" name="Picture 18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164036" y="33636856"/>
          <a:ext cx="4940753" cy="1496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421822</xdr:colOff>
      <xdr:row>109</xdr:row>
      <xdr:rowOff>244928</xdr:rowOff>
    </xdr:from>
    <xdr:to>
      <xdr:col>11</xdr:col>
      <xdr:colOff>469447</xdr:colOff>
      <xdr:row>116</xdr:row>
      <xdr:rowOff>231321</xdr:rowOff>
    </xdr:to>
    <xdr:pic>
      <xdr:nvPicPr>
        <xdr:cNvPr id="185" name="Picture 18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177643" y="30275892"/>
          <a:ext cx="4946197" cy="1537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449036</xdr:colOff>
      <xdr:row>111</xdr:row>
      <xdr:rowOff>190500</xdr:rowOff>
    </xdr:from>
    <xdr:to>
      <xdr:col>12</xdr:col>
      <xdr:colOff>3022</xdr:colOff>
      <xdr:row>114</xdr:row>
      <xdr:rowOff>54429</xdr:rowOff>
    </xdr:to>
    <xdr:grpSp>
      <xdr:nvGrpSpPr>
        <xdr:cNvPr id="186" name="Group 185">
          <a:extLst>
            <a:ext uri="{FF2B5EF4-FFF2-40B4-BE49-F238E27FC236}">
              <a16:creationId xmlns:a16="http://schemas.microsoft.com/office/drawing/2014/main" xmlns="" id="{129906CF-0658-420B-B463-3B81235B0D11}"/>
            </a:ext>
          </a:extLst>
        </xdr:cNvPr>
        <xdr:cNvGrpSpPr/>
      </xdr:nvGrpSpPr>
      <xdr:grpSpPr>
        <a:xfrm rot="10800000">
          <a:off x="11070519" y="27037709"/>
          <a:ext cx="251747" cy="506313"/>
          <a:chOff x="1194406" y="32874856"/>
          <a:chExt cx="606586" cy="942183"/>
        </a:xfrm>
      </xdr:grpSpPr>
      <xdr:sp macro="" textlink="">
        <xdr:nvSpPr>
          <xdr:cNvPr id="187" name="Moon 186">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88" name="Oval 187">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421824</xdr:colOff>
      <xdr:row>92</xdr:row>
      <xdr:rowOff>13607</xdr:rowOff>
    </xdr:from>
    <xdr:to>
      <xdr:col>11</xdr:col>
      <xdr:colOff>464005</xdr:colOff>
      <xdr:row>100</xdr:row>
      <xdr:rowOff>155120</xdr:rowOff>
    </xdr:to>
    <xdr:grpSp>
      <xdr:nvGrpSpPr>
        <xdr:cNvPr id="191" name="Group 190"/>
        <xdr:cNvGrpSpPr/>
      </xdr:nvGrpSpPr>
      <xdr:grpSpPr>
        <a:xfrm>
          <a:off x="6158975" y="22674247"/>
          <a:ext cx="4926513" cy="1913606"/>
          <a:chOff x="6164036" y="30847392"/>
          <a:chExt cx="4940753" cy="1502230"/>
        </a:xfrm>
      </xdr:grpSpPr>
      <xdr:pic>
        <xdr:nvPicPr>
          <xdr:cNvPr id="189" name="Picture 18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64036" y="31486929"/>
            <a:ext cx="4940753" cy="86269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0" name="Picture 18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164036" y="30847392"/>
            <a:ext cx="4940753" cy="65858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6</xdr:col>
      <xdr:colOff>408214</xdr:colOff>
      <xdr:row>74</xdr:row>
      <xdr:rowOff>54430</xdr:rowOff>
    </xdr:from>
    <xdr:to>
      <xdr:col>11</xdr:col>
      <xdr:colOff>454478</xdr:colOff>
      <xdr:row>81</xdr:row>
      <xdr:rowOff>163287</xdr:rowOff>
    </xdr:to>
    <xdr:grpSp>
      <xdr:nvGrpSpPr>
        <xdr:cNvPr id="195" name="Group 194"/>
        <xdr:cNvGrpSpPr/>
      </xdr:nvGrpSpPr>
      <xdr:grpSpPr>
        <a:xfrm>
          <a:off x="6145365" y="18727860"/>
          <a:ext cx="4930596" cy="1637287"/>
          <a:chOff x="6136821" y="27676929"/>
          <a:chExt cx="4944836" cy="1660071"/>
        </a:xfrm>
      </xdr:grpSpPr>
      <xdr:pic>
        <xdr:nvPicPr>
          <xdr:cNvPr id="192" name="Picture 19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84572" y="28438928"/>
            <a:ext cx="3897085" cy="89807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3" name="Picture 19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184571" y="27676929"/>
            <a:ext cx="3890283" cy="76744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4" name="Picture 193"/>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136821" y="27676929"/>
            <a:ext cx="1061358" cy="165598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6</xdr:col>
      <xdr:colOff>380999</xdr:colOff>
      <xdr:row>41</xdr:row>
      <xdr:rowOff>122465</xdr:rowOff>
    </xdr:from>
    <xdr:to>
      <xdr:col>11</xdr:col>
      <xdr:colOff>423180</xdr:colOff>
      <xdr:row>47</xdr:row>
      <xdr:rowOff>95250</xdr:rowOff>
    </xdr:to>
    <xdr:pic>
      <xdr:nvPicPr>
        <xdr:cNvPr id="199" name="Picture 198"/>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136820" y="14804572"/>
          <a:ext cx="4940753" cy="1360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449038</xdr:colOff>
      <xdr:row>26</xdr:row>
      <xdr:rowOff>231320</xdr:rowOff>
    </xdr:from>
    <xdr:to>
      <xdr:col>11</xdr:col>
      <xdr:colOff>491219</xdr:colOff>
      <xdr:row>32</xdr:row>
      <xdr:rowOff>231321</xdr:rowOff>
    </xdr:to>
    <xdr:pic>
      <xdr:nvPicPr>
        <xdr:cNvPr id="200" name="Picture 199"/>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204859" y="11484427"/>
          <a:ext cx="4940753" cy="1347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394609</xdr:colOff>
      <xdr:row>13</xdr:row>
      <xdr:rowOff>95250</xdr:rowOff>
    </xdr:from>
    <xdr:to>
      <xdr:col>11</xdr:col>
      <xdr:colOff>436790</xdr:colOff>
      <xdr:row>19</xdr:row>
      <xdr:rowOff>108858</xdr:rowOff>
    </xdr:to>
    <xdr:pic>
      <xdr:nvPicPr>
        <xdr:cNvPr id="201" name="Picture 200"/>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150430" y="8409214"/>
          <a:ext cx="4940753" cy="1360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367392</xdr:colOff>
      <xdr:row>20</xdr:row>
      <xdr:rowOff>190500</xdr:rowOff>
    </xdr:from>
    <xdr:to>
      <xdr:col>5</xdr:col>
      <xdr:colOff>1517196</xdr:colOff>
      <xdr:row>25</xdr:row>
      <xdr:rowOff>186418</xdr:rowOff>
    </xdr:to>
    <xdr:pic>
      <xdr:nvPicPr>
        <xdr:cNvPr id="202" name="Picture 201"/>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67392" y="6749143"/>
          <a:ext cx="4946197" cy="1138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353787</xdr:colOff>
      <xdr:row>34</xdr:row>
      <xdr:rowOff>108857</xdr:rowOff>
    </xdr:from>
    <xdr:to>
      <xdr:col>5</xdr:col>
      <xdr:colOff>1498147</xdr:colOff>
      <xdr:row>40</xdr:row>
      <xdr:rowOff>81643</xdr:rowOff>
    </xdr:to>
    <xdr:pic>
      <xdr:nvPicPr>
        <xdr:cNvPr id="203" name="Picture 202"/>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53787" y="9851571"/>
          <a:ext cx="4940753" cy="131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367395</xdr:colOff>
      <xdr:row>49</xdr:row>
      <xdr:rowOff>27215</xdr:rowOff>
    </xdr:from>
    <xdr:to>
      <xdr:col>5</xdr:col>
      <xdr:colOff>1511755</xdr:colOff>
      <xdr:row>55</xdr:row>
      <xdr:rowOff>72119</xdr:rowOff>
    </xdr:to>
    <xdr:pic>
      <xdr:nvPicPr>
        <xdr:cNvPr id="204" name="Picture 203"/>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67395" y="16546286"/>
          <a:ext cx="4940753" cy="1392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367394</xdr:colOff>
      <xdr:row>65</xdr:row>
      <xdr:rowOff>72114</xdr:rowOff>
    </xdr:from>
    <xdr:to>
      <xdr:col>5</xdr:col>
      <xdr:colOff>1511754</xdr:colOff>
      <xdr:row>72</xdr:row>
      <xdr:rowOff>108856</xdr:rowOff>
    </xdr:to>
    <xdr:pic>
      <xdr:nvPicPr>
        <xdr:cNvPr id="205" name="Picture 204"/>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67394" y="16876935"/>
          <a:ext cx="4940753" cy="15879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381001</xdr:colOff>
      <xdr:row>84</xdr:row>
      <xdr:rowOff>85723</xdr:rowOff>
    </xdr:from>
    <xdr:to>
      <xdr:col>5</xdr:col>
      <xdr:colOff>1522640</xdr:colOff>
      <xdr:row>91</xdr:row>
      <xdr:rowOff>31295</xdr:rowOff>
    </xdr:to>
    <xdr:pic>
      <xdr:nvPicPr>
        <xdr:cNvPr id="206" name="Picture 205"/>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81001" y="24524152"/>
          <a:ext cx="4938032" cy="1537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381001</xdr:colOff>
      <xdr:row>101</xdr:row>
      <xdr:rowOff>126546</xdr:rowOff>
    </xdr:from>
    <xdr:to>
      <xdr:col>5</xdr:col>
      <xdr:colOff>1522640</xdr:colOff>
      <xdr:row>108</xdr:row>
      <xdr:rowOff>122464</xdr:rowOff>
    </xdr:to>
    <xdr:pic>
      <xdr:nvPicPr>
        <xdr:cNvPr id="207" name="Picture 206"/>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81001" y="28361367"/>
          <a:ext cx="4938032" cy="1587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353787</xdr:colOff>
      <xdr:row>117</xdr:row>
      <xdr:rowOff>122465</xdr:rowOff>
    </xdr:from>
    <xdr:to>
      <xdr:col>5</xdr:col>
      <xdr:colOff>1498147</xdr:colOff>
      <xdr:row>126</xdr:row>
      <xdr:rowOff>125183</xdr:rowOff>
    </xdr:to>
    <xdr:pic>
      <xdr:nvPicPr>
        <xdr:cNvPr id="208" name="Picture 207"/>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53787" y="28602215"/>
          <a:ext cx="4940753" cy="1798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408214</xdr:colOff>
      <xdr:row>57</xdr:row>
      <xdr:rowOff>122465</xdr:rowOff>
    </xdr:from>
    <xdr:to>
      <xdr:col>11</xdr:col>
      <xdr:colOff>450395</xdr:colOff>
      <xdr:row>63</xdr:row>
      <xdr:rowOff>91168</xdr:rowOff>
    </xdr:to>
    <xdr:pic>
      <xdr:nvPicPr>
        <xdr:cNvPr id="209" name="Picture 208"/>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164035" y="18437679"/>
          <a:ext cx="4940753" cy="1356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381001</xdr:colOff>
      <xdr:row>132</xdr:row>
      <xdr:rowOff>285751</xdr:rowOff>
    </xdr:from>
    <xdr:to>
      <xdr:col>5</xdr:col>
      <xdr:colOff>1522640</xdr:colOff>
      <xdr:row>137</xdr:row>
      <xdr:rowOff>176893</xdr:rowOff>
    </xdr:to>
    <xdr:pic>
      <xdr:nvPicPr>
        <xdr:cNvPr id="210" name="Picture 209"/>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1" y="35473822"/>
          <a:ext cx="4938032" cy="1292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81643</xdr:colOff>
      <xdr:row>146</xdr:row>
      <xdr:rowOff>27215</xdr:rowOff>
    </xdr:from>
    <xdr:to>
      <xdr:col>6</xdr:col>
      <xdr:colOff>353786</xdr:colOff>
      <xdr:row>147</xdr:row>
      <xdr:rowOff>244929</xdr:rowOff>
    </xdr:to>
    <xdr:sp macro="" textlink="">
      <xdr:nvSpPr>
        <xdr:cNvPr id="218" name="Up Arrow 217"/>
        <xdr:cNvSpPr/>
      </xdr:nvSpPr>
      <xdr:spPr>
        <a:xfrm>
          <a:off x="5837464" y="38453786"/>
          <a:ext cx="272143" cy="50346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108858</xdr:colOff>
      <xdr:row>131</xdr:row>
      <xdr:rowOff>40821</xdr:rowOff>
    </xdr:from>
    <xdr:to>
      <xdr:col>6</xdr:col>
      <xdr:colOff>381001</xdr:colOff>
      <xdr:row>132</xdr:row>
      <xdr:rowOff>312963</xdr:rowOff>
    </xdr:to>
    <xdr:sp macro="" textlink="">
      <xdr:nvSpPr>
        <xdr:cNvPr id="219" name="Up Arrow 218"/>
        <xdr:cNvSpPr/>
      </xdr:nvSpPr>
      <xdr:spPr>
        <a:xfrm>
          <a:off x="5864679" y="34983964"/>
          <a:ext cx="272143" cy="517070"/>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149679</xdr:colOff>
      <xdr:row>116</xdr:row>
      <xdr:rowOff>4081</xdr:rowOff>
    </xdr:from>
    <xdr:to>
      <xdr:col>6</xdr:col>
      <xdr:colOff>421822</xdr:colOff>
      <xdr:row>118</xdr:row>
      <xdr:rowOff>68035</xdr:rowOff>
    </xdr:to>
    <xdr:sp macro="" textlink="">
      <xdr:nvSpPr>
        <xdr:cNvPr id="220" name="Up Arrow 219"/>
        <xdr:cNvSpPr/>
      </xdr:nvSpPr>
      <xdr:spPr>
        <a:xfrm>
          <a:off x="5905500" y="31586260"/>
          <a:ext cx="272143" cy="512989"/>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176894</xdr:colOff>
      <xdr:row>100</xdr:row>
      <xdr:rowOff>81641</xdr:rowOff>
    </xdr:from>
    <xdr:to>
      <xdr:col>6</xdr:col>
      <xdr:colOff>449037</xdr:colOff>
      <xdr:row>102</xdr:row>
      <xdr:rowOff>136070</xdr:rowOff>
    </xdr:to>
    <xdr:sp macro="" textlink="">
      <xdr:nvSpPr>
        <xdr:cNvPr id="221" name="Up Arrow 220"/>
        <xdr:cNvSpPr/>
      </xdr:nvSpPr>
      <xdr:spPr>
        <a:xfrm>
          <a:off x="5932715" y="24764998"/>
          <a:ext cx="272143" cy="50346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122464</xdr:colOff>
      <xdr:row>80</xdr:row>
      <xdr:rowOff>122465</xdr:rowOff>
    </xdr:from>
    <xdr:to>
      <xdr:col>6</xdr:col>
      <xdr:colOff>394607</xdr:colOff>
      <xdr:row>82</xdr:row>
      <xdr:rowOff>176893</xdr:rowOff>
    </xdr:to>
    <xdr:sp macro="" textlink="">
      <xdr:nvSpPr>
        <xdr:cNvPr id="222" name="Up Arrow 221"/>
        <xdr:cNvSpPr/>
      </xdr:nvSpPr>
      <xdr:spPr>
        <a:xfrm>
          <a:off x="5878285" y="23662822"/>
          <a:ext cx="272143" cy="50346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149678</xdr:colOff>
      <xdr:row>62</xdr:row>
      <xdr:rowOff>176894</xdr:rowOff>
    </xdr:from>
    <xdr:to>
      <xdr:col>6</xdr:col>
      <xdr:colOff>421821</xdr:colOff>
      <xdr:row>64</xdr:row>
      <xdr:rowOff>231322</xdr:rowOff>
    </xdr:to>
    <xdr:sp macro="" textlink="">
      <xdr:nvSpPr>
        <xdr:cNvPr id="223" name="Up Arrow 222"/>
        <xdr:cNvSpPr/>
      </xdr:nvSpPr>
      <xdr:spPr>
        <a:xfrm>
          <a:off x="5905499" y="19635108"/>
          <a:ext cx="272143" cy="50346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149677</xdr:colOff>
      <xdr:row>46</xdr:row>
      <xdr:rowOff>136072</xdr:rowOff>
    </xdr:from>
    <xdr:to>
      <xdr:col>6</xdr:col>
      <xdr:colOff>421820</xdr:colOff>
      <xdr:row>48</xdr:row>
      <xdr:rowOff>190500</xdr:rowOff>
    </xdr:to>
    <xdr:sp macro="" textlink="">
      <xdr:nvSpPr>
        <xdr:cNvPr id="224" name="Up Arrow 223"/>
        <xdr:cNvSpPr/>
      </xdr:nvSpPr>
      <xdr:spPr>
        <a:xfrm>
          <a:off x="5905498" y="15961179"/>
          <a:ext cx="272143" cy="50346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190503</xdr:colOff>
      <xdr:row>31</xdr:row>
      <xdr:rowOff>149677</xdr:rowOff>
    </xdr:from>
    <xdr:to>
      <xdr:col>6</xdr:col>
      <xdr:colOff>462646</xdr:colOff>
      <xdr:row>33</xdr:row>
      <xdr:rowOff>204105</xdr:rowOff>
    </xdr:to>
    <xdr:sp macro="" textlink="">
      <xdr:nvSpPr>
        <xdr:cNvPr id="225" name="Up Arrow 224"/>
        <xdr:cNvSpPr/>
      </xdr:nvSpPr>
      <xdr:spPr>
        <a:xfrm>
          <a:off x="5946324" y="12545784"/>
          <a:ext cx="272143" cy="50346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1442357</xdr:colOff>
      <xdr:row>18</xdr:row>
      <xdr:rowOff>27215</xdr:rowOff>
    </xdr:from>
    <xdr:to>
      <xdr:col>6</xdr:col>
      <xdr:colOff>0</xdr:colOff>
      <xdr:row>20</xdr:row>
      <xdr:rowOff>108857</xdr:rowOff>
    </xdr:to>
    <xdr:sp macro="" textlink="">
      <xdr:nvSpPr>
        <xdr:cNvPr id="227" name="Bent-Up Arrow 226"/>
        <xdr:cNvSpPr/>
      </xdr:nvSpPr>
      <xdr:spPr>
        <a:xfrm rot="10800000">
          <a:off x="5238750" y="6136822"/>
          <a:ext cx="517071" cy="530678"/>
        </a:xfrm>
        <a:prstGeom prst="ben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108859</xdr:colOff>
      <xdr:row>18</xdr:row>
      <xdr:rowOff>176893</xdr:rowOff>
    </xdr:from>
    <xdr:to>
      <xdr:col>6</xdr:col>
      <xdr:colOff>381002</xdr:colOff>
      <xdr:row>20</xdr:row>
      <xdr:rowOff>231321</xdr:rowOff>
    </xdr:to>
    <xdr:sp macro="" textlink="">
      <xdr:nvSpPr>
        <xdr:cNvPr id="229" name="Up Arrow 228"/>
        <xdr:cNvSpPr/>
      </xdr:nvSpPr>
      <xdr:spPr>
        <a:xfrm>
          <a:off x="5864680" y="6286500"/>
          <a:ext cx="272143" cy="50346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1428749</xdr:colOff>
      <xdr:row>32</xdr:row>
      <xdr:rowOff>27213</xdr:rowOff>
    </xdr:from>
    <xdr:to>
      <xdr:col>5</xdr:col>
      <xdr:colOff>1741716</xdr:colOff>
      <xdr:row>34</xdr:row>
      <xdr:rowOff>81643</xdr:rowOff>
    </xdr:to>
    <xdr:sp macro="" textlink="">
      <xdr:nvSpPr>
        <xdr:cNvPr id="230" name="Up Arrow 229"/>
        <xdr:cNvSpPr/>
      </xdr:nvSpPr>
      <xdr:spPr>
        <a:xfrm flipV="1">
          <a:off x="5225142" y="9280070"/>
          <a:ext cx="312967" cy="54428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1442359</xdr:colOff>
      <xdr:row>46</xdr:row>
      <xdr:rowOff>217714</xdr:rowOff>
    </xdr:from>
    <xdr:to>
      <xdr:col>5</xdr:col>
      <xdr:colOff>1755326</xdr:colOff>
      <xdr:row>49</xdr:row>
      <xdr:rowOff>68037</xdr:rowOff>
    </xdr:to>
    <xdr:sp macro="" textlink="">
      <xdr:nvSpPr>
        <xdr:cNvPr id="231" name="Up Arrow 230"/>
        <xdr:cNvSpPr/>
      </xdr:nvSpPr>
      <xdr:spPr>
        <a:xfrm flipV="1">
          <a:off x="5238752" y="12695464"/>
          <a:ext cx="312967" cy="54428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1445080</xdr:colOff>
      <xdr:row>62</xdr:row>
      <xdr:rowOff>206829</xdr:rowOff>
    </xdr:from>
    <xdr:to>
      <xdr:col>5</xdr:col>
      <xdr:colOff>1758047</xdr:colOff>
      <xdr:row>65</xdr:row>
      <xdr:rowOff>57152</xdr:rowOff>
    </xdr:to>
    <xdr:sp macro="" textlink="">
      <xdr:nvSpPr>
        <xdr:cNvPr id="232" name="Up Arrow 231"/>
        <xdr:cNvSpPr/>
      </xdr:nvSpPr>
      <xdr:spPr>
        <a:xfrm flipV="1">
          <a:off x="5241473" y="16317686"/>
          <a:ext cx="312967" cy="54428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1455965</xdr:colOff>
      <xdr:row>98</xdr:row>
      <xdr:rowOff>140153</xdr:rowOff>
    </xdr:from>
    <xdr:to>
      <xdr:col>5</xdr:col>
      <xdr:colOff>1768932</xdr:colOff>
      <xdr:row>101</xdr:row>
      <xdr:rowOff>31297</xdr:rowOff>
    </xdr:to>
    <xdr:sp macro="" textlink="">
      <xdr:nvSpPr>
        <xdr:cNvPr id="233" name="Up Arrow 232"/>
        <xdr:cNvSpPr/>
      </xdr:nvSpPr>
      <xdr:spPr>
        <a:xfrm flipV="1">
          <a:off x="5252358" y="24374474"/>
          <a:ext cx="312967" cy="54428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1428751</xdr:colOff>
      <xdr:row>115</xdr:row>
      <xdr:rowOff>99332</xdr:rowOff>
    </xdr:from>
    <xdr:to>
      <xdr:col>5</xdr:col>
      <xdr:colOff>1741718</xdr:colOff>
      <xdr:row>117</xdr:row>
      <xdr:rowOff>194583</xdr:rowOff>
    </xdr:to>
    <xdr:sp macro="" textlink="">
      <xdr:nvSpPr>
        <xdr:cNvPr id="234" name="Up Arrow 233"/>
        <xdr:cNvSpPr/>
      </xdr:nvSpPr>
      <xdr:spPr>
        <a:xfrm flipV="1">
          <a:off x="5225144" y="28130046"/>
          <a:ext cx="312967" cy="54428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1469572</xdr:colOff>
      <xdr:row>146</xdr:row>
      <xdr:rowOff>108858</xdr:rowOff>
    </xdr:from>
    <xdr:to>
      <xdr:col>5</xdr:col>
      <xdr:colOff>1782539</xdr:colOff>
      <xdr:row>148</xdr:row>
      <xdr:rowOff>13609</xdr:rowOff>
    </xdr:to>
    <xdr:sp macro="" textlink="">
      <xdr:nvSpPr>
        <xdr:cNvPr id="235" name="Up Arrow 234"/>
        <xdr:cNvSpPr/>
      </xdr:nvSpPr>
      <xdr:spPr>
        <a:xfrm flipV="1">
          <a:off x="5265965" y="35188072"/>
          <a:ext cx="312967" cy="54428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1442358</xdr:colOff>
      <xdr:row>131</xdr:row>
      <xdr:rowOff>13608</xdr:rowOff>
    </xdr:from>
    <xdr:to>
      <xdr:col>5</xdr:col>
      <xdr:colOff>1755325</xdr:colOff>
      <xdr:row>132</xdr:row>
      <xdr:rowOff>312967</xdr:rowOff>
    </xdr:to>
    <xdr:sp macro="" textlink="">
      <xdr:nvSpPr>
        <xdr:cNvPr id="236" name="Up Arrow 235"/>
        <xdr:cNvSpPr/>
      </xdr:nvSpPr>
      <xdr:spPr>
        <a:xfrm flipV="1">
          <a:off x="5238751" y="31609394"/>
          <a:ext cx="312967" cy="54428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1428751</xdr:colOff>
      <xdr:row>81</xdr:row>
      <xdr:rowOff>221795</xdr:rowOff>
    </xdr:from>
    <xdr:to>
      <xdr:col>5</xdr:col>
      <xdr:colOff>1741718</xdr:colOff>
      <xdr:row>84</xdr:row>
      <xdr:rowOff>72118</xdr:rowOff>
    </xdr:to>
    <xdr:sp macro="" textlink="">
      <xdr:nvSpPr>
        <xdr:cNvPr id="237" name="Up Arrow 236"/>
        <xdr:cNvSpPr/>
      </xdr:nvSpPr>
      <xdr:spPr>
        <a:xfrm flipV="1">
          <a:off x="5225144" y="20618902"/>
          <a:ext cx="312967" cy="54428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449035</xdr:colOff>
      <xdr:row>152</xdr:row>
      <xdr:rowOff>190499</xdr:rowOff>
    </xdr:from>
    <xdr:to>
      <xdr:col>12</xdr:col>
      <xdr:colOff>3021</xdr:colOff>
      <xdr:row>154</xdr:row>
      <xdr:rowOff>190500</xdr:rowOff>
    </xdr:to>
    <xdr:grpSp>
      <xdr:nvGrpSpPr>
        <xdr:cNvPr id="238" name="Group 237">
          <a:extLst>
            <a:ext uri="{FF2B5EF4-FFF2-40B4-BE49-F238E27FC236}">
              <a16:creationId xmlns:a16="http://schemas.microsoft.com/office/drawing/2014/main" xmlns="" id="{129906CF-0658-420B-B463-3B81235B0D11}"/>
            </a:ext>
          </a:extLst>
        </xdr:cNvPr>
        <xdr:cNvGrpSpPr/>
      </xdr:nvGrpSpPr>
      <xdr:grpSpPr>
        <a:xfrm rot="10800000">
          <a:off x="11070518" y="36883900"/>
          <a:ext cx="251747" cy="520553"/>
          <a:chOff x="1194406" y="32874856"/>
          <a:chExt cx="606586" cy="942183"/>
        </a:xfrm>
      </xdr:grpSpPr>
      <xdr:sp macro="" textlink="">
        <xdr:nvSpPr>
          <xdr:cNvPr id="239" name="Moon 238">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40" name="Oval 239">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323849</xdr:colOff>
      <xdr:row>6</xdr:row>
      <xdr:rowOff>0</xdr:rowOff>
    </xdr:from>
    <xdr:to>
      <xdr:col>9</xdr:col>
      <xdr:colOff>561974</xdr:colOff>
      <xdr:row>6</xdr:row>
      <xdr:rowOff>0</xdr:rowOff>
    </xdr:to>
    <xdr:sp macro="" textlink="">
      <xdr:nvSpPr>
        <xdr:cNvPr id="2" name="Rectangle 1">
          <a:extLst>
            <a:ext uri="{FF2B5EF4-FFF2-40B4-BE49-F238E27FC236}">
              <a16:creationId xmlns:a16="http://schemas.microsoft.com/office/drawing/2014/main" xmlns="" id="{5D63D521-790F-457D-A95E-F77DD49BD4C3}"/>
            </a:ext>
          </a:extLst>
        </xdr:cNvPr>
        <xdr:cNvSpPr/>
      </xdr:nvSpPr>
      <xdr:spPr bwMode="auto">
        <a:xfrm rot="5400000">
          <a:off x="7881937" y="461962"/>
          <a:ext cx="0" cy="3629025"/>
        </a:xfrm>
        <a:prstGeom prst="rect">
          <a:avLst/>
        </a:prstGeom>
        <a:solidFill>
          <a:schemeClr val="bg1">
            <a:lumMod val="85000"/>
          </a:schemeClr>
        </a:solidFill>
        <a:ln w="9525" cap="flat" cmpd="sng" algn="ctr">
          <a:solidFill>
            <a:schemeClr val="accent1"/>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sz="1000"/>
            <a:t>LONG</a:t>
          </a:r>
          <a:r>
            <a:rPr lang="en-US" sz="1000" baseline="0"/>
            <a:t> TABLE</a:t>
          </a:r>
          <a:endParaRPr lang="id-ID" sz="1000"/>
        </a:p>
      </xdr:txBody>
    </xdr:sp>
    <xdr:clientData/>
  </xdr:twoCellAnchor>
  <xdr:twoCellAnchor>
    <xdr:from>
      <xdr:col>5</xdr:col>
      <xdr:colOff>923703</xdr:colOff>
      <xdr:row>6</xdr:row>
      <xdr:rowOff>95250</xdr:rowOff>
    </xdr:from>
    <xdr:to>
      <xdr:col>6</xdr:col>
      <xdr:colOff>888547</xdr:colOff>
      <xdr:row>7</xdr:row>
      <xdr:rowOff>566852</xdr:rowOff>
    </xdr:to>
    <xdr:sp macro="" textlink="">
      <xdr:nvSpPr>
        <xdr:cNvPr id="3" name="Rectangle 2">
          <a:extLst>
            <a:ext uri="{FF2B5EF4-FFF2-40B4-BE49-F238E27FC236}">
              <a16:creationId xmlns:a16="http://schemas.microsoft.com/office/drawing/2014/main" xmlns="" id="{2C9D1384-A967-4042-A255-120A32305600}"/>
            </a:ext>
          </a:extLst>
        </xdr:cNvPr>
        <xdr:cNvSpPr/>
      </xdr:nvSpPr>
      <xdr:spPr bwMode="auto">
        <a:xfrm flipH="1">
          <a:off x="4714653" y="2371725"/>
          <a:ext cx="1917469" cy="709727"/>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PACKING</a:t>
          </a:r>
          <a:endParaRPr lang="id-ID">
            <a:effectLst/>
          </a:endParaRPr>
        </a:p>
      </xdr:txBody>
    </xdr:sp>
    <xdr:clientData/>
  </xdr:twoCellAnchor>
  <xdr:oneCellAnchor>
    <xdr:from>
      <xdr:col>1</xdr:col>
      <xdr:colOff>561974</xdr:colOff>
      <xdr:row>1</xdr:row>
      <xdr:rowOff>47626</xdr:rowOff>
    </xdr:from>
    <xdr:ext cx="3876676" cy="291234"/>
    <xdr:sp macro="" textlink="">
      <xdr:nvSpPr>
        <xdr:cNvPr id="4" name="TextBox 3">
          <a:extLst>
            <a:ext uri="{FF2B5EF4-FFF2-40B4-BE49-F238E27FC236}">
              <a16:creationId xmlns:a16="http://schemas.microsoft.com/office/drawing/2014/main" xmlns="" id="{54B47921-13E2-4043-B9FC-4523B17C278C}"/>
            </a:ext>
          </a:extLst>
        </xdr:cNvPr>
        <xdr:cNvSpPr txBox="1"/>
      </xdr:nvSpPr>
      <xdr:spPr>
        <a:xfrm>
          <a:off x="1009649" y="142876"/>
          <a:ext cx="387667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SG" sz="1100" b="1">
              <a:latin typeface="Arial Black" panose="020B0A04020102020204" pitchFamily="34" charset="0"/>
            </a:rPr>
            <a:t>BODYNITS INTERNATIONAL TIEN GIANG (BITG)</a:t>
          </a:r>
        </a:p>
      </xdr:txBody>
    </xdr:sp>
    <xdr:clientData/>
  </xdr:oneCellAnchor>
  <xdr:twoCellAnchor>
    <xdr:from>
      <xdr:col>1</xdr:col>
      <xdr:colOff>57150</xdr:colOff>
      <xdr:row>1</xdr:row>
      <xdr:rowOff>57150</xdr:rowOff>
    </xdr:from>
    <xdr:to>
      <xdr:col>1</xdr:col>
      <xdr:colOff>646844</xdr:colOff>
      <xdr:row>1</xdr:row>
      <xdr:rowOff>438150</xdr:rowOff>
    </xdr:to>
    <xdr:pic>
      <xdr:nvPicPr>
        <xdr:cNvPr id="5" name="Picture 1" descr="Logo BITG">
          <a:extLst>
            <a:ext uri="{FF2B5EF4-FFF2-40B4-BE49-F238E27FC236}">
              <a16:creationId xmlns:a16="http://schemas.microsoft.com/office/drawing/2014/main" xmlns="" id="{718F30F5-3413-4E76-9D35-2C2405C9D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15240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1512097</xdr:colOff>
      <xdr:row>9</xdr:row>
      <xdr:rowOff>176893</xdr:rowOff>
    </xdr:from>
    <xdr:to>
      <xdr:col>6</xdr:col>
      <xdr:colOff>394610</xdr:colOff>
      <xdr:row>123</xdr:row>
      <xdr:rowOff>244928</xdr:rowOff>
    </xdr:to>
    <xdr:sp macro="" textlink="">
      <xdr:nvSpPr>
        <xdr:cNvPr id="6" name="Rectangle 5">
          <a:extLst>
            <a:ext uri="{FF2B5EF4-FFF2-40B4-BE49-F238E27FC236}">
              <a16:creationId xmlns:a16="http://schemas.microsoft.com/office/drawing/2014/main" xmlns="" id="{0064DF82-AF18-4489-AAD3-4FDFD412E65D}"/>
            </a:ext>
          </a:extLst>
        </xdr:cNvPr>
        <xdr:cNvSpPr/>
      </xdr:nvSpPr>
      <xdr:spPr>
        <a:xfrm>
          <a:off x="5303047" y="4205968"/>
          <a:ext cx="835138" cy="340532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1744664</xdr:colOff>
      <xdr:row>9</xdr:row>
      <xdr:rowOff>189657</xdr:rowOff>
    </xdr:from>
    <xdr:to>
      <xdr:col>6</xdr:col>
      <xdr:colOff>130517</xdr:colOff>
      <xdr:row>123</xdr:row>
      <xdr:rowOff>244991</xdr:rowOff>
    </xdr:to>
    <xdr:sp macro="" textlink="">
      <xdr:nvSpPr>
        <xdr:cNvPr id="7" name="Up Arrow 69">
          <a:extLst>
            <a:ext uri="{FF2B5EF4-FFF2-40B4-BE49-F238E27FC236}">
              <a16:creationId xmlns:a16="http://schemas.microsoft.com/office/drawing/2014/main" xmlns="" id="{814BC888-8FF7-4F8F-A578-AE06B4D6C5D5}"/>
            </a:ext>
          </a:extLst>
        </xdr:cNvPr>
        <xdr:cNvSpPr/>
      </xdr:nvSpPr>
      <xdr:spPr>
        <a:xfrm>
          <a:off x="5535614" y="4218732"/>
          <a:ext cx="338478" cy="34040534"/>
        </a:xfrm>
        <a:prstGeom prst="up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923702</xdr:colOff>
      <xdr:row>7</xdr:row>
      <xdr:rowOff>639536</xdr:rowOff>
    </xdr:from>
    <xdr:to>
      <xdr:col>6</xdr:col>
      <xdr:colOff>888546</xdr:colOff>
      <xdr:row>8</xdr:row>
      <xdr:rowOff>122464</xdr:rowOff>
    </xdr:to>
    <xdr:sp macro="" textlink="">
      <xdr:nvSpPr>
        <xdr:cNvPr id="8" name="Rectangle 7">
          <a:extLst>
            <a:ext uri="{FF2B5EF4-FFF2-40B4-BE49-F238E27FC236}">
              <a16:creationId xmlns:a16="http://schemas.microsoft.com/office/drawing/2014/main" xmlns="" id="{75EBA883-F67E-4799-98B6-D8946FA91CCF}"/>
            </a:ext>
          </a:extLst>
        </xdr:cNvPr>
        <xdr:cNvSpPr/>
      </xdr:nvSpPr>
      <xdr:spPr bwMode="auto">
        <a:xfrm flipH="1">
          <a:off x="4714652" y="3154136"/>
          <a:ext cx="1917469" cy="749753"/>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CHECKING</a:t>
          </a:r>
          <a:endParaRPr lang="id-ID">
            <a:effectLst/>
          </a:endParaRPr>
        </a:p>
      </xdr:txBody>
    </xdr:sp>
    <xdr:clientData/>
  </xdr:twoCellAnchor>
  <xdr:twoCellAnchor>
    <xdr:from>
      <xdr:col>5</xdr:col>
      <xdr:colOff>530678</xdr:colOff>
      <xdr:row>124</xdr:row>
      <xdr:rowOff>13609</xdr:rowOff>
    </xdr:from>
    <xdr:to>
      <xdr:col>7</xdr:col>
      <xdr:colOff>299357</xdr:colOff>
      <xdr:row>126</xdr:row>
      <xdr:rowOff>176893</xdr:rowOff>
    </xdr:to>
    <xdr:sp macro="" textlink="">
      <xdr:nvSpPr>
        <xdr:cNvPr id="9" name="Rectangle: Rounded Corners 14">
          <a:extLst>
            <a:ext uri="{FF2B5EF4-FFF2-40B4-BE49-F238E27FC236}">
              <a16:creationId xmlns:a16="http://schemas.microsoft.com/office/drawing/2014/main" xmlns="" id="{DBACEDB1-0455-4FDE-892A-E969DC5C233C}"/>
            </a:ext>
          </a:extLst>
        </xdr:cNvPr>
        <xdr:cNvSpPr/>
      </xdr:nvSpPr>
      <xdr:spPr>
        <a:xfrm>
          <a:off x="4321628" y="38380309"/>
          <a:ext cx="2683329" cy="73478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t>LINE</a:t>
          </a:r>
        </a:p>
      </xdr:txBody>
    </xdr:sp>
    <xdr:clientData/>
  </xdr:twoCellAnchor>
  <xdr:twoCellAnchor>
    <xdr:from>
      <xdr:col>11</xdr:col>
      <xdr:colOff>459623</xdr:colOff>
      <xdr:row>120</xdr:row>
      <xdr:rowOff>244925</xdr:rowOff>
    </xdr:from>
    <xdr:to>
      <xdr:col>12</xdr:col>
      <xdr:colOff>13609</xdr:colOff>
      <xdr:row>122</xdr:row>
      <xdr:rowOff>190497</xdr:rowOff>
    </xdr:to>
    <xdr:grpSp>
      <xdr:nvGrpSpPr>
        <xdr:cNvPr id="13" name="Group 12">
          <a:extLst>
            <a:ext uri="{FF2B5EF4-FFF2-40B4-BE49-F238E27FC236}">
              <a16:creationId xmlns:a16="http://schemas.microsoft.com/office/drawing/2014/main" xmlns="" id="{129906CF-0658-420B-B463-3B81235B0D11}"/>
            </a:ext>
          </a:extLst>
        </xdr:cNvPr>
        <xdr:cNvGrpSpPr/>
      </xdr:nvGrpSpPr>
      <xdr:grpSpPr>
        <a:xfrm rot="10800000">
          <a:off x="11114016" y="29323389"/>
          <a:ext cx="247950" cy="517072"/>
          <a:chOff x="1194406" y="32874856"/>
          <a:chExt cx="606586" cy="942183"/>
        </a:xfrm>
      </xdr:grpSpPr>
      <xdr:sp macro="" textlink="">
        <xdr:nvSpPr>
          <xdr:cNvPr id="14" name="Moon 13">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5" name="Oval 14">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446014</xdr:colOff>
      <xdr:row>104</xdr:row>
      <xdr:rowOff>285746</xdr:rowOff>
    </xdr:from>
    <xdr:to>
      <xdr:col>12</xdr:col>
      <xdr:colOff>0</xdr:colOff>
      <xdr:row>106</xdr:row>
      <xdr:rowOff>217711</xdr:rowOff>
    </xdr:to>
    <xdr:grpSp>
      <xdr:nvGrpSpPr>
        <xdr:cNvPr id="20" name="Group 19">
          <a:extLst>
            <a:ext uri="{FF2B5EF4-FFF2-40B4-BE49-F238E27FC236}">
              <a16:creationId xmlns:a16="http://schemas.microsoft.com/office/drawing/2014/main" xmlns="" id="{129906CF-0658-420B-B463-3B81235B0D11}"/>
            </a:ext>
          </a:extLst>
        </xdr:cNvPr>
        <xdr:cNvGrpSpPr/>
      </xdr:nvGrpSpPr>
      <xdr:grpSpPr>
        <a:xfrm rot="10800000">
          <a:off x="11100407" y="25622246"/>
          <a:ext cx="247950" cy="517072"/>
          <a:chOff x="1194406" y="32874856"/>
          <a:chExt cx="606586" cy="942183"/>
        </a:xfrm>
      </xdr:grpSpPr>
      <xdr:sp macro="" textlink="">
        <xdr:nvSpPr>
          <xdr:cNvPr id="21" name="Moon 20">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2" name="Oval 21">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432407</xdr:colOff>
      <xdr:row>75</xdr:row>
      <xdr:rowOff>13604</xdr:rowOff>
    </xdr:from>
    <xdr:to>
      <xdr:col>11</xdr:col>
      <xdr:colOff>680357</xdr:colOff>
      <xdr:row>77</xdr:row>
      <xdr:rowOff>81641</xdr:rowOff>
    </xdr:to>
    <xdr:grpSp>
      <xdr:nvGrpSpPr>
        <xdr:cNvPr id="23" name="Group 22">
          <a:extLst>
            <a:ext uri="{FF2B5EF4-FFF2-40B4-BE49-F238E27FC236}">
              <a16:creationId xmlns:a16="http://schemas.microsoft.com/office/drawing/2014/main" xmlns="" id="{129906CF-0658-420B-B463-3B81235B0D11}"/>
            </a:ext>
          </a:extLst>
        </xdr:cNvPr>
        <xdr:cNvGrpSpPr/>
      </xdr:nvGrpSpPr>
      <xdr:grpSpPr>
        <a:xfrm rot="10800000">
          <a:off x="11086800" y="19022783"/>
          <a:ext cx="247950" cy="517072"/>
          <a:chOff x="1194406" y="32874856"/>
          <a:chExt cx="606586" cy="942183"/>
        </a:xfrm>
      </xdr:grpSpPr>
      <xdr:sp macro="" textlink="">
        <xdr:nvSpPr>
          <xdr:cNvPr id="24" name="Moon 23">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5" name="Oval 24">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0</xdr:colOff>
      <xdr:row>111</xdr:row>
      <xdr:rowOff>81640</xdr:rowOff>
    </xdr:from>
    <xdr:to>
      <xdr:col>0</xdr:col>
      <xdr:colOff>247950</xdr:colOff>
      <xdr:row>113</xdr:row>
      <xdr:rowOff>108856</xdr:rowOff>
    </xdr:to>
    <xdr:grpSp>
      <xdr:nvGrpSpPr>
        <xdr:cNvPr id="26" name="Group 25">
          <a:extLst>
            <a:ext uri="{FF2B5EF4-FFF2-40B4-BE49-F238E27FC236}">
              <a16:creationId xmlns:a16="http://schemas.microsoft.com/office/drawing/2014/main" xmlns="" id="{3BCB394B-241A-4581-BC5E-3DBD9D07A2BE}"/>
            </a:ext>
          </a:extLst>
        </xdr:cNvPr>
        <xdr:cNvGrpSpPr/>
      </xdr:nvGrpSpPr>
      <xdr:grpSpPr>
        <a:xfrm>
          <a:off x="0" y="27404783"/>
          <a:ext cx="247950" cy="517073"/>
          <a:chOff x="1194406" y="32874856"/>
          <a:chExt cx="606586" cy="942183"/>
        </a:xfrm>
      </xdr:grpSpPr>
      <xdr:sp macro="" textlink="">
        <xdr:nvSpPr>
          <xdr:cNvPr id="27" name="Moon 26">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8" name="Oval 27">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0</xdr:colOff>
      <xdr:row>96</xdr:row>
      <xdr:rowOff>204106</xdr:rowOff>
    </xdr:from>
    <xdr:to>
      <xdr:col>0</xdr:col>
      <xdr:colOff>247950</xdr:colOff>
      <xdr:row>99</xdr:row>
      <xdr:rowOff>27213</xdr:rowOff>
    </xdr:to>
    <xdr:grpSp>
      <xdr:nvGrpSpPr>
        <xdr:cNvPr id="29" name="Group 28">
          <a:extLst>
            <a:ext uri="{FF2B5EF4-FFF2-40B4-BE49-F238E27FC236}">
              <a16:creationId xmlns:a16="http://schemas.microsoft.com/office/drawing/2014/main" xmlns="" id="{3BCB394B-241A-4581-BC5E-3DBD9D07A2BE}"/>
            </a:ext>
          </a:extLst>
        </xdr:cNvPr>
        <xdr:cNvGrpSpPr/>
      </xdr:nvGrpSpPr>
      <xdr:grpSpPr>
        <a:xfrm>
          <a:off x="0" y="23907749"/>
          <a:ext cx="247950" cy="517071"/>
          <a:chOff x="1194406" y="32874856"/>
          <a:chExt cx="606586" cy="942183"/>
        </a:xfrm>
      </xdr:grpSpPr>
      <xdr:sp macro="" textlink="">
        <xdr:nvSpPr>
          <xdr:cNvPr id="30" name="Moon 29">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1" name="Oval 30">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0</xdr:colOff>
      <xdr:row>82</xdr:row>
      <xdr:rowOff>68033</xdr:rowOff>
    </xdr:from>
    <xdr:to>
      <xdr:col>0</xdr:col>
      <xdr:colOff>247950</xdr:colOff>
      <xdr:row>84</xdr:row>
      <xdr:rowOff>95249</xdr:rowOff>
    </xdr:to>
    <xdr:grpSp>
      <xdr:nvGrpSpPr>
        <xdr:cNvPr id="32" name="Group 31">
          <a:extLst>
            <a:ext uri="{FF2B5EF4-FFF2-40B4-BE49-F238E27FC236}">
              <a16:creationId xmlns:a16="http://schemas.microsoft.com/office/drawing/2014/main" xmlns="" id="{3BCB394B-241A-4581-BC5E-3DBD9D07A2BE}"/>
            </a:ext>
          </a:extLst>
        </xdr:cNvPr>
        <xdr:cNvGrpSpPr/>
      </xdr:nvGrpSpPr>
      <xdr:grpSpPr>
        <a:xfrm>
          <a:off x="0" y="20628426"/>
          <a:ext cx="247950" cy="517073"/>
          <a:chOff x="1194406" y="32874856"/>
          <a:chExt cx="606586" cy="942183"/>
        </a:xfrm>
      </xdr:grpSpPr>
      <xdr:sp macro="" textlink="">
        <xdr:nvSpPr>
          <xdr:cNvPr id="33" name="Moon 32">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4" name="Oval 33">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0</xdr:colOff>
      <xdr:row>67</xdr:row>
      <xdr:rowOff>149677</xdr:rowOff>
    </xdr:from>
    <xdr:to>
      <xdr:col>0</xdr:col>
      <xdr:colOff>247950</xdr:colOff>
      <xdr:row>70</xdr:row>
      <xdr:rowOff>17687</xdr:rowOff>
    </xdr:to>
    <xdr:grpSp>
      <xdr:nvGrpSpPr>
        <xdr:cNvPr id="35" name="Group 34">
          <a:extLst>
            <a:ext uri="{FF2B5EF4-FFF2-40B4-BE49-F238E27FC236}">
              <a16:creationId xmlns:a16="http://schemas.microsoft.com/office/drawing/2014/main" xmlns="" id="{3BCB394B-241A-4581-BC5E-3DBD9D07A2BE}"/>
            </a:ext>
          </a:extLst>
        </xdr:cNvPr>
        <xdr:cNvGrpSpPr/>
      </xdr:nvGrpSpPr>
      <xdr:grpSpPr>
        <a:xfrm>
          <a:off x="0" y="17403534"/>
          <a:ext cx="247950" cy="521153"/>
          <a:chOff x="1194406" y="32874856"/>
          <a:chExt cx="606586" cy="942183"/>
        </a:xfrm>
      </xdr:grpSpPr>
      <xdr:sp macro="" textlink="">
        <xdr:nvSpPr>
          <xdr:cNvPr id="36" name="Moon 35">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7" name="Oval 36">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446014</xdr:colOff>
      <xdr:row>55</xdr:row>
      <xdr:rowOff>81641</xdr:rowOff>
    </xdr:from>
    <xdr:to>
      <xdr:col>12</xdr:col>
      <xdr:colOff>0</xdr:colOff>
      <xdr:row>57</xdr:row>
      <xdr:rowOff>149677</xdr:rowOff>
    </xdr:to>
    <xdr:grpSp>
      <xdr:nvGrpSpPr>
        <xdr:cNvPr id="38" name="Group 37">
          <a:extLst>
            <a:ext uri="{FF2B5EF4-FFF2-40B4-BE49-F238E27FC236}">
              <a16:creationId xmlns:a16="http://schemas.microsoft.com/office/drawing/2014/main" xmlns="" id="{129906CF-0658-420B-B463-3B81235B0D11}"/>
            </a:ext>
          </a:extLst>
        </xdr:cNvPr>
        <xdr:cNvGrpSpPr/>
      </xdr:nvGrpSpPr>
      <xdr:grpSpPr>
        <a:xfrm rot="10800000">
          <a:off x="11100407" y="14600462"/>
          <a:ext cx="247950" cy="517072"/>
          <a:chOff x="1194406" y="32874856"/>
          <a:chExt cx="606586" cy="942183"/>
        </a:xfrm>
      </xdr:grpSpPr>
      <xdr:sp macro="" textlink="">
        <xdr:nvSpPr>
          <xdr:cNvPr id="39" name="Moon 38">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40" name="Oval 39">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432406</xdr:colOff>
      <xdr:row>40</xdr:row>
      <xdr:rowOff>31294</xdr:rowOff>
    </xdr:from>
    <xdr:to>
      <xdr:col>11</xdr:col>
      <xdr:colOff>680356</xdr:colOff>
      <xdr:row>42</xdr:row>
      <xdr:rowOff>108854</xdr:rowOff>
    </xdr:to>
    <xdr:grpSp>
      <xdr:nvGrpSpPr>
        <xdr:cNvPr id="41" name="Group 40">
          <a:extLst>
            <a:ext uri="{FF2B5EF4-FFF2-40B4-BE49-F238E27FC236}">
              <a16:creationId xmlns:a16="http://schemas.microsoft.com/office/drawing/2014/main" xmlns="" id="{129906CF-0658-420B-B463-3B81235B0D11}"/>
            </a:ext>
          </a:extLst>
        </xdr:cNvPr>
        <xdr:cNvGrpSpPr/>
      </xdr:nvGrpSpPr>
      <xdr:grpSpPr>
        <a:xfrm rot="10800000">
          <a:off x="11086799" y="11161937"/>
          <a:ext cx="247950" cy="526596"/>
          <a:chOff x="1194406" y="32874856"/>
          <a:chExt cx="606586" cy="942183"/>
        </a:xfrm>
      </xdr:grpSpPr>
      <xdr:sp macro="" textlink="">
        <xdr:nvSpPr>
          <xdr:cNvPr id="42" name="Moon 41">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43" name="Oval 42">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27214</xdr:colOff>
      <xdr:row>48</xdr:row>
      <xdr:rowOff>27210</xdr:rowOff>
    </xdr:from>
    <xdr:to>
      <xdr:col>0</xdr:col>
      <xdr:colOff>275164</xdr:colOff>
      <xdr:row>50</xdr:row>
      <xdr:rowOff>54425</xdr:rowOff>
    </xdr:to>
    <xdr:grpSp>
      <xdr:nvGrpSpPr>
        <xdr:cNvPr id="44" name="Group 43">
          <a:extLst>
            <a:ext uri="{FF2B5EF4-FFF2-40B4-BE49-F238E27FC236}">
              <a16:creationId xmlns:a16="http://schemas.microsoft.com/office/drawing/2014/main" xmlns="" id="{3BCB394B-241A-4581-BC5E-3DBD9D07A2BE}"/>
            </a:ext>
          </a:extLst>
        </xdr:cNvPr>
        <xdr:cNvGrpSpPr/>
      </xdr:nvGrpSpPr>
      <xdr:grpSpPr>
        <a:xfrm>
          <a:off x="27214" y="12953996"/>
          <a:ext cx="247950" cy="517072"/>
          <a:chOff x="1194406" y="32874856"/>
          <a:chExt cx="606586" cy="942183"/>
        </a:xfrm>
      </xdr:grpSpPr>
      <xdr:sp macro="" textlink="">
        <xdr:nvSpPr>
          <xdr:cNvPr id="45" name="Moon 44">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46" name="Oval 45">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0</xdr:colOff>
      <xdr:row>33</xdr:row>
      <xdr:rowOff>85722</xdr:rowOff>
    </xdr:from>
    <xdr:to>
      <xdr:col>0</xdr:col>
      <xdr:colOff>247950</xdr:colOff>
      <xdr:row>35</xdr:row>
      <xdr:rowOff>163283</xdr:rowOff>
    </xdr:to>
    <xdr:grpSp>
      <xdr:nvGrpSpPr>
        <xdr:cNvPr id="47" name="Group 46">
          <a:extLst>
            <a:ext uri="{FF2B5EF4-FFF2-40B4-BE49-F238E27FC236}">
              <a16:creationId xmlns:a16="http://schemas.microsoft.com/office/drawing/2014/main" xmlns="" id="{3BCB394B-241A-4581-BC5E-3DBD9D07A2BE}"/>
            </a:ext>
          </a:extLst>
        </xdr:cNvPr>
        <xdr:cNvGrpSpPr/>
      </xdr:nvGrpSpPr>
      <xdr:grpSpPr>
        <a:xfrm>
          <a:off x="0" y="9624329"/>
          <a:ext cx="247950" cy="526597"/>
          <a:chOff x="1194406" y="32874856"/>
          <a:chExt cx="606586" cy="942183"/>
        </a:xfrm>
      </xdr:grpSpPr>
      <xdr:sp macro="" textlink="">
        <xdr:nvSpPr>
          <xdr:cNvPr id="48" name="Moon 47">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49" name="Oval 48">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446014</xdr:colOff>
      <xdr:row>25</xdr:row>
      <xdr:rowOff>72115</xdr:rowOff>
    </xdr:from>
    <xdr:to>
      <xdr:col>12</xdr:col>
      <xdr:colOff>0</xdr:colOff>
      <xdr:row>27</xdr:row>
      <xdr:rowOff>149677</xdr:rowOff>
    </xdr:to>
    <xdr:grpSp>
      <xdr:nvGrpSpPr>
        <xdr:cNvPr id="50" name="Group 49">
          <a:extLst>
            <a:ext uri="{FF2B5EF4-FFF2-40B4-BE49-F238E27FC236}">
              <a16:creationId xmlns:a16="http://schemas.microsoft.com/office/drawing/2014/main" xmlns="" id="{129906CF-0658-420B-B463-3B81235B0D11}"/>
            </a:ext>
          </a:extLst>
        </xdr:cNvPr>
        <xdr:cNvGrpSpPr/>
      </xdr:nvGrpSpPr>
      <xdr:grpSpPr>
        <a:xfrm rot="10800000">
          <a:off x="11100407" y="7814579"/>
          <a:ext cx="247950" cy="526598"/>
          <a:chOff x="1194406" y="32874856"/>
          <a:chExt cx="606586" cy="942183"/>
        </a:xfrm>
      </xdr:grpSpPr>
      <xdr:sp macro="" textlink="">
        <xdr:nvSpPr>
          <xdr:cNvPr id="51" name="Moon 50">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52" name="Oval 51">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27215</xdr:colOff>
      <xdr:row>15</xdr:row>
      <xdr:rowOff>4077</xdr:rowOff>
    </xdr:from>
    <xdr:to>
      <xdr:col>0</xdr:col>
      <xdr:colOff>275165</xdr:colOff>
      <xdr:row>17</xdr:row>
      <xdr:rowOff>81638</xdr:rowOff>
    </xdr:to>
    <xdr:grpSp>
      <xdr:nvGrpSpPr>
        <xdr:cNvPr id="56" name="Group 55">
          <a:extLst>
            <a:ext uri="{FF2B5EF4-FFF2-40B4-BE49-F238E27FC236}">
              <a16:creationId xmlns:a16="http://schemas.microsoft.com/office/drawing/2014/main" xmlns="" id="{3BCB394B-241A-4581-BC5E-3DBD9D07A2BE}"/>
            </a:ext>
          </a:extLst>
        </xdr:cNvPr>
        <xdr:cNvGrpSpPr/>
      </xdr:nvGrpSpPr>
      <xdr:grpSpPr>
        <a:xfrm>
          <a:off x="27215" y="5460541"/>
          <a:ext cx="247950" cy="526597"/>
          <a:chOff x="1194406" y="32874856"/>
          <a:chExt cx="606586" cy="942183"/>
        </a:xfrm>
      </xdr:grpSpPr>
      <xdr:sp macro="" textlink="">
        <xdr:nvSpPr>
          <xdr:cNvPr id="57" name="Moon 56">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58" name="Oval 57">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462643</xdr:colOff>
      <xdr:row>89</xdr:row>
      <xdr:rowOff>27214</xdr:rowOff>
    </xdr:from>
    <xdr:to>
      <xdr:col>12</xdr:col>
      <xdr:colOff>16629</xdr:colOff>
      <xdr:row>91</xdr:row>
      <xdr:rowOff>95251</xdr:rowOff>
    </xdr:to>
    <xdr:grpSp>
      <xdr:nvGrpSpPr>
        <xdr:cNvPr id="77" name="Group 76">
          <a:extLst>
            <a:ext uri="{FF2B5EF4-FFF2-40B4-BE49-F238E27FC236}">
              <a16:creationId xmlns:a16="http://schemas.microsoft.com/office/drawing/2014/main" xmlns="" id="{129906CF-0658-420B-B463-3B81235B0D11}"/>
            </a:ext>
          </a:extLst>
        </xdr:cNvPr>
        <xdr:cNvGrpSpPr/>
      </xdr:nvGrpSpPr>
      <xdr:grpSpPr>
        <a:xfrm rot="10800000">
          <a:off x="11117036" y="22179643"/>
          <a:ext cx="247950" cy="517072"/>
          <a:chOff x="1194406" y="32874856"/>
          <a:chExt cx="606586" cy="942183"/>
        </a:xfrm>
      </xdr:grpSpPr>
      <xdr:sp macro="" textlink="">
        <xdr:nvSpPr>
          <xdr:cNvPr id="78" name="Moon 77">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79" name="Oval 78">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367395</xdr:colOff>
      <xdr:row>109</xdr:row>
      <xdr:rowOff>95250</xdr:rowOff>
    </xdr:from>
    <xdr:to>
      <xdr:col>5</xdr:col>
      <xdr:colOff>1509034</xdr:colOff>
      <xdr:row>115</xdr:row>
      <xdr:rowOff>40822</xdr:rowOff>
    </xdr:to>
    <xdr:pic>
      <xdr:nvPicPr>
        <xdr:cNvPr id="100" name="Picture 9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395" y="35786786"/>
          <a:ext cx="4938032"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94</xdr:row>
      <xdr:rowOff>217714</xdr:rowOff>
    </xdr:from>
    <xdr:to>
      <xdr:col>5</xdr:col>
      <xdr:colOff>1525360</xdr:colOff>
      <xdr:row>100</xdr:row>
      <xdr:rowOff>231322</xdr:rowOff>
    </xdr:to>
    <xdr:pic>
      <xdr:nvPicPr>
        <xdr:cNvPr id="102" name="Picture 10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0" y="32248928"/>
          <a:ext cx="4940753" cy="1360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381001</xdr:colOff>
      <xdr:row>119</xdr:row>
      <xdr:rowOff>149679</xdr:rowOff>
    </xdr:from>
    <xdr:to>
      <xdr:col>11</xdr:col>
      <xdr:colOff>423182</xdr:colOff>
      <xdr:row>123</xdr:row>
      <xdr:rowOff>291193</xdr:rowOff>
    </xdr:to>
    <xdr:pic>
      <xdr:nvPicPr>
        <xdr:cNvPr id="103" name="Picture 10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36822" y="37719000"/>
          <a:ext cx="4940753" cy="12845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408215</xdr:colOff>
      <xdr:row>103</xdr:row>
      <xdr:rowOff>231321</xdr:rowOff>
    </xdr:from>
    <xdr:to>
      <xdr:col>11</xdr:col>
      <xdr:colOff>450396</xdr:colOff>
      <xdr:row>108</xdr:row>
      <xdr:rowOff>74839</xdr:rowOff>
    </xdr:to>
    <xdr:pic>
      <xdr:nvPicPr>
        <xdr:cNvPr id="104" name="Picture 10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164036" y="34099500"/>
          <a:ext cx="4940753" cy="1163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394608</xdr:colOff>
      <xdr:row>87</xdr:row>
      <xdr:rowOff>190501</xdr:rowOff>
    </xdr:from>
    <xdr:to>
      <xdr:col>11</xdr:col>
      <xdr:colOff>436789</xdr:colOff>
      <xdr:row>93</xdr:row>
      <xdr:rowOff>80284</xdr:rowOff>
    </xdr:to>
    <xdr:pic>
      <xdr:nvPicPr>
        <xdr:cNvPr id="105" name="Picture 10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150429" y="30670501"/>
          <a:ext cx="4940753" cy="1236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381001</xdr:colOff>
      <xdr:row>80</xdr:row>
      <xdr:rowOff>122464</xdr:rowOff>
    </xdr:from>
    <xdr:to>
      <xdr:col>5</xdr:col>
      <xdr:colOff>1528083</xdr:colOff>
      <xdr:row>86</xdr:row>
      <xdr:rowOff>46263</xdr:rowOff>
    </xdr:to>
    <xdr:pic>
      <xdr:nvPicPr>
        <xdr:cNvPr id="106" name="Picture 10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1001" y="29051250"/>
          <a:ext cx="4943475" cy="1270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408214</xdr:colOff>
      <xdr:row>73</xdr:row>
      <xdr:rowOff>81644</xdr:rowOff>
    </xdr:from>
    <xdr:to>
      <xdr:col>11</xdr:col>
      <xdr:colOff>455839</xdr:colOff>
      <xdr:row>78</xdr:row>
      <xdr:rowOff>148319</xdr:rowOff>
    </xdr:to>
    <xdr:pic>
      <xdr:nvPicPr>
        <xdr:cNvPr id="107" name="Picture 10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64035" y="27459215"/>
          <a:ext cx="4946197" cy="11688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367394</xdr:colOff>
      <xdr:row>65</xdr:row>
      <xdr:rowOff>176892</xdr:rowOff>
    </xdr:from>
    <xdr:to>
      <xdr:col>5</xdr:col>
      <xdr:colOff>1521280</xdr:colOff>
      <xdr:row>72</xdr:row>
      <xdr:rowOff>13605</xdr:rowOff>
    </xdr:to>
    <xdr:pic>
      <xdr:nvPicPr>
        <xdr:cNvPr id="108" name="Picture 107"/>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67394" y="25758321"/>
          <a:ext cx="4950279" cy="1387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462642</xdr:colOff>
      <xdr:row>54</xdr:row>
      <xdr:rowOff>13608</xdr:rowOff>
    </xdr:from>
    <xdr:to>
      <xdr:col>11</xdr:col>
      <xdr:colOff>504823</xdr:colOff>
      <xdr:row>60</xdr:row>
      <xdr:rowOff>1</xdr:rowOff>
    </xdr:to>
    <xdr:pic>
      <xdr:nvPicPr>
        <xdr:cNvPr id="109" name="Picture 10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218463" y="23104929"/>
          <a:ext cx="4940753"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367392</xdr:colOff>
      <xdr:row>46</xdr:row>
      <xdr:rowOff>122464</xdr:rowOff>
    </xdr:from>
    <xdr:to>
      <xdr:col>5</xdr:col>
      <xdr:colOff>1511752</xdr:colOff>
      <xdr:row>51</xdr:row>
      <xdr:rowOff>229961</xdr:rowOff>
    </xdr:to>
    <xdr:pic>
      <xdr:nvPicPr>
        <xdr:cNvPr id="110" name="Picture 109"/>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7392" y="21376821"/>
          <a:ext cx="4940753" cy="1250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408215</xdr:colOff>
      <xdr:row>38</xdr:row>
      <xdr:rowOff>149680</xdr:rowOff>
    </xdr:from>
    <xdr:to>
      <xdr:col>11</xdr:col>
      <xdr:colOff>450396</xdr:colOff>
      <xdr:row>44</xdr:row>
      <xdr:rowOff>93891</xdr:rowOff>
    </xdr:to>
    <xdr:pic>
      <xdr:nvPicPr>
        <xdr:cNvPr id="111" name="Picture 110"/>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164036" y="19607894"/>
          <a:ext cx="4940753" cy="1291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30</xdr:row>
      <xdr:rowOff>0</xdr:rowOff>
    </xdr:from>
    <xdr:to>
      <xdr:col>5</xdr:col>
      <xdr:colOff>1528082</xdr:colOff>
      <xdr:row>35</xdr:row>
      <xdr:rowOff>134710</xdr:rowOff>
    </xdr:to>
    <xdr:pic>
      <xdr:nvPicPr>
        <xdr:cNvPr id="112" name="Picture 111"/>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81000" y="8885464"/>
          <a:ext cx="4943475" cy="1236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421822</xdr:colOff>
      <xdr:row>23</xdr:row>
      <xdr:rowOff>81643</xdr:rowOff>
    </xdr:from>
    <xdr:to>
      <xdr:col>11</xdr:col>
      <xdr:colOff>464003</xdr:colOff>
      <xdr:row>29</xdr:row>
      <xdr:rowOff>83004</xdr:rowOff>
    </xdr:to>
    <xdr:pic>
      <xdr:nvPicPr>
        <xdr:cNvPr id="113" name="Picture 11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177643" y="16151679"/>
          <a:ext cx="4940753" cy="1348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381001</xdr:colOff>
      <xdr:row>11</xdr:row>
      <xdr:rowOff>204107</xdr:rowOff>
    </xdr:from>
    <xdr:to>
      <xdr:col>5</xdr:col>
      <xdr:colOff>1528083</xdr:colOff>
      <xdr:row>21</xdr:row>
      <xdr:rowOff>35379</xdr:rowOff>
    </xdr:to>
    <xdr:pic>
      <xdr:nvPicPr>
        <xdr:cNvPr id="114" name="Picture 113"/>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81001" y="13498286"/>
          <a:ext cx="4943475" cy="2117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95251</xdr:colOff>
      <xdr:row>122</xdr:row>
      <xdr:rowOff>108857</xdr:rowOff>
    </xdr:from>
    <xdr:to>
      <xdr:col>6</xdr:col>
      <xdr:colOff>367394</xdr:colOff>
      <xdr:row>123</xdr:row>
      <xdr:rowOff>326571</xdr:rowOff>
    </xdr:to>
    <xdr:sp macro="" textlink="">
      <xdr:nvSpPr>
        <xdr:cNvPr id="115" name="Up Arrow 114"/>
        <xdr:cNvSpPr/>
      </xdr:nvSpPr>
      <xdr:spPr>
        <a:xfrm>
          <a:off x="5851072" y="29758821"/>
          <a:ext cx="272143" cy="50346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1469574</xdr:colOff>
      <xdr:row>113</xdr:row>
      <xdr:rowOff>95249</xdr:rowOff>
    </xdr:from>
    <xdr:to>
      <xdr:col>6</xdr:col>
      <xdr:colOff>122467</xdr:colOff>
      <xdr:row>115</xdr:row>
      <xdr:rowOff>163286</xdr:rowOff>
    </xdr:to>
    <xdr:sp macro="" textlink="">
      <xdr:nvSpPr>
        <xdr:cNvPr id="116" name="Left-Up Arrow 115"/>
        <xdr:cNvSpPr/>
      </xdr:nvSpPr>
      <xdr:spPr>
        <a:xfrm rot="16200000">
          <a:off x="5293181" y="27881035"/>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1455965</xdr:colOff>
      <xdr:row>99</xdr:row>
      <xdr:rowOff>81644</xdr:rowOff>
    </xdr:from>
    <xdr:to>
      <xdr:col>6</xdr:col>
      <xdr:colOff>108858</xdr:colOff>
      <xdr:row>102</xdr:row>
      <xdr:rowOff>190502</xdr:rowOff>
    </xdr:to>
    <xdr:sp macro="" textlink="">
      <xdr:nvSpPr>
        <xdr:cNvPr id="117" name="Left-Up Arrow 116"/>
        <xdr:cNvSpPr/>
      </xdr:nvSpPr>
      <xdr:spPr>
        <a:xfrm rot="16200000">
          <a:off x="5279572" y="24452037"/>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1445080</xdr:colOff>
      <xdr:row>84</xdr:row>
      <xdr:rowOff>97970</xdr:rowOff>
    </xdr:from>
    <xdr:to>
      <xdr:col>6</xdr:col>
      <xdr:colOff>97973</xdr:colOff>
      <xdr:row>87</xdr:row>
      <xdr:rowOff>2721</xdr:rowOff>
    </xdr:to>
    <xdr:sp macro="" textlink="">
      <xdr:nvSpPr>
        <xdr:cNvPr id="118" name="Left-Up Arrow 117"/>
        <xdr:cNvSpPr/>
      </xdr:nvSpPr>
      <xdr:spPr>
        <a:xfrm rot="16200000">
          <a:off x="5268687" y="21121006"/>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1755322</xdr:colOff>
      <xdr:row>107</xdr:row>
      <xdr:rowOff>108856</xdr:rowOff>
    </xdr:from>
    <xdr:to>
      <xdr:col>6</xdr:col>
      <xdr:colOff>353788</xdr:colOff>
      <xdr:row>108</xdr:row>
      <xdr:rowOff>476249</xdr:rowOff>
    </xdr:to>
    <xdr:sp macro="" textlink="">
      <xdr:nvSpPr>
        <xdr:cNvPr id="120" name="Left-Up Arrow 119"/>
        <xdr:cNvSpPr/>
      </xdr:nvSpPr>
      <xdr:spPr>
        <a:xfrm rot="10800000">
          <a:off x="5551715" y="26275392"/>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1768928</xdr:colOff>
      <xdr:row>91</xdr:row>
      <xdr:rowOff>122465</xdr:rowOff>
    </xdr:from>
    <xdr:to>
      <xdr:col>6</xdr:col>
      <xdr:colOff>367394</xdr:colOff>
      <xdr:row>94</xdr:row>
      <xdr:rowOff>81643</xdr:rowOff>
    </xdr:to>
    <xdr:sp macro="" textlink="">
      <xdr:nvSpPr>
        <xdr:cNvPr id="121" name="Left-Up Arrow 120"/>
        <xdr:cNvSpPr/>
      </xdr:nvSpPr>
      <xdr:spPr>
        <a:xfrm rot="10800000">
          <a:off x="5565321" y="22723929"/>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1768928</xdr:colOff>
      <xdr:row>76</xdr:row>
      <xdr:rowOff>95250</xdr:rowOff>
    </xdr:from>
    <xdr:to>
      <xdr:col>6</xdr:col>
      <xdr:colOff>367394</xdr:colOff>
      <xdr:row>79</xdr:row>
      <xdr:rowOff>54428</xdr:rowOff>
    </xdr:to>
    <xdr:sp macro="" textlink="">
      <xdr:nvSpPr>
        <xdr:cNvPr id="122" name="Left-Up Arrow 121"/>
        <xdr:cNvSpPr/>
      </xdr:nvSpPr>
      <xdr:spPr>
        <a:xfrm rot="10800000">
          <a:off x="5565321" y="19349357"/>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1428751</xdr:colOff>
      <xdr:row>70</xdr:row>
      <xdr:rowOff>217714</xdr:rowOff>
    </xdr:from>
    <xdr:to>
      <xdr:col>6</xdr:col>
      <xdr:colOff>81644</xdr:colOff>
      <xdr:row>73</xdr:row>
      <xdr:rowOff>81644</xdr:rowOff>
    </xdr:to>
    <xdr:sp macro="" textlink="">
      <xdr:nvSpPr>
        <xdr:cNvPr id="123" name="Left-Up Arrow 122"/>
        <xdr:cNvSpPr/>
      </xdr:nvSpPr>
      <xdr:spPr>
        <a:xfrm rot="16200000">
          <a:off x="5252358" y="18097500"/>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1768928</xdr:colOff>
      <xdr:row>58</xdr:row>
      <xdr:rowOff>27215</xdr:rowOff>
    </xdr:from>
    <xdr:to>
      <xdr:col>6</xdr:col>
      <xdr:colOff>367394</xdr:colOff>
      <xdr:row>60</xdr:row>
      <xdr:rowOff>190501</xdr:rowOff>
    </xdr:to>
    <xdr:sp macro="" textlink="">
      <xdr:nvSpPr>
        <xdr:cNvPr id="124" name="Left-Up Arrow 123"/>
        <xdr:cNvSpPr/>
      </xdr:nvSpPr>
      <xdr:spPr>
        <a:xfrm rot="10800000">
          <a:off x="5565321" y="15240001"/>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1469573</xdr:colOff>
      <xdr:row>51</xdr:row>
      <xdr:rowOff>163286</xdr:rowOff>
    </xdr:from>
    <xdr:to>
      <xdr:col>6</xdr:col>
      <xdr:colOff>122466</xdr:colOff>
      <xdr:row>54</xdr:row>
      <xdr:rowOff>27216</xdr:rowOff>
    </xdr:to>
    <xdr:sp macro="" textlink="">
      <xdr:nvSpPr>
        <xdr:cNvPr id="125" name="Left-Up Arrow 124"/>
        <xdr:cNvSpPr/>
      </xdr:nvSpPr>
      <xdr:spPr>
        <a:xfrm rot="16200000">
          <a:off x="5293180" y="13756822"/>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1755322</xdr:colOff>
      <xdr:row>42</xdr:row>
      <xdr:rowOff>176892</xdr:rowOff>
    </xdr:from>
    <xdr:to>
      <xdr:col>6</xdr:col>
      <xdr:colOff>353788</xdr:colOff>
      <xdr:row>45</xdr:row>
      <xdr:rowOff>95249</xdr:rowOff>
    </xdr:to>
    <xdr:sp macro="" textlink="">
      <xdr:nvSpPr>
        <xdr:cNvPr id="126" name="Left-Up Arrow 125"/>
        <xdr:cNvSpPr/>
      </xdr:nvSpPr>
      <xdr:spPr>
        <a:xfrm rot="10800000">
          <a:off x="5551715" y="11756571"/>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1455968</xdr:colOff>
      <xdr:row>33</xdr:row>
      <xdr:rowOff>231322</xdr:rowOff>
    </xdr:from>
    <xdr:to>
      <xdr:col>6</xdr:col>
      <xdr:colOff>108861</xdr:colOff>
      <xdr:row>36</xdr:row>
      <xdr:rowOff>95252</xdr:rowOff>
    </xdr:to>
    <xdr:sp macro="" textlink="">
      <xdr:nvSpPr>
        <xdr:cNvPr id="127" name="Left-Up Arrow 126"/>
        <xdr:cNvSpPr/>
      </xdr:nvSpPr>
      <xdr:spPr>
        <a:xfrm rot="16200000">
          <a:off x="5279575" y="9742715"/>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1768928</xdr:colOff>
      <xdr:row>26</xdr:row>
      <xdr:rowOff>190500</xdr:rowOff>
    </xdr:from>
    <xdr:to>
      <xdr:col>6</xdr:col>
      <xdr:colOff>367394</xdr:colOff>
      <xdr:row>29</xdr:row>
      <xdr:rowOff>108856</xdr:rowOff>
    </xdr:to>
    <xdr:sp macro="" textlink="">
      <xdr:nvSpPr>
        <xdr:cNvPr id="128" name="Left-Up Arrow 127"/>
        <xdr:cNvSpPr/>
      </xdr:nvSpPr>
      <xdr:spPr>
        <a:xfrm rot="10800000">
          <a:off x="5565321" y="8137071"/>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1469573</xdr:colOff>
      <xdr:row>19</xdr:row>
      <xdr:rowOff>149678</xdr:rowOff>
    </xdr:from>
    <xdr:to>
      <xdr:col>6</xdr:col>
      <xdr:colOff>122466</xdr:colOff>
      <xdr:row>22</xdr:row>
      <xdr:rowOff>13608</xdr:rowOff>
    </xdr:to>
    <xdr:sp macro="" textlink="">
      <xdr:nvSpPr>
        <xdr:cNvPr id="129" name="Left-Up Arrow 128"/>
        <xdr:cNvSpPr/>
      </xdr:nvSpPr>
      <xdr:spPr>
        <a:xfrm rot="16200000">
          <a:off x="5293180" y="6477000"/>
          <a:ext cx="557894" cy="612321"/>
        </a:xfrm>
        <a:prstGeom prst="leftUpArrow">
          <a:avLst>
            <a:gd name="adj1" fmla="val 30001"/>
            <a:gd name="adj2" fmla="val 25000"/>
            <a:gd name="adj3" fmla="val 25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34570</xdr:colOff>
      <xdr:row>61</xdr:row>
      <xdr:rowOff>406684</xdr:rowOff>
    </xdr:from>
    <xdr:to>
      <xdr:col>15</xdr:col>
      <xdr:colOff>929919</xdr:colOff>
      <xdr:row>67</xdr:row>
      <xdr:rowOff>181938</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95251</xdr:colOff>
      <xdr:row>1</xdr:row>
      <xdr:rowOff>66675</xdr:rowOff>
    </xdr:from>
    <xdr:to>
      <xdr:col>2</xdr:col>
      <xdr:colOff>684945</xdr:colOff>
      <xdr:row>1</xdr:row>
      <xdr:rowOff>447675</xdr:rowOff>
    </xdr:to>
    <xdr:pic>
      <xdr:nvPicPr>
        <xdr:cNvPr id="3" name="Picture 1" descr="Logo BITG">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6" y="24765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738455</xdr:colOff>
      <xdr:row>1</xdr:row>
      <xdr:rowOff>117725</xdr:rowOff>
    </xdr:from>
    <xdr:ext cx="3891706" cy="291234"/>
    <xdr:sp macro="" textlink="">
      <xdr:nvSpPr>
        <xdr:cNvPr id="4" name="TextBox 3">
          <a:extLst>
            <a:ext uri="{FF2B5EF4-FFF2-40B4-BE49-F238E27FC236}">
              <a16:creationId xmlns="" xmlns:a16="http://schemas.microsoft.com/office/drawing/2014/main" id="{00000000-0008-0000-0100-000005000000}"/>
            </a:ext>
          </a:extLst>
        </xdr:cNvPr>
        <xdr:cNvSpPr txBox="1"/>
      </xdr:nvSpPr>
      <xdr:spPr>
        <a:xfrm>
          <a:off x="1052780" y="298700"/>
          <a:ext cx="389170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1100" b="1">
              <a:latin typeface="Arial Black" panose="020B0A04020102020204" pitchFamily="34" charset="0"/>
            </a:rPr>
            <a:t>BODYNITS INTERNATIONAL TIEN GIANG (BITG)</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323849</xdr:colOff>
      <xdr:row>6</xdr:row>
      <xdr:rowOff>0</xdr:rowOff>
    </xdr:from>
    <xdr:to>
      <xdr:col>9</xdr:col>
      <xdr:colOff>561974</xdr:colOff>
      <xdr:row>6</xdr:row>
      <xdr:rowOff>0</xdr:rowOff>
    </xdr:to>
    <xdr:sp macro="" textlink="">
      <xdr:nvSpPr>
        <xdr:cNvPr id="2" name="Rectangle 1">
          <a:extLst>
            <a:ext uri="{FF2B5EF4-FFF2-40B4-BE49-F238E27FC236}">
              <a16:creationId xmlns:a16="http://schemas.microsoft.com/office/drawing/2014/main" xmlns="" id="{5D63D521-790F-457D-A95E-F77DD49BD4C3}"/>
            </a:ext>
          </a:extLst>
        </xdr:cNvPr>
        <xdr:cNvSpPr/>
      </xdr:nvSpPr>
      <xdr:spPr bwMode="auto">
        <a:xfrm rot="5400000">
          <a:off x="7881937" y="461962"/>
          <a:ext cx="0" cy="3629025"/>
        </a:xfrm>
        <a:prstGeom prst="rect">
          <a:avLst/>
        </a:prstGeom>
        <a:solidFill>
          <a:schemeClr val="bg1">
            <a:lumMod val="85000"/>
          </a:schemeClr>
        </a:solidFill>
        <a:ln w="9525" cap="flat" cmpd="sng" algn="ctr">
          <a:solidFill>
            <a:schemeClr val="accent1"/>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sz="1000"/>
            <a:t>LONG</a:t>
          </a:r>
          <a:r>
            <a:rPr lang="en-US" sz="1000" baseline="0"/>
            <a:t> TABLE</a:t>
          </a:r>
          <a:endParaRPr lang="id-ID" sz="1000"/>
        </a:p>
      </xdr:txBody>
    </xdr:sp>
    <xdr:clientData/>
  </xdr:twoCellAnchor>
  <xdr:twoCellAnchor>
    <xdr:from>
      <xdr:col>5</xdr:col>
      <xdr:colOff>923703</xdr:colOff>
      <xdr:row>6</xdr:row>
      <xdr:rowOff>95250</xdr:rowOff>
    </xdr:from>
    <xdr:to>
      <xdr:col>6</xdr:col>
      <xdr:colOff>888547</xdr:colOff>
      <xdr:row>7</xdr:row>
      <xdr:rowOff>566852</xdr:rowOff>
    </xdr:to>
    <xdr:sp macro="" textlink="">
      <xdr:nvSpPr>
        <xdr:cNvPr id="5" name="Rectangle 4">
          <a:extLst>
            <a:ext uri="{FF2B5EF4-FFF2-40B4-BE49-F238E27FC236}">
              <a16:creationId xmlns:a16="http://schemas.microsoft.com/office/drawing/2014/main" xmlns="" id="{2C9D1384-A967-4042-A255-120A32305600}"/>
            </a:ext>
          </a:extLst>
        </xdr:cNvPr>
        <xdr:cNvSpPr/>
      </xdr:nvSpPr>
      <xdr:spPr bwMode="auto">
        <a:xfrm flipH="1">
          <a:off x="4720096" y="2367643"/>
          <a:ext cx="1924272" cy="716530"/>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PACKING</a:t>
          </a:r>
          <a:endParaRPr lang="id-ID">
            <a:effectLst/>
          </a:endParaRPr>
        </a:p>
      </xdr:txBody>
    </xdr:sp>
    <xdr:clientData/>
  </xdr:twoCellAnchor>
  <xdr:oneCellAnchor>
    <xdr:from>
      <xdr:col>1</xdr:col>
      <xdr:colOff>561974</xdr:colOff>
      <xdr:row>1</xdr:row>
      <xdr:rowOff>47626</xdr:rowOff>
    </xdr:from>
    <xdr:ext cx="3876676" cy="291234"/>
    <xdr:sp macro="" textlink="">
      <xdr:nvSpPr>
        <xdr:cNvPr id="6" name="TextBox 5">
          <a:extLst>
            <a:ext uri="{FF2B5EF4-FFF2-40B4-BE49-F238E27FC236}">
              <a16:creationId xmlns:a16="http://schemas.microsoft.com/office/drawing/2014/main" xmlns="" id="{54B47921-13E2-4043-B9FC-4523B17C278C}"/>
            </a:ext>
          </a:extLst>
        </xdr:cNvPr>
        <xdr:cNvSpPr txBox="1"/>
      </xdr:nvSpPr>
      <xdr:spPr>
        <a:xfrm>
          <a:off x="1009649" y="142876"/>
          <a:ext cx="387667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SG" sz="1100" b="1">
              <a:latin typeface="Arial Black" panose="020B0A04020102020204" pitchFamily="34" charset="0"/>
            </a:rPr>
            <a:t>BODYNITS INTERNATIONAL TIEN GIANG (BITG)</a:t>
          </a:r>
        </a:p>
      </xdr:txBody>
    </xdr:sp>
    <xdr:clientData/>
  </xdr:oneCellAnchor>
  <xdr:twoCellAnchor>
    <xdr:from>
      <xdr:col>1</xdr:col>
      <xdr:colOff>57150</xdr:colOff>
      <xdr:row>1</xdr:row>
      <xdr:rowOff>57150</xdr:rowOff>
    </xdr:from>
    <xdr:to>
      <xdr:col>1</xdr:col>
      <xdr:colOff>646844</xdr:colOff>
      <xdr:row>1</xdr:row>
      <xdr:rowOff>438150</xdr:rowOff>
    </xdr:to>
    <xdr:pic>
      <xdr:nvPicPr>
        <xdr:cNvPr id="7" name="Picture 1" descr="Logo BITG">
          <a:extLst>
            <a:ext uri="{FF2B5EF4-FFF2-40B4-BE49-F238E27FC236}">
              <a16:creationId xmlns:a16="http://schemas.microsoft.com/office/drawing/2014/main" xmlns="" id="{718F30F5-3413-4E76-9D35-2C2405C9D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15240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1512097</xdr:colOff>
      <xdr:row>9</xdr:row>
      <xdr:rowOff>176893</xdr:rowOff>
    </xdr:from>
    <xdr:to>
      <xdr:col>6</xdr:col>
      <xdr:colOff>394610</xdr:colOff>
      <xdr:row>203</xdr:row>
      <xdr:rowOff>108858</xdr:rowOff>
    </xdr:to>
    <xdr:sp macro="" textlink="">
      <xdr:nvSpPr>
        <xdr:cNvPr id="8" name="Rectangle 7">
          <a:extLst>
            <a:ext uri="{FF2B5EF4-FFF2-40B4-BE49-F238E27FC236}">
              <a16:creationId xmlns:a16="http://schemas.microsoft.com/office/drawing/2014/main" xmlns="" id="{0064DF82-AF18-4489-AAD3-4FDFD412E65D}"/>
            </a:ext>
          </a:extLst>
        </xdr:cNvPr>
        <xdr:cNvSpPr/>
      </xdr:nvSpPr>
      <xdr:spPr>
        <a:xfrm>
          <a:off x="5308490" y="4204607"/>
          <a:ext cx="841941" cy="420460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1744664</xdr:colOff>
      <xdr:row>9</xdr:row>
      <xdr:rowOff>189657</xdr:rowOff>
    </xdr:from>
    <xdr:to>
      <xdr:col>6</xdr:col>
      <xdr:colOff>130517</xdr:colOff>
      <xdr:row>203</xdr:row>
      <xdr:rowOff>108858</xdr:rowOff>
    </xdr:to>
    <xdr:sp macro="" textlink="">
      <xdr:nvSpPr>
        <xdr:cNvPr id="9" name="Up Arrow 69">
          <a:extLst>
            <a:ext uri="{FF2B5EF4-FFF2-40B4-BE49-F238E27FC236}">
              <a16:creationId xmlns:a16="http://schemas.microsoft.com/office/drawing/2014/main" xmlns="" id="{814BC888-8FF7-4F8F-A578-AE06B4D6C5D5}"/>
            </a:ext>
          </a:extLst>
        </xdr:cNvPr>
        <xdr:cNvSpPr/>
      </xdr:nvSpPr>
      <xdr:spPr>
        <a:xfrm>
          <a:off x="5541057" y="4217371"/>
          <a:ext cx="345281" cy="42033308"/>
        </a:xfrm>
        <a:prstGeom prst="up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923702</xdr:colOff>
      <xdr:row>7</xdr:row>
      <xdr:rowOff>639536</xdr:rowOff>
    </xdr:from>
    <xdr:to>
      <xdr:col>6</xdr:col>
      <xdr:colOff>888546</xdr:colOff>
      <xdr:row>8</xdr:row>
      <xdr:rowOff>122464</xdr:rowOff>
    </xdr:to>
    <xdr:sp macro="" textlink="">
      <xdr:nvSpPr>
        <xdr:cNvPr id="211" name="Rectangle 210">
          <a:extLst>
            <a:ext uri="{FF2B5EF4-FFF2-40B4-BE49-F238E27FC236}">
              <a16:creationId xmlns:a16="http://schemas.microsoft.com/office/drawing/2014/main" xmlns="" id="{75EBA883-F67E-4799-98B6-D8946FA91CCF}"/>
            </a:ext>
          </a:extLst>
        </xdr:cNvPr>
        <xdr:cNvSpPr/>
      </xdr:nvSpPr>
      <xdr:spPr bwMode="auto">
        <a:xfrm flipH="1">
          <a:off x="4720095" y="3156857"/>
          <a:ext cx="1924272" cy="748393"/>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CHECKING</a:t>
          </a:r>
          <a:endParaRPr lang="id-ID">
            <a:effectLst/>
          </a:endParaRPr>
        </a:p>
      </xdr:txBody>
    </xdr:sp>
    <xdr:clientData/>
  </xdr:twoCellAnchor>
  <xdr:twoCellAnchor>
    <xdr:from>
      <xdr:col>5</xdr:col>
      <xdr:colOff>612321</xdr:colOff>
      <xdr:row>203</xdr:row>
      <xdr:rowOff>190502</xdr:rowOff>
    </xdr:from>
    <xdr:to>
      <xdr:col>7</xdr:col>
      <xdr:colOff>381000</xdr:colOff>
      <xdr:row>206</xdr:row>
      <xdr:rowOff>108857</xdr:rowOff>
    </xdr:to>
    <xdr:sp macro="" textlink="">
      <xdr:nvSpPr>
        <xdr:cNvPr id="15" name="Rectangle: Rounded Corners 14">
          <a:extLst>
            <a:ext uri="{FF2B5EF4-FFF2-40B4-BE49-F238E27FC236}">
              <a16:creationId xmlns:a16="http://schemas.microsoft.com/office/drawing/2014/main" xmlns="" id="{DBACEDB1-0455-4FDE-892A-E969DC5C233C}"/>
            </a:ext>
          </a:extLst>
        </xdr:cNvPr>
        <xdr:cNvSpPr/>
      </xdr:nvSpPr>
      <xdr:spPr>
        <a:xfrm>
          <a:off x="4408714" y="48332573"/>
          <a:ext cx="2694215" cy="73478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t>LINE</a:t>
          </a:r>
        </a:p>
      </xdr:txBody>
    </xdr:sp>
    <xdr:clientData/>
  </xdr:twoCellAnchor>
  <xdr:twoCellAnchor>
    <xdr:from>
      <xdr:col>11</xdr:col>
      <xdr:colOff>391586</xdr:colOff>
      <xdr:row>209</xdr:row>
      <xdr:rowOff>176889</xdr:rowOff>
    </xdr:from>
    <xdr:to>
      <xdr:col>11</xdr:col>
      <xdr:colOff>639536</xdr:colOff>
      <xdr:row>211</xdr:row>
      <xdr:rowOff>122461</xdr:rowOff>
    </xdr:to>
    <xdr:grpSp>
      <xdr:nvGrpSpPr>
        <xdr:cNvPr id="21" name="Group 20">
          <a:extLst>
            <a:ext uri="{FF2B5EF4-FFF2-40B4-BE49-F238E27FC236}">
              <a16:creationId xmlns:a16="http://schemas.microsoft.com/office/drawing/2014/main" xmlns="" id="{129906CF-0658-420B-B463-3B81235B0D11}"/>
            </a:ext>
          </a:extLst>
        </xdr:cNvPr>
        <xdr:cNvGrpSpPr/>
      </xdr:nvGrpSpPr>
      <xdr:grpSpPr>
        <a:xfrm rot="10800000">
          <a:off x="11045979" y="50142318"/>
          <a:ext cx="247950" cy="517072"/>
          <a:chOff x="1194406" y="32874856"/>
          <a:chExt cx="606586" cy="942183"/>
        </a:xfrm>
      </xdr:grpSpPr>
      <xdr:sp macro="" textlink="">
        <xdr:nvSpPr>
          <xdr:cNvPr id="22" name="Moon 21">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3" name="Oval 22">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40821</xdr:colOff>
      <xdr:row>194</xdr:row>
      <xdr:rowOff>149677</xdr:rowOff>
    </xdr:from>
    <xdr:to>
      <xdr:col>0</xdr:col>
      <xdr:colOff>288771</xdr:colOff>
      <xdr:row>196</xdr:row>
      <xdr:rowOff>95249</xdr:rowOff>
    </xdr:to>
    <xdr:grpSp>
      <xdr:nvGrpSpPr>
        <xdr:cNvPr id="98" name="Group 97">
          <a:extLst>
            <a:ext uri="{FF2B5EF4-FFF2-40B4-BE49-F238E27FC236}">
              <a16:creationId xmlns:a16="http://schemas.microsoft.com/office/drawing/2014/main" xmlns="" id="{3BCB394B-241A-4581-BC5E-3DBD9D07A2BE}"/>
            </a:ext>
          </a:extLst>
        </xdr:cNvPr>
        <xdr:cNvGrpSpPr/>
      </xdr:nvGrpSpPr>
      <xdr:grpSpPr>
        <a:xfrm>
          <a:off x="40821" y="45760820"/>
          <a:ext cx="247950" cy="517072"/>
          <a:chOff x="1194406" y="32874856"/>
          <a:chExt cx="606586" cy="942183"/>
        </a:xfrm>
      </xdr:grpSpPr>
      <xdr:sp macro="" textlink="">
        <xdr:nvSpPr>
          <xdr:cNvPr id="99" name="Moon 98">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00" name="Oval 99">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176893</xdr:colOff>
      <xdr:row>206</xdr:row>
      <xdr:rowOff>149681</xdr:rowOff>
    </xdr:from>
    <xdr:to>
      <xdr:col>11</xdr:col>
      <xdr:colOff>367393</xdr:colOff>
      <xdr:row>213</xdr:row>
      <xdr:rowOff>40824</xdr:rowOff>
    </xdr:to>
    <xdr:pic>
      <xdr:nvPicPr>
        <xdr:cNvPr id="185" name="Picture 18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32714" y="49108181"/>
          <a:ext cx="5089072" cy="219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476249</xdr:colOff>
      <xdr:row>195</xdr:row>
      <xdr:rowOff>217714</xdr:rowOff>
    </xdr:from>
    <xdr:to>
      <xdr:col>11</xdr:col>
      <xdr:colOff>421820</xdr:colOff>
      <xdr:row>203</xdr:row>
      <xdr:rowOff>118382</xdr:rowOff>
    </xdr:to>
    <xdr:grpSp>
      <xdr:nvGrpSpPr>
        <xdr:cNvPr id="145" name="Group 144"/>
        <xdr:cNvGrpSpPr/>
      </xdr:nvGrpSpPr>
      <xdr:grpSpPr>
        <a:xfrm>
          <a:off x="6232070" y="46114607"/>
          <a:ext cx="4844143" cy="2145846"/>
          <a:chOff x="6232071" y="44359285"/>
          <a:chExt cx="5795282" cy="1900918"/>
        </a:xfrm>
      </xdr:grpSpPr>
      <xdr:pic>
        <xdr:nvPicPr>
          <xdr:cNvPr id="186" name="Picture 18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32071" y="44359287"/>
            <a:ext cx="1439636" cy="189955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7" name="Picture 18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47214" y="45338999"/>
            <a:ext cx="4380139" cy="92120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8" name="Picture 18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647214" y="44359285"/>
            <a:ext cx="4378779" cy="97971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391586</xdr:colOff>
      <xdr:row>199</xdr:row>
      <xdr:rowOff>204104</xdr:rowOff>
    </xdr:from>
    <xdr:to>
      <xdr:col>11</xdr:col>
      <xdr:colOff>639536</xdr:colOff>
      <xdr:row>201</xdr:row>
      <xdr:rowOff>68033</xdr:rowOff>
    </xdr:to>
    <xdr:grpSp>
      <xdr:nvGrpSpPr>
        <xdr:cNvPr id="189" name="Group 188">
          <a:extLst>
            <a:ext uri="{FF2B5EF4-FFF2-40B4-BE49-F238E27FC236}">
              <a16:creationId xmlns:a16="http://schemas.microsoft.com/office/drawing/2014/main" xmlns="" id="{129906CF-0658-420B-B463-3B81235B0D11}"/>
            </a:ext>
          </a:extLst>
        </xdr:cNvPr>
        <xdr:cNvGrpSpPr/>
      </xdr:nvGrpSpPr>
      <xdr:grpSpPr>
        <a:xfrm rot="10800000">
          <a:off x="11045979" y="46971854"/>
          <a:ext cx="247950" cy="517072"/>
          <a:chOff x="1194406" y="32874856"/>
          <a:chExt cx="606586" cy="942183"/>
        </a:xfrm>
      </xdr:grpSpPr>
      <xdr:sp macro="" textlink="">
        <xdr:nvSpPr>
          <xdr:cNvPr id="190" name="Moon 189">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91" name="Oval 190">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272143</xdr:colOff>
      <xdr:row>188</xdr:row>
      <xdr:rowOff>13612</xdr:rowOff>
    </xdr:from>
    <xdr:to>
      <xdr:col>5</xdr:col>
      <xdr:colOff>1496786</xdr:colOff>
      <xdr:row>201</xdr:row>
      <xdr:rowOff>298002</xdr:rowOff>
    </xdr:to>
    <xdr:grpSp>
      <xdr:nvGrpSpPr>
        <xdr:cNvPr id="146" name="Group 145"/>
        <xdr:cNvGrpSpPr/>
      </xdr:nvGrpSpPr>
      <xdr:grpSpPr>
        <a:xfrm>
          <a:off x="272143" y="44604219"/>
          <a:ext cx="5021036" cy="3114676"/>
          <a:chOff x="272143" y="44577000"/>
          <a:chExt cx="5815692" cy="1658711"/>
        </a:xfrm>
      </xdr:grpSpPr>
      <xdr:pic>
        <xdr:nvPicPr>
          <xdr:cNvPr id="192" name="Picture 19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2143" y="45393429"/>
            <a:ext cx="5815692" cy="84228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3" name="Picture 19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72143" y="44577000"/>
            <a:ext cx="5811611" cy="83956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446013</xdr:colOff>
      <xdr:row>185</xdr:row>
      <xdr:rowOff>40819</xdr:rowOff>
    </xdr:from>
    <xdr:to>
      <xdr:col>11</xdr:col>
      <xdr:colOff>693963</xdr:colOff>
      <xdr:row>187</xdr:row>
      <xdr:rowOff>68033</xdr:rowOff>
    </xdr:to>
    <xdr:grpSp>
      <xdr:nvGrpSpPr>
        <xdr:cNvPr id="195" name="Group 194">
          <a:extLst>
            <a:ext uri="{FF2B5EF4-FFF2-40B4-BE49-F238E27FC236}">
              <a16:creationId xmlns:a16="http://schemas.microsoft.com/office/drawing/2014/main" xmlns="" id="{129906CF-0658-420B-B463-3B81235B0D11}"/>
            </a:ext>
          </a:extLst>
        </xdr:cNvPr>
        <xdr:cNvGrpSpPr/>
      </xdr:nvGrpSpPr>
      <xdr:grpSpPr>
        <a:xfrm rot="10800000">
          <a:off x="11100406" y="43896640"/>
          <a:ext cx="247950" cy="517072"/>
          <a:chOff x="1194406" y="32874856"/>
          <a:chExt cx="606586" cy="942183"/>
        </a:xfrm>
      </xdr:grpSpPr>
      <xdr:sp macro="" textlink="">
        <xdr:nvSpPr>
          <xdr:cNvPr id="196" name="Moon 19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97" name="Oval 19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476250</xdr:colOff>
      <xdr:row>178</xdr:row>
      <xdr:rowOff>13607</xdr:rowOff>
    </xdr:from>
    <xdr:to>
      <xdr:col>11</xdr:col>
      <xdr:colOff>408214</xdr:colOff>
      <xdr:row>195</xdr:row>
      <xdr:rowOff>152400</xdr:rowOff>
    </xdr:to>
    <xdr:grpSp>
      <xdr:nvGrpSpPr>
        <xdr:cNvPr id="147" name="Group 146"/>
        <xdr:cNvGrpSpPr/>
      </xdr:nvGrpSpPr>
      <xdr:grpSpPr>
        <a:xfrm>
          <a:off x="6232071" y="41882786"/>
          <a:ext cx="4830536" cy="4166507"/>
          <a:chOff x="6232071" y="40821429"/>
          <a:chExt cx="4830536" cy="3227614"/>
        </a:xfrm>
      </xdr:grpSpPr>
      <xdr:pic>
        <xdr:nvPicPr>
          <xdr:cNvPr id="194" name="Picture 19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232071" y="42535929"/>
            <a:ext cx="4830536" cy="151311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8" name="Picture 197"/>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32071" y="40821429"/>
            <a:ext cx="4830536" cy="173491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40821</xdr:colOff>
      <xdr:row>181</xdr:row>
      <xdr:rowOff>136070</xdr:rowOff>
    </xdr:from>
    <xdr:to>
      <xdr:col>0</xdr:col>
      <xdr:colOff>288771</xdr:colOff>
      <xdr:row>182</xdr:row>
      <xdr:rowOff>408213</xdr:rowOff>
    </xdr:to>
    <xdr:grpSp>
      <xdr:nvGrpSpPr>
        <xdr:cNvPr id="203" name="Group 202">
          <a:extLst>
            <a:ext uri="{FF2B5EF4-FFF2-40B4-BE49-F238E27FC236}">
              <a16:creationId xmlns:a16="http://schemas.microsoft.com/office/drawing/2014/main" xmlns="" id="{3BCB394B-241A-4581-BC5E-3DBD9D07A2BE}"/>
            </a:ext>
          </a:extLst>
        </xdr:cNvPr>
        <xdr:cNvGrpSpPr/>
      </xdr:nvGrpSpPr>
      <xdr:grpSpPr>
        <a:xfrm>
          <a:off x="40821" y="42835284"/>
          <a:ext cx="247950" cy="517072"/>
          <a:chOff x="1194406" y="32874856"/>
          <a:chExt cx="606586" cy="942183"/>
        </a:xfrm>
      </xdr:grpSpPr>
      <xdr:sp macro="" textlink="">
        <xdr:nvSpPr>
          <xdr:cNvPr id="204" name="Moon 20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05" name="Oval 20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258536</xdr:colOff>
      <xdr:row>174</xdr:row>
      <xdr:rowOff>81643</xdr:rowOff>
    </xdr:from>
    <xdr:to>
      <xdr:col>5</xdr:col>
      <xdr:colOff>1496786</xdr:colOff>
      <xdr:row>187</xdr:row>
      <xdr:rowOff>194582</xdr:rowOff>
    </xdr:to>
    <xdr:grpSp>
      <xdr:nvGrpSpPr>
        <xdr:cNvPr id="175" name="Group 174"/>
        <xdr:cNvGrpSpPr/>
      </xdr:nvGrpSpPr>
      <xdr:grpSpPr>
        <a:xfrm>
          <a:off x="258536" y="41216036"/>
          <a:ext cx="5034643" cy="3324225"/>
          <a:chOff x="258536" y="39977785"/>
          <a:chExt cx="5796643" cy="2562226"/>
        </a:xfrm>
      </xdr:grpSpPr>
      <xdr:pic>
        <xdr:nvPicPr>
          <xdr:cNvPr id="199" name="Picture 19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58536" y="39977786"/>
            <a:ext cx="1439636" cy="25622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6" name="Picture 20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73679" y="41243250"/>
            <a:ext cx="4381500" cy="12954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7" name="Picture 20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73679" y="39977785"/>
            <a:ext cx="4381500" cy="129267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258535</xdr:colOff>
      <xdr:row>153</xdr:row>
      <xdr:rowOff>136072</xdr:rowOff>
    </xdr:from>
    <xdr:to>
      <xdr:col>5</xdr:col>
      <xdr:colOff>1483177</xdr:colOff>
      <xdr:row>171</xdr:row>
      <xdr:rowOff>159205</xdr:rowOff>
    </xdr:to>
    <xdr:grpSp>
      <xdr:nvGrpSpPr>
        <xdr:cNvPr id="208" name="Group 207"/>
        <xdr:cNvGrpSpPr/>
      </xdr:nvGrpSpPr>
      <xdr:grpSpPr>
        <a:xfrm>
          <a:off x="258535" y="36576001"/>
          <a:ext cx="5021035" cy="4064454"/>
          <a:chOff x="258536" y="37065857"/>
          <a:chExt cx="5815692" cy="1982561"/>
        </a:xfrm>
      </xdr:grpSpPr>
      <xdr:pic>
        <xdr:nvPicPr>
          <xdr:cNvPr id="209" name="Picture 208"/>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58536" y="38140821"/>
            <a:ext cx="5811611" cy="90759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0" name="Picture 209"/>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58536" y="37065857"/>
            <a:ext cx="5815692" cy="10980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13607</xdr:colOff>
      <xdr:row>162</xdr:row>
      <xdr:rowOff>95247</xdr:rowOff>
    </xdr:from>
    <xdr:to>
      <xdr:col>0</xdr:col>
      <xdr:colOff>261557</xdr:colOff>
      <xdr:row>164</xdr:row>
      <xdr:rowOff>204105</xdr:rowOff>
    </xdr:to>
    <xdr:grpSp>
      <xdr:nvGrpSpPr>
        <xdr:cNvPr id="212" name="Group 211">
          <a:extLst>
            <a:ext uri="{FF2B5EF4-FFF2-40B4-BE49-F238E27FC236}">
              <a16:creationId xmlns:a16="http://schemas.microsoft.com/office/drawing/2014/main" xmlns="" id="{3BCB394B-241A-4581-BC5E-3DBD9D07A2BE}"/>
            </a:ext>
          </a:extLst>
        </xdr:cNvPr>
        <xdr:cNvGrpSpPr/>
      </xdr:nvGrpSpPr>
      <xdr:grpSpPr>
        <a:xfrm>
          <a:off x="13607" y="38576247"/>
          <a:ext cx="247950" cy="517072"/>
          <a:chOff x="1194406" y="32874856"/>
          <a:chExt cx="606586" cy="942183"/>
        </a:xfrm>
      </xdr:grpSpPr>
      <xdr:sp macro="" textlink="">
        <xdr:nvSpPr>
          <xdr:cNvPr id="213" name="Moon 212">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14" name="Oval 213">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476250</xdr:colOff>
      <xdr:row>162</xdr:row>
      <xdr:rowOff>108857</xdr:rowOff>
    </xdr:from>
    <xdr:to>
      <xdr:col>11</xdr:col>
      <xdr:colOff>394607</xdr:colOff>
      <xdr:row>177</xdr:row>
      <xdr:rowOff>118383</xdr:rowOff>
    </xdr:to>
    <xdr:pic>
      <xdr:nvPicPr>
        <xdr:cNvPr id="215" name="Picture 214"/>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232071" y="36589607"/>
          <a:ext cx="4816929" cy="3152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446013</xdr:colOff>
      <xdr:row>168</xdr:row>
      <xdr:rowOff>217711</xdr:rowOff>
    </xdr:from>
    <xdr:to>
      <xdr:col>11</xdr:col>
      <xdr:colOff>693963</xdr:colOff>
      <xdr:row>171</xdr:row>
      <xdr:rowOff>40819</xdr:rowOff>
    </xdr:to>
    <xdr:grpSp>
      <xdr:nvGrpSpPr>
        <xdr:cNvPr id="216" name="Group 215">
          <a:extLst>
            <a:ext uri="{FF2B5EF4-FFF2-40B4-BE49-F238E27FC236}">
              <a16:creationId xmlns:a16="http://schemas.microsoft.com/office/drawing/2014/main" xmlns="" id="{129906CF-0658-420B-B463-3B81235B0D11}"/>
            </a:ext>
          </a:extLst>
        </xdr:cNvPr>
        <xdr:cNvGrpSpPr/>
      </xdr:nvGrpSpPr>
      <xdr:grpSpPr>
        <a:xfrm rot="10800000">
          <a:off x="11100406" y="40004997"/>
          <a:ext cx="247950" cy="517072"/>
          <a:chOff x="1194406" y="32874856"/>
          <a:chExt cx="606586" cy="942183"/>
        </a:xfrm>
      </xdr:grpSpPr>
      <xdr:sp macro="" textlink="">
        <xdr:nvSpPr>
          <xdr:cNvPr id="217" name="Moon 216">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18" name="Oval 217">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476251</xdr:colOff>
      <xdr:row>148</xdr:row>
      <xdr:rowOff>13588</xdr:rowOff>
    </xdr:from>
    <xdr:to>
      <xdr:col>11</xdr:col>
      <xdr:colOff>394607</xdr:colOff>
      <xdr:row>161</xdr:row>
      <xdr:rowOff>213612</xdr:rowOff>
    </xdr:to>
    <xdr:grpSp>
      <xdr:nvGrpSpPr>
        <xdr:cNvPr id="221" name="Group 220"/>
        <xdr:cNvGrpSpPr/>
      </xdr:nvGrpSpPr>
      <xdr:grpSpPr>
        <a:xfrm>
          <a:off x="6232072" y="35351338"/>
          <a:ext cx="4816928" cy="3098345"/>
          <a:chOff x="6218465" y="33853625"/>
          <a:chExt cx="5810250" cy="1656935"/>
        </a:xfrm>
      </xdr:grpSpPr>
      <xdr:pic>
        <xdr:nvPicPr>
          <xdr:cNvPr id="219" name="Picture 218"/>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218465" y="34602964"/>
            <a:ext cx="5810250" cy="90759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0" name="Picture 219"/>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218465" y="33853625"/>
            <a:ext cx="5810250" cy="76063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446013</xdr:colOff>
      <xdr:row>153</xdr:row>
      <xdr:rowOff>176889</xdr:rowOff>
    </xdr:from>
    <xdr:to>
      <xdr:col>11</xdr:col>
      <xdr:colOff>693963</xdr:colOff>
      <xdr:row>156</xdr:row>
      <xdr:rowOff>40819</xdr:rowOff>
    </xdr:to>
    <xdr:grpSp>
      <xdr:nvGrpSpPr>
        <xdr:cNvPr id="222" name="Group 221">
          <a:extLst>
            <a:ext uri="{FF2B5EF4-FFF2-40B4-BE49-F238E27FC236}">
              <a16:creationId xmlns:a16="http://schemas.microsoft.com/office/drawing/2014/main" xmlns="" id="{129906CF-0658-420B-B463-3B81235B0D11}"/>
            </a:ext>
          </a:extLst>
        </xdr:cNvPr>
        <xdr:cNvGrpSpPr/>
      </xdr:nvGrpSpPr>
      <xdr:grpSpPr>
        <a:xfrm rot="10800000">
          <a:off x="11100406" y="36616818"/>
          <a:ext cx="247950" cy="517072"/>
          <a:chOff x="1194406" y="32874856"/>
          <a:chExt cx="606586" cy="942183"/>
        </a:xfrm>
      </xdr:grpSpPr>
      <xdr:sp macro="" textlink="">
        <xdr:nvSpPr>
          <xdr:cNvPr id="223" name="Moon 222">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24" name="Oval 223">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258536</xdr:colOff>
      <xdr:row>146</xdr:row>
      <xdr:rowOff>217715</xdr:rowOff>
    </xdr:from>
    <xdr:to>
      <xdr:col>5</xdr:col>
      <xdr:colOff>1442357</xdr:colOff>
      <xdr:row>153</xdr:row>
      <xdr:rowOff>43543</xdr:rowOff>
    </xdr:to>
    <xdr:pic>
      <xdr:nvPicPr>
        <xdr:cNvPr id="225" name="Picture 224"/>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58536" y="33106179"/>
          <a:ext cx="4980214" cy="1377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13607</xdr:colOff>
      <xdr:row>149</xdr:row>
      <xdr:rowOff>163282</xdr:rowOff>
    </xdr:from>
    <xdr:to>
      <xdr:col>0</xdr:col>
      <xdr:colOff>261557</xdr:colOff>
      <xdr:row>151</xdr:row>
      <xdr:rowOff>231318</xdr:rowOff>
    </xdr:to>
    <xdr:grpSp>
      <xdr:nvGrpSpPr>
        <xdr:cNvPr id="226" name="Group 225">
          <a:extLst>
            <a:ext uri="{FF2B5EF4-FFF2-40B4-BE49-F238E27FC236}">
              <a16:creationId xmlns:a16="http://schemas.microsoft.com/office/drawing/2014/main" xmlns="" id="{3BCB394B-241A-4581-BC5E-3DBD9D07A2BE}"/>
            </a:ext>
          </a:extLst>
        </xdr:cNvPr>
        <xdr:cNvGrpSpPr/>
      </xdr:nvGrpSpPr>
      <xdr:grpSpPr>
        <a:xfrm>
          <a:off x="13607" y="35705139"/>
          <a:ext cx="247950" cy="517072"/>
          <a:chOff x="1194406" y="32874856"/>
          <a:chExt cx="606586" cy="942183"/>
        </a:xfrm>
      </xdr:grpSpPr>
      <xdr:sp macro="" textlink="">
        <xdr:nvSpPr>
          <xdr:cNvPr id="227" name="Moon 226">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28" name="Oval 227">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272143</xdr:colOff>
      <xdr:row>136</xdr:row>
      <xdr:rowOff>27213</xdr:rowOff>
    </xdr:from>
    <xdr:to>
      <xdr:col>5</xdr:col>
      <xdr:colOff>1469571</xdr:colOff>
      <xdr:row>146</xdr:row>
      <xdr:rowOff>108856</xdr:rowOff>
    </xdr:to>
    <xdr:grpSp>
      <xdr:nvGrpSpPr>
        <xdr:cNvPr id="232" name="Group 231"/>
        <xdr:cNvGrpSpPr/>
      </xdr:nvGrpSpPr>
      <xdr:grpSpPr>
        <a:xfrm>
          <a:off x="272143" y="32670749"/>
          <a:ext cx="4993821" cy="2326821"/>
          <a:chOff x="272143" y="31327724"/>
          <a:chExt cx="5796643" cy="1601561"/>
        </a:xfrm>
      </xdr:grpSpPr>
      <xdr:pic>
        <xdr:nvPicPr>
          <xdr:cNvPr id="229" name="Picture 228"/>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72143" y="31327724"/>
            <a:ext cx="1445079" cy="160156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0" name="Picture 229"/>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87286" y="32167286"/>
            <a:ext cx="4381500" cy="75791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1" name="Picture 230"/>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687286" y="31327724"/>
            <a:ext cx="4381500" cy="84364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13607</xdr:colOff>
      <xdr:row>140</xdr:row>
      <xdr:rowOff>54425</xdr:rowOff>
    </xdr:from>
    <xdr:to>
      <xdr:col>0</xdr:col>
      <xdr:colOff>261557</xdr:colOff>
      <xdr:row>142</xdr:row>
      <xdr:rowOff>122461</xdr:rowOff>
    </xdr:to>
    <xdr:grpSp>
      <xdr:nvGrpSpPr>
        <xdr:cNvPr id="233" name="Group 232">
          <a:extLst>
            <a:ext uri="{FF2B5EF4-FFF2-40B4-BE49-F238E27FC236}">
              <a16:creationId xmlns:a16="http://schemas.microsoft.com/office/drawing/2014/main" xmlns="" id="{3BCB394B-241A-4581-BC5E-3DBD9D07A2BE}"/>
            </a:ext>
          </a:extLst>
        </xdr:cNvPr>
        <xdr:cNvGrpSpPr/>
      </xdr:nvGrpSpPr>
      <xdr:grpSpPr>
        <a:xfrm>
          <a:off x="13607" y="33596032"/>
          <a:ext cx="247950" cy="517072"/>
          <a:chOff x="1194406" y="32874856"/>
          <a:chExt cx="606586" cy="942183"/>
        </a:xfrm>
      </xdr:grpSpPr>
      <xdr:sp macro="" textlink="">
        <xdr:nvSpPr>
          <xdr:cNvPr id="234" name="Moon 23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35" name="Oval 23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489857</xdr:colOff>
      <xdr:row>137</xdr:row>
      <xdr:rowOff>68036</xdr:rowOff>
    </xdr:from>
    <xdr:to>
      <xdr:col>11</xdr:col>
      <xdr:colOff>394607</xdr:colOff>
      <xdr:row>147</xdr:row>
      <xdr:rowOff>1361</xdr:rowOff>
    </xdr:to>
    <xdr:pic>
      <xdr:nvPicPr>
        <xdr:cNvPr id="236" name="Picture 235"/>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245678" y="30956250"/>
          <a:ext cx="4803322" cy="21785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446013</xdr:colOff>
      <xdr:row>140</xdr:row>
      <xdr:rowOff>136068</xdr:rowOff>
    </xdr:from>
    <xdr:to>
      <xdr:col>11</xdr:col>
      <xdr:colOff>693963</xdr:colOff>
      <xdr:row>142</xdr:row>
      <xdr:rowOff>204104</xdr:rowOff>
    </xdr:to>
    <xdr:grpSp>
      <xdr:nvGrpSpPr>
        <xdr:cNvPr id="237" name="Group 236">
          <a:extLst>
            <a:ext uri="{FF2B5EF4-FFF2-40B4-BE49-F238E27FC236}">
              <a16:creationId xmlns:a16="http://schemas.microsoft.com/office/drawing/2014/main" xmlns="" id="{129906CF-0658-420B-B463-3B81235B0D11}"/>
            </a:ext>
          </a:extLst>
        </xdr:cNvPr>
        <xdr:cNvGrpSpPr/>
      </xdr:nvGrpSpPr>
      <xdr:grpSpPr>
        <a:xfrm rot="10800000">
          <a:off x="11100406" y="33677675"/>
          <a:ext cx="247950" cy="517072"/>
          <a:chOff x="1194406" y="32874856"/>
          <a:chExt cx="606586" cy="942183"/>
        </a:xfrm>
      </xdr:grpSpPr>
      <xdr:sp macro="" textlink="">
        <xdr:nvSpPr>
          <xdr:cNvPr id="238" name="Moon 237">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39" name="Oval 238">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462644</xdr:colOff>
      <xdr:row>121</xdr:row>
      <xdr:rowOff>176892</xdr:rowOff>
    </xdr:from>
    <xdr:to>
      <xdr:col>11</xdr:col>
      <xdr:colOff>449036</xdr:colOff>
      <xdr:row>135</xdr:row>
      <xdr:rowOff>14967</xdr:rowOff>
    </xdr:to>
    <xdr:pic>
      <xdr:nvPicPr>
        <xdr:cNvPr id="240" name="Picture 2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218465" y="27431999"/>
          <a:ext cx="4884964" cy="298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446013</xdr:colOff>
      <xdr:row>126</xdr:row>
      <xdr:rowOff>163282</xdr:rowOff>
    </xdr:from>
    <xdr:to>
      <xdr:col>11</xdr:col>
      <xdr:colOff>693963</xdr:colOff>
      <xdr:row>129</xdr:row>
      <xdr:rowOff>27211</xdr:rowOff>
    </xdr:to>
    <xdr:grpSp>
      <xdr:nvGrpSpPr>
        <xdr:cNvPr id="241" name="Group 240">
          <a:extLst>
            <a:ext uri="{FF2B5EF4-FFF2-40B4-BE49-F238E27FC236}">
              <a16:creationId xmlns:a16="http://schemas.microsoft.com/office/drawing/2014/main" xmlns="" id="{129906CF-0658-420B-B463-3B81235B0D11}"/>
            </a:ext>
          </a:extLst>
        </xdr:cNvPr>
        <xdr:cNvGrpSpPr/>
      </xdr:nvGrpSpPr>
      <xdr:grpSpPr>
        <a:xfrm rot="10800000">
          <a:off x="11100406" y="30561639"/>
          <a:ext cx="247950" cy="517072"/>
          <a:chOff x="1194406" y="32874856"/>
          <a:chExt cx="606586" cy="942183"/>
        </a:xfrm>
      </xdr:grpSpPr>
      <xdr:sp macro="" textlink="">
        <xdr:nvSpPr>
          <xdr:cNvPr id="242" name="Moon 241">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43" name="Oval 242">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272145</xdr:colOff>
      <xdr:row>122</xdr:row>
      <xdr:rowOff>163286</xdr:rowOff>
    </xdr:from>
    <xdr:to>
      <xdr:col>5</xdr:col>
      <xdr:colOff>1442358</xdr:colOff>
      <xdr:row>134</xdr:row>
      <xdr:rowOff>194582</xdr:rowOff>
    </xdr:to>
    <xdr:pic>
      <xdr:nvPicPr>
        <xdr:cNvPr id="244" name="Picture 243"/>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72145" y="27622500"/>
          <a:ext cx="4966606" cy="2766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40822</xdr:colOff>
      <xdr:row>114</xdr:row>
      <xdr:rowOff>54424</xdr:rowOff>
    </xdr:from>
    <xdr:to>
      <xdr:col>0</xdr:col>
      <xdr:colOff>288772</xdr:colOff>
      <xdr:row>116</xdr:row>
      <xdr:rowOff>122460</xdr:rowOff>
    </xdr:to>
    <xdr:grpSp>
      <xdr:nvGrpSpPr>
        <xdr:cNvPr id="245" name="Group 244">
          <a:extLst>
            <a:ext uri="{FF2B5EF4-FFF2-40B4-BE49-F238E27FC236}">
              <a16:creationId xmlns:a16="http://schemas.microsoft.com/office/drawing/2014/main" xmlns="" id="{3BCB394B-241A-4581-BC5E-3DBD9D07A2BE}"/>
            </a:ext>
          </a:extLst>
        </xdr:cNvPr>
        <xdr:cNvGrpSpPr/>
      </xdr:nvGrpSpPr>
      <xdr:grpSpPr>
        <a:xfrm>
          <a:off x="40822" y="27717745"/>
          <a:ext cx="247950" cy="517072"/>
          <a:chOff x="1194406" y="32874856"/>
          <a:chExt cx="606586" cy="942183"/>
        </a:xfrm>
      </xdr:grpSpPr>
      <xdr:sp macro="" textlink="">
        <xdr:nvSpPr>
          <xdr:cNvPr id="246" name="Moon 245">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47" name="Oval 246">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272142</xdr:colOff>
      <xdr:row>110</xdr:row>
      <xdr:rowOff>122467</xdr:rowOff>
    </xdr:from>
    <xdr:to>
      <xdr:col>5</xdr:col>
      <xdr:colOff>1483178</xdr:colOff>
      <xdr:row>120</xdr:row>
      <xdr:rowOff>136074</xdr:rowOff>
    </xdr:to>
    <xdr:pic>
      <xdr:nvPicPr>
        <xdr:cNvPr id="248" name="Picture 247"/>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72142" y="24887467"/>
          <a:ext cx="5007429" cy="2258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462644</xdr:colOff>
      <xdr:row>108</xdr:row>
      <xdr:rowOff>68036</xdr:rowOff>
    </xdr:from>
    <xdr:to>
      <xdr:col>11</xdr:col>
      <xdr:colOff>462643</xdr:colOff>
      <xdr:row>121</xdr:row>
      <xdr:rowOff>77560</xdr:rowOff>
    </xdr:to>
    <xdr:grpSp>
      <xdr:nvGrpSpPr>
        <xdr:cNvPr id="252" name="Group 251"/>
        <xdr:cNvGrpSpPr/>
      </xdr:nvGrpSpPr>
      <xdr:grpSpPr>
        <a:xfrm>
          <a:off x="6218465" y="26384250"/>
          <a:ext cx="4898571" cy="2948667"/>
          <a:chOff x="6218465" y="24914678"/>
          <a:chExt cx="5793920" cy="2295525"/>
        </a:xfrm>
      </xdr:grpSpPr>
      <xdr:pic>
        <xdr:nvPicPr>
          <xdr:cNvPr id="249" name="Picture 248"/>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218465" y="24914678"/>
            <a:ext cx="1438275" cy="22955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0" name="Picture 249"/>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7633606" y="26316213"/>
            <a:ext cx="4378779" cy="8939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1" name="Picture 250"/>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7620001" y="24914679"/>
            <a:ext cx="4391025" cy="140425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418798</xdr:colOff>
      <xdr:row>115</xdr:row>
      <xdr:rowOff>68033</xdr:rowOff>
    </xdr:from>
    <xdr:to>
      <xdr:col>11</xdr:col>
      <xdr:colOff>666748</xdr:colOff>
      <xdr:row>117</xdr:row>
      <xdr:rowOff>136069</xdr:rowOff>
    </xdr:to>
    <xdr:grpSp>
      <xdr:nvGrpSpPr>
        <xdr:cNvPr id="253" name="Group 252">
          <a:extLst>
            <a:ext uri="{FF2B5EF4-FFF2-40B4-BE49-F238E27FC236}">
              <a16:creationId xmlns:a16="http://schemas.microsoft.com/office/drawing/2014/main" xmlns="" id="{129906CF-0658-420B-B463-3B81235B0D11}"/>
            </a:ext>
          </a:extLst>
        </xdr:cNvPr>
        <xdr:cNvGrpSpPr/>
      </xdr:nvGrpSpPr>
      <xdr:grpSpPr>
        <a:xfrm rot="10800000">
          <a:off x="11073191" y="27976283"/>
          <a:ext cx="247950" cy="517072"/>
          <a:chOff x="1194406" y="32874856"/>
          <a:chExt cx="606586" cy="942183"/>
        </a:xfrm>
      </xdr:grpSpPr>
      <xdr:sp macro="" textlink="">
        <xdr:nvSpPr>
          <xdr:cNvPr id="254" name="Moon 253">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55" name="Oval 254">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476250</xdr:colOff>
      <xdr:row>94</xdr:row>
      <xdr:rowOff>40822</xdr:rowOff>
    </xdr:from>
    <xdr:to>
      <xdr:col>11</xdr:col>
      <xdr:colOff>435428</xdr:colOff>
      <xdr:row>106</xdr:row>
      <xdr:rowOff>131990</xdr:rowOff>
    </xdr:to>
    <xdr:grpSp>
      <xdr:nvGrpSpPr>
        <xdr:cNvPr id="258" name="Group 257"/>
        <xdr:cNvGrpSpPr/>
      </xdr:nvGrpSpPr>
      <xdr:grpSpPr>
        <a:xfrm>
          <a:off x="6232071" y="23172965"/>
          <a:ext cx="4857750" cy="2826204"/>
          <a:chOff x="6232071" y="22342929"/>
          <a:chExt cx="5814332" cy="1655989"/>
        </a:xfrm>
      </xdr:grpSpPr>
      <xdr:pic>
        <xdr:nvPicPr>
          <xdr:cNvPr id="256" name="Picture 255"/>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232072" y="23104929"/>
            <a:ext cx="5810250" cy="89398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7" name="Picture 256"/>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232071" y="22342929"/>
            <a:ext cx="5814332" cy="78921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418798</xdr:colOff>
      <xdr:row>98</xdr:row>
      <xdr:rowOff>122462</xdr:rowOff>
    </xdr:from>
    <xdr:to>
      <xdr:col>11</xdr:col>
      <xdr:colOff>666748</xdr:colOff>
      <xdr:row>100</xdr:row>
      <xdr:rowOff>190498</xdr:rowOff>
    </xdr:to>
    <xdr:grpSp>
      <xdr:nvGrpSpPr>
        <xdr:cNvPr id="259" name="Group 258">
          <a:extLst>
            <a:ext uri="{FF2B5EF4-FFF2-40B4-BE49-F238E27FC236}">
              <a16:creationId xmlns:a16="http://schemas.microsoft.com/office/drawing/2014/main" xmlns="" id="{129906CF-0658-420B-B463-3B81235B0D11}"/>
            </a:ext>
          </a:extLst>
        </xdr:cNvPr>
        <xdr:cNvGrpSpPr/>
      </xdr:nvGrpSpPr>
      <xdr:grpSpPr>
        <a:xfrm rot="10800000">
          <a:off x="11073191" y="24152676"/>
          <a:ext cx="247950" cy="517072"/>
          <a:chOff x="1194406" y="32874856"/>
          <a:chExt cx="606586" cy="942183"/>
        </a:xfrm>
      </xdr:grpSpPr>
      <xdr:sp macro="" textlink="">
        <xdr:nvSpPr>
          <xdr:cNvPr id="260" name="Moon 259">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61" name="Oval 260">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285751</xdr:colOff>
      <xdr:row>100</xdr:row>
      <xdr:rowOff>204108</xdr:rowOff>
    </xdr:from>
    <xdr:to>
      <xdr:col>5</xdr:col>
      <xdr:colOff>1459453</xdr:colOff>
      <xdr:row>106</xdr:row>
      <xdr:rowOff>115662</xdr:rowOff>
    </xdr:to>
    <xdr:pic>
      <xdr:nvPicPr>
        <xdr:cNvPr id="262" name="Picture 26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85751" y="24683358"/>
          <a:ext cx="4970095" cy="1299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40822</xdr:colOff>
      <xdr:row>103</xdr:row>
      <xdr:rowOff>68031</xdr:rowOff>
    </xdr:from>
    <xdr:to>
      <xdr:col>0</xdr:col>
      <xdr:colOff>288772</xdr:colOff>
      <xdr:row>105</xdr:row>
      <xdr:rowOff>136067</xdr:rowOff>
    </xdr:to>
    <xdr:grpSp>
      <xdr:nvGrpSpPr>
        <xdr:cNvPr id="263" name="Group 262">
          <a:extLst>
            <a:ext uri="{FF2B5EF4-FFF2-40B4-BE49-F238E27FC236}">
              <a16:creationId xmlns:a16="http://schemas.microsoft.com/office/drawing/2014/main" xmlns="" id="{3BCB394B-241A-4581-BC5E-3DBD9D07A2BE}"/>
            </a:ext>
          </a:extLst>
        </xdr:cNvPr>
        <xdr:cNvGrpSpPr/>
      </xdr:nvGrpSpPr>
      <xdr:grpSpPr>
        <a:xfrm>
          <a:off x="40822" y="25241245"/>
          <a:ext cx="247950" cy="517072"/>
          <a:chOff x="1194406" y="32874856"/>
          <a:chExt cx="606586" cy="942183"/>
        </a:xfrm>
      </xdr:grpSpPr>
      <xdr:sp macro="" textlink="">
        <xdr:nvSpPr>
          <xdr:cNvPr id="264" name="Moon 26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65" name="Oval 26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285750</xdr:colOff>
      <xdr:row>94</xdr:row>
      <xdr:rowOff>27214</xdr:rowOff>
    </xdr:from>
    <xdr:to>
      <xdr:col>5</xdr:col>
      <xdr:colOff>1455964</xdr:colOff>
      <xdr:row>100</xdr:row>
      <xdr:rowOff>110218</xdr:rowOff>
    </xdr:to>
    <xdr:pic>
      <xdr:nvPicPr>
        <xdr:cNvPr id="266" name="Picture 265"/>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85750" y="21159107"/>
          <a:ext cx="4966607" cy="1430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40822</xdr:colOff>
      <xdr:row>95</xdr:row>
      <xdr:rowOff>176888</xdr:rowOff>
    </xdr:from>
    <xdr:to>
      <xdr:col>0</xdr:col>
      <xdr:colOff>288772</xdr:colOff>
      <xdr:row>97</xdr:row>
      <xdr:rowOff>204103</xdr:rowOff>
    </xdr:to>
    <xdr:grpSp>
      <xdr:nvGrpSpPr>
        <xdr:cNvPr id="267" name="Group 266">
          <a:extLst>
            <a:ext uri="{FF2B5EF4-FFF2-40B4-BE49-F238E27FC236}">
              <a16:creationId xmlns:a16="http://schemas.microsoft.com/office/drawing/2014/main" xmlns="" id="{3BCB394B-241A-4581-BC5E-3DBD9D07A2BE}"/>
            </a:ext>
          </a:extLst>
        </xdr:cNvPr>
        <xdr:cNvGrpSpPr/>
      </xdr:nvGrpSpPr>
      <xdr:grpSpPr>
        <a:xfrm>
          <a:off x="40822" y="23513138"/>
          <a:ext cx="247950" cy="517072"/>
          <a:chOff x="1194406" y="32874856"/>
          <a:chExt cx="606586" cy="942183"/>
        </a:xfrm>
      </xdr:grpSpPr>
      <xdr:sp macro="" textlink="">
        <xdr:nvSpPr>
          <xdr:cNvPr id="268" name="Moon 267">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69" name="Oval 268">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285750</xdr:colOff>
      <xdr:row>87</xdr:row>
      <xdr:rowOff>27214</xdr:rowOff>
    </xdr:from>
    <xdr:to>
      <xdr:col>5</xdr:col>
      <xdr:colOff>1455964</xdr:colOff>
      <xdr:row>93</xdr:row>
      <xdr:rowOff>91168</xdr:rowOff>
    </xdr:to>
    <xdr:pic>
      <xdr:nvPicPr>
        <xdr:cNvPr id="270" name="Picture 269"/>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285750" y="19526250"/>
          <a:ext cx="4966607" cy="1451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40822</xdr:colOff>
      <xdr:row>88</xdr:row>
      <xdr:rowOff>244924</xdr:rowOff>
    </xdr:from>
    <xdr:to>
      <xdr:col>0</xdr:col>
      <xdr:colOff>288772</xdr:colOff>
      <xdr:row>91</xdr:row>
      <xdr:rowOff>68031</xdr:rowOff>
    </xdr:to>
    <xdr:grpSp>
      <xdr:nvGrpSpPr>
        <xdr:cNvPr id="271" name="Group 270">
          <a:extLst>
            <a:ext uri="{FF2B5EF4-FFF2-40B4-BE49-F238E27FC236}">
              <a16:creationId xmlns:a16="http://schemas.microsoft.com/office/drawing/2014/main" xmlns="" id="{3BCB394B-241A-4581-BC5E-3DBD9D07A2BE}"/>
            </a:ext>
          </a:extLst>
        </xdr:cNvPr>
        <xdr:cNvGrpSpPr/>
      </xdr:nvGrpSpPr>
      <xdr:grpSpPr>
        <a:xfrm>
          <a:off x="40822" y="21979613"/>
          <a:ext cx="247950" cy="526597"/>
          <a:chOff x="1194406" y="32874856"/>
          <a:chExt cx="606586" cy="942183"/>
        </a:xfrm>
      </xdr:grpSpPr>
      <xdr:sp macro="" textlink="">
        <xdr:nvSpPr>
          <xdr:cNvPr id="272" name="Moon 271">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73" name="Oval 272">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476250</xdr:colOff>
      <xdr:row>85</xdr:row>
      <xdr:rowOff>54428</xdr:rowOff>
    </xdr:from>
    <xdr:to>
      <xdr:col>11</xdr:col>
      <xdr:colOff>435428</xdr:colOff>
      <xdr:row>93</xdr:row>
      <xdr:rowOff>153761</xdr:rowOff>
    </xdr:to>
    <xdr:pic>
      <xdr:nvPicPr>
        <xdr:cNvPr id="274" name="Picture 273"/>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232071" y="19104428"/>
          <a:ext cx="4857750" cy="19362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418798</xdr:colOff>
      <xdr:row>88</xdr:row>
      <xdr:rowOff>204105</xdr:rowOff>
    </xdr:from>
    <xdr:to>
      <xdr:col>11</xdr:col>
      <xdr:colOff>666748</xdr:colOff>
      <xdr:row>91</xdr:row>
      <xdr:rowOff>27212</xdr:rowOff>
    </xdr:to>
    <xdr:grpSp>
      <xdr:nvGrpSpPr>
        <xdr:cNvPr id="275" name="Group 274">
          <a:extLst>
            <a:ext uri="{FF2B5EF4-FFF2-40B4-BE49-F238E27FC236}">
              <a16:creationId xmlns:a16="http://schemas.microsoft.com/office/drawing/2014/main" xmlns="" id="{129906CF-0658-420B-B463-3B81235B0D11}"/>
            </a:ext>
          </a:extLst>
        </xdr:cNvPr>
        <xdr:cNvGrpSpPr/>
      </xdr:nvGrpSpPr>
      <xdr:grpSpPr>
        <a:xfrm rot="10800000">
          <a:off x="11073191" y="21948319"/>
          <a:ext cx="247950" cy="517072"/>
          <a:chOff x="1194406" y="32874856"/>
          <a:chExt cx="606586" cy="942183"/>
        </a:xfrm>
      </xdr:grpSpPr>
      <xdr:sp macro="" textlink="">
        <xdr:nvSpPr>
          <xdr:cNvPr id="276" name="Moon 27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77" name="Oval 27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476251</xdr:colOff>
      <xdr:row>74</xdr:row>
      <xdr:rowOff>81643</xdr:rowOff>
    </xdr:from>
    <xdr:to>
      <xdr:col>11</xdr:col>
      <xdr:colOff>449036</xdr:colOff>
      <xdr:row>84</xdr:row>
      <xdr:rowOff>83004</xdr:rowOff>
    </xdr:to>
    <xdr:pic>
      <xdr:nvPicPr>
        <xdr:cNvPr id="279" name="Picture 278"/>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232072" y="16641536"/>
          <a:ext cx="4871357" cy="22873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418798</xdr:colOff>
      <xdr:row>78</xdr:row>
      <xdr:rowOff>27211</xdr:rowOff>
    </xdr:from>
    <xdr:to>
      <xdr:col>11</xdr:col>
      <xdr:colOff>666748</xdr:colOff>
      <xdr:row>80</xdr:row>
      <xdr:rowOff>95248</xdr:rowOff>
    </xdr:to>
    <xdr:grpSp>
      <xdr:nvGrpSpPr>
        <xdr:cNvPr id="280" name="Group 279">
          <a:extLst>
            <a:ext uri="{FF2B5EF4-FFF2-40B4-BE49-F238E27FC236}">
              <a16:creationId xmlns:a16="http://schemas.microsoft.com/office/drawing/2014/main" xmlns="" id="{129906CF-0658-420B-B463-3B81235B0D11}"/>
            </a:ext>
          </a:extLst>
        </xdr:cNvPr>
        <xdr:cNvGrpSpPr/>
      </xdr:nvGrpSpPr>
      <xdr:grpSpPr>
        <a:xfrm rot="10800000">
          <a:off x="11073191" y="19526247"/>
          <a:ext cx="247950" cy="517072"/>
          <a:chOff x="1194406" y="32874856"/>
          <a:chExt cx="606586" cy="942183"/>
        </a:xfrm>
      </xdr:grpSpPr>
      <xdr:sp macro="" textlink="">
        <xdr:nvSpPr>
          <xdr:cNvPr id="281" name="Moon 280">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82" name="Oval 281">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312964</xdr:colOff>
      <xdr:row>74</xdr:row>
      <xdr:rowOff>81643</xdr:rowOff>
    </xdr:from>
    <xdr:to>
      <xdr:col>5</xdr:col>
      <xdr:colOff>1483178</xdr:colOff>
      <xdr:row>84</xdr:row>
      <xdr:rowOff>88446</xdr:rowOff>
    </xdr:to>
    <xdr:pic>
      <xdr:nvPicPr>
        <xdr:cNvPr id="283" name="Picture 282"/>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12964" y="16641536"/>
          <a:ext cx="4966607" cy="229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40822</xdr:colOff>
      <xdr:row>77</xdr:row>
      <xdr:rowOff>153756</xdr:rowOff>
    </xdr:from>
    <xdr:to>
      <xdr:col>0</xdr:col>
      <xdr:colOff>288772</xdr:colOff>
      <xdr:row>79</xdr:row>
      <xdr:rowOff>231317</xdr:rowOff>
    </xdr:to>
    <xdr:grpSp>
      <xdr:nvGrpSpPr>
        <xdr:cNvPr id="284" name="Group 283">
          <a:extLst>
            <a:ext uri="{FF2B5EF4-FFF2-40B4-BE49-F238E27FC236}">
              <a16:creationId xmlns:a16="http://schemas.microsoft.com/office/drawing/2014/main" xmlns="" id="{3BCB394B-241A-4581-BC5E-3DBD9D07A2BE}"/>
            </a:ext>
          </a:extLst>
        </xdr:cNvPr>
        <xdr:cNvGrpSpPr/>
      </xdr:nvGrpSpPr>
      <xdr:grpSpPr>
        <a:xfrm>
          <a:off x="40822" y="19407863"/>
          <a:ext cx="247950" cy="526597"/>
          <a:chOff x="1194406" y="32874856"/>
          <a:chExt cx="606586" cy="942183"/>
        </a:xfrm>
      </xdr:grpSpPr>
      <xdr:sp macro="" textlink="">
        <xdr:nvSpPr>
          <xdr:cNvPr id="285" name="Moon 284">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86" name="Oval 285">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312964</xdr:colOff>
      <xdr:row>65</xdr:row>
      <xdr:rowOff>40824</xdr:rowOff>
    </xdr:from>
    <xdr:to>
      <xdr:col>5</xdr:col>
      <xdr:colOff>1469572</xdr:colOff>
      <xdr:row>72</xdr:row>
      <xdr:rowOff>214995</xdr:rowOff>
    </xdr:to>
    <xdr:pic>
      <xdr:nvPicPr>
        <xdr:cNvPr id="287" name="Picture 286"/>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312964" y="14559645"/>
          <a:ext cx="4953001" cy="1766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13608</xdr:colOff>
      <xdr:row>67</xdr:row>
      <xdr:rowOff>235398</xdr:rowOff>
    </xdr:from>
    <xdr:to>
      <xdr:col>0</xdr:col>
      <xdr:colOff>261558</xdr:colOff>
      <xdr:row>70</xdr:row>
      <xdr:rowOff>68031</xdr:rowOff>
    </xdr:to>
    <xdr:grpSp>
      <xdr:nvGrpSpPr>
        <xdr:cNvPr id="288" name="Group 287">
          <a:extLst>
            <a:ext uri="{FF2B5EF4-FFF2-40B4-BE49-F238E27FC236}">
              <a16:creationId xmlns:a16="http://schemas.microsoft.com/office/drawing/2014/main" xmlns="" id="{3BCB394B-241A-4581-BC5E-3DBD9D07A2BE}"/>
            </a:ext>
          </a:extLst>
        </xdr:cNvPr>
        <xdr:cNvGrpSpPr/>
      </xdr:nvGrpSpPr>
      <xdr:grpSpPr>
        <a:xfrm>
          <a:off x="13608" y="17203505"/>
          <a:ext cx="247950" cy="526597"/>
          <a:chOff x="1194406" y="32874856"/>
          <a:chExt cx="606586" cy="942183"/>
        </a:xfrm>
      </xdr:grpSpPr>
      <xdr:sp macro="" textlink="">
        <xdr:nvSpPr>
          <xdr:cNvPr id="289" name="Moon 288">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90" name="Oval 289">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476250</xdr:colOff>
      <xdr:row>63</xdr:row>
      <xdr:rowOff>81643</xdr:rowOff>
    </xdr:from>
    <xdr:to>
      <xdr:col>11</xdr:col>
      <xdr:colOff>449036</xdr:colOff>
      <xdr:row>73</xdr:row>
      <xdr:rowOff>183696</xdr:rowOff>
    </xdr:to>
    <xdr:pic>
      <xdr:nvPicPr>
        <xdr:cNvPr id="291" name="Picture 290"/>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232071" y="14151429"/>
          <a:ext cx="4871358" cy="2388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418798</xdr:colOff>
      <xdr:row>67</xdr:row>
      <xdr:rowOff>217712</xdr:rowOff>
    </xdr:from>
    <xdr:to>
      <xdr:col>11</xdr:col>
      <xdr:colOff>666748</xdr:colOff>
      <xdr:row>70</xdr:row>
      <xdr:rowOff>40820</xdr:rowOff>
    </xdr:to>
    <xdr:grpSp>
      <xdr:nvGrpSpPr>
        <xdr:cNvPr id="292" name="Group 291">
          <a:extLst>
            <a:ext uri="{FF2B5EF4-FFF2-40B4-BE49-F238E27FC236}">
              <a16:creationId xmlns:a16="http://schemas.microsoft.com/office/drawing/2014/main" xmlns="" id="{129906CF-0658-420B-B463-3B81235B0D11}"/>
            </a:ext>
          </a:extLst>
        </xdr:cNvPr>
        <xdr:cNvGrpSpPr/>
      </xdr:nvGrpSpPr>
      <xdr:grpSpPr>
        <a:xfrm rot="10800000">
          <a:off x="11073191" y="17185819"/>
          <a:ext cx="247950" cy="517072"/>
          <a:chOff x="1194406" y="32874856"/>
          <a:chExt cx="606586" cy="942183"/>
        </a:xfrm>
      </xdr:grpSpPr>
      <xdr:sp macro="" textlink="">
        <xdr:nvSpPr>
          <xdr:cNvPr id="293" name="Moon 292">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94" name="Oval 293">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462643</xdr:colOff>
      <xdr:row>52</xdr:row>
      <xdr:rowOff>40822</xdr:rowOff>
    </xdr:from>
    <xdr:to>
      <xdr:col>11</xdr:col>
      <xdr:colOff>476250</xdr:colOff>
      <xdr:row>62</xdr:row>
      <xdr:rowOff>204108</xdr:rowOff>
    </xdr:to>
    <xdr:grpSp>
      <xdr:nvGrpSpPr>
        <xdr:cNvPr id="298" name="Group 297"/>
        <xdr:cNvGrpSpPr/>
      </xdr:nvGrpSpPr>
      <xdr:grpSpPr>
        <a:xfrm>
          <a:off x="6218464" y="13620751"/>
          <a:ext cx="4912179" cy="2408464"/>
          <a:chOff x="6218464" y="12232821"/>
          <a:chExt cx="5802087" cy="1796143"/>
        </a:xfrm>
      </xdr:grpSpPr>
      <xdr:pic>
        <xdr:nvPicPr>
          <xdr:cNvPr id="295" name="Picture 294"/>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6218464" y="12232822"/>
            <a:ext cx="1439636" cy="179614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96" name="Picture 295"/>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33607" y="13117286"/>
            <a:ext cx="4378779" cy="90759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97" name="Picture 296"/>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33608" y="12232821"/>
            <a:ext cx="4386943" cy="89807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418798</xdr:colOff>
      <xdr:row>56</xdr:row>
      <xdr:rowOff>163284</xdr:rowOff>
    </xdr:from>
    <xdr:to>
      <xdr:col>11</xdr:col>
      <xdr:colOff>666748</xdr:colOff>
      <xdr:row>58</xdr:row>
      <xdr:rowOff>231320</xdr:rowOff>
    </xdr:to>
    <xdr:grpSp>
      <xdr:nvGrpSpPr>
        <xdr:cNvPr id="299" name="Group 298">
          <a:extLst>
            <a:ext uri="{FF2B5EF4-FFF2-40B4-BE49-F238E27FC236}">
              <a16:creationId xmlns:a16="http://schemas.microsoft.com/office/drawing/2014/main" xmlns="" id="{129906CF-0658-420B-B463-3B81235B0D11}"/>
            </a:ext>
          </a:extLst>
        </xdr:cNvPr>
        <xdr:cNvGrpSpPr/>
      </xdr:nvGrpSpPr>
      <xdr:grpSpPr>
        <a:xfrm rot="10800000">
          <a:off x="11073191" y="14641284"/>
          <a:ext cx="247950" cy="517072"/>
          <a:chOff x="1194406" y="32874856"/>
          <a:chExt cx="606586" cy="942183"/>
        </a:xfrm>
      </xdr:grpSpPr>
      <xdr:sp macro="" textlink="">
        <xdr:nvSpPr>
          <xdr:cNvPr id="300" name="Moon 299">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01" name="Oval 300">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312964</xdr:colOff>
      <xdr:row>54</xdr:row>
      <xdr:rowOff>81643</xdr:rowOff>
    </xdr:from>
    <xdr:to>
      <xdr:col>5</xdr:col>
      <xdr:colOff>1469571</xdr:colOff>
      <xdr:row>63</xdr:row>
      <xdr:rowOff>29937</xdr:rowOff>
    </xdr:to>
    <xdr:pic>
      <xdr:nvPicPr>
        <xdr:cNvPr id="302" name="Picture 301"/>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312964" y="12110357"/>
          <a:ext cx="4953000" cy="1989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13608</xdr:colOff>
      <xdr:row>57</xdr:row>
      <xdr:rowOff>85718</xdr:rowOff>
    </xdr:from>
    <xdr:to>
      <xdr:col>0</xdr:col>
      <xdr:colOff>261558</xdr:colOff>
      <xdr:row>59</xdr:row>
      <xdr:rowOff>163280</xdr:rowOff>
    </xdr:to>
    <xdr:grpSp>
      <xdr:nvGrpSpPr>
        <xdr:cNvPr id="303" name="Group 302">
          <a:extLst>
            <a:ext uri="{FF2B5EF4-FFF2-40B4-BE49-F238E27FC236}">
              <a16:creationId xmlns:a16="http://schemas.microsoft.com/office/drawing/2014/main" xmlns="" id="{3BCB394B-241A-4581-BC5E-3DBD9D07A2BE}"/>
            </a:ext>
          </a:extLst>
        </xdr:cNvPr>
        <xdr:cNvGrpSpPr/>
      </xdr:nvGrpSpPr>
      <xdr:grpSpPr>
        <a:xfrm>
          <a:off x="13608" y="14808647"/>
          <a:ext cx="247950" cy="526597"/>
          <a:chOff x="1194406" y="32874856"/>
          <a:chExt cx="606586" cy="942183"/>
        </a:xfrm>
      </xdr:grpSpPr>
      <xdr:sp macro="" textlink="">
        <xdr:nvSpPr>
          <xdr:cNvPr id="304" name="Moon 30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05" name="Oval 30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285749</xdr:colOff>
      <xdr:row>40</xdr:row>
      <xdr:rowOff>95252</xdr:rowOff>
    </xdr:from>
    <xdr:to>
      <xdr:col>5</xdr:col>
      <xdr:colOff>1469571</xdr:colOff>
      <xdr:row>52</xdr:row>
      <xdr:rowOff>238129</xdr:rowOff>
    </xdr:to>
    <xdr:grpSp>
      <xdr:nvGrpSpPr>
        <xdr:cNvPr id="309" name="Group 308"/>
        <xdr:cNvGrpSpPr/>
      </xdr:nvGrpSpPr>
      <xdr:grpSpPr>
        <a:xfrm>
          <a:off x="285749" y="11021788"/>
          <a:ext cx="4980215" cy="2796270"/>
          <a:chOff x="285749" y="9997138"/>
          <a:chExt cx="5823858" cy="1820666"/>
        </a:xfrm>
      </xdr:grpSpPr>
      <xdr:pic>
        <xdr:nvPicPr>
          <xdr:cNvPr id="306" name="Picture 305"/>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85750" y="10912929"/>
            <a:ext cx="5817054" cy="9048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07" name="Picture 306"/>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285749" y="9997138"/>
            <a:ext cx="5823858" cy="92664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6</xdr:col>
      <xdr:colOff>476250</xdr:colOff>
      <xdr:row>45</xdr:row>
      <xdr:rowOff>122466</xdr:rowOff>
    </xdr:from>
    <xdr:to>
      <xdr:col>11</xdr:col>
      <xdr:colOff>476250</xdr:colOff>
      <xdr:row>51</xdr:row>
      <xdr:rowOff>144237</xdr:rowOff>
    </xdr:to>
    <xdr:pic>
      <xdr:nvPicPr>
        <xdr:cNvPr id="308" name="Picture 307"/>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232071" y="10150930"/>
          <a:ext cx="4898572" cy="1368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13608</xdr:colOff>
      <xdr:row>45</xdr:row>
      <xdr:rowOff>167362</xdr:rowOff>
    </xdr:from>
    <xdr:to>
      <xdr:col>0</xdr:col>
      <xdr:colOff>261558</xdr:colOff>
      <xdr:row>48</xdr:row>
      <xdr:rowOff>40816</xdr:rowOff>
    </xdr:to>
    <xdr:grpSp>
      <xdr:nvGrpSpPr>
        <xdr:cNvPr id="310" name="Group 309">
          <a:extLst>
            <a:ext uri="{FF2B5EF4-FFF2-40B4-BE49-F238E27FC236}">
              <a16:creationId xmlns:a16="http://schemas.microsoft.com/office/drawing/2014/main" xmlns="" id="{3BCB394B-241A-4581-BC5E-3DBD9D07A2BE}"/>
            </a:ext>
          </a:extLst>
        </xdr:cNvPr>
        <xdr:cNvGrpSpPr/>
      </xdr:nvGrpSpPr>
      <xdr:grpSpPr>
        <a:xfrm>
          <a:off x="13608" y="12196076"/>
          <a:ext cx="247950" cy="526597"/>
          <a:chOff x="1194406" y="32874856"/>
          <a:chExt cx="606586" cy="942183"/>
        </a:xfrm>
      </xdr:grpSpPr>
      <xdr:sp macro="" textlink="">
        <xdr:nvSpPr>
          <xdr:cNvPr id="311" name="Moon 310">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12" name="Oval 311">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418798</xdr:colOff>
      <xdr:row>46</xdr:row>
      <xdr:rowOff>190498</xdr:rowOff>
    </xdr:from>
    <xdr:to>
      <xdr:col>11</xdr:col>
      <xdr:colOff>666748</xdr:colOff>
      <xdr:row>49</xdr:row>
      <xdr:rowOff>54427</xdr:rowOff>
    </xdr:to>
    <xdr:grpSp>
      <xdr:nvGrpSpPr>
        <xdr:cNvPr id="313" name="Group 312">
          <a:extLst>
            <a:ext uri="{FF2B5EF4-FFF2-40B4-BE49-F238E27FC236}">
              <a16:creationId xmlns:a16="http://schemas.microsoft.com/office/drawing/2014/main" xmlns="" id="{129906CF-0658-420B-B463-3B81235B0D11}"/>
            </a:ext>
          </a:extLst>
        </xdr:cNvPr>
        <xdr:cNvGrpSpPr/>
      </xdr:nvGrpSpPr>
      <xdr:grpSpPr>
        <a:xfrm rot="10800000">
          <a:off x="11073191" y="12464141"/>
          <a:ext cx="247950" cy="517072"/>
          <a:chOff x="1194406" y="32874856"/>
          <a:chExt cx="606586" cy="942183"/>
        </a:xfrm>
      </xdr:grpSpPr>
      <xdr:sp macro="" textlink="">
        <xdr:nvSpPr>
          <xdr:cNvPr id="314" name="Moon 313">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15" name="Oval 314">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462644</xdr:colOff>
      <xdr:row>39</xdr:row>
      <xdr:rowOff>13608</xdr:rowOff>
    </xdr:from>
    <xdr:to>
      <xdr:col>11</xdr:col>
      <xdr:colOff>462643</xdr:colOff>
      <xdr:row>45</xdr:row>
      <xdr:rowOff>83005</xdr:rowOff>
    </xdr:to>
    <xdr:pic>
      <xdr:nvPicPr>
        <xdr:cNvPr id="316" name="Picture 315"/>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218465" y="8694965"/>
          <a:ext cx="4898571" cy="14165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418798</xdr:colOff>
      <xdr:row>41</xdr:row>
      <xdr:rowOff>204105</xdr:rowOff>
    </xdr:from>
    <xdr:to>
      <xdr:col>11</xdr:col>
      <xdr:colOff>666748</xdr:colOff>
      <xdr:row>44</xdr:row>
      <xdr:rowOff>27213</xdr:rowOff>
    </xdr:to>
    <xdr:grpSp>
      <xdr:nvGrpSpPr>
        <xdr:cNvPr id="317" name="Group 316">
          <a:extLst>
            <a:ext uri="{FF2B5EF4-FFF2-40B4-BE49-F238E27FC236}">
              <a16:creationId xmlns:a16="http://schemas.microsoft.com/office/drawing/2014/main" xmlns="" id="{129906CF-0658-420B-B463-3B81235B0D11}"/>
            </a:ext>
          </a:extLst>
        </xdr:cNvPr>
        <xdr:cNvGrpSpPr/>
      </xdr:nvGrpSpPr>
      <xdr:grpSpPr>
        <a:xfrm rot="10800000">
          <a:off x="11073191" y="11334748"/>
          <a:ext cx="247950" cy="517072"/>
          <a:chOff x="1194406" y="32874856"/>
          <a:chExt cx="606586" cy="942183"/>
        </a:xfrm>
      </xdr:grpSpPr>
      <xdr:sp macro="" textlink="">
        <xdr:nvSpPr>
          <xdr:cNvPr id="318" name="Moon 317">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19" name="Oval 318">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462644</xdr:colOff>
      <xdr:row>32</xdr:row>
      <xdr:rowOff>27214</xdr:rowOff>
    </xdr:from>
    <xdr:to>
      <xdr:col>11</xdr:col>
      <xdr:colOff>462643</xdr:colOff>
      <xdr:row>38</xdr:row>
      <xdr:rowOff>96611</xdr:rowOff>
    </xdr:to>
    <xdr:pic>
      <xdr:nvPicPr>
        <xdr:cNvPr id="320" name="Picture 319"/>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218465" y="7157357"/>
          <a:ext cx="4898571" cy="14165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418798</xdr:colOff>
      <xdr:row>34</xdr:row>
      <xdr:rowOff>122462</xdr:rowOff>
    </xdr:from>
    <xdr:to>
      <xdr:col>11</xdr:col>
      <xdr:colOff>666748</xdr:colOff>
      <xdr:row>36</xdr:row>
      <xdr:rowOff>190499</xdr:rowOff>
    </xdr:to>
    <xdr:grpSp>
      <xdr:nvGrpSpPr>
        <xdr:cNvPr id="321" name="Group 320">
          <a:extLst>
            <a:ext uri="{FF2B5EF4-FFF2-40B4-BE49-F238E27FC236}">
              <a16:creationId xmlns:a16="http://schemas.microsoft.com/office/drawing/2014/main" xmlns="" id="{129906CF-0658-420B-B463-3B81235B0D11}"/>
            </a:ext>
          </a:extLst>
        </xdr:cNvPr>
        <xdr:cNvGrpSpPr/>
      </xdr:nvGrpSpPr>
      <xdr:grpSpPr>
        <a:xfrm rot="10800000">
          <a:off x="11073191" y="9701891"/>
          <a:ext cx="247950" cy="517072"/>
          <a:chOff x="1194406" y="32874856"/>
          <a:chExt cx="606586" cy="942183"/>
        </a:xfrm>
      </xdr:grpSpPr>
      <xdr:sp macro="" textlink="">
        <xdr:nvSpPr>
          <xdr:cNvPr id="322" name="Moon 321">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23" name="Oval 322">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285750</xdr:colOff>
      <xdr:row>32</xdr:row>
      <xdr:rowOff>81643</xdr:rowOff>
    </xdr:from>
    <xdr:to>
      <xdr:col>5</xdr:col>
      <xdr:colOff>1442357</xdr:colOff>
      <xdr:row>39</xdr:row>
      <xdr:rowOff>159204</xdr:rowOff>
    </xdr:to>
    <xdr:pic>
      <xdr:nvPicPr>
        <xdr:cNvPr id="324" name="Picture 323"/>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285750" y="7211786"/>
          <a:ext cx="4953000" cy="162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40822</xdr:colOff>
      <xdr:row>34</xdr:row>
      <xdr:rowOff>126540</xdr:rowOff>
    </xdr:from>
    <xdr:to>
      <xdr:col>0</xdr:col>
      <xdr:colOff>288772</xdr:colOff>
      <xdr:row>36</xdr:row>
      <xdr:rowOff>204102</xdr:rowOff>
    </xdr:to>
    <xdr:grpSp>
      <xdr:nvGrpSpPr>
        <xdr:cNvPr id="325" name="Group 324">
          <a:extLst>
            <a:ext uri="{FF2B5EF4-FFF2-40B4-BE49-F238E27FC236}">
              <a16:creationId xmlns:a16="http://schemas.microsoft.com/office/drawing/2014/main" xmlns="" id="{3BCB394B-241A-4581-BC5E-3DBD9D07A2BE}"/>
            </a:ext>
          </a:extLst>
        </xdr:cNvPr>
        <xdr:cNvGrpSpPr/>
      </xdr:nvGrpSpPr>
      <xdr:grpSpPr>
        <a:xfrm>
          <a:off x="40822" y="9705969"/>
          <a:ext cx="247950" cy="526597"/>
          <a:chOff x="1194406" y="32874856"/>
          <a:chExt cx="606586" cy="942183"/>
        </a:xfrm>
      </xdr:grpSpPr>
      <xdr:sp macro="" textlink="">
        <xdr:nvSpPr>
          <xdr:cNvPr id="326" name="Moon 325">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27" name="Oval 326">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299357</xdr:colOff>
      <xdr:row>22</xdr:row>
      <xdr:rowOff>176894</xdr:rowOff>
    </xdr:from>
    <xdr:to>
      <xdr:col>5</xdr:col>
      <xdr:colOff>1469571</xdr:colOff>
      <xdr:row>31</xdr:row>
      <xdr:rowOff>175534</xdr:rowOff>
    </xdr:to>
    <xdr:pic>
      <xdr:nvPicPr>
        <xdr:cNvPr id="328" name="Picture 327"/>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99357" y="7102930"/>
          <a:ext cx="4966607" cy="1998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40822</xdr:colOff>
      <xdr:row>26</xdr:row>
      <xdr:rowOff>31290</xdr:rowOff>
    </xdr:from>
    <xdr:to>
      <xdr:col>0</xdr:col>
      <xdr:colOff>288772</xdr:colOff>
      <xdr:row>28</xdr:row>
      <xdr:rowOff>149673</xdr:rowOff>
    </xdr:to>
    <xdr:grpSp>
      <xdr:nvGrpSpPr>
        <xdr:cNvPr id="329" name="Group 328">
          <a:extLst>
            <a:ext uri="{FF2B5EF4-FFF2-40B4-BE49-F238E27FC236}">
              <a16:creationId xmlns:a16="http://schemas.microsoft.com/office/drawing/2014/main" xmlns="" id="{3BCB394B-241A-4581-BC5E-3DBD9D07A2BE}"/>
            </a:ext>
          </a:extLst>
        </xdr:cNvPr>
        <xdr:cNvGrpSpPr/>
      </xdr:nvGrpSpPr>
      <xdr:grpSpPr>
        <a:xfrm>
          <a:off x="40822" y="7855397"/>
          <a:ext cx="247950" cy="526597"/>
          <a:chOff x="1194406" y="32874856"/>
          <a:chExt cx="606586" cy="942183"/>
        </a:xfrm>
      </xdr:grpSpPr>
      <xdr:sp macro="" textlink="">
        <xdr:nvSpPr>
          <xdr:cNvPr id="330" name="Moon 329">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31" name="Oval 330">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489858</xdr:colOff>
      <xdr:row>16</xdr:row>
      <xdr:rowOff>40822</xdr:rowOff>
    </xdr:from>
    <xdr:to>
      <xdr:col>11</xdr:col>
      <xdr:colOff>421822</xdr:colOff>
      <xdr:row>30</xdr:row>
      <xdr:rowOff>122464</xdr:rowOff>
    </xdr:to>
    <xdr:grpSp>
      <xdr:nvGrpSpPr>
        <xdr:cNvPr id="334" name="Group 333"/>
        <xdr:cNvGrpSpPr/>
      </xdr:nvGrpSpPr>
      <xdr:grpSpPr>
        <a:xfrm>
          <a:off x="6245679" y="5619751"/>
          <a:ext cx="4830536" cy="3184070"/>
          <a:chOff x="6245678" y="5619751"/>
          <a:chExt cx="5815693" cy="3184070"/>
        </a:xfrm>
      </xdr:grpSpPr>
      <xdr:pic>
        <xdr:nvPicPr>
          <xdr:cNvPr id="332" name="Picture 331"/>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6245678" y="7198179"/>
            <a:ext cx="5812972" cy="160564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3" name="Picture 332"/>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245678" y="5619751"/>
            <a:ext cx="5815693" cy="16383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418798</xdr:colOff>
      <xdr:row>22</xdr:row>
      <xdr:rowOff>13605</xdr:rowOff>
    </xdr:from>
    <xdr:to>
      <xdr:col>11</xdr:col>
      <xdr:colOff>666748</xdr:colOff>
      <xdr:row>24</xdr:row>
      <xdr:rowOff>81642</xdr:rowOff>
    </xdr:to>
    <xdr:grpSp>
      <xdr:nvGrpSpPr>
        <xdr:cNvPr id="335" name="Group 334">
          <a:extLst>
            <a:ext uri="{FF2B5EF4-FFF2-40B4-BE49-F238E27FC236}">
              <a16:creationId xmlns:a16="http://schemas.microsoft.com/office/drawing/2014/main" xmlns="" id="{129906CF-0658-420B-B463-3B81235B0D11}"/>
            </a:ext>
          </a:extLst>
        </xdr:cNvPr>
        <xdr:cNvGrpSpPr/>
      </xdr:nvGrpSpPr>
      <xdr:grpSpPr>
        <a:xfrm rot="10800000">
          <a:off x="11073191" y="6939641"/>
          <a:ext cx="247950" cy="517072"/>
          <a:chOff x="1194406" y="32874856"/>
          <a:chExt cx="606586" cy="942183"/>
        </a:xfrm>
      </xdr:grpSpPr>
      <xdr:sp macro="" textlink="">
        <xdr:nvSpPr>
          <xdr:cNvPr id="336" name="Moon 33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37" name="Oval 33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40822</xdr:colOff>
      <xdr:row>15</xdr:row>
      <xdr:rowOff>31291</xdr:rowOff>
    </xdr:from>
    <xdr:to>
      <xdr:col>0</xdr:col>
      <xdr:colOff>288772</xdr:colOff>
      <xdr:row>17</xdr:row>
      <xdr:rowOff>108852</xdr:rowOff>
    </xdr:to>
    <xdr:grpSp>
      <xdr:nvGrpSpPr>
        <xdr:cNvPr id="339" name="Group 338">
          <a:extLst>
            <a:ext uri="{FF2B5EF4-FFF2-40B4-BE49-F238E27FC236}">
              <a16:creationId xmlns:a16="http://schemas.microsoft.com/office/drawing/2014/main" xmlns="" id="{3BCB394B-241A-4581-BC5E-3DBD9D07A2BE}"/>
            </a:ext>
          </a:extLst>
        </xdr:cNvPr>
        <xdr:cNvGrpSpPr/>
      </xdr:nvGrpSpPr>
      <xdr:grpSpPr>
        <a:xfrm>
          <a:off x="40822" y="5406112"/>
          <a:ext cx="247950" cy="526597"/>
          <a:chOff x="1194406" y="32874856"/>
          <a:chExt cx="606586" cy="942183"/>
        </a:xfrm>
      </xdr:grpSpPr>
      <xdr:sp macro="" textlink="">
        <xdr:nvSpPr>
          <xdr:cNvPr id="340" name="Moon 339">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41" name="Oval 340">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299358</xdr:colOff>
      <xdr:row>8</xdr:row>
      <xdr:rowOff>190500</xdr:rowOff>
    </xdr:from>
    <xdr:to>
      <xdr:col>5</xdr:col>
      <xdr:colOff>1483179</xdr:colOff>
      <xdr:row>22</xdr:row>
      <xdr:rowOff>100692</xdr:rowOff>
    </xdr:to>
    <xdr:grpSp>
      <xdr:nvGrpSpPr>
        <xdr:cNvPr id="343" name="Group 342"/>
        <xdr:cNvGrpSpPr/>
      </xdr:nvGrpSpPr>
      <xdr:grpSpPr>
        <a:xfrm>
          <a:off x="299358" y="3973286"/>
          <a:ext cx="4980214" cy="3053442"/>
          <a:chOff x="299357" y="4191000"/>
          <a:chExt cx="5817055" cy="2835728"/>
        </a:xfrm>
      </xdr:grpSpPr>
      <xdr:pic>
        <xdr:nvPicPr>
          <xdr:cNvPr id="338" name="Picture 337"/>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299357" y="4912178"/>
            <a:ext cx="5817054" cy="21145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42" name="Picture 341"/>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299358" y="4191000"/>
            <a:ext cx="5817054" cy="7429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34570</xdr:colOff>
      <xdr:row>53</xdr:row>
      <xdr:rowOff>406684</xdr:rowOff>
    </xdr:from>
    <xdr:to>
      <xdr:col>15</xdr:col>
      <xdr:colOff>929919</xdr:colOff>
      <xdr:row>59</xdr:row>
      <xdr:rowOff>181938</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95251</xdr:colOff>
      <xdr:row>1</xdr:row>
      <xdr:rowOff>66675</xdr:rowOff>
    </xdr:from>
    <xdr:to>
      <xdr:col>2</xdr:col>
      <xdr:colOff>684945</xdr:colOff>
      <xdr:row>1</xdr:row>
      <xdr:rowOff>447675</xdr:rowOff>
    </xdr:to>
    <xdr:pic>
      <xdr:nvPicPr>
        <xdr:cNvPr id="3" name="Picture 1" descr="Logo BITG">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6" y="24765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738455</xdr:colOff>
      <xdr:row>1</xdr:row>
      <xdr:rowOff>117725</xdr:rowOff>
    </xdr:from>
    <xdr:ext cx="3891706" cy="291234"/>
    <xdr:sp macro="" textlink="">
      <xdr:nvSpPr>
        <xdr:cNvPr id="4" name="TextBox 3">
          <a:extLst>
            <a:ext uri="{FF2B5EF4-FFF2-40B4-BE49-F238E27FC236}">
              <a16:creationId xmlns="" xmlns:a16="http://schemas.microsoft.com/office/drawing/2014/main" id="{00000000-0008-0000-0100-000005000000}"/>
            </a:ext>
          </a:extLst>
        </xdr:cNvPr>
        <xdr:cNvSpPr txBox="1"/>
      </xdr:nvSpPr>
      <xdr:spPr>
        <a:xfrm>
          <a:off x="1052780" y="298700"/>
          <a:ext cx="389170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1100" b="1">
              <a:latin typeface="Arial Black" panose="020B0A04020102020204" pitchFamily="34" charset="0"/>
            </a:rPr>
            <a:t>BODYNITS INTERNATIONAL TIEN GIANG (BITG)</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323849</xdr:colOff>
      <xdr:row>6</xdr:row>
      <xdr:rowOff>0</xdr:rowOff>
    </xdr:from>
    <xdr:to>
      <xdr:col>9</xdr:col>
      <xdr:colOff>561974</xdr:colOff>
      <xdr:row>6</xdr:row>
      <xdr:rowOff>0</xdr:rowOff>
    </xdr:to>
    <xdr:sp macro="" textlink="">
      <xdr:nvSpPr>
        <xdr:cNvPr id="2" name="Rectangle 1">
          <a:extLst>
            <a:ext uri="{FF2B5EF4-FFF2-40B4-BE49-F238E27FC236}">
              <a16:creationId xmlns:a16="http://schemas.microsoft.com/office/drawing/2014/main" xmlns="" id="{5D63D521-790F-457D-A95E-F77DD49BD4C3}"/>
            </a:ext>
          </a:extLst>
        </xdr:cNvPr>
        <xdr:cNvSpPr/>
      </xdr:nvSpPr>
      <xdr:spPr bwMode="auto">
        <a:xfrm rot="5400000">
          <a:off x="7881937" y="461962"/>
          <a:ext cx="0" cy="3629025"/>
        </a:xfrm>
        <a:prstGeom prst="rect">
          <a:avLst/>
        </a:prstGeom>
        <a:solidFill>
          <a:schemeClr val="bg1">
            <a:lumMod val="85000"/>
          </a:schemeClr>
        </a:solidFill>
        <a:ln w="9525" cap="flat" cmpd="sng" algn="ctr">
          <a:solidFill>
            <a:schemeClr val="accent1"/>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sz="1000"/>
            <a:t>LONG</a:t>
          </a:r>
          <a:r>
            <a:rPr lang="en-US" sz="1000" baseline="0"/>
            <a:t> TABLE</a:t>
          </a:r>
          <a:endParaRPr lang="id-ID" sz="1000"/>
        </a:p>
      </xdr:txBody>
    </xdr:sp>
    <xdr:clientData/>
  </xdr:twoCellAnchor>
  <xdr:twoCellAnchor>
    <xdr:from>
      <xdr:col>5</xdr:col>
      <xdr:colOff>923703</xdr:colOff>
      <xdr:row>6</xdr:row>
      <xdr:rowOff>95250</xdr:rowOff>
    </xdr:from>
    <xdr:to>
      <xdr:col>6</xdr:col>
      <xdr:colOff>888547</xdr:colOff>
      <xdr:row>7</xdr:row>
      <xdr:rowOff>566852</xdr:rowOff>
    </xdr:to>
    <xdr:sp macro="" textlink="">
      <xdr:nvSpPr>
        <xdr:cNvPr id="3" name="Rectangle 2">
          <a:extLst>
            <a:ext uri="{FF2B5EF4-FFF2-40B4-BE49-F238E27FC236}">
              <a16:creationId xmlns:a16="http://schemas.microsoft.com/office/drawing/2014/main" xmlns="" id="{2C9D1384-A967-4042-A255-120A32305600}"/>
            </a:ext>
          </a:extLst>
        </xdr:cNvPr>
        <xdr:cNvSpPr/>
      </xdr:nvSpPr>
      <xdr:spPr bwMode="auto">
        <a:xfrm flipH="1">
          <a:off x="4714653" y="2371725"/>
          <a:ext cx="1917469" cy="709727"/>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PACKING</a:t>
          </a:r>
          <a:endParaRPr lang="id-ID">
            <a:effectLst/>
          </a:endParaRPr>
        </a:p>
      </xdr:txBody>
    </xdr:sp>
    <xdr:clientData/>
  </xdr:twoCellAnchor>
  <xdr:oneCellAnchor>
    <xdr:from>
      <xdr:col>1</xdr:col>
      <xdr:colOff>561974</xdr:colOff>
      <xdr:row>1</xdr:row>
      <xdr:rowOff>47626</xdr:rowOff>
    </xdr:from>
    <xdr:ext cx="3876676" cy="291234"/>
    <xdr:sp macro="" textlink="">
      <xdr:nvSpPr>
        <xdr:cNvPr id="4" name="TextBox 3">
          <a:extLst>
            <a:ext uri="{FF2B5EF4-FFF2-40B4-BE49-F238E27FC236}">
              <a16:creationId xmlns:a16="http://schemas.microsoft.com/office/drawing/2014/main" xmlns="" id="{54B47921-13E2-4043-B9FC-4523B17C278C}"/>
            </a:ext>
          </a:extLst>
        </xdr:cNvPr>
        <xdr:cNvSpPr txBox="1"/>
      </xdr:nvSpPr>
      <xdr:spPr>
        <a:xfrm>
          <a:off x="1009649" y="142876"/>
          <a:ext cx="387667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SG" sz="1100" b="1">
              <a:latin typeface="Arial Black" panose="020B0A04020102020204" pitchFamily="34" charset="0"/>
            </a:rPr>
            <a:t>BODYNITS INTERNATIONAL TIEN GIANG (BITG)</a:t>
          </a:r>
        </a:p>
      </xdr:txBody>
    </xdr:sp>
    <xdr:clientData/>
  </xdr:oneCellAnchor>
  <xdr:twoCellAnchor>
    <xdr:from>
      <xdr:col>1</xdr:col>
      <xdr:colOff>57150</xdr:colOff>
      <xdr:row>1</xdr:row>
      <xdr:rowOff>57150</xdr:rowOff>
    </xdr:from>
    <xdr:to>
      <xdr:col>1</xdr:col>
      <xdr:colOff>646844</xdr:colOff>
      <xdr:row>1</xdr:row>
      <xdr:rowOff>438150</xdr:rowOff>
    </xdr:to>
    <xdr:pic>
      <xdr:nvPicPr>
        <xdr:cNvPr id="5" name="Picture 1" descr="Logo BITG">
          <a:extLst>
            <a:ext uri="{FF2B5EF4-FFF2-40B4-BE49-F238E27FC236}">
              <a16:creationId xmlns:a16="http://schemas.microsoft.com/office/drawing/2014/main" xmlns="" id="{718F30F5-3413-4E76-9D35-2C2405C9D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15240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1512097</xdr:colOff>
      <xdr:row>9</xdr:row>
      <xdr:rowOff>176893</xdr:rowOff>
    </xdr:from>
    <xdr:to>
      <xdr:col>6</xdr:col>
      <xdr:colOff>394610</xdr:colOff>
      <xdr:row>167</xdr:row>
      <xdr:rowOff>244928</xdr:rowOff>
    </xdr:to>
    <xdr:sp macro="" textlink="">
      <xdr:nvSpPr>
        <xdr:cNvPr id="6" name="Rectangle 5">
          <a:extLst>
            <a:ext uri="{FF2B5EF4-FFF2-40B4-BE49-F238E27FC236}">
              <a16:creationId xmlns:a16="http://schemas.microsoft.com/office/drawing/2014/main" xmlns="" id="{0064DF82-AF18-4489-AAD3-4FDFD412E65D}"/>
            </a:ext>
          </a:extLst>
        </xdr:cNvPr>
        <xdr:cNvSpPr/>
      </xdr:nvSpPr>
      <xdr:spPr>
        <a:xfrm>
          <a:off x="5308490" y="4204607"/>
          <a:ext cx="841941" cy="43828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1744664</xdr:colOff>
      <xdr:row>9</xdr:row>
      <xdr:rowOff>189657</xdr:rowOff>
    </xdr:from>
    <xdr:to>
      <xdr:col>6</xdr:col>
      <xdr:colOff>130517</xdr:colOff>
      <xdr:row>167</xdr:row>
      <xdr:rowOff>244991</xdr:rowOff>
    </xdr:to>
    <xdr:sp macro="" textlink="">
      <xdr:nvSpPr>
        <xdr:cNvPr id="7" name="Up Arrow 69">
          <a:extLst>
            <a:ext uri="{FF2B5EF4-FFF2-40B4-BE49-F238E27FC236}">
              <a16:creationId xmlns:a16="http://schemas.microsoft.com/office/drawing/2014/main" xmlns="" id="{814BC888-8FF7-4F8F-A578-AE06B4D6C5D5}"/>
            </a:ext>
          </a:extLst>
        </xdr:cNvPr>
        <xdr:cNvSpPr/>
      </xdr:nvSpPr>
      <xdr:spPr>
        <a:xfrm>
          <a:off x="5541057" y="4217371"/>
          <a:ext cx="345281" cy="43815906"/>
        </a:xfrm>
        <a:prstGeom prst="up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923702</xdr:colOff>
      <xdr:row>7</xdr:row>
      <xdr:rowOff>639536</xdr:rowOff>
    </xdr:from>
    <xdr:to>
      <xdr:col>6</xdr:col>
      <xdr:colOff>888546</xdr:colOff>
      <xdr:row>8</xdr:row>
      <xdr:rowOff>122464</xdr:rowOff>
    </xdr:to>
    <xdr:sp macro="" textlink="">
      <xdr:nvSpPr>
        <xdr:cNvPr id="8" name="Rectangle 7">
          <a:extLst>
            <a:ext uri="{FF2B5EF4-FFF2-40B4-BE49-F238E27FC236}">
              <a16:creationId xmlns:a16="http://schemas.microsoft.com/office/drawing/2014/main" xmlns="" id="{75EBA883-F67E-4799-98B6-D8946FA91CCF}"/>
            </a:ext>
          </a:extLst>
        </xdr:cNvPr>
        <xdr:cNvSpPr/>
      </xdr:nvSpPr>
      <xdr:spPr bwMode="auto">
        <a:xfrm flipH="1">
          <a:off x="4714652" y="3154136"/>
          <a:ext cx="1917469" cy="749753"/>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CHECKING</a:t>
          </a:r>
          <a:endParaRPr lang="id-ID">
            <a:effectLst/>
          </a:endParaRPr>
        </a:p>
      </xdr:txBody>
    </xdr:sp>
    <xdr:clientData/>
  </xdr:twoCellAnchor>
  <xdr:twoCellAnchor>
    <xdr:from>
      <xdr:col>5</xdr:col>
      <xdr:colOff>530678</xdr:colOff>
      <xdr:row>168</xdr:row>
      <xdr:rowOff>13609</xdr:rowOff>
    </xdr:from>
    <xdr:to>
      <xdr:col>7</xdr:col>
      <xdr:colOff>299357</xdr:colOff>
      <xdr:row>170</xdr:row>
      <xdr:rowOff>176893</xdr:rowOff>
    </xdr:to>
    <xdr:sp macro="" textlink="">
      <xdr:nvSpPr>
        <xdr:cNvPr id="9" name="Rectangle: Rounded Corners 14">
          <a:extLst>
            <a:ext uri="{FF2B5EF4-FFF2-40B4-BE49-F238E27FC236}">
              <a16:creationId xmlns:a16="http://schemas.microsoft.com/office/drawing/2014/main" xmlns="" id="{DBACEDB1-0455-4FDE-892A-E969DC5C233C}"/>
            </a:ext>
          </a:extLst>
        </xdr:cNvPr>
        <xdr:cNvSpPr/>
      </xdr:nvSpPr>
      <xdr:spPr>
        <a:xfrm>
          <a:off x="4327071" y="48155680"/>
          <a:ext cx="2694215" cy="73478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t>LINE</a:t>
          </a:r>
        </a:p>
      </xdr:txBody>
    </xdr:sp>
    <xdr:clientData/>
  </xdr:twoCellAnchor>
  <xdr:twoCellAnchor>
    <xdr:from>
      <xdr:col>11</xdr:col>
      <xdr:colOff>418800</xdr:colOff>
      <xdr:row>174</xdr:row>
      <xdr:rowOff>258531</xdr:rowOff>
    </xdr:from>
    <xdr:to>
      <xdr:col>11</xdr:col>
      <xdr:colOff>666750</xdr:colOff>
      <xdr:row>176</xdr:row>
      <xdr:rowOff>204103</xdr:rowOff>
    </xdr:to>
    <xdr:grpSp>
      <xdr:nvGrpSpPr>
        <xdr:cNvPr id="10" name="Group 9">
          <a:extLst>
            <a:ext uri="{FF2B5EF4-FFF2-40B4-BE49-F238E27FC236}">
              <a16:creationId xmlns:a16="http://schemas.microsoft.com/office/drawing/2014/main" xmlns="" id="{129906CF-0658-420B-B463-3B81235B0D11}"/>
            </a:ext>
          </a:extLst>
        </xdr:cNvPr>
        <xdr:cNvGrpSpPr/>
      </xdr:nvGrpSpPr>
      <xdr:grpSpPr>
        <a:xfrm rot="10800000">
          <a:off x="11380714" y="41515388"/>
          <a:ext cx="247950" cy="511629"/>
          <a:chOff x="1194406" y="32874856"/>
          <a:chExt cx="606586" cy="942183"/>
        </a:xfrm>
      </xdr:grpSpPr>
      <xdr:sp macro="" textlink="">
        <xdr:nvSpPr>
          <xdr:cNvPr id="11" name="Moon 10">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2" name="Oval 11">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54428</xdr:colOff>
      <xdr:row>153</xdr:row>
      <xdr:rowOff>149676</xdr:rowOff>
    </xdr:from>
    <xdr:to>
      <xdr:col>0</xdr:col>
      <xdr:colOff>302378</xdr:colOff>
      <xdr:row>155</xdr:row>
      <xdr:rowOff>176891</xdr:rowOff>
    </xdr:to>
    <xdr:grpSp>
      <xdr:nvGrpSpPr>
        <xdr:cNvPr id="13" name="Group 12">
          <a:extLst>
            <a:ext uri="{FF2B5EF4-FFF2-40B4-BE49-F238E27FC236}">
              <a16:creationId xmlns:a16="http://schemas.microsoft.com/office/drawing/2014/main" xmlns="" id="{3BCB394B-241A-4581-BC5E-3DBD9D07A2BE}"/>
            </a:ext>
          </a:extLst>
        </xdr:cNvPr>
        <xdr:cNvGrpSpPr/>
      </xdr:nvGrpSpPr>
      <xdr:grpSpPr>
        <a:xfrm>
          <a:off x="54428" y="36083419"/>
          <a:ext cx="247950" cy="527958"/>
          <a:chOff x="1194406" y="32874856"/>
          <a:chExt cx="606586" cy="942183"/>
        </a:xfrm>
      </xdr:grpSpPr>
      <xdr:sp macro="" textlink="">
        <xdr:nvSpPr>
          <xdr:cNvPr id="14" name="Moon 1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5" name="Oval 1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405193</xdr:colOff>
      <xdr:row>160</xdr:row>
      <xdr:rowOff>13603</xdr:rowOff>
    </xdr:from>
    <xdr:to>
      <xdr:col>11</xdr:col>
      <xdr:colOff>653143</xdr:colOff>
      <xdr:row>161</xdr:row>
      <xdr:rowOff>244925</xdr:rowOff>
    </xdr:to>
    <xdr:grpSp>
      <xdr:nvGrpSpPr>
        <xdr:cNvPr id="21" name="Group 20">
          <a:extLst>
            <a:ext uri="{FF2B5EF4-FFF2-40B4-BE49-F238E27FC236}">
              <a16:creationId xmlns:a16="http://schemas.microsoft.com/office/drawing/2014/main" xmlns="" id="{129906CF-0658-420B-B463-3B81235B0D11}"/>
            </a:ext>
          </a:extLst>
        </xdr:cNvPr>
        <xdr:cNvGrpSpPr/>
      </xdr:nvGrpSpPr>
      <xdr:grpSpPr>
        <a:xfrm rot="10800000">
          <a:off x="11367107" y="37253632"/>
          <a:ext cx="247950" cy="514350"/>
          <a:chOff x="1194406" y="32874856"/>
          <a:chExt cx="606586" cy="942183"/>
        </a:xfrm>
      </xdr:grpSpPr>
      <xdr:sp macro="" textlink="">
        <xdr:nvSpPr>
          <xdr:cNvPr id="22" name="Moon 21">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3" name="Oval 22">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13608</xdr:colOff>
      <xdr:row>10</xdr:row>
      <xdr:rowOff>167362</xdr:rowOff>
    </xdr:from>
    <xdr:to>
      <xdr:col>0</xdr:col>
      <xdr:colOff>261558</xdr:colOff>
      <xdr:row>13</xdr:row>
      <xdr:rowOff>40816</xdr:rowOff>
    </xdr:to>
    <xdr:sp macro="" textlink="">
      <xdr:nvSpPr>
        <xdr:cNvPr id="141" name="Moon 140">
          <a:extLst>
            <a:ext uri="{FF2B5EF4-FFF2-40B4-BE49-F238E27FC236}">
              <a16:creationId xmlns:a16="http://schemas.microsoft.com/office/drawing/2014/main" xmlns="" id="{DC8E1526-1952-45DD-8531-43910A3275A7}"/>
            </a:ext>
          </a:extLst>
        </xdr:cNvPr>
        <xdr:cNvSpPr/>
      </xdr:nvSpPr>
      <xdr:spPr>
        <a:xfrm>
          <a:off x="13608" y="4440005"/>
          <a:ext cx="247950" cy="526597"/>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clientData/>
  </xdr:twoCellAnchor>
  <xdr:twoCellAnchor>
    <xdr:from>
      <xdr:col>6</xdr:col>
      <xdr:colOff>136072</xdr:colOff>
      <xdr:row>170</xdr:row>
      <xdr:rowOff>231321</xdr:rowOff>
    </xdr:from>
    <xdr:to>
      <xdr:col>11</xdr:col>
      <xdr:colOff>421821</xdr:colOff>
      <xdr:row>180</xdr:row>
      <xdr:rowOff>201384</xdr:rowOff>
    </xdr:to>
    <xdr:grpSp>
      <xdr:nvGrpSpPr>
        <xdr:cNvPr id="177" name="Group 176"/>
        <xdr:cNvGrpSpPr/>
      </xdr:nvGrpSpPr>
      <xdr:grpSpPr>
        <a:xfrm>
          <a:off x="6057901" y="40258092"/>
          <a:ext cx="5325834" cy="2996292"/>
          <a:chOff x="5891893" y="49339500"/>
          <a:chExt cx="5806168" cy="2582635"/>
        </a:xfrm>
      </xdr:grpSpPr>
      <xdr:pic>
        <xdr:nvPicPr>
          <xdr:cNvPr id="174" name="Picture 17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91893" y="49339500"/>
            <a:ext cx="1443718" cy="2581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5" name="Picture 17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07036" y="50591357"/>
            <a:ext cx="4391025" cy="133077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6" name="Picture 17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07035" y="49339500"/>
            <a:ext cx="4391025" cy="125866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6</xdr:col>
      <xdr:colOff>449037</xdr:colOff>
      <xdr:row>150</xdr:row>
      <xdr:rowOff>231322</xdr:rowOff>
    </xdr:from>
    <xdr:to>
      <xdr:col>11</xdr:col>
      <xdr:colOff>449037</xdr:colOff>
      <xdr:row>167</xdr:row>
      <xdr:rowOff>111578</xdr:rowOff>
    </xdr:to>
    <xdr:grpSp>
      <xdr:nvGrpSpPr>
        <xdr:cNvPr id="182" name="Group 181"/>
        <xdr:cNvGrpSpPr/>
      </xdr:nvGrpSpPr>
      <xdr:grpSpPr>
        <a:xfrm>
          <a:off x="6370866" y="35424836"/>
          <a:ext cx="5040085" cy="3799113"/>
          <a:chOff x="6272892" y="44862749"/>
          <a:chExt cx="5795283" cy="3037115"/>
        </a:xfrm>
      </xdr:grpSpPr>
      <xdr:pic>
        <xdr:nvPicPr>
          <xdr:cNvPr id="178" name="Picture 17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72892" y="44862750"/>
            <a:ext cx="1439636" cy="303303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9" name="Picture 17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688036" y="47080714"/>
            <a:ext cx="4380139" cy="8191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0" name="Picture 17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688035" y="46237071"/>
            <a:ext cx="4378779" cy="85861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1" name="Picture 18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88035" y="44862749"/>
            <a:ext cx="4380139" cy="13716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6</xdr:col>
      <xdr:colOff>462644</xdr:colOff>
      <xdr:row>137</xdr:row>
      <xdr:rowOff>136072</xdr:rowOff>
    </xdr:from>
    <xdr:to>
      <xdr:col>11</xdr:col>
      <xdr:colOff>476250</xdr:colOff>
      <xdr:row>150</xdr:row>
      <xdr:rowOff>36739</xdr:rowOff>
    </xdr:to>
    <xdr:grpSp>
      <xdr:nvGrpSpPr>
        <xdr:cNvPr id="185" name="Group 184"/>
        <xdr:cNvGrpSpPr/>
      </xdr:nvGrpSpPr>
      <xdr:grpSpPr>
        <a:xfrm>
          <a:off x="6384473" y="32161843"/>
          <a:ext cx="5053691" cy="3068410"/>
          <a:chOff x="6177643" y="41991643"/>
          <a:chExt cx="5814332" cy="1819274"/>
        </a:xfrm>
      </xdr:grpSpPr>
      <xdr:pic>
        <xdr:nvPicPr>
          <xdr:cNvPr id="183" name="Picture 18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177643" y="42971357"/>
            <a:ext cx="5810250" cy="8395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4" name="Picture 183"/>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177643" y="41991643"/>
            <a:ext cx="5814332" cy="101237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405193</xdr:colOff>
      <xdr:row>143</xdr:row>
      <xdr:rowOff>258532</xdr:rowOff>
    </xdr:from>
    <xdr:to>
      <xdr:col>11</xdr:col>
      <xdr:colOff>653143</xdr:colOff>
      <xdr:row>145</xdr:row>
      <xdr:rowOff>190497</xdr:rowOff>
    </xdr:to>
    <xdr:grpSp>
      <xdr:nvGrpSpPr>
        <xdr:cNvPr id="186" name="Group 185">
          <a:extLst>
            <a:ext uri="{FF2B5EF4-FFF2-40B4-BE49-F238E27FC236}">
              <a16:creationId xmlns:a16="http://schemas.microsoft.com/office/drawing/2014/main" xmlns="" id="{129906CF-0658-420B-B463-3B81235B0D11}"/>
            </a:ext>
          </a:extLst>
        </xdr:cNvPr>
        <xdr:cNvGrpSpPr/>
      </xdr:nvGrpSpPr>
      <xdr:grpSpPr>
        <a:xfrm rot="10800000">
          <a:off x="11367107" y="33449075"/>
          <a:ext cx="247950" cy="530679"/>
          <a:chOff x="1194406" y="32874856"/>
          <a:chExt cx="606586" cy="942183"/>
        </a:xfrm>
      </xdr:grpSpPr>
      <xdr:sp macro="" textlink="">
        <xdr:nvSpPr>
          <xdr:cNvPr id="187" name="Moon 186">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88" name="Oval 187">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405193</xdr:colOff>
      <xdr:row>128</xdr:row>
      <xdr:rowOff>176890</xdr:rowOff>
    </xdr:from>
    <xdr:to>
      <xdr:col>11</xdr:col>
      <xdr:colOff>653143</xdr:colOff>
      <xdr:row>131</xdr:row>
      <xdr:rowOff>40819</xdr:rowOff>
    </xdr:to>
    <xdr:grpSp>
      <xdr:nvGrpSpPr>
        <xdr:cNvPr id="195" name="Group 194">
          <a:extLst>
            <a:ext uri="{FF2B5EF4-FFF2-40B4-BE49-F238E27FC236}">
              <a16:creationId xmlns:a16="http://schemas.microsoft.com/office/drawing/2014/main" xmlns="" id="{129906CF-0658-420B-B463-3B81235B0D11}"/>
            </a:ext>
          </a:extLst>
        </xdr:cNvPr>
        <xdr:cNvGrpSpPr/>
      </xdr:nvGrpSpPr>
      <xdr:grpSpPr>
        <a:xfrm rot="10800000">
          <a:off x="11367107" y="30265004"/>
          <a:ext cx="247950" cy="495301"/>
          <a:chOff x="1194406" y="32874856"/>
          <a:chExt cx="606586" cy="942183"/>
        </a:xfrm>
      </xdr:grpSpPr>
      <xdr:sp macro="" textlink="">
        <xdr:nvSpPr>
          <xdr:cNvPr id="196" name="Moon 19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97" name="Oval 19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299358</xdr:colOff>
      <xdr:row>151</xdr:row>
      <xdr:rowOff>176893</xdr:rowOff>
    </xdr:from>
    <xdr:to>
      <xdr:col>5</xdr:col>
      <xdr:colOff>1469573</xdr:colOff>
      <xdr:row>159</xdr:row>
      <xdr:rowOff>97972</xdr:rowOff>
    </xdr:to>
    <xdr:pic>
      <xdr:nvPicPr>
        <xdr:cNvPr id="198" name="Picture 197"/>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99358" y="44277643"/>
          <a:ext cx="4966608" cy="1431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54428</xdr:colOff>
      <xdr:row>147</xdr:row>
      <xdr:rowOff>149676</xdr:rowOff>
    </xdr:from>
    <xdr:to>
      <xdr:col>0</xdr:col>
      <xdr:colOff>302378</xdr:colOff>
      <xdr:row>148</xdr:row>
      <xdr:rowOff>163284</xdr:rowOff>
    </xdr:to>
    <xdr:grpSp>
      <xdr:nvGrpSpPr>
        <xdr:cNvPr id="200" name="Group 199">
          <a:extLst>
            <a:ext uri="{FF2B5EF4-FFF2-40B4-BE49-F238E27FC236}">
              <a16:creationId xmlns:a16="http://schemas.microsoft.com/office/drawing/2014/main" xmlns="" id="{3BCB394B-241A-4581-BC5E-3DBD9D07A2BE}"/>
            </a:ext>
          </a:extLst>
        </xdr:cNvPr>
        <xdr:cNvGrpSpPr/>
      </xdr:nvGrpSpPr>
      <xdr:grpSpPr>
        <a:xfrm>
          <a:off x="54428" y="34439676"/>
          <a:ext cx="247950" cy="514351"/>
          <a:chOff x="1194406" y="32874856"/>
          <a:chExt cx="606586" cy="942183"/>
        </a:xfrm>
      </xdr:grpSpPr>
      <xdr:sp macro="" textlink="">
        <xdr:nvSpPr>
          <xdr:cNvPr id="201" name="Moon 200">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02" name="Oval 201">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299357</xdr:colOff>
      <xdr:row>138</xdr:row>
      <xdr:rowOff>108857</xdr:rowOff>
    </xdr:from>
    <xdr:to>
      <xdr:col>5</xdr:col>
      <xdr:colOff>1455964</xdr:colOff>
      <xdr:row>145</xdr:row>
      <xdr:rowOff>70758</xdr:rowOff>
    </xdr:to>
    <xdr:pic>
      <xdr:nvPicPr>
        <xdr:cNvPr id="203" name="Picture 20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99357" y="41039143"/>
          <a:ext cx="4953000" cy="1485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54428</xdr:colOff>
      <xdr:row>141</xdr:row>
      <xdr:rowOff>95248</xdr:rowOff>
    </xdr:from>
    <xdr:to>
      <xdr:col>0</xdr:col>
      <xdr:colOff>302378</xdr:colOff>
      <xdr:row>143</xdr:row>
      <xdr:rowOff>122462</xdr:rowOff>
    </xdr:to>
    <xdr:grpSp>
      <xdr:nvGrpSpPr>
        <xdr:cNvPr id="204" name="Group 203">
          <a:extLst>
            <a:ext uri="{FF2B5EF4-FFF2-40B4-BE49-F238E27FC236}">
              <a16:creationId xmlns:a16="http://schemas.microsoft.com/office/drawing/2014/main" xmlns="" id="{3BCB394B-241A-4581-BC5E-3DBD9D07A2BE}"/>
            </a:ext>
          </a:extLst>
        </xdr:cNvPr>
        <xdr:cNvGrpSpPr/>
      </xdr:nvGrpSpPr>
      <xdr:grpSpPr>
        <a:xfrm>
          <a:off x="54428" y="32795934"/>
          <a:ext cx="247950" cy="517071"/>
          <a:chOff x="1194406" y="32874856"/>
          <a:chExt cx="606586" cy="942183"/>
        </a:xfrm>
      </xdr:grpSpPr>
      <xdr:sp macro="" textlink="">
        <xdr:nvSpPr>
          <xdr:cNvPr id="205" name="Moon 204">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06" name="Oval 205">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312965</xdr:colOff>
      <xdr:row>130</xdr:row>
      <xdr:rowOff>176893</xdr:rowOff>
    </xdr:from>
    <xdr:to>
      <xdr:col>5</xdr:col>
      <xdr:colOff>1455964</xdr:colOff>
      <xdr:row>137</xdr:row>
      <xdr:rowOff>159204</xdr:rowOff>
    </xdr:to>
    <xdr:pic>
      <xdr:nvPicPr>
        <xdr:cNvPr id="207" name="Picture 206"/>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12965" y="39311036"/>
          <a:ext cx="4939392" cy="1533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299358</xdr:colOff>
      <xdr:row>120</xdr:row>
      <xdr:rowOff>149680</xdr:rowOff>
    </xdr:from>
    <xdr:to>
      <xdr:col>5</xdr:col>
      <xdr:colOff>1442357</xdr:colOff>
      <xdr:row>128</xdr:row>
      <xdr:rowOff>88448</xdr:rowOff>
    </xdr:to>
    <xdr:pic>
      <xdr:nvPicPr>
        <xdr:cNvPr id="208" name="Picture 207"/>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99358" y="37038644"/>
          <a:ext cx="4939392" cy="1734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54428</xdr:colOff>
      <xdr:row>132</xdr:row>
      <xdr:rowOff>176890</xdr:rowOff>
    </xdr:from>
    <xdr:to>
      <xdr:col>0</xdr:col>
      <xdr:colOff>302378</xdr:colOff>
      <xdr:row>135</xdr:row>
      <xdr:rowOff>40820</xdr:rowOff>
    </xdr:to>
    <xdr:grpSp>
      <xdr:nvGrpSpPr>
        <xdr:cNvPr id="209" name="Group 208">
          <a:extLst>
            <a:ext uri="{FF2B5EF4-FFF2-40B4-BE49-F238E27FC236}">
              <a16:creationId xmlns:a16="http://schemas.microsoft.com/office/drawing/2014/main" xmlns="" id="{3BCB394B-241A-4581-BC5E-3DBD9D07A2BE}"/>
            </a:ext>
          </a:extLst>
        </xdr:cNvPr>
        <xdr:cNvGrpSpPr/>
      </xdr:nvGrpSpPr>
      <xdr:grpSpPr>
        <a:xfrm>
          <a:off x="54428" y="31135861"/>
          <a:ext cx="247950" cy="495302"/>
          <a:chOff x="1194406" y="32874856"/>
          <a:chExt cx="606586" cy="942183"/>
        </a:xfrm>
      </xdr:grpSpPr>
      <xdr:sp macro="" textlink="">
        <xdr:nvSpPr>
          <xdr:cNvPr id="210" name="Moon 209">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11" name="Oval 210">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13606</xdr:colOff>
      <xdr:row>123</xdr:row>
      <xdr:rowOff>54426</xdr:rowOff>
    </xdr:from>
    <xdr:to>
      <xdr:col>0</xdr:col>
      <xdr:colOff>261556</xdr:colOff>
      <xdr:row>125</xdr:row>
      <xdr:rowOff>122463</xdr:rowOff>
    </xdr:to>
    <xdr:grpSp>
      <xdr:nvGrpSpPr>
        <xdr:cNvPr id="212" name="Group 211">
          <a:extLst>
            <a:ext uri="{FF2B5EF4-FFF2-40B4-BE49-F238E27FC236}">
              <a16:creationId xmlns:a16="http://schemas.microsoft.com/office/drawing/2014/main" xmlns="" id="{3BCB394B-241A-4581-BC5E-3DBD9D07A2BE}"/>
            </a:ext>
          </a:extLst>
        </xdr:cNvPr>
        <xdr:cNvGrpSpPr/>
      </xdr:nvGrpSpPr>
      <xdr:grpSpPr>
        <a:xfrm>
          <a:off x="13606" y="29075740"/>
          <a:ext cx="247950" cy="503466"/>
          <a:chOff x="1194406" y="32874856"/>
          <a:chExt cx="606586" cy="942183"/>
        </a:xfrm>
      </xdr:grpSpPr>
      <xdr:sp macro="" textlink="">
        <xdr:nvSpPr>
          <xdr:cNvPr id="213" name="Moon 212">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14" name="Oval 213">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285751</xdr:colOff>
      <xdr:row>111</xdr:row>
      <xdr:rowOff>204108</xdr:rowOff>
    </xdr:from>
    <xdr:to>
      <xdr:col>5</xdr:col>
      <xdr:colOff>1469571</xdr:colOff>
      <xdr:row>118</xdr:row>
      <xdr:rowOff>29938</xdr:rowOff>
    </xdr:to>
    <xdr:pic>
      <xdr:nvPicPr>
        <xdr:cNvPr id="215" name="Picture 214"/>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85751" y="35092822"/>
          <a:ext cx="4980213" cy="13770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13606</xdr:colOff>
      <xdr:row>113</xdr:row>
      <xdr:rowOff>136069</xdr:rowOff>
    </xdr:from>
    <xdr:to>
      <xdr:col>0</xdr:col>
      <xdr:colOff>261556</xdr:colOff>
      <xdr:row>115</xdr:row>
      <xdr:rowOff>204105</xdr:rowOff>
    </xdr:to>
    <xdr:grpSp>
      <xdr:nvGrpSpPr>
        <xdr:cNvPr id="217" name="Group 216">
          <a:extLst>
            <a:ext uri="{FF2B5EF4-FFF2-40B4-BE49-F238E27FC236}">
              <a16:creationId xmlns:a16="http://schemas.microsoft.com/office/drawing/2014/main" xmlns="" id="{3BCB394B-241A-4581-BC5E-3DBD9D07A2BE}"/>
            </a:ext>
          </a:extLst>
        </xdr:cNvPr>
        <xdr:cNvGrpSpPr/>
      </xdr:nvGrpSpPr>
      <xdr:grpSpPr>
        <a:xfrm>
          <a:off x="13606" y="26980240"/>
          <a:ext cx="247950" cy="495845"/>
          <a:chOff x="1194406" y="32874856"/>
          <a:chExt cx="606586" cy="942183"/>
        </a:xfrm>
      </xdr:grpSpPr>
      <xdr:sp macro="" textlink="">
        <xdr:nvSpPr>
          <xdr:cNvPr id="218" name="Moon 217">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19" name="Oval 218">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432407</xdr:colOff>
      <xdr:row>110</xdr:row>
      <xdr:rowOff>122462</xdr:rowOff>
    </xdr:from>
    <xdr:to>
      <xdr:col>11</xdr:col>
      <xdr:colOff>680357</xdr:colOff>
      <xdr:row>112</xdr:row>
      <xdr:rowOff>190498</xdr:rowOff>
    </xdr:to>
    <xdr:grpSp>
      <xdr:nvGrpSpPr>
        <xdr:cNvPr id="220" name="Group 219">
          <a:extLst>
            <a:ext uri="{FF2B5EF4-FFF2-40B4-BE49-F238E27FC236}">
              <a16:creationId xmlns:a16="http://schemas.microsoft.com/office/drawing/2014/main" xmlns="" id="{129906CF-0658-420B-B463-3B81235B0D11}"/>
            </a:ext>
          </a:extLst>
        </xdr:cNvPr>
        <xdr:cNvGrpSpPr/>
      </xdr:nvGrpSpPr>
      <xdr:grpSpPr>
        <a:xfrm rot="10800000">
          <a:off x="11394321" y="26335262"/>
          <a:ext cx="247950" cy="503465"/>
          <a:chOff x="1194406" y="32874856"/>
          <a:chExt cx="606586" cy="942183"/>
        </a:xfrm>
      </xdr:grpSpPr>
      <xdr:sp macro="" textlink="">
        <xdr:nvSpPr>
          <xdr:cNvPr id="221" name="Moon 220">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22" name="Oval 221">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449035</xdr:colOff>
      <xdr:row>105</xdr:row>
      <xdr:rowOff>1</xdr:rowOff>
    </xdr:from>
    <xdr:to>
      <xdr:col>11</xdr:col>
      <xdr:colOff>489857</xdr:colOff>
      <xdr:row>117</xdr:row>
      <xdr:rowOff>172811</xdr:rowOff>
    </xdr:to>
    <xdr:grpSp>
      <xdr:nvGrpSpPr>
        <xdr:cNvPr id="224" name="Group 223"/>
        <xdr:cNvGrpSpPr/>
      </xdr:nvGrpSpPr>
      <xdr:grpSpPr>
        <a:xfrm>
          <a:off x="6370864" y="25102458"/>
          <a:ext cx="5080907" cy="2785382"/>
          <a:chOff x="6204856" y="33541608"/>
          <a:chExt cx="4939394" cy="2867024"/>
        </a:xfrm>
      </xdr:grpSpPr>
      <xdr:pic>
        <xdr:nvPicPr>
          <xdr:cNvPr id="216" name="Picture 215"/>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204857" y="35038393"/>
            <a:ext cx="4939393" cy="137023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3" name="Picture 222"/>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204856" y="33541608"/>
            <a:ext cx="4939393" cy="1524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0</xdr:col>
      <xdr:colOff>285751</xdr:colOff>
      <xdr:row>103</xdr:row>
      <xdr:rowOff>176893</xdr:rowOff>
    </xdr:from>
    <xdr:to>
      <xdr:col>5</xdr:col>
      <xdr:colOff>1469572</xdr:colOff>
      <xdr:row>111</xdr:row>
      <xdr:rowOff>99333</xdr:rowOff>
    </xdr:to>
    <xdr:pic>
      <xdr:nvPicPr>
        <xdr:cNvPr id="225" name="Picture 224"/>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85751" y="33269464"/>
          <a:ext cx="4980214" cy="171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13606</xdr:colOff>
      <xdr:row>107</xdr:row>
      <xdr:rowOff>27211</xdr:rowOff>
    </xdr:from>
    <xdr:to>
      <xdr:col>0</xdr:col>
      <xdr:colOff>261556</xdr:colOff>
      <xdr:row>109</xdr:row>
      <xdr:rowOff>95247</xdr:rowOff>
    </xdr:to>
    <xdr:grpSp>
      <xdr:nvGrpSpPr>
        <xdr:cNvPr id="226" name="Group 225">
          <a:extLst>
            <a:ext uri="{FF2B5EF4-FFF2-40B4-BE49-F238E27FC236}">
              <a16:creationId xmlns:a16="http://schemas.microsoft.com/office/drawing/2014/main" xmlns="" id="{3BCB394B-241A-4581-BC5E-3DBD9D07A2BE}"/>
            </a:ext>
          </a:extLst>
        </xdr:cNvPr>
        <xdr:cNvGrpSpPr/>
      </xdr:nvGrpSpPr>
      <xdr:grpSpPr>
        <a:xfrm>
          <a:off x="13606" y="25565097"/>
          <a:ext cx="247950" cy="503464"/>
          <a:chOff x="1194406" y="32874856"/>
          <a:chExt cx="606586" cy="942183"/>
        </a:xfrm>
      </xdr:grpSpPr>
      <xdr:sp macro="" textlink="">
        <xdr:nvSpPr>
          <xdr:cNvPr id="227" name="Moon 226">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28" name="Oval 227">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285750</xdr:colOff>
      <xdr:row>94</xdr:row>
      <xdr:rowOff>54429</xdr:rowOff>
    </xdr:from>
    <xdr:to>
      <xdr:col>5</xdr:col>
      <xdr:colOff>1442357</xdr:colOff>
      <xdr:row>103</xdr:row>
      <xdr:rowOff>96611</xdr:rowOff>
    </xdr:to>
    <xdr:pic>
      <xdr:nvPicPr>
        <xdr:cNvPr id="229" name="Picture 228"/>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85750" y="31105929"/>
          <a:ext cx="4953000" cy="20832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13606</xdr:colOff>
      <xdr:row>96</xdr:row>
      <xdr:rowOff>231318</xdr:rowOff>
    </xdr:from>
    <xdr:to>
      <xdr:col>0</xdr:col>
      <xdr:colOff>261556</xdr:colOff>
      <xdr:row>99</xdr:row>
      <xdr:rowOff>54426</xdr:rowOff>
    </xdr:to>
    <xdr:grpSp>
      <xdr:nvGrpSpPr>
        <xdr:cNvPr id="230" name="Group 229">
          <a:extLst>
            <a:ext uri="{FF2B5EF4-FFF2-40B4-BE49-F238E27FC236}">
              <a16:creationId xmlns:a16="http://schemas.microsoft.com/office/drawing/2014/main" xmlns="" id="{3BCB394B-241A-4581-BC5E-3DBD9D07A2BE}"/>
            </a:ext>
          </a:extLst>
        </xdr:cNvPr>
        <xdr:cNvGrpSpPr/>
      </xdr:nvGrpSpPr>
      <xdr:grpSpPr>
        <a:xfrm>
          <a:off x="13606" y="23352575"/>
          <a:ext cx="247950" cy="498022"/>
          <a:chOff x="1194406" y="32874856"/>
          <a:chExt cx="606586" cy="942183"/>
        </a:xfrm>
      </xdr:grpSpPr>
      <xdr:sp macro="" textlink="">
        <xdr:nvSpPr>
          <xdr:cNvPr id="231" name="Moon 230">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32" name="Oval 231">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462644</xdr:colOff>
      <xdr:row>94</xdr:row>
      <xdr:rowOff>81643</xdr:rowOff>
    </xdr:from>
    <xdr:to>
      <xdr:col>11</xdr:col>
      <xdr:colOff>462643</xdr:colOff>
      <xdr:row>104</xdr:row>
      <xdr:rowOff>17690</xdr:rowOff>
    </xdr:to>
    <xdr:pic>
      <xdr:nvPicPr>
        <xdr:cNvPr id="233" name="Picture 232"/>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218465" y="31133143"/>
          <a:ext cx="4898571" cy="2222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432407</xdr:colOff>
      <xdr:row>98</xdr:row>
      <xdr:rowOff>190498</xdr:rowOff>
    </xdr:from>
    <xdr:to>
      <xdr:col>11</xdr:col>
      <xdr:colOff>680357</xdr:colOff>
      <xdr:row>101</xdr:row>
      <xdr:rowOff>13605</xdr:rowOff>
    </xdr:to>
    <xdr:grpSp>
      <xdr:nvGrpSpPr>
        <xdr:cNvPr id="234" name="Group 233">
          <a:extLst>
            <a:ext uri="{FF2B5EF4-FFF2-40B4-BE49-F238E27FC236}">
              <a16:creationId xmlns:a16="http://schemas.microsoft.com/office/drawing/2014/main" xmlns="" id="{129906CF-0658-420B-B463-3B81235B0D11}"/>
            </a:ext>
          </a:extLst>
        </xdr:cNvPr>
        <xdr:cNvGrpSpPr/>
      </xdr:nvGrpSpPr>
      <xdr:grpSpPr>
        <a:xfrm rot="10800000">
          <a:off x="11394321" y="23747184"/>
          <a:ext cx="247950" cy="498021"/>
          <a:chOff x="1194406" y="32874856"/>
          <a:chExt cx="606586" cy="942183"/>
        </a:xfrm>
      </xdr:grpSpPr>
      <xdr:sp macro="" textlink="">
        <xdr:nvSpPr>
          <xdr:cNvPr id="235" name="Moon 234">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36" name="Oval 235">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462643</xdr:colOff>
      <xdr:row>84</xdr:row>
      <xdr:rowOff>68038</xdr:rowOff>
    </xdr:from>
    <xdr:to>
      <xdr:col>11</xdr:col>
      <xdr:colOff>449036</xdr:colOff>
      <xdr:row>91</xdr:row>
      <xdr:rowOff>51708</xdr:rowOff>
    </xdr:to>
    <xdr:pic>
      <xdr:nvPicPr>
        <xdr:cNvPr id="237" name="Picture 236"/>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218464" y="28874359"/>
          <a:ext cx="4884965" cy="1575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432407</xdr:colOff>
      <xdr:row>86</xdr:row>
      <xdr:rowOff>112937</xdr:rowOff>
    </xdr:from>
    <xdr:to>
      <xdr:col>11</xdr:col>
      <xdr:colOff>680357</xdr:colOff>
      <xdr:row>88</xdr:row>
      <xdr:rowOff>190498</xdr:rowOff>
    </xdr:to>
    <xdr:grpSp>
      <xdr:nvGrpSpPr>
        <xdr:cNvPr id="238" name="Group 237">
          <a:extLst>
            <a:ext uri="{FF2B5EF4-FFF2-40B4-BE49-F238E27FC236}">
              <a16:creationId xmlns:a16="http://schemas.microsoft.com/office/drawing/2014/main" xmlns="" id="{129906CF-0658-420B-B463-3B81235B0D11}"/>
            </a:ext>
          </a:extLst>
        </xdr:cNvPr>
        <xdr:cNvGrpSpPr/>
      </xdr:nvGrpSpPr>
      <xdr:grpSpPr>
        <a:xfrm rot="10800000">
          <a:off x="11394321" y="21057051"/>
          <a:ext cx="247950" cy="512990"/>
          <a:chOff x="1194406" y="32874856"/>
          <a:chExt cx="606586" cy="942183"/>
        </a:xfrm>
      </xdr:grpSpPr>
      <xdr:sp macro="" textlink="">
        <xdr:nvSpPr>
          <xdr:cNvPr id="239" name="Moon 238">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40" name="Oval 239">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13606</xdr:colOff>
      <xdr:row>87</xdr:row>
      <xdr:rowOff>13604</xdr:rowOff>
    </xdr:from>
    <xdr:to>
      <xdr:col>0</xdr:col>
      <xdr:colOff>261556</xdr:colOff>
      <xdr:row>89</xdr:row>
      <xdr:rowOff>40819</xdr:rowOff>
    </xdr:to>
    <xdr:grpSp>
      <xdr:nvGrpSpPr>
        <xdr:cNvPr id="242" name="Group 241">
          <a:extLst>
            <a:ext uri="{FF2B5EF4-FFF2-40B4-BE49-F238E27FC236}">
              <a16:creationId xmlns:a16="http://schemas.microsoft.com/office/drawing/2014/main" xmlns="" id="{3BCB394B-241A-4581-BC5E-3DBD9D07A2BE}"/>
            </a:ext>
          </a:extLst>
        </xdr:cNvPr>
        <xdr:cNvGrpSpPr/>
      </xdr:nvGrpSpPr>
      <xdr:grpSpPr>
        <a:xfrm>
          <a:off x="13606" y="21153661"/>
          <a:ext cx="247950" cy="506187"/>
          <a:chOff x="1194406" y="32874856"/>
          <a:chExt cx="606586" cy="942183"/>
        </a:xfrm>
      </xdr:grpSpPr>
      <xdr:sp macro="" textlink="">
        <xdr:nvSpPr>
          <xdr:cNvPr id="243" name="Moon 242">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44" name="Oval 243">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285751</xdr:colOff>
      <xdr:row>73</xdr:row>
      <xdr:rowOff>108859</xdr:rowOff>
    </xdr:from>
    <xdr:to>
      <xdr:col>5</xdr:col>
      <xdr:colOff>1469572</xdr:colOff>
      <xdr:row>81</xdr:row>
      <xdr:rowOff>95252</xdr:rowOff>
    </xdr:to>
    <xdr:pic>
      <xdr:nvPicPr>
        <xdr:cNvPr id="245" name="Picture 244"/>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285751" y="18669002"/>
          <a:ext cx="4980214" cy="1782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13606</xdr:colOff>
      <xdr:row>76</xdr:row>
      <xdr:rowOff>244925</xdr:rowOff>
    </xdr:from>
    <xdr:to>
      <xdr:col>0</xdr:col>
      <xdr:colOff>261556</xdr:colOff>
      <xdr:row>79</xdr:row>
      <xdr:rowOff>68033</xdr:rowOff>
    </xdr:to>
    <xdr:grpSp>
      <xdr:nvGrpSpPr>
        <xdr:cNvPr id="246" name="Group 245">
          <a:extLst>
            <a:ext uri="{FF2B5EF4-FFF2-40B4-BE49-F238E27FC236}">
              <a16:creationId xmlns:a16="http://schemas.microsoft.com/office/drawing/2014/main" xmlns="" id="{3BCB394B-241A-4581-BC5E-3DBD9D07A2BE}"/>
            </a:ext>
          </a:extLst>
        </xdr:cNvPr>
        <xdr:cNvGrpSpPr/>
      </xdr:nvGrpSpPr>
      <xdr:grpSpPr>
        <a:xfrm>
          <a:off x="13606" y="18960734"/>
          <a:ext cx="247950" cy="505642"/>
          <a:chOff x="1194406" y="32874856"/>
          <a:chExt cx="606586" cy="942183"/>
        </a:xfrm>
      </xdr:grpSpPr>
      <xdr:sp macro="" textlink="">
        <xdr:nvSpPr>
          <xdr:cNvPr id="247" name="Moon 246">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48" name="Oval 247">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476251</xdr:colOff>
      <xdr:row>75</xdr:row>
      <xdr:rowOff>1</xdr:rowOff>
    </xdr:from>
    <xdr:to>
      <xdr:col>11</xdr:col>
      <xdr:colOff>421821</xdr:colOff>
      <xdr:row>82</xdr:row>
      <xdr:rowOff>138794</xdr:rowOff>
    </xdr:to>
    <xdr:pic>
      <xdr:nvPicPr>
        <xdr:cNvPr id="249" name="Picture 248"/>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232072" y="26765251"/>
          <a:ext cx="4844142" cy="1730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432407</xdr:colOff>
      <xdr:row>77</xdr:row>
      <xdr:rowOff>153758</xdr:rowOff>
    </xdr:from>
    <xdr:to>
      <xdr:col>11</xdr:col>
      <xdr:colOff>680357</xdr:colOff>
      <xdr:row>79</xdr:row>
      <xdr:rowOff>231320</xdr:rowOff>
    </xdr:to>
    <xdr:grpSp>
      <xdr:nvGrpSpPr>
        <xdr:cNvPr id="250" name="Group 249">
          <a:extLst>
            <a:ext uri="{FF2B5EF4-FFF2-40B4-BE49-F238E27FC236}">
              <a16:creationId xmlns:a16="http://schemas.microsoft.com/office/drawing/2014/main" xmlns="" id="{129906CF-0658-420B-B463-3B81235B0D11}"/>
            </a:ext>
          </a:extLst>
        </xdr:cNvPr>
        <xdr:cNvGrpSpPr/>
      </xdr:nvGrpSpPr>
      <xdr:grpSpPr>
        <a:xfrm rot="10800000">
          <a:off x="11394321" y="19116672"/>
          <a:ext cx="247950" cy="512991"/>
          <a:chOff x="1194406" y="32874856"/>
          <a:chExt cx="606586" cy="942183"/>
        </a:xfrm>
      </xdr:grpSpPr>
      <xdr:sp macro="" textlink="">
        <xdr:nvSpPr>
          <xdr:cNvPr id="251" name="Moon 250">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52" name="Oval 251">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462645</xdr:colOff>
      <xdr:row>60</xdr:row>
      <xdr:rowOff>204107</xdr:rowOff>
    </xdr:from>
    <xdr:to>
      <xdr:col>11</xdr:col>
      <xdr:colOff>435429</xdr:colOff>
      <xdr:row>73</xdr:row>
      <xdr:rowOff>141514</xdr:rowOff>
    </xdr:to>
    <xdr:grpSp>
      <xdr:nvGrpSpPr>
        <xdr:cNvPr id="256" name="Group 255"/>
        <xdr:cNvGrpSpPr/>
      </xdr:nvGrpSpPr>
      <xdr:grpSpPr>
        <a:xfrm>
          <a:off x="6384474" y="15400564"/>
          <a:ext cx="5012869" cy="2833007"/>
          <a:chOff x="6218465" y="24656143"/>
          <a:chExt cx="5795281" cy="1801585"/>
        </a:xfrm>
      </xdr:grpSpPr>
      <mc:AlternateContent xmlns:mc="http://schemas.openxmlformats.org/markup-compatibility/2006" xmlns:a14="http://schemas.microsoft.com/office/drawing/2010/main">
        <mc:Choice Requires="a14">
          <xdr:pic>
            <xdr:nvPicPr>
              <xdr:cNvPr id="253" name="Picture 252"/>
              <xdr:cNvPicPr>
                <a:picLocks noChangeAspect="1" noChangeArrowheads="1"/>
                <a:extLst>
                  <a:ext uri="{84589F7E-364E-4C9E-8A38-B11213B215E9}">
                    <a14:cameraTool cellRange="'PRE-BALANCING_L13_MT_Jun-22'!$F$35:$G$36" spid="_x0000_s7581"/>
                  </a:ext>
                </a:extLst>
              </xdr:cNvPicPr>
            </xdr:nvPicPr>
            <xdr:blipFill>
              <a:blip xmlns:r="http://schemas.openxmlformats.org/officeDocument/2006/relationships" r:embed="rId24"/>
              <a:srcRect/>
              <a:stretch>
                <a:fillRect/>
              </a:stretch>
            </xdr:blipFill>
            <xdr:spPr bwMode="auto">
              <a:xfrm>
                <a:off x="6218465" y="24656143"/>
                <a:ext cx="1438275" cy="1801585"/>
              </a:xfrm>
              <a:prstGeom prst="rect">
                <a:avLst/>
              </a:prstGeom>
              <a:noFill/>
              <a:extLst>
                <a:ext uri="{909E8E84-426E-40DD-AFC4-6F175D3DCCD1}">
                  <a14:hiddenFill>
                    <a:solidFill>
                      <a:srgbClr val="FFFFFF"/>
                    </a:solidFill>
                  </a14:hiddenFill>
                </a:ext>
              </a:extLst>
            </xdr:spPr>
          </xdr:pic>
        </mc:Choice>
        <mc:Fallback xmlns=""/>
      </mc:AlternateContent>
      <xdr:pic>
        <xdr:nvPicPr>
          <xdr:cNvPr id="254" name="Picture 253"/>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7633607" y="25540607"/>
            <a:ext cx="4380139" cy="90759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5" name="Picture 254"/>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7633607" y="24656143"/>
            <a:ext cx="4378779" cy="90351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432407</xdr:colOff>
      <xdr:row>66</xdr:row>
      <xdr:rowOff>85722</xdr:rowOff>
    </xdr:from>
    <xdr:to>
      <xdr:col>11</xdr:col>
      <xdr:colOff>680357</xdr:colOff>
      <xdr:row>68</xdr:row>
      <xdr:rowOff>163284</xdr:rowOff>
    </xdr:to>
    <xdr:grpSp>
      <xdr:nvGrpSpPr>
        <xdr:cNvPr id="257" name="Group 256">
          <a:extLst>
            <a:ext uri="{FF2B5EF4-FFF2-40B4-BE49-F238E27FC236}">
              <a16:creationId xmlns:a16="http://schemas.microsoft.com/office/drawing/2014/main" xmlns="" id="{129906CF-0658-420B-B463-3B81235B0D11}"/>
            </a:ext>
          </a:extLst>
        </xdr:cNvPr>
        <xdr:cNvGrpSpPr/>
      </xdr:nvGrpSpPr>
      <xdr:grpSpPr>
        <a:xfrm rot="10800000">
          <a:off x="11394321" y="16632008"/>
          <a:ext cx="247950" cy="512990"/>
          <a:chOff x="1194406" y="32874856"/>
          <a:chExt cx="606586" cy="942183"/>
        </a:xfrm>
      </xdr:grpSpPr>
      <xdr:sp macro="" textlink="">
        <xdr:nvSpPr>
          <xdr:cNvPr id="258" name="Moon 257">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59" name="Oval 258">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299358</xdr:colOff>
      <xdr:row>63</xdr:row>
      <xdr:rowOff>40822</xdr:rowOff>
    </xdr:from>
    <xdr:to>
      <xdr:col>5</xdr:col>
      <xdr:colOff>1455965</xdr:colOff>
      <xdr:row>72</xdr:row>
      <xdr:rowOff>238125</xdr:rowOff>
    </xdr:to>
    <xdr:pic>
      <xdr:nvPicPr>
        <xdr:cNvPr id="260" name="Picture 259"/>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99358" y="24071036"/>
          <a:ext cx="4953000" cy="2238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13606</xdr:colOff>
      <xdr:row>67</xdr:row>
      <xdr:rowOff>17685</xdr:rowOff>
    </xdr:from>
    <xdr:to>
      <xdr:col>0</xdr:col>
      <xdr:colOff>261556</xdr:colOff>
      <xdr:row>69</xdr:row>
      <xdr:rowOff>54425</xdr:rowOff>
    </xdr:to>
    <xdr:grpSp>
      <xdr:nvGrpSpPr>
        <xdr:cNvPr id="261" name="Group 260">
          <a:extLst>
            <a:ext uri="{FF2B5EF4-FFF2-40B4-BE49-F238E27FC236}">
              <a16:creationId xmlns:a16="http://schemas.microsoft.com/office/drawing/2014/main" xmlns="" id="{3BCB394B-241A-4581-BC5E-3DBD9D07A2BE}"/>
            </a:ext>
          </a:extLst>
        </xdr:cNvPr>
        <xdr:cNvGrpSpPr/>
      </xdr:nvGrpSpPr>
      <xdr:grpSpPr>
        <a:xfrm>
          <a:off x="13606" y="16759914"/>
          <a:ext cx="247950" cy="515711"/>
          <a:chOff x="1194406" y="32874856"/>
          <a:chExt cx="606586" cy="942183"/>
        </a:xfrm>
      </xdr:grpSpPr>
      <xdr:sp macro="" textlink="">
        <xdr:nvSpPr>
          <xdr:cNvPr id="262" name="Moon 261">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63" name="Oval 262">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299357</xdr:colOff>
      <xdr:row>53</xdr:row>
      <xdr:rowOff>108857</xdr:rowOff>
    </xdr:from>
    <xdr:to>
      <xdr:col>5</xdr:col>
      <xdr:colOff>1469571</xdr:colOff>
      <xdr:row>61</xdr:row>
      <xdr:rowOff>85726</xdr:rowOff>
    </xdr:to>
    <xdr:pic>
      <xdr:nvPicPr>
        <xdr:cNvPr id="264" name="Picture 263"/>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99357" y="21853071"/>
          <a:ext cx="4966607" cy="1813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13606</xdr:colOff>
      <xdr:row>56</xdr:row>
      <xdr:rowOff>17685</xdr:rowOff>
    </xdr:from>
    <xdr:to>
      <xdr:col>0</xdr:col>
      <xdr:colOff>261556</xdr:colOff>
      <xdr:row>58</xdr:row>
      <xdr:rowOff>95247</xdr:rowOff>
    </xdr:to>
    <xdr:grpSp>
      <xdr:nvGrpSpPr>
        <xdr:cNvPr id="265" name="Group 264">
          <a:extLst>
            <a:ext uri="{FF2B5EF4-FFF2-40B4-BE49-F238E27FC236}">
              <a16:creationId xmlns:a16="http://schemas.microsoft.com/office/drawing/2014/main" xmlns="" id="{3BCB394B-241A-4581-BC5E-3DBD9D07A2BE}"/>
            </a:ext>
          </a:extLst>
        </xdr:cNvPr>
        <xdr:cNvGrpSpPr/>
      </xdr:nvGrpSpPr>
      <xdr:grpSpPr>
        <a:xfrm>
          <a:off x="13606" y="14343285"/>
          <a:ext cx="247950" cy="512991"/>
          <a:chOff x="1194406" y="32874856"/>
          <a:chExt cx="606586" cy="942183"/>
        </a:xfrm>
      </xdr:grpSpPr>
      <xdr:sp macro="" textlink="">
        <xdr:nvSpPr>
          <xdr:cNvPr id="266" name="Moon 265">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67" name="Oval 266">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476250</xdr:colOff>
      <xdr:row>53</xdr:row>
      <xdr:rowOff>13608</xdr:rowOff>
    </xdr:from>
    <xdr:to>
      <xdr:col>11</xdr:col>
      <xdr:colOff>449036</xdr:colOff>
      <xdr:row>60</xdr:row>
      <xdr:rowOff>114302</xdr:rowOff>
    </xdr:to>
    <xdr:pic>
      <xdr:nvPicPr>
        <xdr:cNvPr id="268" name="Picture 267"/>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232071" y="21757822"/>
          <a:ext cx="4871358" cy="1692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405192</xdr:colOff>
      <xdr:row>55</xdr:row>
      <xdr:rowOff>140151</xdr:rowOff>
    </xdr:from>
    <xdr:to>
      <xdr:col>11</xdr:col>
      <xdr:colOff>653142</xdr:colOff>
      <xdr:row>57</xdr:row>
      <xdr:rowOff>176891</xdr:rowOff>
    </xdr:to>
    <xdr:grpSp>
      <xdr:nvGrpSpPr>
        <xdr:cNvPr id="269" name="Group 268">
          <a:extLst>
            <a:ext uri="{FF2B5EF4-FFF2-40B4-BE49-F238E27FC236}">
              <a16:creationId xmlns:a16="http://schemas.microsoft.com/office/drawing/2014/main" xmlns="" id="{129906CF-0658-420B-B463-3B81235B0D11}"/>
            </a:ext>
          </a:extLst>
        </xdr:cNvPr>
        <xdr:cNvGrpSpPr/>
      </xdr:nvGrpSpPr>
      <xdr:grpSpPr>
        <a:xfrm rot="10800000">
          <a:off x="11367106" y="14226265"/>
          <a:ext cx="247950" cy="515712"/>
          <a:chOff x="1194406" y="32874856"/>
          <a:chExt cx="606586" cy="942183"/>
        </a:xfrm>
      </xdr:grpSpPr>
      <xdr:sp macro="" textlink="">
        <xdr:nvSpPr>
          <xdr:cNvPr id="270" name="Moon 269">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71" name="Oval 270">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462644</xdr:colOff>
      <xdr:row>44</xdr:row>
      <xdr:rowOff>149678</xdr:rowOff>
    </xdr:from>
    <xdr:to>
      <xdr:col>11</xdr:col>
      <xdr:colOff>435428</xdr:colOff>
      <xdr:row>52</xdr:row>
      <xdr:rowOff>96610</xdr:rowOff>
    </xdr:to>
    <xdr:pic>
      <xdr:nvPicPr>
        <xdr:cNvPr id="272" name="Picture 271"/>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218465" y="19852821"/>
          <a:ext cx="4871356"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405192</xdr:colOff>
      <xdr:row>47</xdr:row>
      <xdr:rowOff>167365</xdr:rowOff>
    </xdr:from>
    <xdr:to>
      <xdr:col>11</xdr:col>
      <xdr:colOff>653142</xdr:colOff>
      <xdr:row>49</xdr:row>
      <xdr:rowOff>204105</xdr:rowOff>
    </xdr:to>
    <xdr:grpSp>
      <xdr:nvGrpSpPr>
        <xdr:cNvPr id="273" name="Group 272">
          <a:extLst>
            <a:ext uri="{FF2B5EF4-FFF2-40B4-BE49-F238E27FC236}">
              <a16:creationId xmlns:a16="http://schemas.microsoft.com/office/drawing/2014/main" xmlns="" id="{129906CF-0658-420B-B463-3B81235B0D11}"/>
            </a:ext>
          </a:extLst>
        </xdr:cNvPr>
        <xdr:cNvGrpSpPr/>
      </xdr:nvGrpSpPr>
      <xdr:grpSpPr>
        <a:xfrm rot="10800000">
          <a:off x="11367106" y="12468222"/>
          <a:ext cx="247950" cy="508092"/>
          <a:chOff x="1194406" y="32874856"/>
          <a:chExt cx="606586" cy="942183"/>
        </a:xfrm>
      </xdr:grpSpPr>
      <xdr:sp macro="" textlink="">
        <xdr:nvSpPr>
          <xdr:cNvPr id="274" name="Moon 273">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75" name="Oval 274">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285751</xdr:colOff>
      <xdr:row>46</xdr:row>
      <xdr:rowOff>13608</xdr:rowOff>
    </xdr:from>
    <xdr:to>
      <xdr:col>5</xdr:col>
      <xdr:colOff>1455964</xdr:colOff>
      <xdr:row>52</xdr:row>
      <xdr:rowOff>232683</xdr:rowOff>
    </xdr:to>
    <xdr:pic>
      <xdr:nvPicPr>
        <xdr:cNvPr id="276" name="Picture 275"/>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85751" y="20165787"/>
          <a:ext cx="4966606" cy="1566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285751</xdr:colOff>
      <xdr:row>38</xdr:row>
      <xdr:rowOff>13608</xdr:rowOff>
    </xdr:from>
    <xdr:to>
      <xdr:col>5</xdr:col>
      <xdr:colOff>1455964</xdr:colOff>
      <xdr:row>44</xdr:row>
      <xdr:rowOff>232683</xdr:rowOff>
    </xdr:to>
    <xdr:pic>
      <xdr:nvPicPr>
        <xdr:cNvPr id="277" name="Picture 276"/>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85751" y="18369644"/>
          <a:ext cx="4966606" cy="1566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13606</xdr:colOff>
      <xdr:row>48</xdr:row>
      <xdr:rowOff>140150</xdr:rowOff>
    </xdr:from>
    <xdr:to>
      <xdr:col>0</xdr:col>
      <xdr:colOff>261556</xdr:colOff>
      <xdr:row>50</xdr:row>
      <xdr:rowOff>217711</xdr:rowOff>
    </xdr:to>
    <xdr:grpSp>
      <xdr:nvGrpSpPr>
        <xdr:cNvPr id="278" name="Group 277">
          <a:extLst>
            <a:ext uri="{FF2B5EF4-FFF2-40B4-BE49-F238E27FC236}">
              <a16:creationId xmlns:a16="http://schemas.microsoft.com/office/drawing/2014/main" xmlns="" id="{3BCB394B-241A-4581-BC5E-3DBD9D07A2BE}"/>
            </a:ext>
          </a:extLst>
        </xdr:cNvPr>
        <xdr:cNvGrpSpPr/>
      </xdr:nvGrpSpPr>
      <xdr:grpSpPr>
        <a:xfrm>
          <a:off x="13606" y="12680493"/>
          <a:ext cx="247950" cy="512989"/>
          <a:chOff x="1194406" y="32874856"/>
          <a:chExt cx="606586" cy="942183"/>
        </a:xfrm>
      </xdr:grpSpPr>
      <xdr:sp macro="" textlink="">
        <xdr:nvSpPr>
          <xdr:cNvPr id="279" name="Moon 278">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80" name="Oval 279">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13606</xdr:colOff>
      <xdr:row>40</xdr:row>
      <xdr:rowOff>44901</xdr:rowOff>
    </xdr:from>
    <xdr:to>
      <xdr:col>0</xdr:col>
      <xdr:colOff>261556</xdr:colOff>
      <xdr:row>42</xdr:row>
      <xdr:rowOff>122462</xdr:rowOff>
    </xdr:to>
    <xdr:grpSp>
      <xdr:nvGrpSpPr>
        <xdr:cNvPr id="281" name="Group 280">
          <a:extLst>
            <a:ext uri="{FF2B5EF4-FFF2-40B4-BE49-F238E27FC236}">
              <a16:creationId xmlns:a16="http://schemas.microsoft.com/office/drawing/2014/main" xmlns="" id="{3BCB394B-241A-4581-BC5E-3DBD9D07A2BE}"/>
            </a:ext>
          </a:extLst>
        </xdr:cNvPr>
        <xdr:cNvGrpSpPr/>
      </xdr:nvGrpSpPr>
      <xdr:grpSpPr>
        <a:xfrm>
          <a:off x="13606" y="10843530"/>
          <a:ext cx="247950" cy="512989"/>
          <a:chOff x="1194406" y="32874856"/>
          <a:chExt cx="606586" cy="942183"/>
        </a:xfrm>
      </xdr:grpSpPr>
      <xdr:sp macro="" textlink="">
        <xdr:nvSpPr>
          <xdr:cNvPr id="282" name="Moon 281">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83" name="Oval 282">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462643</xdr:colOff>
      <xdr:row>37</xdr:row>
      <xdr:rowOff>149679</xdr:rowOff>
    </xdr:from>
    <xdr:to>
      <xdr:col>11</xdr:col>
      <xdr:colOff>435428</xdr:colOff>
      <xdr:row>44</xdr:row>
      <xdr:rowOff>25855</xdr:rowOff>
    </xdr:to>
    <xdr:pic>
      <xdr:nvPicPr>
        <xdr:cNvPr id="284" name="Picture 283"/>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218464" y="18260786"/>
          <a:ext cx="4871357" cy="1468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405192</xdr:colOff>
      <xdr:row>39</xdr:row>
      <xdr:rowOff>112937</xdr:rowOff>
    </xdr:from>
    <xdr:to>
      <xdr:col>11</xdr:col>
      <xdr:colOff>653142</xdr:colOff>
      <xdr:row>41</xdr:row>
      <xdr:rowOff>190498</xdr:rowOff>
    </xdr:to>
    <xdr:grpSp>
      <xdr:nvGrpSpPr>
        <xdr:cNvPr id="285" name="Group 284">
          <a:extLst>
            <a:ext uri="{FF2B5EF4-FFF2-40B4-BE49-F238E27FC236}">
              <a16:creationId xmlns:a16="http://schemas.microsoft.com/office/drawing/2014/main" xmlns="" id="{129906CF-0658-420B-B463-3B81235B0D11}"/>
            </a:ext>
          </a:extLst>
        </xdr:cNvPr>
        <xdr:cNvGrpSpPr/>
      </xdr:nvGrpSpPr>
      <xdr:grpSpPr>
        <a:xfrm rot="10800000">
          <a:off x="11367106" y="10672080"/>
          <a:ext cx="247950" cy="512989"/>
          <a:chOff x="1194406" y="32874856"/>
          <a:chExt cx="606586" cy="942183"/>
        </a:xfrm>
      </xdr:grpSpPr>
      <xdr:sp macro="" textlink="">
        <xdr:nvSpPr>
          <xdr:cNvPr id="286" name="Moon 28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87" name="Oval 28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462643</xdr:colOff>
      <xdr:row>29</xdr:row>
      <xdr:rowOff>0</xdr:rowOff>
    </xdr:from>
    <xdr:to>
      <xdr:col>11</xdr:col>
      <xdr:colOff>435428</xdr:colOff>
      <xdr:row>36</xdr:row>
      <xdr:rowOff>175532</xdr:rowOff>
    </xdr:to>
    <xdr:pic>
      <xdr:nvPicPr>
        <xdr:cNvPr id="288" name="Picture 287"/>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18464" y="16314964"/>
          <a:ext cx="4871357" cy="1767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405192</xdr:colOff>
      <xdr:row>32</xdr:row>
      <xdr:rowOff>4080</xdr:rowOff>
    </xdr:from>
    <xdr:to>
      <xdr:col>11</xdr:col>
      <xdr:colOff>653142</xdr:colOff>
      <xdr:row>34</xdr:row>
      <xdr:rowOff>81641</xdr:rowOff>
    </xdr:to>
    <xdr:grpSp>
      <xdr:nvGrpSpPr>
        <xdr:cNvPr id="289" name="Group 288">
          <a:extLst>
            <a:ext uri="{FF2B5EF4-FFF2-40B4-BE49-F238E27FC236}">
              <a16:creationId xmlns:a16="http://schemas.microsoft.com/office/drawing/2014/main" xmlns="" id="{129906CF-0658-420B-B463-3B81235B0D11}"/>
            </a:ext>
          </a:extLst>
        </xdr:cNvPr>
        <xdr:cNvGrpSpPr/>
      </xdr:nvGrpSpPr>
      <xdr:grpSpPr>
        <a:xfrm rot="10800000">
          <a:off x="11367106" y="9017451"/>
          <a:ext cx="247950" cy="512990"/>
          <a:chOff x="1194406" y="32874856"/>
          <a:chExt cx="606586" cy="942183"/>
        </a:xfrm>
      </xdr:grpSpPr>
      <xdr:sp macro="" textlink="">
        <xdr:nvSpPr>
          <xdr:cNvPr id="290" name="Moon 289">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91" name="Oval 290">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299358</xdr:colOff>
      <xdr:row>20</xdr:row>
      <xdr:rowOff>40821</xdr:rowOff>
    </xdr:from>
    <xdr:to>
      <xdr:col>5</xdr:col>
      <xdr:colOff>1483179</xdr:colOff>
      <xdr:row>36</xdr:row>
      <xdr:rowOff>202745</xdr:rowOff>
    </xdr:to>
    <xdr:grpSp>
      <xdr:nvGrpSpPr>
        <xdr:cNvPr id="294" name="Group 293"/>
        <xdr:cNvGrpSpPr/>
      </xdr:nvGrpSpPr>
      <xdr:grpSpPr>
        <a:xfrm>
          <a:off x="299358" y="6441621"/>
          <a:ext cx="5091792" cy="3681275"/>
          <a:chOff x="272143" y="16151678"/>
          <a:chExt cx="5815693" cy="1645103"/>
        </a:xfrm>
      </xdr:grpSpPr>
      <xdr:pic>
        <xdr:nvPicPr>
          <xdr:cNvPr id="292" name="Picture 291"/>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72144" y="17036142"/>
            <a:ext cx="5815692" cy="76063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93" name="Picture 292"/>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272143" y="16151678"/>
            <a:ext cx="5815692" cy="91712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13606</xdr:colOff>
      <xdr:row>30</xdr:row>
      <xdr:rowOff>112936</xdr:rowOff>
    </xdr:from>
    <xdr:to>
      <xdr:col>0</xdr:col>
      <xdr:colOff>261556</xdr:colOff>
      <xdr:row>32</xdr:row>
      <xdr:rowOff>190497</xdr:rowOff>
    </xdr:to>
    <xdr:grpSp>
      <xdr:nvGrpSpPr>
        <xdr:cNvPr id="295" name="Group 294">
          <a:extLst>
            <a:ext uri="{FF2B5EF4-FFF2-40B4-BE49-F238E27FC236}">
              <a16:creationId xmlns:a16="http://schemas.microsoft.com/office/drawing/2014/main" xmlns="" id="{3BCB394B-241A-4581-BC5E-3DBD9D07A2BE}"/>
            </a:ext>
          </a:extLst>
        </xdr:cNvPr>
        <xdr:cNvGrpSpPr/>
      </xdr:nvGrpSpPr>
      <xdr:grpSpPr>
        <a:xfrm>
          <a:off x="13606" y="8690879"/>
          <a:ext cx="247950" cy="512989"/>
          <a:chOff x="1194406" y="32874856"/>
          <a:chExt cx="606586" cy="942183"/>
        </a:xfrm>
      </xdr:grpSpPr>
      <xdr:sp macro="" textlink="">
        <xdr:nvSpPr>
          <xdr:cNvPr id="296" name="Moon 295">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97" name="Oval 296">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405192</xdr:colOff>
      <xdr:row>22</xdr:row>
      <xdr:rowOff>126544</xdr:rowOff>
    </xdr:from>
    <xdr:to>
      <xdr:col>11</xdr:col>
      <xdr:colOff>653142</xdr:colOff>
      <xdr:row>24</xdr:row>
      <xdr:rowOff>204106</xdr:rowOff>
    </xdr:to>
    <xdr:grpSp>
      <xdr:nvGrpSpPr>
        <xdr:cNvPr id="302" name="Group 301">
          <a:extLst>
            <a:ext uri="{FF2B5EF4-FFF2-40B4-BE49-F238E27FC236}">
              <a16:creationId xmlns:a16="http://schemas.microsoft.com/office/drawing/2014/main" xmlns="" id="{129906CF-0658-420B-B463-3B81235B0D11}"/>
            </a:ext>
          </a:extLst>
        </xdr:cNvPr>
        <xdr:cNvGrpSpPr/>
      </xdr:nvGrpSpPr>
      <xdr:grpSpPr>
        <a:xfrm rot="10800000">
          <a:off x="11367106" y="6962773"/>
          <a:ext cx="247950" cy="505370"/>
          <a:chOff x="1194406" y="32874856"/>
          <a:chExt cx="606586" cy="942183"/>
        </a:xfrm>
      </xdr:grpSpPr>
      <xdr:sp macro="" textlink="">
        <xdr:nvSpPr>
          <xdr:cNvPr id="303" name="Moon 302">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04" name="Oval 303">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449036</xdr:colOff>
      <xdr:row>11</xdr:row>
      <xdr:rowOff>13607</xdr:rowOff>
    </xdr:from>
    <xdr:to>
      <xdr:col>11</xdr:col>
      <xdr:colOff>476250</xdr:colOff>
      <xdr:row>28</xdr:row>
      <xdr:rowOff>88446</xdr:rowOff>
    </xdr:to>
    <xdr:grpSp>
      <xdr:nvGrpSpPr>
        <xdr:cNvPr id="306" name="Group 305"/>
        <xdr:cNvGrpSpPr/>
      </xdr:nvGrpSpPr>
      <xdr:grpSpPr>
        <a:xfrm>
          <a:off x="6370865" y="4476750"/>
          <a:ext cx="5067299" cy="3754210"/>
          <a:chOff x="6204857" y="12287250"/>
          <a:chExt cx="4925786" cy="3871232"/>
        </a:xfrm>
      </xdr:grpSpPr>
      <xdr:grpSp>
        <xdr:nvGrpSpPr>
          <xdr:cNvPr id="301" name="Group 300"/>
          <xdr:cNvGrpSpPr/>
        </xdr:nvGrpSpPr>
        <xdr:grpSpPr>
          <a:xfrm>
            <a:off x="6218463" y="13022036"/>
            <a:ext cx="4912180" cy="3136446"/>
            <a:chOff x="6218463" y="14028964"/>
            <a:chExt cx="5793922" cy="2129518"/>
          </a:xfrm>
        </xdr:grpSpPr>
        <xdr:pic>
          <xdr:nvPicPr>
            <xdr:cNvPr id="298" name="Picture 297"/>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218463" y="14028964"/>
              <a:ext cx="1439636" cy="211727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99" name="Picture 298"/>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33606" y="15416892"/>
              <a:ext cx="4378779" cy="7415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00" name="Picture 299"/>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33606" y="14028965"/>
              <a:ext cx="4378779" cy="1385207"/>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305" name="Picture 304"/>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6204857" y="12287250"/>
            <a:ext cx="4925786" cy="76063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19</xdr:col>
      <xdr:colOff>95251</xdr:colOff>
      <xdr:row>75</xdr:row>
      <xdr:rowOff>54429</xdr:rowOff>
    </xdr:from>
    <xdr:to>
      <xdr:col>21</xdr:col>
      <xdr:colOff>272144</xdr:colOff>
      <xdr:row>77</xdr:row>
      <xdr:rowOff>13608</xdr:rowOff>
    </xdr:to>
    <xdr:sp macro="" textlink="">
      <xdr:nvSpPr>
        <xdr:cNvPr id="307" name="Right Arrow 306"/>
        <xdr:cNvSpPr/>
      </xdr:nvSpPr>
      <xdr:spPr>
        <a:xfrm>
          <a:off x="15729858" y="19063608"/>
          <a:ext cx="1401536"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61235</xdr:colOff>
      <xdr:row>120</xdr:row>
      <xdr:rowOff>81643</xdr:rowOff>
    </xdr:from>
    <xdr:to>
      <xdr:col>6</xdr:col>
      <xdr:colOff>469449</xdr:colOff>
      <xdr:row>167</xdr:row>
      <xdr:rowOff>142876</xdr:rowOff>
    </xdr:to>
    <xdr:sp macro="" textlink="">
      <xdr:nvSpPr>
        <xdr:cNvPr id="308" name="Right Arrow 307"/>
        <xdr:cNvSpPr/>
      </xdr:nvSpPr>
      <xdr:spPr>
        <a:xfrm rot="16200000">
          <a:off x="540886" y="34490706"/>
          <a:ext cx="1096055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1435556</xdr:colOff>
      <xdr:row>113</xdr:row>
      <xdr:rowOff>95250</xdr:rowOff>
    </xdr:from>
    <xdr:to>
      <xdr:col>5</xdr:col>
      <xdr:colOff>1843770</xdr:colOff>
      <xdr:row>167</xdr:row>
      <xdr:rowOff>142876</xdr:rowOff>
    </xdr:to>
    <xdr:sp macro="" textlink="">
      <xdr:nvSpPr>
        <xdr:cNvPr id="309" name="Right Arrow 308"/>
        <xdr:cNvSpPr/>
      </xdr:nvSpPr>
      <xdr:spPr>
        <a:xfrm rot="16200000">
          <a:off x="-813025" y="33721903"/>
          <a:ext cx="12498161"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117</xdr:row>
      <xdr:rowOff>0</xdr:rowOff>
    </xdr:from>
    <xdr:to>
      <xdr:col>17</xdr:col>
      <xdr:colOff>81643</xdr:colOff>
      <xdr:row>118</xdr:row>
      <xdr:rowOff>204107</xdr:rowOff>
    </xdr:to>
    <xdr:sp macro="" textlink="">
      <xdr:nvSpPr>
        <xdr:cNvPr id="310" name="Right Arrow 309"/>
        <xdr:cNvSpPr/>
      </xdr:nvSpPr>
      <xdr:spPr>
        <a:xfrm>
          <a:off x="13797643" y="28479750"/>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1714500</xdr:colOff>
      <xdr:row>111</xdr:row>
      <xdr:rowOff>204107</xdr:rowOff>
    </xdr:from>
    <xdr:to>
      <xdr:col>6</xdr:col>
      <xdr:colOff>449036</xdr:colOff>
      <xdr:row>113</xdr:row>
      <xdr:rowOff>163285</xdr:rowOff>
    </xdr:to>
    <xdr:sp macro="" textlink="">
      <xdr:nvSpPr>
        <xdr:cNvPr id="311" name="Right Arrow 310"/>
        <xdr:cNvSpPr/>
      </xdr:nvSpPr>
      <xdr:spPr>
        <a:xfrm>
          <a:off x="5510893" y="27336750"/>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142875</xdr:colOff>
      <xdr:row>114</xdr:row>
      <xdr:rowOff>20410</xdr:rowOff>
    </xdr:from>
    <xdr:to>
      <xdr:col>16</xdr:col>
      <xdr:colOff>551089</xdr:colOff>
      <xdr:row>117</xdr:row>
      <xdr:rowOff>20410</xdr:rowOff>
    </xdr:to>
    <xdr:sp macro="" textlink="">
      <xdr:nvSpPr>
        <xdr:cNvPr id="312" name="Right Arrow 311"/>
        <xdr:cNvSpPr/>
      </xdr:nvSpPr>
      <xdr:spPr>
        <a:xfrm rot="16200000">
          <a:off x="13797643" y="27949071"/>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20412</xdr:colOff>
      <xdr:row>108</xdr:row>
      <xdr:rowOff>20410</xdr:rowOff>
    </xdr:from>
    <xdr:to>
      <xdr:col>6</xdr:col>
      <xdr:colOff>428626</xdr:colOff>
      <xdr:row>111</xdr:row>
      <xdr:rowOff>61231</xdr:rowOff>
    </xdr:to>
    <xdr:sp macro="" textlink="">
      <xdr:nvSpPr>
        <xdr:cNvPr id="313" name="Right Arrow 312"/>
        <xdr:cNvSpPr/>
      </xdr:nvSpPr>
      <xdr:spPr>
        <a:xfrm rot="16200000">
          <a:off x="5633358" y="26642785"/>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109</xdr:row>
      <xdr:rowOff>217714</xdr:rowOff>
    </xdr:from>
    <xdr:to>
      <xdr:col>17</xdr:col>
      <xdr:colOff>81643</xdr:colOff>
      <xdr:row>111</xdr:row>
      <xdr:rowOff>176892</xdr:rowOff>
    </xdr:to>
    <xdr:sp macro="" textlink="">
      <xdr:nvSpPr>
        <xdr:cNvPr id="314" name="Right Arrow 313"/>
        <xdr:cNvSpPr/>
      </xdr:nvSpPr>
      <xdr:spPr>
        <a:xfrm rot="10800000">
          <a:off x="13797643" y="26901321"/>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1537607</xdr:colOff>
      <xdr:row>106</xdr:row>
      <xdr:rowOff>149679</xdr:rowOff>
    </xdr:from>
    <xdr:to>
      <xdr:col>6</xdr:col>
      <xdr:colOff>272143</xdr:colOff>
      <xdr:row>108</xdr:row>
      <xdr:rowOff>108857</xdr:rowOff>
    </xdr:to>
    <xdr:sp macro="" textlink="">
      <xdr:nvSpPr>
        <xdr:cNvPr id="315" name="Right Arrow 314"/>
        <xdr:cNvSpPr/>
      </xdr:nvSpPr>
      <xdr:spPr>
        <a:xfrm rot="10800000">
          <a:off x="5334000" y="26180143"/>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1449162</xdr:colOff>
      <xdr:row>100</xdr:row>
      <xdr:rowOff>88446</xdr:rowOff>
    </xdr:from>
    <xdr:to>
      <xdr:col>5</xdr:col>
      <xdr:colOff>1857376</xdr:colOff>
      <xdr:row>103</xdr:row>
      <xdr:rowOff>88446</xdr:rowOff>
    </xdr:to>
    <xdr:sp macro="" textlink="">
      <xdr:nvSpPr>
        <xdr:cNvPr id="316" name="Right Arrow 315"/>
        <xdr:cNvSpPr/>
      </xdr:nvSpPr>
      <xdr:spPr>
        <a:xfrm rot="16200000">
          <a:off x="5102680" y="24873857"/>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1714500</xdr:colOff>
      <xdr:row>98</xdr:row>
      <xdr:rowOff>95250</xdr:rowOff>
    </xdr:from>
    <xdr:to>
      <xdr:col>6</xdr:col>
      <xdr:colOff>449036</xdr:colOff>
      <xdr:row>100</xdr:row>
      <xdr:rowOff>54428</xdr:rowOff>
    </xdr:to>
    <xdr:sp macro="" textlink="">
      <xdr:nvSpPr>
        <xdr:cNvPr id="317" name="Right Arrow 316"/>
        <xdr:cNvSpPr/>
      </xdr:nvSpPr>
      <xdr:spPr>
        <a:xfrm>
          <a:off x="5510893" y="24288750"/>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20412</xdr:colOff>
      <xdr:row>89</xdr:row>
      <xdr:rowOff>142874</xdr:rowOff>
    </xdr:from>
    <xdr:to>
      <xdr:col>6</xdr:col>
      <xdr:colOff>428626</xdr:colOff>
      <xdr:row>92</xdr:row>
      <xdr:rowOff>183695</xdr:rowOff>
    </xdr:to>
    <xdr:sp macro="" textlink="">
      <xdr:nvSpPr>
        <xdr:cNvPr id="318" name="Right Arrow 317"/>
        <xdr:cNvSpPr/>
      </xdr:nvSpPr>
      <xdr:spPr>
        <a:xfrm rot="16200000">
          <a:off x="5633358" y="22478999"/>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1537607</xdr:colOff>
      <xdr:row>87</xdr:row>
      <xdr:rowOff>176893</xdr:rowOff>
    </xdr:from>
    <xdr:to>
      <xdr:col>6</xdr:col>
      <xdr:colOff>272143</xdr:colOff>
      <xdr:row>89</xdr:row>
      <xdr:rowOff>95250</xdr:rowOff>
    </xdr:to>
    <xdr:sp macro="" textlink="">
      <xdr:nvSpPr>
        <xdr:cNvPr id="319" name="Right Arrow 318"/>
        <xdr:cNvSpPr/>
      </xdr:nvSpPr>
      <xdr:spPr>
        <a:xfrm rot="10800000">
          <a:off x="5334000" y="21880286"/>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1449162</xdr:colOff>
      <xdr:row>80</xdr:row>
      <xdr:rowOff>61232</xdr:rowOff>
    </xdr:from>
    <xdr:to>
      <xdr:col>5</xdr:col>
      <xdr:colOff>1857376</xdr:colOff>
      <xdr:row>83</xdr:row>
      <xdr:rowOff>102054</xdr:rowOff>
    </xdr:to>
    <xdr:sp macro="" textlink="">
      <xdr:nvSpPr>
        <xdr:cNvPr id="320" name="Right Arrow 319"/>
        <xdr:cNvSpPr/>
      </xdr:nvSpPr>
      <xdr:spPr>
        <a:xfrm rot="16200000">
          <a:off x="5102680" y="20356286"/>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1782536</xdr:colOff>
      <xdr:row>77</xdr:row>
      <xdr:rowOff>217715</xdr:rowOff>
    </xdr:from>
    <xdr:to>
      <xdr:col>6</xdr:col>
      <xdr:colOff>517072</xdr:colOff>
      <xdr:row>79</xdr:row>
      <xdr:rowOff>176893</xdr:rowOff>
    </xdr:to>
    <xdr:sp macro="" textlink="">
      <xdr:nvSpPr>
        <xdr:cNvPr id="321" name="Right Arrow 320"/>
        <xdr:cNvSpPr/>
      </xdr:nvSpPr>
      <xdr:spPr>
        <a:xfrm>
          <a:off x="5578929" y="19675929"/>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20412</xdr:colOff>
      <xdr:row>70</xdr:row>
      <xdr:rowOff>102052</xdr:rowOff>
    </xdr:from>
    <xdr:to>
      <xdr:col>6</xdr:col>
      <xdr:colOff>428626</xdr:colOff>
      <xdr:row>73</xdr:row>
      <xdr:rowOff>102052</xdr:rowOff>
    </xdr:to>
    <xdr:sp macro="" textlink="">
      <xdr:nvSpPr>
        <xdr:cNvPr id="322" name="Right Arrow 321"/>
        <xdr:cNvSpPr/>
      </xdr:nvSpPr>
      <xdr:spPr>
        <a:xfrm rot="16200000">
          <a:off x="5633358" y="18111106"/>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1537607</xdr:colOff>
      <xdr:row>67</xdr:row>
      <xdr:rowOff>176893</xdr:rowOff>
    </xdr:from>
    <xdr:to>
      <xdr:col>6</xdr:col>
      <xdr:colOff>272143</xdr:colOff>
      <xdr:row>69</xdr:row>
      <xdr:rowOff>95250</xdr:rowOff>
    </xdr:to>
    <xdr:sp macro="" textlink="">
      <xdr:nvSpPr>
        <xdr:cNvPr id="323" name="Right Arrow 322"/>
        <xdr:cNvSpPr/>
      </xdr:nvSpPr>
      <xdr:spPr>
        <a:xfrm rot="10800000">
          <a:off x="5334000" y="17349107"/>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1449162</xdr:colOff>
      <xdr:row>59</xdr:row>
      <xdr:rowOff>170090</xdr:rowOff>
    </xdr:from>
    <xdr:to>
      <xdr:col>5</xdr:col>
      <xdr:colOff>1857376</xdr:colOff>
      <xdr:row>62</xdr:row>
      <xdr:rowOff>170089</xdr:rowOff>
    </xdr:to>
    <xdr:sp macro="" textlink="">
      <xdr:nvSpPr>
        <xdr:cNvPr id="324" name="Right Arrow 323"/>
        <xdr:cNvSpPr/>
      </xdr:nvSpPr>
      <xdr:spPr>
        <a:xfrm rot="16200000">
          <a:off x="5102680" y="15689036"/>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1782536</xdr:colOff>
      <xdr:row>57</xdr:row>
      <xdr:rowOff>108857</xdr:rowOff>
    </xdr:from>
    <xdr:to>
      <xdr:col>6</xdr:col>
      <xdr:colOff>517072</xdr:colOff>
      <xdr:row>59</xdr:row>
      <xdr:rowOff>68036</xdr:rowOff>
    </xdr:to>
    <xdr:sp macro="" textlink="">
      <xdr:nvSpPr>
        <xdr:cNvPr id="327" name="Right Arrow 326"/>
        <xdr:cNvSpPr/>
      </xdr:nvSpPr>
      <xdr:spPr>
        <a:xfrm>
          <a:off x="5578929" y="15035893"/>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20412</xdr:colOff>
      <xdr:row>49</xdr:row>
      <xdr:rowOff>183696</xdr:rowOff>
    </xdr:from>
    <xdr:to>
      <xdr:col>6</xdr:col>
      <xdr:colOff>428626</xdr:colOff>
      <xdr:row>52</xdr:row>
      <xdr:rowOff>224517</xdr:rowOff>
    </xdr:to>
    <xdr:sp macro="" textlink="">
      <xdr:nvSpPr>
        <xdr:cNvPr id="328" name="Right Arrow 327"/>
        <xdr:cNvSpPr/>
      </xdr:nvSpPr>
      <xdr:spPr>
        <a:xfrm rot="16200000">
          <a:off x="5633358" y="13416642"/>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1537607</xdr:colOff>
      <xdr:row>47</xdr:row>
      <xdr:rowOff>231321</xdr:rowOff>
    </xdr:from>
    <xdr:to>
      <xdr:col>6</xdr:col>
      <xdr:colOff>272143</xdr:colOff>
      <xdr:row>49</xdr:row>
      <xdr:rowOff>149678</xdr:rowOff>
    </xdr:to>
    <xdr:sp macro="" textlink="">
      <xdr:nvSpPr>
        <xdr:cNvPr id="329" name="Right Arrow 328"/>
        <xdr:cNvSpPr/>
      </xdr:nvSpPr>
      <xdr:spPr>
        <a:xfrm rot="10800000">
          <a:off x="5334000" y="12831535"/>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1449162</xdr:colOff>
      <xdr:row>42</xdr:row>
      <xdr:rowOff>61232</xdr:rowOff>
    </xdr:from>
    <xdr:to>
      <xdr:col>5</xdr:col>
      <xdr:colOff>1857376</xdr:colOff>
      <xdr:row>45</xdr:row>
      <xdr:rowOff>61232</xdr:rowOff>
    </xdr:to>
    <xdr:sp macro="" textlink="">
      <xdr:nvSpPr>
        <xdr:cNvPr id="330" name="Right Arrow 329"/>
        <xdr:cNvSpPr/>
      </xdr:nvSpPr>
      <xdr:spPr>
        <a:xfrm rot="16200000">
          <a:off x="5102680" y="11702143"/>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1782536</xdr:colOff>
      <xdr:row>40</xdr:row>
      <xdr:rowOff>27214</xdr:rowOff>
    </xdr:from>
    <xdr:to>
      <xdr:col>6</xdr:col>
      <xdr:colOff>517072</xdr:colOff>
      <xdr:row>41</xdr:row>
      <xdr:rowOff>231321</xdr:rowOff>
    </xdr:to>
    <xdr:sp macro="" textlink="">
      <xdr:nvSpPr>
        <xdr:cNvPr id="331" name="Right Arrow 330"/>
        <xdr:cNvSpPr/>
      </xdr:nvSpPr>
      <xdr:spPr>
        <a:xfrm>
          <a:off x="5578929" y="11076214"/>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20412</xdr:colOff>
      <xdr:row>34</xdr:row>
      <xdr:rowOff>20410</xdr:rowOff>
    </xdr:from>
    <xdr:to>
      <xdr:col>6</xdr:col>
      <xdr:colOff>428626</xdr:colOff>
      <xdr:row>37</xdr:row>
      <xdr:rowOff>20409</xdr:rowOff>
    </xdr:to>
    <xdr:sp macro="" textlink="">
      <xdr:nvSpPr>
        <xdr:cNvPr id="332" name="Right Arrow 331"/>
        <xdr:cNvSpPr/>
      </xdr:nvSpPr>
      <xdr:spPr>
        <a:xfrm rot="16200000">
          <a:off x="5633358" y="9824356"/>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1537607</xdr:colOff>
      <xdr:row>32</xdr:row>
      <xdr:rowOff>13606</xdr:rowOff>
    </xdr:from>
    <xdr:to>
      <xdr:col>6</xdr:col>
      <xdr:colOff>272143</xdr:colOff>
      <xdr:row>33</xdr:row>
      <xdr:rowOff>176892</xdr:rowOff>
    </xdr:to>
    <xdr:sp macro="" textlink="">
      <xdr:nvSpPr>
        <xdr:cNvPr id="333" name="Right Arrow 332"/>
        <xdr:cNvSpPr/>
      </xdr:nvSpPr>
      <xdr:spPr>
        <a:xfrm rot="10800000">
          <a:off x="5334000" y="9225642"/>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1449162</xdr:colOff>
      <xdr:row>25</xdr:row>
      <xdr:rowOff>210911</xdr:rowOff>
    </xdr:from>
    <xdr:to>
      <xdr:col>5</xdr:col>
      <xdr:colOff>1857376</xdr:colOff>
      <xdr:row>28</xdr:row>
      <xdr:rowOff>210911</xdr:rowOff>
    </xdr:to>
    <xdr:sp macro="" textlink="">
      <xdr:nvSpPr>
        <xdr:cNvPr id="334" name="Right Arrow 333"/>
        <xdr:cNvSpPr/>
      </xdr:nvSpPr>
      <xdr:spPr>
        <a:xfrm rot="16200000">
          <a:off x="5102680" y="7973786"/>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1782536</xdr:colOff>
      <xdr:row>23</xdr:row>
      <xdr:rowOff>122464</xdr:rowOff>
    </xdr:from>
    <xdr:to>
      <xdr:col>6</xdr:col>
      <xdr:colOff>517072</xdr:colOff>
      <xdr:row>25</xdr:row>
      <xdr:rowOff>81642</xdr:rowOff>
    </xdr:to>
    <xdr:sp macro="" textlink="">
      <xdr:nvSpPr>
        <xdr:cNvPr id="335" name="Right Arrow 334"/>
        <xdr:cNvSpPr/>
      </xdr:nvSpPr>
      <xdr:spPr>
        <a:xfrm>
          <a:off x="5578929" y="7293428"/>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299358</xdr:colOff>
      <xdr:row>145</xdr:row>
      <xdr:rowOff>231322</xdr:rowOff>
    </xdr:from>
    <xdr:to>
      <xdr:col>5</xdr:col>
      <xdr:colOff>1442357</xdr:colOff>
      <xdr:row>151</xdr:row>
      <xdr:rowOff>0</xdr:rowOff>
    </xdr:to>
    <xdr:pic>
      <xdr:nvPicPr>
        <xdr:cNvPr id="190" name="Picture 189"/>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99358" y="34929536"/>
          <a:ext cx="4939392" cy="1415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462643</xdr:colOff>
      <xdr:row>118</xdr:row>
      <xdr:rowOff>95250</xdr:rowOff>
    </xdr:from>
    <xdr:to>
      <xdr:col>11</xdr:col>
      <xdr:colOff>503464</xdr:colOff>
      <xdr:row>137</xdr:row>
      <xdr:rowOff>8164</xdr:rowOff>
    </xdr:to>
    <xdr:grpSp>
      <xdr:nvGrpSpPr>
        <xdr:cNvPr id="16" name="Group 15"/>
        <xdr:cNvGrpSpPr/>
      </xdr:nvGrpSpPr>
      <xdr:grpSpPr>
        <a:xfrm>
          <a:off x="6384472" y="28006221"/>
          <a:ext cx="5080906" cy="4027714"/>
          <a:chOff x="6218464" y="28779107"/>
          <a:chExt cx="4939393" cy="4158343"/>
        </a:xfrm>
      </xdr:grpSpPr>
      <xdr:grpSp>
        <xdr:nvGrpSpPr>
          <xdr:cNvPr id="194" name="Group 193"/>
          <xdr:cNvGrpSpPr/>
        </xdr:nvGrpSpPr>
        <xdr:grpSpPr>
          <a:xfrm>
            <a:off x="6218464" y="28779107"/>
            <a:ext cx="4939393" cy="4158343"/>
            <a:chOff x="6204857" y="38100000"/>
            <a:chExt cx="5810250" cy="2484664"/>
          </a:xfrm>
        </xdr:grpSpPr>
        <xdr:pic>
          <xdr:nvPicPr>
            <xdr:cNvPr id="189" name="Picture 188"/>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204857" y="39719249"/>
              <a:ext cx="5810250" cy="86541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1" name="Picture 190"/>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33606" y="38848393"/>
              <a:ext cx="4380139" cy="8980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3" name="Picture 192"/>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6204857" y="38100000"/>
              <a:ext cx="1439636" cy="1658711"/>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99" name="Picture 198"/>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415893" y="28779107"/>
            <a:ext cx="3741964" cy="126546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0</xdr:col>
      <xdr:colOff>285750</xdr:colOff>
      <xdr:row>81</xdr:row>
      <xdr:rowOff>163285</xdr:rowOff>
    </xdr:from>
    <xdr:to>
      <xdr:col>5</xdr:col>
      <xdr:colOff>1442357</xdr:colOff>
      <xdr:row>92</xdr:row>
      <xdr:rowOff>122464</xdr:rowOff>
    </xdr:to>
    <xdr:pic>
      <xdr:nvPicPr>
        <xdr:cNvPr id="192" name="Picture 191"/>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285750" y="20519571"/>
          <a:ext cx="4953000" cy="2449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34570</xdr:colOff>
      <xdr:row>53</xdr:row>
      <xdr:rowOff>406684</xdr:rowOff>
    </xdr:from>
    <xdr:to>
      <xdr:col>15</xdr:col>
      <xdr:colOff>929919</xdr:colOff>
      <xdr:row>59</xdr:row>
      <xdr:rowOff>181938</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95251</xdr:colOff>
      <xdr:row>1</xdr:row>
      <xdr:rowOff>66675</xdr:rowOff>
    </xdr:from>
    <xdr:to>
      <xdr:col>2</xdr:col>
      <xdr:colOff>684945</xdr:colOff>
      <xdr:row>1</xdr:row>
      <xdr:rowOff>447675</xdr:rowOff>
    </xdr:to>
    <xdr:pic>
      <xdr:nvPicPr>
        <xdr:cNvPr id="3" name="Picture 1" descr="Logo BITG">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6" y="24765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738455</xdr:colOff>
      <xdr:row>1</xdr:row>
      <xdr:rowOff>117725</xdr:rowOff>
    </xdr:from>
    <xdr:ext cx="3891706" cy="291234"/>
    <xdr:sp macro="" textlink="">
      <xdr:nvSpPr>
        <xdr:cNvPr id="4" name="TextBox 3">
          <a:extLst>
            <a:ext uri="{FF2B5EF4-FFF2-40B4-BE49-F238E27FC236}">
              <a16:creationId xmlns="" xmlns:a16="http://schemas.microsoft.com/office/drawing/2014/main" id="{00000000-0008-0000-0100-000005000000}"/>
            </a:ext>
          </a:extLst>
        </xdr:cNvPr>
        <xdr:cNvSpPr txBox="1"/>
      </xdr:nvSpPr>
      <xdr:spPr>
        <a:xfrm>
          <a:off x="1052780" y="298700"/>
          <a:ext cx="389170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1100" b="1">
              <a:latin typeface="Arial Black" panose="020B0A04020102020204" pitchFamily="34" charset="0"/>
            </a:rPr>
            <a:t>BODYNITS INTERNATIONAL TIEN GIANG (BITG)</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323849</xdr:colOff>
      <xdr:row>6</xdr:row>
      <xdr:rowOff>0</xdr:rowOff>
    </xdr:from>
    <xdr:to>
      <xdr:col>9</xdr:col>
      <xdr:colOff>561974</xdr:colOff>
      <xdr:row>6</xdr:row>
      <xdr:rowOff>0</xdr:rowOff>
    </xdr:to>
    <xdr:sp macro="" textlink="">
      <xdr:nvSpPr>
        <xdr:cNvPr id="2" name="Rectangle 1">
          <a:extLst>
            <a:ext uri="{FF2B5EF4-FFF2-40B4-BE49-F238E27FC236}">
              <a16:creationId xmlns:a16="http://schemas.microsoft.com/office/drawing/2014/main" xmlns="" id="{5D63D521-790F-457D-A95E-F77DD49BD4C3}"/>
            </a:ext>
          </a:extLst>
        </xdr:cNvPr>
        <xdr:cNvSpPr/>
      </xdr:nvSpPr>
      <xdr:spPr bwMode="auto">
        <a:xfrm rot="5400000">
          <a:off x="7881937" y="461962"/>
          <a:ext cx="0" cy="3629025"/>
        </a:xfrm>
        <a:prstGeom prst="rect">
          <a:avLst/>
        </a:prstGeom>
        <a:solidFill>
          <a:schemeClr val="bg1">
            <a:lumMod val="85000"/>
          </a:schemeClr>
        </a:solidFill>
        <a:ln w="9525" cap="flat" cmpd="sng" algn="ctr">
          <a:solidFill>
            <a:schemeClr val="accent1"/>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sz="1000"/>
            <a:t>LONG</a:t>
          </a:r>
          <a:r>
            <a:rPr lang="en-US" sz="1000" baseline="0"/>
            <a:t> TABLE</a:t>
          </a:r>
          <a:endParaRPr lang="id-ID" sz="1000"/>
        </a:p>
      </xdr:txBody>
    </xdr:sp>
    <xdr:clientData/>
  </xdr:twoCellAnchor>
  <xdr:twoCellAnchor>
    <xdr:from>
      <xdr:col>5</xdr:col>
      <xdr:colOff>950917</xdr:colOff>
      <xdr:row>6</xdr:row>
      <xdr:rowOff>81644</xdr:rowOff>
    </xdr:from>
    <xdr:to>
      <xdr:col>6</xdr:col>
      <xdr:colOff>915761</xdr:colOff>
      <xdr:row>6</xdr:row>
      <xdr:rowOff>798174</xdr:rowOff>
    </xdr:to>
    <xdr:sp macro="" textlink="">
      <xdr:nvSpPr>
        <xdr:cNvPr id="3" name="Rectangle 2">
          <a:extLst>
            <a:ext uri="{FF2B5EF4-FFF2-40B4-BE49-F238E27FC236}">
              <a16:creationId xmlns:a16="http://schemas.microsoft.com/office/drawing/2014/main" xmlns="" id="{2C9D1384-A967-4042-A255-120A32305600}"/>
            </a:ext>
          </a:extLst>
        </xdr:cNvPr>
        <xdr:cNvSpPr/>
      </xdr:nvSpPr>
      <xdr:spPr bwMode="auto">
        <a:xfrm flipH="1">
          <a:off x="4747310" y="2598965"/>
          <a:ext cx="1924272" cy="716530"/>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PACKING</a:t>
          </a:r>
          <a:endParaRPr lang="id-ID">
            <a:effectLst/>
          </a:endParaRPr>
        </a:p>
      </xdr:txBody>
    </xdr:sp>
    <xdr:clientData/>
  </xdr:twoCellAnchor>
  <xdr:oneCellAnchor>
    <xdr:from>
      <xdr:col>1</xdr:col>
      <xdr:colOff>561974</xdr:colOff>
      <xdr:row>1</xdr:row>
      <xdr:rowOff>47626</xdr:rowOff>
    </xdr:from>
    <xdr:ext cx="3876676" cy="291234"/>
    <xdr:sp macro="" textlink="">
      <xdr:nvSpPr>
        <xdr:cNvPr id="4" name="TextBox 3">
          <a:extLst>
            <a:ext uri="{FF2B5EF4-FFF2-40B4-BE49-F238E27FC236}">
              <a16:creationId xmlns:a16="http://schemas.microsoft.com/office/drawing/2014/main" xmlns="" id="{54B47921-13E2-4043-B9FC-4523B17C278C}"/>
            </a:ext>
          </a:extLst>
        </xdr:cNvPr>
        <xdr:cNvSpPr txBox="1"/>
      </xdr:nvSpPr>
      <xdr:spPr>
        <a:xfrm>
          <a:off x="1009649" y="142876"/>
          <a:ext cx="387667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SG" sz="1100" b="1">
              <a:latin typeface="Arial Black" panose="020B0A04020102020204" pitchFamily="34" charset="0"/>
            </a:rPr>
            <a:t>BODYNITS INTERNATIONAL TIEN GIANG (BITG)</a:t>
          </a:r>
        </a:p>
      </xdr:txBody>
    </xdr:sp>
    <xdr:clientData/>
  </xdr:oneCellAnchor>
  <xdr:twoCellAnchor>
    <xdr:from>
      <xdr:col>1</xdr:col>
      <xdr:colOff>57150</xdr:colOff>
      <xdr:row>1</xdr:row>
      <xdr:rowOff>57150</xdr:rowOff>
    </xdr:from>
    <xdr:to>
      <xdr:col>1</xdr:col>
      <xdr:colOff>646844</xdr:colOff>
      <xdr:row>1</xdr:row>
      <xdr:rowOff>438150</xdr:rowOff>
    </xdr:to>
    <xdr:pic>
      <xdr:nvPicPr>
        <xdr:cNvPr id="5" name="Picture 1" descr="Logo BITG">
          <a:extLst>
            <a:ext uri="{FF2B5EF4-FFF2-40B4-BE49-F238E27FC236}">
              <a16:creationId xmlns:a16="http://schemas.microsoft.com/office/drawing/2014/main" xmlns="" id="{718F30F5-3413-4E76-9D35-2C2405C9D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15240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1512097</xdr:colOff>
      <xdr:row>8</xdr:row>
      <xdr:rowOff>176893</xdr:rowOff>
    </xdr:from>
    <xdr:to>
      <xdr:col>6</xdr:col>
      <xdr:colOff>394610</xdr:colOff>
      <xdr:row>183</xdr:row>
      <xdr:rowOff>81643</xdr:rowOff>
    </xdr:to>
    <xdr:sp macro="" textlink="">
      <xdr:nvSpPr>
        <xdr:cNvPr id="6" name="Rectangle 5">
          <a:extLst>
            <a:ext uri="{FF2B5EF4-FFF2-40B4-BE49-F238E27FC236}">
              <a16:creationId xmlns:a16="http://schemas.microsoft.com/office/drawing/2014/main" xmlns="" id="{0064DF82-AF18-4489-AAD3-4FDFD412E65D}"/>
            </a:ext>
          </a:extLst>
        </xdr:cNvPr>
        <xdr:cNvSpPr/>
      </xdr:nvSpPr>
      <xdr:spPr>
        <a:xfrm>
          <a:off x="5308490" y="4204607"/>
          <a:ext cx="841941" cy="355418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1744664</xdr:colOff>
      <xdr:row>8</xdr:row>
      <xdr:rowOff>189657</xdr:rowOff>
    </xdr:from>
    <xdr:to>
      <xdr:col>6</xdr:col>
      <xdr:colOff>130517</xdr:colOff>
      <xdr:row>183</xdr:row>
      <xdr:rowOff>81893</xdr:rowOff>
    </xdr:to>
    <xdr:sp macro="" textlink="">
      <xdr:nvSpPr>
        <xdr:cNvPr id="7" name="Up Arrow 69">
          <a:extLst>
            <a:ext uri="{FF2B5EF4-FFF2-40B4-BE49-F238E27FC236}">
              <a16:creationId xmlns:a16="http://schemas.microsoft.com/office/drawing/2014/main" xmlns="" id="{814BC888-8FF7-4F8F-A578-AE06B4D6C5D5}"/>
            </a:ext>
          </a:extLst>
        </xdr:cNvPr>
        <xdr:cNvSpPr/>
      </xdr:nvSpPr>
      <xdr:spPr>
        <a:xfrm>
          <a:off x="5541057" y="4217371"/>
          <a:ext cx="345281" cy="35529343"/>
        </a:xfrm>
        <a:prstGeom prst="up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950917</xdr:colOff>
      <xdr:row>6</xdr:row>
      <xdr:rowOff>843643</xdr:rowOff>
    </xdr:from>
    <xdr:to>
      <xdr:col>6</xdr:col>
      <xdr:colOff>915761</xdr:colOff>
      <xdr:row>8</xdr:row>
      <xdr:rowOff>81643</xdr:rowOff>
    </xdr:to>
    <xdr:sp macro="" textlink="">
      <xdr:nvSpPr>
        <xdr:cNvPr id="8" name="Rectangle 7">
          <a:extLst>
            <a:ext uri="{FF2B5EF4-FFF2-40B4-BE49-F238E27FC236}">
              <a16:creationId xmlns:a16="http://schemas.microsoft.com/office/drawing/2014/main" xmlns="" id="{75EBA883-F67E-4799-98B6-D8946FA91CCF}"/>
            </a:ext>
          </a:extLst>
        </xdr:cNvPr>
        <xdr:cNvSpPr/>
      </xdr:nvSpPr>
      <xdr:spPr bwMode="auto">
        <a:xfrm flipH="1">
          <a:off x="4747310" y="3360964"/>
          <a:ext cx="1924272" cy="748393"/>
        </a:xfrm>
        <a:prstGeom prst="rect">
          <a:avLst/>
        </a:prstGeom>
        <a:solidFill>
          <a:schemeClr val="accent4">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CHECKING</a:t>
          </a:r>
          <a:endParaRPr lang="id-ID">
            <a:effectLst/>
          </a:endParaRPr>
        </a:p>
      </xdr:txBody>
    </xdr:sp>
    <xdr:clientData/>
  </xdr:twoCellAnchor>
  <xdr:twoCellAnchor>
    <xdr:from>
      <xdr:col>5</xdr:col>
      <xdr:colOff>517071</xdr:colOff>
      <xdr:row>183</xdr:row>
      <xdr:rowOff>149681</xdr:rowOff>
    </xdr:from>
    <xdr:to>
      <xdr:col>7</xdr:col>
      <xdr:colOff>285750</xdr:colOff>
      <xdr:row>185</xdr:row>
      <xdr:rowOff>163286</xdr:rowOff>
    </xdr:to>
    <xdr:sp macro="" textlink="">
      <xdr:nvSpPr>
        <xdr:cNvPr id="9" name="Rectangle: Rounded Corners 14">
          <a:extLst>
            <a:ext uri="{FF2B5EF4-FFF2-40B4-BE49-F238E27FC236}">
              <a16:creationId xmlns:a16="http://schemas.microsoft.com/office/drawing/2014/main" xmlns="" id="{DBACEDB1-0455-4FDE-892A-E969DC5C233C}"/>
            </a:ext>
          </a:extLst>
        </xdr:cNvPr>
        <xdr:cNvSpPr/>
      </xdr:nvSpPr>
      <xdr:spPr>
        <a:xfrm>
          <a:off x="4313464" y="39814502"/>
          <a:ext cx="2694215" cy="73478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t>LINE</a:t>
          </a:r>
        </a:p>
      </xdr:txBody>
    </xdr:sp>
    <xdr:clientData/>
  </xdr:twoCellAnchor>
  <xdr:twoCellAnchor>
    <xdr:from>
      <xdr:col>11</xdr:col>
      <xdr:colOff>350765</xdr:colOff>
      <xdr:row>190</xdr:row>
      <xdr:rowOff>190495</xdr:rowOff>
    </xdr:from>
    <xdr:to>
      <xdr:col>11</xdr:col>
      <xdr:colOff>598715</xdr:colOff>
      <xdr:row>192</xdr:row>
      <xdr:rowOff>136067</xdr:rowOff>
    </xdr:to>
    <xdr:grpSp>
      <xdr:nvGrpSpPr>
        <xdr:cNvPr id="10" name="Group 9">
          <a:extLst>
            <a:ext uri="{FF2B5EF4-FFF2-40B4-BE49-F238E27FC236}">
              <a16:creationId xmlns:a16="http://schemas.microsoft.com/office/drawing/2014/main" xmlns="" id="{129906CF-0658-420B-B463-3B81235B0D11}"/>
            </a:ext>
          </a:extLst>
        </xdr:cNvPr>
        <xdr:cNvGrpSpPr/>
      </xdr:nvGrpSpPr>
      <xdr:grpSpPr>
        <a:xfrm rot="10800000">
          <a:off x="11005158" y="45828852"/>
          <a:ext cx="247950" cy="517072"/>
          <a:chOff x="1194406" y="32874856"/>
          <a:chExt cx="606586" cy="942183"/>
        </a:xfrm>
      </xdr:grpSpPr>
      <xdr:sp macro="" textlink="">
        <xdr:nvSpPr>
          <xdr:cNvPr id="11" name="Moon 10">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2" name="Oval 11">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27214</xdr:colOff>
      <xdr:row>169</xdr:row>
      <xdr:rowOff>190498</xdr:rowOff>
    </xdr:from>
    <xdr:to>
      <xdr:col>0</xdr:col>
      <xdr:colOff>275164</xdr:colOff>
      <xdr:row>171</xdr:row>
      <xdr:rowOff>217713</xdr:rowOff>
    </xdr:to>
    <xdr:grpSp>
      <xdr:nvGrpSpPr>
        <xdr:cNvPr id="13" name="Group 12">
          <a:extLst>
            <a:ext uri="{FF2B5EF4-FFF2-40B4-BE49-F238E27FC236}">
              <a16:creationId xmlns:a16="http://schemas.microsoft.com/office/drawing/2014/main" xmlns="" id="{3BCB394B-241A-4581-BC5E-3DBD9D07A2BE}"/>
            </a:ext>
          </a:extLst>
        </xdr:cNvPr>
        <xdr:cNvGrpSpPr/>
      </xdr:nvGrpSpPr>
      <xdr:grpSpPr>
        <a:xfrm>
          <a:off x="27214" y="40494855"/>
          <a:ext cx="247950" cy="517072"/>
          <a:chOff x="1194406" y="32874856"/>
          <a:chExt cx="606586" cy="942183"/>
        </a:xfrm>
      </xdr:grpSpPr>
      <xdr:sp macro="" textlink="">
        <xdr:nvSpPr>
          <xdr:cNvPr id="14" name="Moon 1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5" name="Oval 1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405193</xdr:colOff>
      <xdr:row>172</xdr:row>
      <xdr:rowOff>95244</xdr:rowOff>
    </xdr:from>
    <xdr:to>
      <xdr:col>11</xdr:col>
      <xdr:colOff>653143</xdr:colOff>
      <xdr:row>176</xdr:row>
      <xdr:rowOff>81638</xdr:rowOff>
    </xdr:to>
    <xdr:grpSp>
      <xdr:nvGrpSpPr>
        <xdr:cNvPr id="16" name="Group 15">
          <a:extLst>
            <a:ext uri="{FF2B5EF4-FFF2-40B4-BE49-F238E27FC236}">
              <a16:creationId xmlns:a16="http://schemas.microsoft.com/office/drawing/2014/main" xmlns="" id="{129906CF-0658-420B-B463-3B81235B0D11}"/>
            </a:ext>
          </a:extLst>
        </xdr:cNvPr>
        <xdr:cNvGrpSpPr/>
      </xdr:nvGrpSpPr>
      <xdr:grpSpPr>
        <a:xfrm rot="10800000">
          <a:off x="11059586" y="41134387"/>
          <a:ext cx="247950" cy="517072"/>
          <a:chOff x="1194406" y="32874856"/>
          <a:chExt cx="606586" cy="942183"/>
        </a:xfrm>
      </xdr:grpSpPr>
      <xdr:sp macro="" textlink="">
        <xdr:nvSpPr>
          <xdr:cNvPr id="17" name="Moon 16">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18" name="Oval 17">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405193</xdr:colOff>
      <xdr:row>153</xdr:row>
      <xdr:rowOff>163282</xdr:rowOff>
    </xdr:from>
    <xdr:to>
      <xdr:col>11</xdr:col>
      <xdr:colOff>653143</xdr:colOff>
      <xdr:row>156</xdr:row>
      <xdr:rowOff>27211</xdr:rowOff>
    </xdr:to>
    <xdr:grpSp>
      <xdr:nvGrpSpPr>
        <xdr:cNvPr id="32" name="Group 31">
          <a:extLst>
            <a:ext uri="{FF2B5EF4-FFF2-40B4-BE49-F238E27FC236}">
              <a16:creationId xmlns:a16="http://schemas.microsoft.com/office/drawing/2014/main" xmlns="" id="{129906CF-0658-420B-B463-3B81235B0D11}"/>
            </a:ext>
          </a:extLst>
        </xdr:cNvPr>
        <xdr:cNvGrpSpPr/>
      </xdr:nvGrpSpPr>
      <xdr:grpSpPr>
        <a:xfrm rot="10800000">
          <a:off x="11059586" y="36603211"/>
          <a:ext cx="247950" cy="517071"/>
          <a:chOff x="1194406" y="32874856"/>
          <a:chExt cx="606586" cy="942183"/>
        </a:xfrm>
      </xdr:grpSpPr>
      <xdr:sp macro="" textlink="">
        <xdr:nvSpPr>
          <xdr:cNvPr id="33" name="Moon 32">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4" name="Oval 33">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364371</xdr:colOff>
      <xdr:row>140</xdr:row>
      <xdr:rowOff>244926</xdr:rowOff>
    </xdr:from>
    <xdr:to>
      <xdr:col>11</xdr:col>
      <xdr:colOff>612321</xdr:colOff>
      <xdr:row>143</xdr:row>
      <xdr:rowOff>68033</xdr:rowOff>
    </xdr:to>
    <xdr:grpSp>
      <xdr:nvGrpSpPr>
        <xdr:cNvPr id="35" name="Group 34">
          <a:extLst>
            <a:ext uri="{FF2B5EF4-FFF2-40B4-BE49-F238E27FC236}">
              <a16:creationId xmlns:a16="http://schemas.microsoft.com/office/drawing/2014/main" xmlns="" id="{129906CF-0658-420B-B463-3B81235B0D11}"/>
            </a:ext>
          </a:extLst>
        </xdr:cNvPr>
        <xdr:cNvGrpSpPr/>
      </xdr:nvGrpSpPr>
      <xdr:grpSpPr>
        <a:xfrm rot="10800000">
          <a:off x="11018764" y="33817830"/>
          <a:ext cx="247950" cy="526596"/>
          <a:chOff x="1194406" y="32874856"/>
          <a:chExt cx="606586" cy="942183"/>
        </a:xfrm>
      </xdr:grpSpPr>
      <xdr:sp macro="" textlink="">
        <xdr:nvSpPr>
          <xdr:cNvPr id="36" name="Moon 3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37" name="Oval 3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54428</xdr:colOff>
      <xdr:row>158</xdr:row>
      <xdr:rowOff>95248</xdr:rowOff>
    </xdr:from>
    <xdr:to>
      <xdr:col>0</xdr:col>
      <xdr:colOff>302378</xdr:colOff>
      <xdr:row>160</xdr:row>
      <xdr:rowOff>122462</xdr:rowOff>
    </xdr:to>
    <xdr:grpSp>
      <xdr:nvGrpSpPr>
        <xdr:cNvPr id="43" name="Group 42">
          <a:extLst>
            <a:ext uri="{FF2B5EF4-FFF2-40B4-BE49-F238E27FC236}">
              <a16:creationId xmlns:a16="http://schemas.microsoft.com/office/drawing/2014/main" xmlns="" id="{3BCB394B-241A-4581-BC5E-3DBD9D07A2BE}"/>
            </a:ext>
          </a:extLst>
        </xdr:cNvPr>
        <xdr:cNvGrpSpPr/>
      </xdr:nvGrpSpPr>
      <xdr:grpSpPr>
        <a:xfrm>
          <a:off x="54428" y="37433248"/>
          <a:ext cx="247950" cy="517071"/>
          <a:chOff x="1194406" y="32874856"/>
          <a:chExt cx="606586" cy="942183"/>
        </a:xfrm>
      </xdr:grpSpPr>
      <xdr:sp macro="" textlink="">
        <xdr:nvSpPr>
          <xdr:cNvPr id="44" name="Moon 4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45" name="Oval 4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27214</xdr:colOff>
      <xdr:row>147</xdr:row>
      <xdr:rowOff>136068</xdr:rowOff>
    </xdr:from>
    <xdr:to>
      <xdr:col>0</xdr:col>
      <xdr:colOff>275164</xdr:colOff>
      <xdr:row>150</xdr:row>
      <xdr:rowOff>40821</xdr:rowOff>
    </xdr:to>
    <xdr:grpSp>
      <xdr:nvGrpSpPr>
        <xdr:cNvPr id="51" name="Group 50">
          <a:extLst>
            <a:ext uri="{FF2B5EF4-FFF2-40B4-BE49-F238E27FC236}">
              <a16:creationId xmlns:a16="http://schemas.microsoft.com/office/drawing/2014/main" xmlns="" id="{3BCB394B-241A-4581-BC5E-3DBD9D07A2BE}"/>
            </a:ext>
          </a:extLst>
        </xdr:cNvPr>
        <xdr:cNvGrpSpPr/>
      </xdr:nvGrpSpPr>
      <xdr:grpSpPr>
        <a:xfrm>
          <a:off x="27214" y="35269711"/>
          <a:ext cx="247950" cy="517074"/>
          <a:chOff x="1194406" y="32874856"/>
          <a:chExt cx="606586" cy="942183"/>
        </a:xfrm>
      </xdr:grpSpPr>
      <xdr:sp macro="" textlink="">
        <xdr:nvSpPr>
          <xdr:cNvPr id="52" name="Moon 51">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53" name="Oval 52">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68034</xdr:colOff>
      <xdr:row>135</xdr:row>
      <xdr:rowOff>244927</xdr:rowOff>
    </xdr:from>
    <xdr:to>
      <xdr:col>0</xdr:col>
      <xdr:colOff>315984</xdr:colOff>
      <xdr:row>138</xdr:row>
      <xdr:rowOff>72116</xdr:rowOff>
    </xdr:to>
    <xdr:grpSp>
      <xdr:nvGrpSpPr>
        <xdr:cNvPr id="55" name="Group 54">
          <a:extLst>
            <a:ext uri="{FF2B5EF4-FFF2-40B4-BE49-F238E27FC236}">
              <a16:creationId xmlns:a16="http://schemas.microsoft.com/office/drawing/2014/main" xmlns="" id="{3BCB394B-241A-4581-BC5E-3DBD9D07A2BE}"/>
            </a:ext>
          </a:extLst>
        </xdr:cNvPr>
        <xdr:cNvGrpSpPr/>
      </xdr:nvGrpSpPr>
      <xdr:grpSpPr>
        <a:xfrm>
          <a:off x="68034" y="32674831"/>
          <a:ext cx="247950" cy="530678"/>
          <a:chOff x="1194406" y="32874856"/>
          <a:chExt cx="606586" cy="942183"/>
        </a:xfrm>
      </xdr:grpSpPr>
      <xdr:sp macro="" textlink="">
        <xdr:nvSpPr>
          <xdr:cNvPr id="56" name="Moon 55">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57" name="Oval 56">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350764</xdr:colOff>
      <xdr:row>125</xdr:row>
      <xdr:rowOff>81641</xdr:rowOff>
    </xdr:from>
    <xdr:to>
      <xdr:col>11</xdr:col>
      <xdr:colOff>598714</xdr:colOff>
      <xdr:row>127</xdr:row>
      <xdr:rowOff>149676</xdr:rowOff>
    </xdr:to>
    <xdr:grpSp>
      <xdr:nvGrpSpPr>
        <xdr:cNvPr id="58" name="Group 57">
          <a:extLst>
            <a:ext uri="{FF2B5EF4-FFF2-40B4-BE49-F238E27FC236}">
              <a16:creationId xmlns:a16="http://schemas.microsoft.com/office/drawing/2014/main" xmlns="" id="{129906CF-0658-420B-B463-3B81235B0D11}"/>
            </a:ext>
          </a:extLst>
        </xdr:cNvPr>
        <xdr:cNvGrpSpPr/>
      </xdr:nvGrpSpPr>
      <xdr:grpSpPr>
        <a:xfrm rot="10800000">
          <a:off x="11005157" y="30275891"/>
          <a:ext cx="247950" cy="517071"/>
          <a:chOff x="1194406" y="32874856"/>
          <a:chExt cx="606586" cy="942183"/>
        </a:xfrm>
      </xdr:grpSpPr>
      <xdr:sp macro="" textlink="">
        <xdr:nvSpPr>
          <xdr:cNvPr id="59" name="Moon 58">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60" name="Oval 59">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40822</xdr:colOff>
      <xdr:row>126</xdr:row>
      <xdr:rowOff>54425</xdr:rowOff>
    </xdr:from>
    <xdr:to>
      <xdr:col>0</xdr:col>
      <xdr:colOff>288772</xdr:colOff>
      <xdr:row>128</xdr:row>
      <xdr:rowOff>122460</xdr:rowOff>
    </xdr:to>
    <xdr:grpSp>
      <xdr:nvGrpSpPr>
        <xdr:cNvPr id="65" name="Group 64">
          <a:extLst>
            <a:ext uri="{FF2B5EF4-FFF2-40B4-BE49-F238E27FC236}">
              <a16:creationId xmlns:a16="http://schemas.microsoft.com/office/drawing/2014/main" xmlns="" id="{3BCB394B-241A-4581-BC5E-3DBD9D07A2BE}"/>
            </a:ext>
          </a:extLst>
        </xdr:cNvPr>
        <xdr:cNvGrpSpPr/>
      </xdr:nvGrpSpPr>
      <xdr:grpSpPr>
        <a:xfrm>
          <a:off x="40822" y="30452782"/>
          <a:ext cx="247950" cy="517071"/>
          <a:chOff x="1194406" y="32874856"/>
          <a:chExt cx="606586" cy="942183"/>
        </a:xfrm>
      </xdr:grpSpPr>
      <xdr:sp macro="" textlink="">
        <xdr:nvSpPr>
          <xdr:cNvPr id="66" name="Moon 65">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67" name="Oval 66">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95250</xdr:colOff>
      <xdr:row>118</xdr:row>
      <xdr:rowOff>54426</xdr:rowOff>
    </xdr:from>
    <xdr:to>
      <xdr:col>0</xdr:col>
      <xdr:colOff>343200</xdr:colOff>
      <xdr:row>120</xdr:row>
      <xdr:rowOff>122464</xdr:rowOff>
    </xdr:to>
    <xdr:grpSp>
      <xdr:nvGrpSpPr>
        <xdr:cNvPr id="69" name="Group 68">
          <a:extLst>
            <a:ext uri="{FF2B5EF4-FFF2-40B4-BE49-F238E27FC236}">
              <a16:creationId xmlns:a16="http://schemas.microsoft.com/office/drawing/2014/main" xmlns="" id="{3BCB394B-241A-4581-BC5E-3DBD9D07A2BE}"/>
            </a:ext>
          </a:extLst>
        </xdr:cNvPr>
        <xdr:cNvGrpSpPr/>
      </xdr:nvGrpSpPr>
      <xdr:grpSpPr>
        <a:xfrm>
          <a:off x="95250" y="28697462"/>
          <a:ext cx="247950" cy="517073"/>
          <a:chOff x="1194406" y="32874856"/>
          <a:chExt cx="606586" cy="942183"/>
        </a:xfrm>
      </xdr:grpSpPr>
      <xdr:sp macro="" textlink="">
        <xdr:nvSpPr>
          <xdr:cNvPr id="70" name="Moon 69">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71" name="Oval 70">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11</xdr:col>
      <xdr:colOff>432407</xdr:colOff>
      <xdr:row>97</xdr:row>
      <xdr:rowOff>72115</xdr:rowOff>
    </xdr:from>
    <xdr:to>
      <xdr:col>11</xdr:col>
      <xdr:colOff>680357</xdr:colOff>
      <xdr:row>99</xdr:row>
      <xdr:rowOff>108853</xdr:rowOff>
    </xdr:to>
    <xdr:grpSp>
      <xdr:nvGrpSpPr>
        <xdr:cNvPr id="77" name="Group 76">
          <a:extLst>
            <a:ext uri="{FF2B5EF4-FFF2-40B4-BE49-F238E27FC236}">
              <a16:creationId xmlns:a16="http://schemas.microsoft.com/office/drawing/2014/main" xmlns="" id="{129906CF-0658-420B-B463-3B81235B0D11}"/>
            </a:ext>
          </a:extLst>
        </xdr:cNvPr>
        <xdr:cNvGrpSpPr/>
      </xdr:nvGrpSpPr>
      <xdr:grpSpPr>
        <a:xfrm rot="10800000">
          <a:off x="11086800" y="23939044"/>
          <a:ext cx="247950" cy="526595"/>
          <a:chOff x="1194406" y="32874856"/>
          <a:chExt cx="606586" cy="942183"/>
        </a:xfrm>
      </xdr:grpSpPr>
      <xdr:sp macro="" textlink="">
        <xdr:nvSpPr>
          <xdr:cNvPr id="78" name="Moon 77">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79" name="Oval 78">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5</xdr:col>
      <xdr:colOff>1637977</xdr:colOff>
      <xdr:row>86</xdr:row>
      <xdr:rowOff>135586</xdr:rowOff>
    </xdr:from>
    <xdr:to>
      <xdr:col>6</xdr:col>
      <xdr:colOff>86764</xdr:colOff>
      <xdr:row>96</xdr:row>
      <xdr:rowOff>149254</xdr:rowOff>
    </xdr:to>
    <xdr:sp macro="" textlink="">
      <xdr:nvSpPr>
        <xdr:cNvPr id="146" name="Right Arrow 145"/>
        <xdr:cNvSpPr/>
      </xdr:nvSpPr>
      <xdr:spPr>
        <a:xfrm rot="13957354">
          <a:off x="4509055" y="22478544"/>
          <a:ext cx="2258846" cy="408215"/>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1462770</xdr:colOff>
      <xdr:row>128</xdr:row>
      <xdr:rowOff>13607</xdr:rowOff>
    </xdr:from>
    <xdr:to>
      <xdr:col>5</xdr:col>
      <xdr:colOff>1870984</xdr:colOff>
      <xdr:row>182</xdr:row>
      <xdr:rowOff>278947</xdr:rowOff>
    </xdr:to>
    <xdr:sp macro="" textlink="">
      <xdr:nvSpPr>
        <xdr:cNvPr id="147" name="Right Arrow 146"/>
        <xdr:cNvSpPr/>
      </xdr:nvSpPr>
      <xdr:spPr>
        <a:xfrm rot="16200000">
          <a:off x="-792614" y="36912777"/>
          <a:ext cx="12511768"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61237</xdr:colOff>
      <xdr:row>135</xdr:row>
      <xdr:rowOff>231320</xdr:rowOff>
    </xdr:from>
    <xdr:to>
      <xdr:col>6</xdr:col>
      <xdr:colOff>469451</xdr:colOff>
      <xdr:row>182</xdr:row>
      <xdr:rowOff>278947</xdr:rowOff>
    </xdr:to>
    <xdr:sp macro="" textlink="">
      <xdr:nvSpPr>
        <xdr:cNvPr id="148" name="Right Arrow 147"/>
        <xdr:cNvSpPr/>
      </xdr:nvSpPr>
      <xdr:spPr>
        <a:xfrm rot="16200000">
          <a:off x="670155" y="37817652"/>
          <a:ext cx="10702019"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340178</xdr:colOff>
      <xdr:row>122</xdr:row>
      <xdr:rowOff>190500</xdr:rowOff>
    </xdr:from>
    <xdr:to>
      <xdr:col>17</xdr:col>
      <xdr:colOff>421821</xdr:colOff>
      <xdr:row>124</xdr:row>
      <xdr:rowOff>190500</xdr:rowOff>
    </xdr:to>
    <xdr:sp macro="" textlink="">
      <xdr:nvSpPr>
        <xdr:cNvPr id="149" name="Right Arrow 148"/>
        <xdr:cNvSpPr/>
      </xdr:nvSpPr>
      <xdr:spPr>
        <a:xfrm>
          <a:off x="14137821" y="29731607"/>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1605645</xdr:colOff>
      <xdr:row>125</xdr:row>
      <xdr:rowOff>108858</xdr:rowOff>
    </xdr:from>
    <xdr:to>
      <xdr:col>6</xdr:col>
      <xdr:colOff>340181</xdr:colOff>
      <xdr:row>127</xdr:row>
      <xdr:rowOff>68037</xdr:rowOff>
    </xdr:to>
    <xdr:sp macro="" textlink="">
      <xdr:nvSpPr>
        <xdr:cNvPr id="150" name="Right Arrow 149"/>
        <xdr:cNvSpPr/>
      </xdr:nvSpPr>
      <xdr:spPr>
        <a:xfrm>
          <a:off x="5402038" y="30303108"/>
          <a:ext cx="693964" cy="408215"/>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523877</xdr:colOff>
      <xdr:row>121</xdr:row>
      <xdr:rowOff>238123</xdr:rowOff>
    </xdr:from>
    <xdr:to>
      <xdr:col>16</xdr:col>
      <xdr:colOff>319769</xdr:colOff>
      <xdr:row>125</xdr:row>
      <xdr:rowOff>34017</xdr:rowOff>
    </xdr:to>
    <xdr:sp macro="" textlink="">
      <xdr:nvSpPr>
        <xdr:cNvPr id="151" name="Right Arrow 150"/>
        <xdr:cNvSpPr/>
      </xdr:nvSpPr>
      <xdr:spPr>
        <a:xfrm rot="16200000">
          <a:off x="13566322" y="29677178"/>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469448</xdr:colOff>
      <xdr:row>121</xdr:row>
      <xdr:rowOff>238123</xdr:rowOff>
    </xdr:from>
    <xdr:to>
      <xdr:col>18</xdr:col>
      <xdr:colOff>265340</xdr:colOff>
      <xdr:row>125</xdr:row>
      <xdr:rowOff>34016</xdr:rowOff>
    </xdr:to>
    <xdr:sp macro="" textlink="">
      <xdr:nvSpPr>
        <xdr:cNvPr id="152" name="Right Arrow 151"/>
        <xdr:cNvSpPr/>
      </xdr:nvSpPr>
      <xdr:spPr>
        <a:xfrm rot="16200000">
          <a:off x="14736537" y="29677177"/>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119</xdr:row>
      <xdr:rowOff>217714</xdr:rowOff>
    </xdr:from>
    <xdr:to>
      <xdr:col>17</xdr:col>
      <xdr:colOff>81643</xdr:colOff>
      <xdr:row>121</xdr:row>
      <xdr:rowOff>176892</xdr:rowOff>
    </xdr:to>
    <xdr:sp macro="" textlink="">
      <xdr:nvSpPr>
        <xdr:cNvPr id="153" name="Right Arrow 152"/>
        <xdr:cNvSpPr/>
      </xdr:nvSpPr>
      <xdr:spPr>
        <a:xfrm rot="10800000">
          <a:off x="13763625" y="26344789"/>
          <a:ext cx="691243" cy="397328"/>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1877786</xdr:colOff>
      <xdr:row>185</xdr:row>
      <xdr:rowOff>272137</xdr:rowOff>
    </xdr:from>
    <xdr:to>
      <xdr:col>11</xdr:col>
      <xdr:colOff>462643</xdr:colOff>
      <xdr:row>197</xdr:row>
      <xdr:rowOff>222757</xdr:rowOff>
    </xdr:to>
    <xdr:grpSp>
      <xdr:nvGrpSpPr>
        <xdr:cNvPr id="184" name="Group 183"/>
        <xdr:cNvGrpSpPr/>
      </xdr:nvGrpSpPr>
      <xdr:grpSpPr>
        <a:xfrm>
          <a:off x="5674179" y="44372887"/>
          <a:ext cx="5442857" cy="3583727"/>
          <a:chOff x="5606143" y="41433749"/>
          <a:chExt cx="5795281" cy="2593523"/>
        </a:xfrm>
      </xdr:grpSpPr>
      <xdr:pic>
        <xdr:nvPicPr>
          <xdr:cNvPr id="180" name="Picture 17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06143" y="41433750"/>
            <a:ext cx="1442358" cy="259352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2" name="Picture 18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21285" y="42689367"/>
            <a:ext cx="4380139" cy="1336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3" name="Picture 18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21285" y="41433749"/>
            <a:ext cx="4378779" cy="126410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6</xdr:col>
      <xdr:colOff>476252</xdr:colOff>
      <xdr:row>164</xdr:row>
      <xdr:rowOff>272143</xdr:rowOff>
    </xdr:from>
    <xdr:to>
      <xdr:col>11</xdr:col>
      <xdr:colOff>421822</xdr:colOff>
      <xdr:row>183</xdr:row>
      <xdr:rowOff>10886</xdr:rowOff>
    </xdr:to>
    <xdr:grpSp>
      <xdr:nvGrpSpPr>
        <xdr:cNvPr id="189" name="Group 188"/>
        <xdr:cNvGrpSpPr/>
      </xdr:nvGrpSpPr>
      <xdr:grpSpPr>
        <a:xfrm>
          <a:off x="6232073" y="39174964"/>
          <a:ext cx="4844142" cy="4215493"/>
          <a:chOff x="6232072" y="36644036"/>
          <a:chExt cx="5795281" cy="3031671"/>
        </a:xfrm>
      </xdr:grpSpPr>
      <xdr:pic>
        <xdr:nvPicPr>
          <xdr:cNvPr id="185" name="Picture 18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32072" y="36644036"/>
            <a:ext cx="1438275" cy="3028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6" name="Picture 18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647213" y="38862000"/>
            <a:ext cx="4378779" cy="81370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7" name="Picture 1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647214" y="38018356"/>
            <a:ext cx="4378779" cy="86133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8" name="Picture 18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47214" y="36644036"/>
            <a:ext cx="4380139" cy="13716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6</xdr:col>
      <xdr:colOff>476252</xdr:colOff>
      <xdr:row>144</xdr:row>
      <xdr:rowOff>149678</xdr:rowOff>
    </xdr:from>
    <xdr:to>
      <xdr:col>11</xdr:col>
      <xdr:colOff>435430</xdr:colOff>
      <xdr:row>164</xdr:row>
      <xdr:rowOff>54425</xdr:rowOff>
    </xdr:to>
    <xdr:grpSp>
      <xdr:nvGrpSpPr>
        <xdr:cNvPr id="192" name="Group 191"/>
        <xdr:cNvGrpSpPr/>
      </xdr:nvGrpSpPr>
      <xdr:grpSpPr>
        <a:xfrm>
          <a:off x="6232073" y="34630178"/>
          <a:ext cx="4857750" cy="4327068"/>
          <a:chOff x="6218464" y="33453184"/>
          <a:chExt cx="5810251" cy="1839662"/>
        </a:xfrm>
      </xdr:grpSpPr>
      <xdr:pic>
        <xdr:nvPicPr>
          <xdr:cNvPr id="190" name="Picture 18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18464" y="34453285"/>
            <a:ext cx="5810250" cy="83956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1" name="Picture 19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218465" y="33453184"/>
            <a:ext cx="5810250" cy="101237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6</xdr:col>
      <xdr:colOff>462645</xdr:colOff>
      <xdr:row>131</xdr:row>
      <xdr:rowOff>136070</xdr:rowOff>
    </xdr:from>
    <xdr:to>
      <xdr:col>11</xdr:col>
      <xdr:colOff>394609</xdr:colOff>
      <xdr:row>142</xdr:row>
      <xdr:rowOff>217715</xdr:rowOff>
    </xdr:to>
    <xdr:grpSp>
      <xdr:nvGrpSpPr>
        <xdr:cNvPr id="196" name="Group 195"/>
        <xdr:cNvGrpSpPr/>
      </xdr:nvGrpSpPr>
      <xdr:grpSpPr>
        <a:xfrm>
          <a:off x="6218466" y="31636606"/>
          <a:ext cx="4830536" cy="2612573"/>
          <a:chOff x="6218464" y="30221463"/>
          <a:chExt cx="5795282" cy="1660073"/>
        </a:xfrm>
      </xdr:grpSpPr>
      <xdr:pic>
        <xdr:nvPicPr>
          <xdr:cNvPr id="193" name="Picture 19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218464" y="30221465"/>
            <a:ext cx="1438275" cy="165598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4" name="Picture 193"/>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633607" y="30983464"/>
            <a:ext cx="4378779" cy="89807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5" name="Picture 194"/>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633607" y="30221463"/>
            <a:ext cx="4380139" cy="76744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0</xdr:col>
      <xdr:colOff>285749</xdr:colOff>
      <xdr:row>165</xdr:row>
      <xdr:rowOff>231320</xdr:rowOff>
    </xdr:from>
    <xdr:to>
      <xdr:col>5</xdr:col>
      <xdr:colOff>1442357</xdr:colOff>
      <xdr:row>176</xdr:row>
      <xdr:rowOff>244928</xdr:rowOff>
    </xdr:to>
    <xdr:pic>
      <xdr:nvPicPr>
        <xdr:cNvPr id="197" name="Picture 196"/>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5749" y="38780356"/>
          <a:ext cx="4953001" cy="2177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285750</xdr:colOff>
      <xdr:row>155</xdr:row>
      <xdr:rowOff>1</xdr:rowOff>
    </xdr:from>
    <xdr:to>
      <xdr:col>5</xdr:col>
      <xdr:colOff>1428750</xdr:colOff>
      <xdr:row>164</xdr:row>
      <xdr:rowOff>353787</xdr:rowOff>
    </xdr:to>
    <xdr:grpSp>
      <xdr:nvGrpSpPr>
        <xdr:cNvPr id="201" name="Group 200"/>
        <xdr:cNvGrpSpPr/>
      </xdr:nvGrpSpPr>
      <xdr:grpSpPr>
        <a:xfrm>
          <a:off x="285750" y="36888965"/>
          <a:ext cx="4939393" cy="2367643"/>
          <a:chOff x="285750" y="33323892"/>
          <a:chExt cx="5796644" cy="1488622"/>
        </a:xfrm>
      </xdr:grpSpPr>
      <xdr:pic>
        <xdr:nvPicPr>
          <xdr:cNvPr id="198" name="Picture 197"/>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85750" y="33323892"/>
            <a:ext cx="1436914" cy="148862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9" name="Picture 198"/>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700893" y="34140321"/>
            <a:ext cx="4381500" cy="66266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0" name="Picture 199"/>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00894" y="33323893"/>
            <a:ext cx="4381500" cy="86269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0</xdr:col>
      <xdr:colOff>299357</xdr:colOff>
      <xdr:row>145</xdr:row>
      <xdr:rowOff>2</xdr:rowOff>
    </xdr:from>
    <xdr:to>
      <xdr:col>5</xdr:col>
      <xdr:colOff>1455965</xdr:colOff>
      <xdr:row>153</xdr:row>
      <xdr:rowOff>87088</xdr:rowOff>
    </xdr:to>
    <xdr:pic>
      <xdr:nvPicPr>
        <xdr:cNvPr id="202" name="Picture 201"/>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99357" y="32888466"/>
          <a:ext cx="4953001" cy="1842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299359</xdr:colOff>
      <xdr:row>134</xdr:row>
      <xdr:rowOff>54428</xdr:rowOff>
    </xdr:from>
    <xdr:to>
      <xdr:col>5</xdr:col>
      <xdr:colOff>1483180</xdr:colOff>
      <xdr:row>140</xdr:row>
      <xdr:rowOff>197303</xdr:rowOff>
    </xdr:to>
    <xdr:pic>
      <xdr:nvPicPr>
        <xdr:cNvPr id="203" name="Picture 202"/>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99359" y="31391678"/>
          <a:ext cx="4980214" cy="1530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285751</xdr:colOff>
      <xdr:row>124</xdr:row>
      <xdr:rowOff>40822</xdr:rowOff>
    </xdr:from>
    <xdr:to>
      <xdr:col>5</xdr:col>
      <xdr:colOff>1469571</xdr:colOff>
      <xdr:row>131</xdr:row>
      <xdr:rowOff>0</xdr:rowOff>
    </xdr:to>
    <xdr:pic>
      <xdr:nvPicPr>
        <xdr:cNvPr id="204" name="Picture 203"/>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285751" y="29132893"/>
          <a:ext cx="4980213" cy="1510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123</xdr:row>
      <xdr:rowOff>136071</xdr:rowOff>
    </xdr:from>
    <xdr:to>
      <xdr:col>11</xdr:col>
      <xdr:colOff>367393</xdr:colOff>
      <xdr:row>130</xdr:row>
      <xdr:rowOff>111577</xdr:rowOff>
    </xdr:to>
    <xdr:pic>
      <xdr:nvPicPr>
        <xdr:cNvPr id="205" name="Picture 204"/>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232071" y="29024035"/>
          <a:ext cx="4789715" cy="1526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405193</xdr:colOff>
      <xdr:row>113</xdr:row>
      <xdr:rowOff>27211</xdr:rowOff>
    </xdr:from>
    <xdr:to>
      <xdr:col>11</xdr:col>
      <xdr:colOff>653143</xdr:colOff>
      <xdr:row>115</xdr:row>
      <xdr:rowOff>95248</xdr:rowOff>
    </xdr:to>
    <xdr:grpSp>
      <xdr:nvGrpSpPr>
        <xdr:cNvPr id="207" name="Group 206">
          <a:extLst>
            <a:ext uri="{FF2B5EF4-FFF2-40B4-BE49-F238E27FC236}">
              <a16:creationId xmlns:a16="http://schemas.microsoft.com/office/drawing/2014/main" xmlns="" id="{129906CF-0658-420B-B463-3B81235B0D11}"/>
            </a:ext>
          </a:extLst>
        </xdr:cNvPr>
        <xdr:cNvGrpSpPr/>
      </xdr:nvGrpSpPr>
      <xdr:grpSpPr>
        <a:xfrm rot="10800000">
          <a:off x="11059586" y="27527247"/>
          <a:ext cx="247950" cy="517072"/>
          <a:chOff x="1194406" y="32874856"/>
          <a:chExt cx="606586" cy="942183"/>
        </a:xfrm>
      </xdr:grpSpPr>
      <xdr:sp macro="" textlink="">
        <xdr:nvSpPr>
          <xdr:cNvPr id="208" name="Moon 207">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09" name="Oval 208">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476250</xdr:colOff>
      <xdr:row>106</xdr:row>
      <xdr:rowOff>204107</xdr:rowOff>
    </xdr:from>
    <xdr:to>
      <xdr:col>11</xdr:col>
      <xdr:colOff>381000</xdr:colOff>
      <xdr:row>123</xdr:row>
      <xdr:rowOff>0</xdr:rowOff>
    </xdr:to>
    <xdr:grpSp>
      <xdr:nvGrpSpPr>
        <xdr:cNvPr id="211" name="Group 210"/>
        <xdr:cNvGrpSpPr/>
      </xdr:nvGrpSpPr>
      <xdr:grpSpPr>
        <a:xfrm>
          <a:off x="6232071" y="26112107"/>
          <a:ext cx="4803322" cy="3633107"/>
          <a:chOff x="6232071" y="24492858"/>
          <a:chExt cx="4803322" cy="3088821"/>
        </a:xfrm>
      </xdr:grpSpPr>
      <xdr:pic>
        <xdr:nvPicPr>
          <xdr:cNvPr id="206" name="Picture 205"/>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232071" y="25908000"/>
            <a:ext cx="4803322" cy="167367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0" name="Picture 20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232071" y="24492858"/>
            <a:ext cx="4803322" cy="143963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0</xdr:col>
      <xdr:colOff>299357</xdr:colOff>
      <xdr:row>115</xdr:row>
      <xdr:rowOff>27215</xdr:rowOff>
    </xdr:from>
    <xdr:to>
      <xdr:col>5</xdr:col>
      <xdr:colOff>1483178</xdr:colOff>
      <xdr:row>123</xdr:row>
      <xdr:rowOff>153761</xdr:rowOff>
    </xdr:to>
    <xdr:pic>
      <xdr:nvPicPr>
        <xdr:cNvPr id="212" name="Picture 211"/>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99357" y="27119036"/>
          <a:ext cx="4980214" cy="1922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108</xdr:row>
      <xdr:rowOff>244926</xdr:rowOff>
    </xdr:from>
    <xdr:to>
      <xdr:col>0</xdr:col>
      <xdr:colOff>247950</xdr:colOff>
      <xdr:row>111</xdr:row>
      <xdr:rowOff>68035</xdr:rowOff>
    </xdr:to>
    <xdr:grpSp>
      <xdr:nvGrpSpPr>
        <xdr:cNvPr id="214" name="Group 213">
          <a:extLst>
            <a:ext uri="{FF2B5EF4-FFF2-40B4-BE49-F238E27FC236}">
              <a16:creationId xmlns:a16="http://schemas.microsoft.com/office/drawing/2014/main" xmlns="" id="{3BCB394B-241A-4581-BC5E-3DBD9D07A2BE}"/>
            </a:ext>
          </a:extLst>
        </xdr:cNvPr>
        <xdr:cNvGrpSpPr/>
      </xdr:nvGrpSpPr>
      <xdr:grpSpPr>
        <a:xfrm>
          <a:off x="0" y="26592437"/>
          <a:ext cx="247950" cy="526598"/>
          <a:chOff x="1194406" y="32874856"/>
          <a:chExt cx="606586" cy="942183"/>
        </a:xfrm>
      </xdr:grpSpPr>
      <xdr:sp macro="" textlink="">
        <xdr:nvSpPr>
          <xdr:cNvPr id="215" name="Moon 214">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16" name="Oval 215">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272143</xdr:colOff>
      <xdr:row>93</xdr:row>
      <xdr:rowOff>217713</xdr:rowOff>
    </xdr:from>
    <xdr:to>
      <xdr:col>5</xdr:col>
      <xdr:colOff>1455963</xdr:colOff>
      <xdr:row>105</xdr:row>
      <xdr:rowOff>44901</xdr:rowOff>
    </xdr:to>
    <xdr:pic>
      <xdr:nvPicPr>
        <xdr:cNvPr id="217" name="Picture 216"/>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72143" y="23186570"/>
          <a:ext cx="4980213" cy="2562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94</xdr:row>
      <xdr:rowOff>136070</xdr:rowOff>
    </xdr:from>
    <xdr:to>
      <xdr:col>11</xdr:col>
      <xdr:colOff>462644</xdr:colOff>
      <xdr:row>102</xdr:row>
      <xdr:rowOff>146956</xdr:rowOff>
    </xdr:to>
    <xdr:pic>
      <xdr:nvPicPr>
        <xdr:cNvPr id="218" name="Picture 217"/>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232071" y="23349856"/>
          <a:ext cx="4884966" cy="1807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476251</xdr:colOff>
      <xdr:row>82</xdr:row>
      <xdr:rowOff>40823</xdr:rowOff>
    </xdr:from>
    <xdr:to>
      <xdr:col>11</xdr:col>
      <xdr:colOff>449037</xdr:colOff>
      <xdr:row>91</xdr:row>
      <xdr:rowOff>1</xdr:rowOff>
    </xdr:to>
    <xdr:pic>
      <xdr:nvPicPr>
        <xdr:cNvPr id="220" name="Picture 219"/>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232072" y="21499287"/>
          <a:ext cx="4871358" cy="1918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71</xdr:row>
      <xdr:rowOff>54426</xdr:rowOff>
    </xdr:from>
    <xdr:to>
      <xdr:col>0</xdr:col>
      <xdr:colOff>247950</xdr:colOff>
      <xdr:row>73</xdr:row>
      <xdr:rowOff>122463</xdr:rowOff>
    </xdr:to>
    <xdr:grpSp>
      <xdr:nvGrpSpPr>
        <xdr:cNvPr id="221" name="Group 220">
          <a:extLst>
            <a:ext uri="{FF2B5EF4-FFF2-40B4-BE49-F238E27FC236}">
              <a16:creationId xmlns:a16="http://schemas.microsoft.com/office/drawing/2014/main" xmlns="" id="{3BCB394B-241A-4581-BC5E-3DBD9D07A2BE}"/>
            </a:ext>
          </a:extLst>
        </xdr:cNvPr>
        <xdr:cNvGrpSpPr/>
      </xdr:nvGrpSpPr>
      <xdr:grpSpPr>
        <a:xfrm>
          <a:off x="0" y="18124712"/>
          <a:ext cx="247950" cy="517072"/>
          <a:chOff x="1194406" y="32874856"/>
          <a:chExt cx="606586" cy="942183"/>
        </a:xfrm>
      </xdr:grpSpPr>
      <xdr:sp macro="" textlink="">
        <xdr:nvSpPr>
          <xdr:cNvPr id="222" name="Moon 221">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23" name="Oval 222">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476250</xdr:colOff>
      <xdr:row>68</xdr:row>
      <xdr:rowOff>13607</xdr:rowOff>
    </xdr:from>
    <xdr:to>
      <xdr:col>11</xdr:col>
      <xdr:colOff>435428</xdr:colOff>
      <xdr:row>78</xdr:row>
      <xdr:rowOff>108855</xdr:rowOff>
    </xdr:to>
    <xdr:pic>
      <xdr:nvPicPr>
        <xdr:cNvPr id="224" name="Picture 223"/>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32071" y="18288000"/>
          <a:ext cx="4857750" cy="234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391587</xdr:colOff>
      <xdr:row>72</xdr:row>
      <xdr:rowOff>140151</xdr:rowOff>
    </xdr:from>
    <xdr:to>
      <xdr:col>11</xdr:col>
      <xdr:colOff>639537</xdr:colOff>
      <xdr:row>74</xdr:row>
      <xdr:rowOff>217712</xdr:rowOff>
    </xdr:to>
    <xdr:grpSp>
      <xdr:nvGrpSpPr>
        <xdr:cNvPr id="225" name="Group 224">
          <a:extLst>
            <a:ext uri="{FF2B5EF4-FFF2-40B4-BE49-F238E27FC236}">
              <a16:creationId xmlns:a16="http://schemas.microsoft.com/office/drawing/2014/main" xmlns="" id="{129906CF-0658-420B-B463-3B81235B0D11}"/>
            </a:ext>
          </a:extLst>
        </xdr:cNvPr>
        <xdr:cNvGrpSpPr/>
      </xdr:nvGrpSpPr>
      <xdr:grpSpPr>
        <a:xfrm rot="10800000">
          <a:off x="11045980" y="18414544"/>
          <a:ext cx="247950" cy="526597"/>
          <a:chOff x="1194406" y="32874856"/>
          <a:chExt cx="606586" cy="942183"/>
        </a:xfrm>
      </xdr:grpSpPr>
      <xdr:sp macro="" textlink="">
        <xdr:nvSpPr>
          <xdr:cNvPr id="226" name="Moon 22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27" name="Oval 22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272144</xdr:colOff>
      <xdr:row>65</xdr:row>
      <xdr:rowOff>231320</xdr:rowOff>
    </xdr:from>
    <xdr:to>
      <xdr:col>5</xdr:col>
      <xdr:colOff>1415143</xdr:colOff>
      <xdr:row>79</xdr:row>
      <xdr:rowOff>168728</xdr:rowOff>
    </xdr:to>
    <xdr:grpSp>
      <xdr:nvGrpSpPr>
        <xdr:cNvPr id="231" name="Group 230"/>
        <xdr:cNvGrpSpPr/>
      </xdr:nvGrpSpPr>
      <xdr:grpSpPr>
        <a:xfrm>
          <a:off x="272144" y="16913677"/>
          <a:ext cx="4939392" cy="3121480"/>
          <a:chOff x="6232072" y="15022285"/>
          <a:chExt cx="5795282" cy="1801587"/>
        </a:xfrm>
      </xdr:grpSpPr>
      <xdr:pic>
        <xdr:nvPicPr>
          <xdr:cNvPr id="228" name="Picture 227"/>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232072" y="15022286"/>
            <a:ext cx="1438275" cy="180158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9" name="Picture 228"/>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7647215" y="15914603"/>
            <a:ext cx="4380139" cy="90759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0" name="Picture 229"/>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7647214" y="15022285"/>
            <a:ext cx="4378779" cy="90351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446015</xdr:colOff>
      <xdr:row>59</xdr:row>
      <xdr:rowOff>31296</xdr:rowOff>
    </xdr:from>
    <xdr:to>
      <xdr:col>12</xdr:col>
      <xdr:colOff>1</xdr:colOff>
      <xdr:row>61</xdr:row>
      <xdr:rowOff>108856</xdr:rowOff>
    </xdr:to>
    <xdr:grpSp>
      <xdr:nvGrpSpPr>
        <xdr:cNvPr id="232" name="Group 231">
          <a:extLst>
            <a:ext uri="{FF2B5EF4-FFF2-40B4-BE49-F238E27FC236}">
              <a16:creationId xmlns:a16="http://schemas.microsoft.com/office/drawing/2014/main" xmlns="" id="{129906CF-0658-420B-B463-3B81235B0D11}"/>
            </a:ext>
          </a:extLst>
        </xdr:cNvPr>
        <xdr:cNvGrpSpPr/>
      </xdr:nvGrpSpPr>
      <xdr:grpSpPr>
        <a:xfrm rot="10800000">
          <a:off x="11100408" y="15366546"/>
          <a:ext cx="247950" cy="526596"/>
          <a:chOff x="1194406" y="32874856"/>
          <a:chExt cx="606586" cy="942183"/>
        </a:xfrm>
      </xdr:grpSpPr>
      <xdr:sp macro="" textlink="">
        <xdr:nvSpPr>
          <xdr:cNvPr id="233" name="Moon 232">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34" name="Oval 233">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217715</xdr:colOff>
      <xdr:row>55</xdr:row>
      <xdr:rowOff>231320</xdr:rowOff>
    </xdr:from>
    <xdr:to>
      <xdr:col>5</xdr:col>
      <xdr:colOff>1415143</xdr:colOff>
      <xdr:row>65</xdr:row>
      <xdr:rowOff>47624</xdr:rowOff>
    </xdr:to>
    <xdr:pic>
      <xdr:nvPicPr>
        <xdr:cNvPr id="235" name="Picture 234"/>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17715" y="15525749"/>
          <a:ext cx="4993821" cy="2102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59</xdr:row>
      <xdr:rowOff>149676</xdr:rowOff>
    </xdr:from>
    <xdr:to>
      <xdr:col>0</xdr:col>
      <xdr:colOff>247950</xdr:colOff>
      <xdr:row>62</xdr:row>
      <xdr:rowOff>13606</xdr:rowOff>
    </xdr:to>
    <xdr:grpSp>
      <xdr:nvGrpSpPr>
        <xdr:cNvPr id="236" name="Group 235">
          <a:extLst>
            <a:ext uri="{FF2B5EF4-FFF2-40B4-BE49-F238E27FC236}">
              <a16:creationId xmlns:a16="http://schemas.microsoft.com/office/drawing/2014/main" xmlns="" id="{3BCB394B-241A-4581-BC5E-3DBD9D07A2BE}"/>
            </a:ext>
          </a:extLst>
        </xdr:cNvPr>
        <xdr:cNvGrpSpPr/>
      </xdr:nvGrpSpPr>
      <xdr:grpSpPr>
        <a:xfrm>
          <a:off x="0" y="15484926"/>
          <a:ext cx="247950" cy="517073"/>
          <a:chOff x="1194406" y="32874856"/>
          <a:chExt cx="606586" cy="942183"/>
        </a:xfrm>
      </xdr:grpSpPr>
      <xdr:sp macro="" textlink="">
        <xdr:nvSpPr>
          <xdr:cNvPr id="237" name="Moon 236">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38" name="Oval 237">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449037</xdr:colOff>
      <xdr:row>56</xdr:row>
      <xdr:rowOff>27214</xdr:rowOff>
    </xdr:from>
    <xdr:to>
      <xdr:col>11</xdr:col>
      <xdr:colOff>449036</xdr:colOff>
      <xdr:row>65</xdr:row>
      <xdr:rowOff>28575</xdr:rowOff>
    </xdr:to>
    <xdr:pic>
      <xdr:nvPicPr>
        <xdr:cNvPr id="239" name="Picture 238"/>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04858" y="15566571"/>
          <a:ext cx="4898571" cy="2042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40821</xdr:colOff>
      <xdr:row>49</xdr:row>
      <xdr:rowOff>85720</xdr:rowOff>
    </xdr:from>
    <xdr:to>
      <xdr:col>0</xdr:col>
      <xdr:colOff>288771</xdr:colOff>
      <xdr:row>51</xdr:row>
      <xdr:rowOff>122462</xdr:rowOff>
    </xdr:to>
    <xdr:grpSp>
      <xdr:nvGrpSpPr>
        <xdr:cNvPr id="241" name="Group 240">
          <a:extLst>
            <a:ext uri="{FF2B5EF4-FFF2-40B4-BE49-F238E27FC236}">
              <a16:creationId xmlns:a16="http://schemas.microsoft.com/office/drawing/2014/main" xmlns="" id="{3BCB394B-241A-4581-BC5E-3DBD9D07A2BE}"/>
            </a:ext>
          </a:extLst>
        </xdr:cNvPr>
        <xdr:cNvGrpSpPr/>
      </xdr:nvGrpSpPr>
      <xdr:grpSpPr>
        <a:xfrm>
          <a:off x="40821" y="13094149"/>
          <a:ext cx="247950" cy="526599"/>
          <a:chOff x="1194406" y="32874856"/>
          <a:chExt cx="606586" cy="942183"/>
        </a:xfrm>
      </xdr:grpSpPr>
      <xdr:sp macro="" textlink="">
        <xdr:nvSpPr>
          <xdr:cNvPr id="242" name="Moon 241">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43" name="Oval 242">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449036</xdr:colOff>
      <xdr:row>46</xdr:row>
      <xdr:rowOff>176893</xdr:rowOff>
    </xdr:from>
    <xdr:to>
      <xdr:col>11</xdr:col>
      <xdr:colOff>394606</xdr:colOff>
      <xdr:row>54</xdr:row>
      <xdr:rowOff>182336</xdr:rowOff>
    </xdr:to>
    <xdr:pic>
      <xdr:nvPicPr>
        <xdr:cNvPr id="244" name="Picture 243"/>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204857" y="13430250"/>
          <a:ext cx="4844142" cy="1801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418801</xdr:colOff>
      <xdr:row>49</xdr:row>
      <xdr:rowOff>44902</xdr:rowOff>
    </xdr:from>
    <xdr:to>
      <xdr:col>11</xdr:col>
      <xdr:colOff>666751</xdr:colOff>
      <xdr:row>51</xdr:row>
      <xdr:rowOff>81642</xdr:rowOff>
    </xdr:to>
    <xdr:grpSp>
      <xdr:nvGrpSpPr>
        <xdr:cNvPr id="245" name="Group 244">
          <a:extLst>
            <a:ext uri="{FF2B5EF4-FFF2-40B4-BE49-F238E27FC236}">
              <a16:creationId xmlns:a16="http://schemas.microsoft.com/office/drawing/2014/main" xmlns="" id="{129906CF-0658-420B-B463-3B81235B0D11}"/>
            </a:ext>
          </a:extLst>
        </xdr:cNvPr>
        <xdr:cNvGrpSpPr/>
      </xdr:nvGrpSpPr>
      <xdr:grpSpPr>
        <a:xfrm rot="10800000">
          <a:off x="11073194" y="13053331"/>
          <a:ext cx="247950" cy="526597"/>
          <a:chOff x="1194406" y="32874856"/>
          <a:chExt cx="606586" cy="942183"/>
        </a:xfrm>
      </xdr:grpSpPr>
      <xdr:sp macro="" textlink="">
        <xdr:nvSpPr>
          <xdr:cNvPr id="246" name="Moon 24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47" name="Oval 24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244928</xdr:colOff>
      <xdr:row>47</xdr:row>
      <xdr:rowOff>13607</xdr:rowOff>
    </xdr:from>
    <xdr:to>
      <xdr:col>5</xdr:col>
      <xdr:colOff>1442357</xdr:colOff>
      <xdr:row>54</xdr:row>
      <xdr:rowOff>176892</xdr:rowOff>
    </xdr:to>
    <xdr:pic>
      <xdr:nvPicPr>
        <xdr:cNvPr id="248" name="Picture 247"/>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244928" y="13511893"/>
          <a:ext cx="4993822"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418801</xdr:colOff>
      <xdr:row>40</xdr:row>
      <xdr:rowOff>126545</xdr:rowOff>
    </xdr:from>
    <xdr:to>
      <xdr:col>11</xdr:col>
      <xdr:colOff>666751</xdr:colOff>
      <xdr:row>43</xdr:row>
      <xdr:rowOff>-1</xdr:rowOff>
    </xdr:to>
    <xdr:grpSp>
      <xdr:nvGrpSpPr>
        <xdr:cNvPr id="249" name="Group 248">
          <a:extLst>
            <a:ext uri="{FF2B5EF4-FFF2-40B4-BE49-F238E27FC236}">
              <a16:creationId xmlns:a16="http://schemas.microsoft.com/office/drawing/2014/main" xmlns="" id="{129906CF-0658-420B-B463-3B81235B0D11}"/>
            </a:ext>
          </a:extLst>
        </xdr:cNvPr>
        <xdr:cNvGrpSpPr/>
      </xdr:nvGrpSpPr>
      <xdr:grpSpPr>
        <a:xfrm rot="10800000">
          <a:off x="11073194" y="11134724"/>
          <a:ext cx="247950" cy="526596"/>
          <a:chOff x="1194406" y="32874856"/>
          <a:chExt cx="606586" cy="942183"/>
        </a:xfrm>
      </xdr:grpSpPr>
      <xdr:sp macro="" textlink="">
        <xdr:nvSpPr>
          <xdr:cNvPr id="250" name="Moon 249">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51" name="Oval 250">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272143</xdr:colOff>
      <xdr:row>38</xdr:row>
      <xdr:rowOff>81643</xdr:rowOff>
    </xdr:from>
    <xdr:to>
      <xdr:col>5</xdr:col>
      <xdr:colOff>1469572</xdr:colOff>
      <xdr:row>46</xdr:row>
      <xdr:rowOff>28575</xdr:rowOff>
    </xdr:to>
    <xdr:pic>
      <xdr:nvPicPr>
        <xdr:cNvPr id="252" name="Picture 251"/>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72143" y="11538857"/>
          <a:ext cx="4993822"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40821</xdr:colOff>
      <xdr:row>41</xdr:row>
      <xdr:rowOff>99327</xdr:rowOff>
    </xdr:from>
    <xdr:to>
      <xdr:col>0</xdr:col>
      <xdr:colOff>288771</xdr:colOff>
      <xdr:row>43</xdr:row>
      <xdr:rowOff>176889</xdr:rowOff>
    </xdr:to>
    <xdr:grpSp>
      <xdr:nvGrpSpPr>
        <xdr:cNvPr id="253" name="Group 252">
          <a:extLst>
            <a:ext uri="{FF2B5EF4-FFF2-40B4-BE49-F238E27FC236}">
              <a16:creationId xmlns:a16="http://schemas.microsoft.com/office/drawing/2014/main" xmlns="" id="{3BCB394B-241A-4581-BC5E-3DBD9D07A2BE}"/>
            </a:ext>
          </a:extLst>
        </xdr:cNvPr>
        <xdr:cNvGrpSpPr/>
      </xdr:nvGrpSpPr>
      <xdr:grpSpPr>
        <a:xfrm>
          <a:off x="40821" y="11311613"/>
          <a:ext cx="247950" cy="526597"/>
          <a:chOff x="1194406" y="32874856"/>
          <a:chExt cx="606586" cy="942183"/>
        </a:xfrm>
      </xdr:grpSpPr>
      <xdr:sp macro="" textlink="">
        <xdr:nvSpPr>
          <xdr:cNvPr id="254" name="Moon 253">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55" name="Oval 254">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462644</xdr:colOff>
      <xdr:row>38</xdr:row>
      <xdr:rowOff>40821</xdr:rowOff>
    </xdr:from>
    <xdr:to>
      <xdr:col>11</xdr:col>
      <xdr:colOff>408214</xdr:colOff>
      <xdr:row>45</xdr:row>
      <xdr:rowOff>191860</xdr:rowOff>
    </xdr:to>
    <xdr:pic>
      <xdr:nvPicPr>
        <xdr:cNvPr id="256" name="Picture 255"/>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218465" y="11498035"/>
          <a:ext cx="4844142"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40821</xdr:colOff>
      <xdr:row>31</xdr:row>
      <xdr:rowOff>140148</xdr:rowOff>
    </xdr:from>
    <xdr:to>
      <xdr:col>0</xdr:col>
      <xdr:colOff>288771</xdr:colOff>
      <xdr:row>34</xdr:row>
      <xdr:rowOff>13604</xdr:rowOff>
    </xdr:to>
    <xdr:grpSp>
      <xdr:nvGrpSpPr>
        <xdr:cNvPr id="257" name="Group 256">
          <a:extLst>
            <a:ext uri="{FF2B5EF4-FFF2-40B4-BE49-F238E27FC236}">
              <a16:creationId xmlns:a16="http://schemas.microsoft.com/office/drawing/2014/main" xmlns="" id="{3BCB394B-241A-4581-BC5E-3DBD9D07A2BE}"/>
            </a:ext>
          </a:extLst>
        </xdr:cNvPr>
        <xdr:cNvGrpSpPr/>
      </xdr:nvGrpSpPr>
      <xdr:grpSpPr>
        <a:xfrm>
          <a:off x="40821" y="9107255"/>
          <a:ext cx="247950" cy="526599"/>
          <a:chOff x="1194406" y="32874856"/>
          <a:chExt cx="606586" cy="942183"/>
        </a:xfrm>
      </xdr:grpSpPr>
      <xdr:sp macro="" textlink="">
        <xdr:nvSpPr>
          <xdr:cNvPr id="258" name="Moon 257">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59" name="Oval 258">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6</xdr:col>
      <xdr:colOff>462644</xdr:colOff>
      <xdr:row>28</xdr:row>
      <xdr:rowOff>149678</xdr:rowOff>
    </xdr:from>
    <xdr:to>
      <xdr:col>11</xdr:col>
      <xdr:colOff>408214</xdr:colOff>
      <xdr:row>37</xdr:row>
      <xdr:rowOff>54429</xdr:rowOff>
    </xdr:to>
    <xdr:pic>
      <xdr:nvPicPr>
        <xdr:cNvPr id="260" name="Picture 259"/>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6218465" y="7769678"/>
          <a:ext cx="4844142" cy="19458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377979</xdr:colOff>
      <xdr:row>31</xdr:row>
      <xdr:rowOff>140154</xdr:rowOff>
    </xdr:from>
    <xdr:to>
      <xdr:col>11</xdr:col>
      <xdr:colOff>625929</xdr:colOff>
      <xdr:row>34</xdr:row>
      <xdr:rowOff>13608</xdr:rowOff>
    </xdr:to>
    <xdr:grpSp>
      <xdr:nvGrpSpPr>
        <xdr:cNvPr id="261" name="Group 260">
          <a:extLst>
            <a:ext uri="{FF2B5EF4-FFF2-40B4-BE49-F238E27FC236}">
              <a16:creationId xmlns:a16="http://schemas.microsoft.com/office/drawing/2014/main" xmlns="" id="{129906CF-0658-420B-B463-3B81235B0D11}"/>
            </a:ext>
          </a:extLst>
        </xdr:cNvPr>
        <xdr:cNvGrpSpPr/>
      </xdr:nvGrpSpPr>
      <xdr:grpSpPr>
        <a:xfrm rot="10800000">
          <a:off x="11032372" y="9107261"/>
          <a:ext cx="247950" cy="526597"/>
          <a:chOff x="1194406" y="32874856"/>
          <a:chExt cx="606586" cy="942183"/>
        </a:xfrm>
      </xdr:grpSpPr>
      <xdr:sp macro="" textlink="">
        <xdr:nvSpPr>
          <xdr:cNvPr id="262" name="Moon 261">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63" name="Oval 262">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258537</xdr:colOff>
      <xdr:row>29</xdr:row>
      <xdr:rowOff>68035</xdr:rowOff>
    </xdr:from>
    <xdr:to>
      <xdr:col>5</xdr:col>
      <xdr:colOff>1455964</xdr:colOff>
      <xdr:row>36</xdr:row>
      <xdr:rowOff>220434</xdr:rowOff>
    </xdr:to>
    <xdr:pic>
      <xdr:nvPicPr>
        <xdr:cNvPr id="264" name="Picture 263"/>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58537" y="9443356"/>
          <a:ext cx="4993820" cy="1744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391586</xdr:colOff>
      <xdr:row>19</xdr:row>
      <xdr:rowOff>153761</xdr:rowOff>
    </xdr:from>
    <xdr:to>
      <xdr:col>11</xdr:col>
      <xdr:colOff>639536</xdr:colOff>
      <xdr:row>21</xdr:row>
      <xdr:rowOff>231322</xdr:rowOff>
    </xdr:to>
    <xdr:grpSp>
      <xdr:nvGrpSpPr>
        <xdr:cNvPr id="265" name="Group 264">
          <a:extLst>
            <a:ext uri="{FF2B5EF4-FFF2-40B4-BE49-F238E27FC236}">
              <a16:creationId xmlns:a16="http://schemas.microsoft.com/office/drawing/2014/main" xmlns="" id="{129906CF-0658-420B-B463-3B81235B0D11}"/>
            </a:ext>
          </a:extLst>
        </xdr:cNvPr>
        <xdr:cNvGrpSpPr/>
      </xdr:nvGrpSpPr>
      <xdr:grpSpPr>
        <a:xfrm rot="10800000">
          <a:off x="11045979" y="6385832"/>
          <a:ext cx="247950" cy="526597"/>
          <a:chOff x="1194406" y="32874856"/>
          <a:chExt cx="606586" cy="942183"/>
        </a:xfrm>
      </xdr:grpSpPr>
      <xdr:sp macro="" textlink="">
        <xdr:nvSpPr>
          <xdr:cNvPr id="266" name="Moon 265">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67" name="Oval 266">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258536</xdr:colOff>
      <xdr:row>9</xdr:row>
      <xdr:rowOff>27214</xdr:rowOff>
    </xdr:from>
    <xdr:to>
      <xdr:col>5</xdr:col>
      <xdr:colOff>1415143</xdr:colOff>
      <xdr:row>27</xdr:row>
      <xdr:rowOff>189138</xdr:rowOff>
    </xdr:to>
    <xdr:grpSp>
      <xdr:nvGrpSpPr>
        <xdr:cNvPr id="270" name="Group 269"/>
        <xdr:cNvGrpSpPr/>
      </xdr:nvGrpSpPr>
      <xdr:grpSpPr>
        <a:xfrm>
          <a:off x="258536" y="4054928"/>
          <a:ext cx="4953000" cy="4162424"/>
          <a:chOff x="6218464" y="5578928"/>
          <a:chExt cx="5812972" cy="1645104"/>
        </a:xfrm>
      </xdr:grpSpPr>
      <xdr:pic>
        <xdr:nvPicPr>
          <xdr:cNvPr id="268" name="Picture 267"/>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6218464" y="6463393"/>
            <a:ext cx="5812972" cy="76063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69" name="Picture 268"/>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218464" y="5578928"/>
            <a:ext cx="5812972" cy="9144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6</xdr:col>
      <xdr:colOff>476252</xdr:colOff>
      <xdr:row>14</xdr:row>
      <xdr:rowOff>122466</xdr:rowOff>
    </xdr:from>
    <xdr:to>
      <xdr:col>11</xdr:col>
      <xdr:colOff>449035</xdr:colOff>
      <xdr:row>27</xdr:row>
      <xdr:rowOff>195945</xdr:rowOff>
    </xdr:to>
    <xdr:pic>
      <xdr:nvPicPr>
        <xdr:cNvPr id="271" name="Picture 270"/>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232073" y="6150430"/>
          <a:ext cx="4871355"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13608</xdr:colOff>
      <xdr:row>19</xdr:row>
      <xdr:rowOff>221791</xdr:rowOff>
    </xdr:from>
    <xdr:to>
      <xdr:col>0</xdr:col>
      <xdr:colOff>261558</xdr:colOff>
      <xdr:row>22</xdr:row>
      <xdr:rowOff>54425</xdr:rowOff>
    </xdr:to>
    <xdr:grpSp>
      <xdr:nvGrpSpPr>
        <xdr:cNvPr id="272" name="Group 271">
          <a:extLst>
            <a:ext uri="{FF2B5EF4-FFF2-40B4-BE49-F238E27FC236}">
              <a16:creationId xmlns:a16="http://schemas.microsoft.com/office/drawing/2014/main" xmlns="" id="{3BCB394B-241A-4581-BC5E-3DBD9D07A2BE}"/>
            </a:ext>
          </a:extLst>
        </xdr:cNvPr>
        <xdr:cNvGrpSpPr/>
      </xdr:nvGrpSpPr>
      <xdr:grpSpPr>
        <a:xfrm>
          <a:off x="13608" y="6453862"/>
          <a:ext cx="247950" cy="526599"/>
          <a:chOff x="1194406" y="32874856"/>
          <a:chExt cx="606586" cy="942183"/>
        </a:xfrm>
      </xdr:grpSpPr>
      <xdr:sp macro="" textlink="">
        <xdr:nvSpPr>
          <xdr:cNvPr id="273" name="Moon 272">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74" name="Oval 273">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0</xdr:col>
      <xdr:colOff>27214</xdr:colOff>
      <xdr:row>98</xdr:row>
      <xdr:rowOff>58509</xdr:rowOff>
    </xdr:from>
    <xdr:to>
      <xdr:col>0</xdr:col>
      <xdr:colOff>275164</xdr:colOff>
      <xdr:row>100</xdr:row>
      <xdr:rowOff>136071</xdr:rowOff>
    </xdr:to>
    <xdr:grpSp>
      <xdr:nvGrpSpPr>
        <xdr:cNvPr id="278" name="Group 277">
          <a:extLst>
            <a:ext uri="{FF2B5EF4-FFF2-40B4-BE49-F238E27FC236}">
              <a16:creationId xmlns:a16="http://schemas.microsoft.com/office/drawing/2014/main" xmlns="" id="{3BCB394B-241A-4581-BC5E-3DBD9D07A2BE}"/>
            </a:ext>
          </a:extLst>
        </xdr:cNvPr>
        <xdr:cNvGrpSpPr/>
      </xdr:nvGrpSpPr>
      <xdr:grpSpPr>
        <a:xfrm>
          <a:off x="27214" y="24170366"/>
          <a:ext cx="247950" cy="526598"/>
          <a:chOff x="1194406" y="32874856"/>
          <a:chExt cx="606586" cy="942183"/>
        </a:xfrm>
      </xdr:grpSpPr>
      <xdr:sp macro="" textlink="">
        <xdr:nvSpPr>
          <xdr:cNvPr id="279" name="Moon 278">
            <a:extLst>
              <a:ext uri="{FF2B5EF4-FFF2-40B4-BE49-F238E27FC236}">
                <a16:creationId xmlns:a16="http://schemas.microsoft.com/office/drawing/2014/main" xmlns="" id="{DC8E1526-1952-45DD-8531-43910A3275A7}"/>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80" name="Oval 279">
            <a:extLst>
              <a:ext uri="{FF2B5EF4-FFF2-40B4-BE49-F238E27FC236}">
                <a16:creationId xmlns:a16="http://schemas.microsoft.com/office/drawing/2014/main" xmlns="" id="{0F5A5023-6ED3-48DA-985B-B33339E186D1}"/>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editAs="oneCell">
    <xdr:from>
      <xdr:col>0</xdr:col>
      <xdr:colOff>299357</xdr:colOff>
      <xdr:row>105</xdr:row>
      <xdr:rowOff>108856</xdr:rowOff>
    </xdr:from>
    <xdr:to>
      <xdr:col>5</xdr:col>
      <xdr:colOff>1455964</xdr:colOff>
      <xdr:row>114</xdr:row>
      <xdr:rowOff>163286</xdr:rowOff>
    </xdr:to>
    <xdr:pic>
      <xdr:nvPicPr>
        <xdr:cNvPr id="281" name="Picture 280"/>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99357" y="26710820"/>
          <a:ext cx="4953000" cy="2095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432407</xdr:colOff>
      <xdr:row>85</xdr:row>
      <xdr:rowOff>4080</xdr:rowOff>
    </xdr:from>
    <xdr:to>
      <xdr:col>11</xdr:col>
      <xdr:colOff>680357</xdr:colOff>
      <xdr:row>87</xdr:row>
      <xdr:rowOff>81639</xdr:rowOff>
    </xdr:to>
    <xdr:grpSp>
      <xdr:nvGrpSpPr>
        <xdr:cNvPr id="282" name="Group 281">
          <a:extLst>
            <a:ext uri="{FF2B5EF4-FFF2-40B4-BE49-F238E27FC236}">
              <a16:creationId xmlns:a16="http://schemas.microsoft.com/office/drawing/2014/main" xmlns="" id="{129906CF-0658-420B-B463-3B81235B0D11}"/>
            </a:ext>
          </a:extLst>
        </xdr:cNvPr>
        <xdr:cNvGrpSpPr/>
      </xdr:nvGrpSpPr>
      <xdr:grpSpPr>
        <a:xfrm rot="10800000">
          <a:off x="11086800" y="21217616"/>
          <a:ext cx="247950" cy="526594"/>
          <a:chOff x="1194406" y="32874856"/>
          <a:chExt cx="606586" cy="942183"/>
        </a:xfrm>
      </xdr:grpSpPr>
      <xdr:sp macro="" textlink="">
        <xdr:nvSpPr>
          <xdr:cNvPr id="283" name="Moon 282">
            <a:extLst>
              <a:ext uri="{FF2B5EF4-FFF2-40B4-BE49-F238E27FC236}">
                <a16:creationId xmlns:a16="http://schemas.microsoft.com/office/drawing/2014/main" xmlns="" id="{E96879AE-70E3-4CA0-A6A7-FB27FE6F7108}"/>
              </a:ext>
            </a:extLst>
          </xdr:cNvPr>
          <xdr:cNvSpPr/>
        </xdr:nvSpPr>
        <xdr:spPr>
          <a:xfrm>
            <a:off x="1194406" y="32874856"/>
            <a:ext cx="606586" cy="942183"/>
          </a:xfrm>
          <a:prstGeom prst="mo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sp macro="" textlink="">
        <xdr:nvSpPr>
          <xdr:cNvPr id="284" name="Oval 283">
            <a:extLst>
              <a:ext uri="{FF2B5EF4-FFF2-40B4-BE49-F238E27FC236}">
                <a16:creationId xmlns:a16="http://schemas.microsoft.com/office/drawing/2014/main" xmlns="" id="{6A3451BF-7A7A-446A-9D2C-AC3C95707C38}"/>
              </a:ext>
            </a:extLst>
          </xdr:cNvPr>
          <xdr:cNvSpPr/>
        </xdr:nvSpPr>
        <xdr:spPr>
          <a:xfrm>
            <a:off x="1468215" y="33228348"/>
            <a:ext cx="253961" cy="2645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200"/>
          </a:p>
        </xdr:txBody>
      </xdr:sp>
    </xdr:grpSp>
    <xdr:clientData/>
  </xdr:twoCellAnchor>
  <xdr:twoCellAnchor>
    <xdr:from>
      <xdr:col>6</xdr:col>
      <xdr:colOff>20413</xdr:colOff>
      <xdr:row>118</xdr:row>
      <xdr:rowOff>34017</xdr:rowOff>
    </xdr:from>
    <xdr:to>
      <xdr:col>6</xdr:col>
      <xdr:colOff>428627</xdr:colOff>
      <xdr:row>121</xdr:row>
      <xdr:rowOff>74839</xdr:rowOff>
    </xdr:to>
    <xdr:sp macro="" textlink="">
      <xdr:nvSpPr>
        <xdr:cNvPr id="285" name="Right Arrow 284"/>
        <xdr:cNvSpPr/>
      </xdr:nvSpPr>
      <xdr:spPr>
        <a:xfrm rot="16200000">
          <a:off x="5633358" y="28819929"/>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34022</xdr:colOff>
      <xdr:row>111</xdr:row>
      <xdr:rowOff>6803</xdr:rowOff>
    </xdr:from>
    <xdr:to>
      <xdr:col>6</xdr:col>
      <xdr:colOff>442236</xdr:colOff>
      <xdr:row>114</xdr:row>
      <xdr:rowOff>6804</xdr:rowOff>
    </xdr:to>
    <xdr:sp macro="" textlink="">
      <xdr:nvSpPr>
        <xdr:cNvPr id="286" name="Right Arrow 285"/>
        <xdr:cNvSpPr/>
      </xdr:nvSpPr>
      <xdr:spPr>
        <a:xfrm rot="16200000">
          <a:off x="5646967" y="27200679"/>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1432848</xdr:colOff>
      <xdr:row>109</xdr:row>
      <xdr:rowOff>12463</xdr:rowOff>
    </xdr:from>
    <xdr:to>
      <xdr:col>5</xdr:col>
      <xdr:colOff>1841062</xdr:colOff>
      <xdr:row>116</xdr:row>
      <xdr:rowOff>159436</xdr:rowOff>
    </xdr:to>
    <xdr:sp macro="" textlink="">
      <xdr:nvSpPr>
        <xdr:cNvPr id="287" name="Right Arrow 286"/>
        <xdr:cNvSpPr/>
      </xdr:nvSpPr>
      <xdr:spPr>
        <a:xfrm rot="7743750">
          <a:off x="4563843" y="27279825"/>
          <a:ext cx="1739009"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1462772</xdr:colOff>
      <xdr:row>106</xdr:row>
      <xdr:rowOff>74838</xdr:rowOff>
    </xdr:from>
    <xdr:to>
      <xdr:col>5</xdr:col>
      <xdr:colOff>1870986</xdr:colOff>
      <xdr:row>109</xdr:row>
      <xdr:rowOff>74839</xdr:rowOff>
    </xdr:to>
    <xdr:sp macro="" textlink="">
      <xdr:nvSpPr>
        <xdr:cNvPr id="288" name="Right Arrow 287"/>
        <xdr:cNvSpPr/>
      </xdr:nvSpPr>
      <xdr:spPr>
        <a:xfrm rot="16200000">
          <a:off x="5116289" y="26125714"/>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1462773</xdr:colOff>
      <xdr:row>98</xdr:row>
      <xdr:rowOff>47624</xdr:rowOff>
    </xdr:from>
    <xdr:to>
      <xdr:col>5</xdr:col>
      <xdr:colOff>1870987</xdr:colOff>
      <xdr:row>101</xdr:row>
      <xdr:rowOff>47625</xdr:rowOff>
    </xdr:to>
    <xdr:sp macro="" textlink="">
      <xdr:nvSpPr>
        <xdr:cNvPr id="289" name="Right Arrow 288"/>
        <xdr:cNvSpPr/>
      </xdr:nvSpPr>
      <xdr:spPr>
        <a:xfrm rot="16200000">
          <a:off x="5116290" y="24302357"/>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1605645</xdr:colOff>
      <xdr:row>95</xdr:row>
      <xdr:rowOff>217715</xdr:rowOff>
    </xdr:from>
    <xdr:to>
      <xdr:col>6</xdr:col>
      <xdr:colOff>340181</xdr:colOff>
      <xdr:row>97</xdr:row>
      <xdr:rowOff>176894</xdr:rowOff>
    </xdr:to>
    <xdr:sp macro="" textlink="">
      <xdr:nvSpPr>
        <xdr:cNvPr id="290" name="Right Arrow 289"/>
        <xdr:cNvSpPr/>
      </xdr:nvSpPr>
      <xdr:spPr>
        <a:xfrm>
          <a:off x="5402038" y="23635608"/>
          <a:ext cx="693964" cy="408215"/>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1605645</xdr:colOff>
      <xdr:row>85</xdr:row>
      <xdr:rowOff>68036</xdr:rowOff>
    </xdr:from>
    <xdr:to>
      <xdr:col>6</xdr:col>
      <xdr:colOff>340181</xdr:colOff>
      <xdr:row>87</xdr:row>
      <xdr:rowOff>27216</xdr:rowOff>
    </xdr:to>
    <xdr:sp macro="" textlink="">
      <xdr:nvSpPr>
        <xdr:cNvPr id="291" name="Right Arrow 290"/>
        <xdr:cNvSpPr/>
      </xdr:nvSpPr>
      <xdr:spPr>
        <a:xfrm>
          <a:off x="5402038" y="21281572"/>
          <a:ext cx="693964" cy="408215"/>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34023</xdr:colOff>
      <xdr:row>73</xdr:row>
      <xdr:rowOff>142875</xdr:rowOff>
    </xdr:from>
    <xdr:to>
      <xdr:col>6</xdr:col>
      <xdr:colOff>442237</xdr:colOff>
      <xdr:row>76</xdr:row>
      <xdr:rowOff>183697</xdr:rowOff>
    </xdr:to>
    <xdr:sp macro="" textlink="">
      <xdr:nvSpPr>
        <xdr:cNvPr id="292" name="Right Arrow 291"/>
        <xdr:cNvSpPr/>
      </xdr:nvSpPr>
      <xdr:spPr>
        <a:xfrm rot="16200000">
          <a:off x="5646968" y="18805072"/>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86</xdr:row>
      <xdr:rowOff>27214</xdr:rowOff>
    </xdr:from>
    <xdr:to>
      <xdr:col>17</xdr:col>
      <xdr:colOff>81643</xdr:colOff>
      <xdr:row>87</xdr:row>
      <xdr:rowOff>190500</xdr:rowOff>
    </xdr:to>
    <xdr:sp macro="" textlink="">
      <xdr:nvSpPr>
        <xdr:cNvPr id="293" name="Right Arrow 292"/>
        <xdr:cNvSpPr/>
      </xdr:nvSpPr>
      <xdr:spPr>
        <a:xfrm rot="10800000">
          <a:off x="13797643" y="21444857"/>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1455964</xdr:colOff>
      <xdr:row>71</xdr:row>
      <xdr:rowOff>40819</xdr:rowOff>
    </xdr:from>
    <xdr:to>
      <xdr:col>6</xdr:col>
      <xdr:colOff>190500</xdr:colOff>
      <xdr:row>72</xdr:row>
      <xdr:rowOff>244926</xdr:rowOff>
    </xdr:to>
    <xdr:sp macro="" textlink="">
      <xdr:nvSpPr>
        <xdr:cNvPr id="294" name="Right Arrow 293"/>
        <xdr:cNvSpPr/>
      </xdr:nvSpPr>
      <xdr:spPr>
        <a:xfrm rot="10800000">
          <a:off x="5252357" y="18111105"/>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489857</xdr:colOff>
      <xdr:row>56</xdr:row>
      <xdr:rowOff>81642</xdr:rowOff>
    </xdr:from>
    <xdr:to>
      <xdr:col>15</xdr:col>
      <xdr:colOff>571500</xdr:colOff>
      <xdr:row>58</xdr:row>
      <xdr:rowOff>40821</xdr:rowOff>
    </xdr:to>
    <xdr:sp macro="" textlink="">
      <xdr:nvSpPr>
        <xdr:cNvPr id="295" name="Right Arrow 294"/>
        <xdr:cNvSpPr/>
      </xdr:nvSpPr>
      <xdr:spPr>
        <a:xfrm>
          <a:off x="13062857" y="14722928"/>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142876</xdr:colOff>
      <xdr:row>55</xdr:row>
      <xdr:rowOff>238123</xdr:rowOff>
    </xdr:from>
    <xdr:to>
      <xdr:col>14</xdr:col>
      <xdr:colOff>551090</xdr:colOff>
      <xdr:row>58</xdr:row>
      <xdr:rowOff>238124</xdr:rowOff>
    </xdr:to>
    <xdr:sp macro="" textlink="">
      <xdr:nvSpPr>
        <xdr:cNvPr id="296" name="Right Arrow 295"/>
        <xdr:cNvSpPr/>
      </xdr:nvSpPr>
      <xdr:spPr>
        <a:xfrm rot="16200000">
          <a:off x="12573000" y="14777356"/>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108857</xdr:colOff>
      <xdr:row>60</xdr:row>
      <xdr:rowOff>81642</xdr:rowOff>
    </xdr:from>
    <xdr:to>
      <xdr:col>16</xdr:col>
      <xdr:colOff>190499</xdr:colOff>
      <xdr:row>62</xdr:row>
      <xdr:rowOff>40820</xdr:rowOff>
    </xdr:to>
    <xdr:sp macro="" textlink="">
      <xdr:nvSpPr>
        <xdr:cNvPr id="297" name="Right Arrow 296"/>
        <xdr:cNvSpPr/>
      </xdr:nvSpPr>
      <xdr:spPr>
        <a:xfrm rot="10800000">
          <a:off x="13294178" y="15620999"/>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1462769</xdr:colOff>
      <xdr:row>61</xdr:row>
      <xdr:rowOff>34016</xdr:rowOff>
    </xdr:from>
    <xdr:to>
      <xdr:col>5</xdr:col>
      <xdr:colOff>1870983</xdr:colOff>
      <xdr:row>64</xdr:row>
      <xdr:rowOff>34017</xdr:rowOff>
    </xdr:to>
    <xdr:sp macro="" textlink="">
      <xdr:nvSpPr>
        <xdr:cNvPr id="298" name="Right Arrow 297"/>
        <xdr:cNvSpPr/>
      </xdr:nvSpPr>
      <xdr:spPr>
        <a:xfrm rot="16200000">
          <a:off x="5116286" y="15961178"/>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1605645</xdr:colOff>
      <xdr:row>58</xdr:row>
      <xdr:rowOff>163287</xdr:rowOff>
    </xdr:from>
    <xdr:to>
      <xdr:col>6</xdr:col>
      <xdr:colOff>340181</xdr:colOff>
      <xdr:row>60</xdr:row>
      <xdr:rowOff>122466</xdr:rowOff>
    </xdr:to>
    <xdr:sp macro="" textlink="">
      <xdr:nvSpPr>
        <xdr:cNvPr id="299" name="Right Arrow 298"/>
        <xdr:cNvSpPr/>
      </xdr:nvSpPr>
      <xdr:spPr>
        <a:xfrm>
          <a:off x="5402038" y="15253608"/>
          <a:ext cx="693964" cy="408215"/>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6803</xdr:colOff>
      <xdr:row>51</xdr:row>
      <xdr:rowOff>102055</xdr:rowOff>
    </xdr:from>
    <xdr:to>
      <xdr:col>6</xdr:col>
      <xdr:colOff>700767</xdr:colOff>
      <xdr:row>53</xdr:row>
      <xdr:rowOff>61234</xdr:rowOff>
    </xdr:to>
    <xdr:sp macro="" textlink="">
      <xdr:nvSpPr>
        <xdr:cNvPr id="302" name="Right Arrow 301"/>
        <xdr:cNvSpPr/>
      </xdr:nvSpPr>
      <xdr:spPr>
        <a:xfrm rot="18947092">
          <a:off x="5762624" y="13600341"/>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1537608</xdr:colOff>
      <xdr:row>50</xdr:row>
      <xdr:rowOff>40821</xdr:rowOff>
    </xdr:from>
    <xdr:to>
      <xdr:col>5</xdr:col>
      <xdr:colOff>1945822</xdr:colOff>
      <xdr:row>53</xdr:row>
      <xdr:rowOff>40822</xdr:rowOff>
    </xdr:to>
    <xdr:sp macro="" textlink="">
      <xdr:nvSpPr>
        <xdr:cNvPr id="303" name="Right Arrow 302"/>
        <xdr:cNvSpPr/>
      </xdr:nvSpPr>
      <xdr:spPr>
        <a:xfrm rot="13547092">
          <a:off x="5191125" y="13437054"/>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1462770</xdr:colOff>
      <xdr:row>41</xdr:row>
      <xdr:rowOff>47624</xdr:rowOff>
    </xdr:from>
    <xdr:to>
      <xdr:col>5</xdr:col>
      <xdr:colOff>1870984</xdr:colOff>
      <xdr:row>44</xdr:row>
      <xdr:rowOff>47625</xdr:rowOff>
    </xdr:to>
    <xdr:sp macro="" textlink="">
      <xdr:nvSpPr>
        <xdr:cNvPr id="304" name="Right Arrow 303"/>
        <xdr:cNvSpPr/>
      </xdr:nvSpPr>
      <xdr:spPr>
        <a:xfrm rot="16200000">
          <a:off x="5116287" y="11402786"/>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6807</xdr:colOff>
      <xdr:row>41</xdr:row>
      <xdr:rowOff>47624</xdr:rowOff>
    </xdr:from>
    <xdr:to>
      <xdr:col>6</xdr:col>
      <xdr:colOff>415021</xdr:colOff>
      <xdr:row>44</xdr:row>
      <xdr:rowOff>47625</xdr:rowOff>
    </xdr:to>
    <xdr:sp macro="" textlink="">
      <xdr:nvSpPr>
        <xdr:cNvPr id="305" name="Right Arrow 304"/>
        <xdr:cNvSpPr/>
      </xdr:nvSpPr>
      <xdr:spPr>
        <a:xfrm rot="16200000">
          <a:off x="5619752" y="11402786"/>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6808</xdr:colOff>
      <xdr:row>32</xdr:row>
      <xdr:rowOff>88446</xdr:rowOff>
    </xdr:from>
    <xdr:to>
      <xdr:col>6</xdr:col>
      <xdr:colOff>415022</xdr:colOff>
      <xdr:row>35</xdr:row>
      <xdr:rowOff>88446</xdr:rowOff>
    </xdr:to>
    <xdr:sp macro="" textlink="">
      <xdr:nvSpPr>
        <xdr:cNvPr id="306" name="Right Arrow 305"/>
        <xdr:cNvSpPr/>
      </xdr:nvSpPr>
      <xdr:spPr>
        <a:xfrm rot="16200000">
          <a:off x="5619753" y="9402536"/>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1537607</xdr:colOff>
      <xdr:row>30</xdr:row>
      <xdr:rowOff>231321</xdr:rowOff>
    </xdr:from>
    <xdr:to>
      <xdr:col>6</xdr:col>
      <xdr:colOff>272143</xdr:colOff>
      <xdr:row>32</xdr:row>
      <xdr:rowOff>190500</xdr:rowOff>
    </xdr:to>
    <xdr:sp macro="" textlink="">
      <xdr:nvSpPr>
        <xdr:cNvPr id="307" name="Right Arrow 306"/>
        <xdr:cNvSpPr/>
      </xdr:nvSpPr>
      <xdr:spPr>
        <a:xfrm rot="10800000">
          <a:off x="5334000" y="8953500"/>
          <a:ext cx="693964"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1462771</xdr:colOff>
      <xdr:row>22</xdr:row>
      <xdr:rowOff>20410</xdr:rowOff>
    </xdr:from>
    <xdr:to>
      <xdr:col>5</xdr:col>
      <xdr:colOff>1870985</xdr:colOff>
      <xdr:row>25</xdr:row>
      <xdr:rowOff>61232</xdr:rowOff>
    </xdr:to>
    <xdr:sp macro="" textlink="">
      <xdr:nvSpPr>
        <xdr:cNvPr id="308" name="Right Arrow 307"/>
        <xdr:cNvSpPr/>
      </xdr:nvSpPr>
      <xdr:spPr>
        <a:xfrm rot="16200000">
          <a:off x="5116288" y="7089322"/>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1462772</xdr:colOff>
      <xdr:row>14</xdr:row>
      <xdr:rowOff>102053</xdr:rowOff>
    </xdr:from>
    <xdr:to>
      <xdr:col>5</xdr:col>
      <xdr:colOff>1870986</xdr:colOff>
      <xdr:row>17</xdr:row>
      <xdr:rowOff>142875</xdr:rowOff>
    </xdr:to>
    <xdr:sp macro="" textlink="">
      <xdr:nvSpPr>
        <xdr:cNvPr id="309" name="Right Arrow 308"/>
        <xdr:cNvSpPr/>
      </xdr:nvSpPr>
      <xdr:spPr>
        <a:xfrm rot="16200000">
          <a:off x="5116289" y="5374822"/>
          <a:ext cx="693965"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95836</xdr:colOff>
      <xdr:row>12</xdr:row>
      <xdr:rowOff>240842</xdr:rowOff>
    </xdr:from>
    <xdr:to>
      <xdr:col>6</xdr:col>
      <xdr:colOff>504050</xdr:colOff>
      <xdr:row>19</xdr:row>
      <xdr:rowOff>224690</xdr:rowOff>
    </xdr:to>
    <xdr:sp macro="" textlink="">
      <xdr:nvSpPr>
        <xdr:cNvPr id="310" name="Right Arrow 309"/>
        <xdr:cNvSpPr/>
      </xdr:nvSpPr>
      <xdr:spPr>
        <a:xfrm rot="3190796">
          <a:off x="5288233" y="5485123"/>
          <a:ext cx="1535062" cy="408214"/>
        </a:xfrm>
        <a:prstGeom prst="right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258535</xdr:colOff>
      <xdr:row>79</xdr:row>
      <xdr:rowOff>217714</xdr:rowOff>
    </xdr:from>
    <xdr:to>
      <xdr:col>5</xdr:col>
      <xdr:colOff>1415143</xdr:colOff>
      <xdr:row>92</xdr:row>
      <xdr:rowOff>176893</xdr:rowOff>
    </xdr:to>
    <xdr:pic>
      <xdr:nvPicPr>
        <xdr:cNvPr id="177" name="Picture 176"/>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58535" y="20084143"/>
          <a:ext cx="4953001"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34570</xdr:colOff>
      <xdr:row>46</xdr:row>
      <xdr:rowOff>406684</xdr:rowOff>
    </xdr:from>
    <xdr:to>
      <xdr:col>17</xdr:col>
      <xdr:colOff>929919</xdr:colOff>
      <xdr:row>52</xdr:row>
      <xdr:rowOff>181938</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95251</xdr:colOff>
      <xdr:row>1</xdr:row>
      <xdr:rowOff>66675</xdr:rowOff>
    </xdr:from>
    <xdr:to>
      <xdr:col>2</xdr:col>
      <xdr:colOff>684945</xdr:colOff>
      <xdr:row>1</xdr:row>
      <xdr:rowOff>447675</xdr:rowOff>
    </xdr:to>
    <xdr:pic>
      <xdr:nvPicPr>
        <xdr:cNvPr id="3" name="Picture 1" descr="Logo BITG">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6" y="24765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738455</xdr:colOff>
      <xdr:row>1</xdr:row>
      <xdr:rowOff>117725</xdr:rowOff>
    </xdr:from>
    <xdr:ext cx="3891706" cy="291234"/>
    <xdr:sp macro="" textlink="">
      <xdr:nvSpPr>
        <xdr:cNvPr id="4" name="TextBox 3">
          <a:extLst>
            <a:ext uri="{FF2B5EF4-FFF2-40B4-BE49-F238E27FC236}">
              <a16:creationId xmlns="" xmlns:a16="http://schemas.microsoft.com/office/drawing/2014/main" id="{00000000-0008-0000-0100-000005000000}"/>
            </a:ext>
          </a:extLst>
        </xdr:cNvPr>
        <xdr:cNvSpPr txBox="1"/>
      </xdr:nvSpPr>
      <xdr:spPr>
        <a:xfrm>
          <a:off x="1052780" y="298700"/>
          <a:ext cx="389170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1100" b="1">
              <a:latin typeface="Arial Black" panose="020B0A04020102020204" pitchFamily="34" charset="0"/>
            </a:rPr>
            <a:t>BODYNITS INTERNATIONAL TIEN GIANG (BITG)</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xdr:col>
      <xdr:colOff>34570</xdr:colOff>
      <xdr:row>47</xdr:row>
      <xdr:rowOff>406684</xdr:rowOff>
    </xdr:from>
    <xdr:to>
      <xdr:col>17</xdr:col>
      <xdr:colOff>929919</xdr:colOff>
      <xdr:row>53</xdr:row>
      <xdr:rowOff>181938</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95251</xdr:colOff>
      <xdr:row>1</xdr:row>
      <xdr:rowOff>66675</xdr:rowOff>
    </xdr:from>
    <xdr:to>
      <xdr:col>2</xdr:col>
      <xdr:colOff>684945</xdr:colOff>
      <xdr:row>1</xdr:row>
      <xdr:rowOff>447675</xdr:rowOff>
    </xdr:to>
    <xdr:pic>
      <xdr:nvPicPr>
        <xdr:cNvPr id="3" name="Picture 1" descr="Logo BITG">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6" y="247650"/>
          <a:ext cx="58969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738455</xdr:colOff>
      <xdr:row>1</xdr:row>
      <xdr:rowOff>117725</xdr:rowOff>
    </xdr:from>
    <xdr:ext cx="3891706" cy="291234"/>
    <xdr:sp macro="" textlink="">
      <xdr:nvSpPr>
        <xdr:cNvPr id="4" name="TextBox 3">
          <a:extLst>
            <a:ext uri="{FF2B5EF4-FFF2-40B4-BE49-F238E27FC236}">
              <a16:creationId xmlns="" xmlns:a16="http://schemas.microsoft.com/office/drawing/2014/main" id="{00000000-0008-0000-0100-000005000000}"/>
            </a:ext>
          </a:extLst>
        </xdr:cNvPr>
        <xdr:cNvSpPr txBox="1"/>
      </xdr:nvSpPr>
      <xdr:spPr>
        <a:xfrm>
          <a:off x="1052780" y="298700"/>
          <a:ext cx="389170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1100" b="1">
              <a:latin typeface="Arial Black" panose="020B0A04020102020204" pitchFamily="34" charset="0"/>
            </a:rPr>
            <a:t>BODYNITS INTERNATIONAL TIEN GIANG (BITG)</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hoe.PDCBODYNITS/Desktop/REVA215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racking Per  milestone"/>
      <sheetName val="Cut"/>
      <sheetName val="HT"/>
      <sheetName val="Draft Template "/>
      <sheetName val="Draft Template"/>
      <sheetName val="Meeting Sample"/>
      <sheetName val="BSD Template"/>
      <sheetName val="Draft Template ( 1st proto )"/>
      <sheetName val="Operation Breakdown"/>
      <sheetName val="Mapping "/>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5">
          <cell r="B15">
            <v>1</v>
          </cell>
        </row>
        <row r="16">
          <cell r="B16">
            <v>2</v>
          </cell>
        </row>
        <row r="17">
          <cell r="B17">
            <v>3</v>
          </cell>
        </row>
        <row r="18">
          <cell r="B18">
            <v>4</v>
          </cell>
        </row>
        <row r="19">
          <cell r="B19">
            <v>5</v>
          </cell>
        </row>
        <row r="20">
          <cell r="B20">
            <v>6</v>
          </cell>
        </row>
        <row r="21">
          <cell r="B21">
            <v>7</v>
          </cell>
        </row>
        <row r="22">
          <cell r="B22">
            <v>8</v>
          </cell>
        </row>
        <row r="23">
          <cell r="B23">
            <v>9</v>
          </cell>
        </row>
        <row r="24">
          <cell r="B24">
            <v>10</v>
          </cell>
        </row>
        <row r="25">
          <cell r="B25">
            <v>11</v>
          </cell>
        </row>
        <row r="26">
          <cell r="B26">
            <v>12</v>
          </cell>
        </row>
        <row r="27">
          <cell r="B27">
            <v>13</v>
          </cell>
        </row>
        <row r="28">
          <cell r="B28">
            <v>14</v>
          </cell>
        </row>
        <row r="30">
          <cell r="B30">
            <v>15</v>
          </cell>
        </row>
        <row r="31">
          <cell r="B31">
            <v>16</v>
          </cell>
        </row>
        <row r="32">
          <cell r="B32">
            <v>17</v>
          </cell>
        </row>
        <row r="33">
          <cell r="B33">
            <v>18</v>
          </cell>
        </row>
        <row r="34">
          <cell r="B34">
            <v>19</v>
          </cell>
        </row>
        <row r="35">
          <cell r="B35">
            <v>20</v>
          </cell>
        </row>
        <row r="37">
          <cell r="B37">
            <v>21</v>
          </cell>
        </row>
        <row r="38">
          <cell r="B38">
            <v>22</v>
          </cell>
        </row>
        <row r="39">
          <cell r="B39">
            <v>23</v>
          </cell>
        </row>
        <row r="40">
          <cell r="B40">
            <v>24</v>
          </cell>
        </row>
        <row r="41">
          <cell r="B41">
            <v>25</v>
          </cell>
        </row>
        <row r="42">
          <cell r="B42">
            <v>26</v>
          </cell>
        </row>
        <row r="43">
          <cell r="B43">
            <v>27</v>
          </cell>
        </row>
        <row r="44">
          <cell r="B44">
            <v>28</v>
          </cell>
        </row>
        <row r="45">
          <cell r="B45">
            <v>29</v>
          </cell>
        </row>
        <row r="46">
          <cell r="B46">
            <v>30</v>
          </cell>
        </row>
        <row r="48">
          <cell r="B48">
            <v>31</v>
          </cell>
        </row>
        <row r="49">
          <cell r="B49">
            <v>32</v>
          </cell>
        </row>
        <row r="50">
          <cell r="B50">
            <v>33</v>
          </cell>
        </row>
        <row r="51">
          <cell r="B51">
            <v>34</v>
          </cell>
        </row>
        <row r="52">
          <cell r="B52">
            <v>35</v>
          </cell>
        </row>
        <row r="53">
          <cell r="B53">
            <v>36</v>
          </cell>
        </row>
        <row r="54">
          <cell r="B54">
            <v>37</v>
          </cell>
        </row>
        <row r="55">
          <cell r="B55">
            <v>38</v>
          </cell>
        </row>
        <row r="56">
          <cell r="B56">
            <v>39</v>
          </cell>
        </row>
        <row r="57">
          <cell r="B57">
            <v>40</v>
          </cell>
        </row>
        <row r="58">
          <cell r="B58">
            <v>41</v>
          </cell>
        </row>
        <row r="59">
          <cell r="B59">
            <v>42</v>
          </cell>
        </row>
        <row r="60">
          <cell r="B60">
            <v>43</v>
          </cell>
        </row>
        <row r="61">
          <cell r="B61">
            <v>44</v>
          </cell>
        </row>
        <row r="62">
          <cell r="B62">
            <v>45</v>
          </cell>
        </row>
        <row r="63">
          <cell r="B63">
            <v>46</v>
          </cell>
        </row>
        <row r="64">
          <cell r="B64">
            <v>47</v>
          </cell>
        </row>
        <row r="65">
          <cell r="B65">
            <v>48</v>
          </cell>
        </row>
        <row r="66">
          <cell r="B66">
            <v>49</v>
          </cell>
        </row>
        <row r="67">
          <cell r="B67">
            <v>50</v>
          </cell>
        </row>
        <row r="68">
          <cell r="B68">
            <v>51</v>
          </cell>
        </row>
        <row r="69">
          <cell r="B69">
            <v>52</v>
          </cell>
        </row>
        <row r="70">
          <cell r="B70">
            <v>53</v>
          </cell>
        </row>
        <row r="71">
          <cell r="B71">
            <v>54</v>
          </cell>
        </row>
      </sheetData>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workbookViewId="0">
      <selection activeCell="H2" sqref="H2"/>
    </sheetView>
  </sheetViews>
  <sheetFormatPr defaultRowHeight="13.2"/>
  <cols>
    <col min="1" max="1" width="8.88671875" style="368"/>
    <col min="2" max="2" width="42.88671875" style="368" customWidth="1"/>
    <col min="3" max="16384" width="8.88671875" style="368"/>
  </cols>
  <sheetData>
    <row r="1" spans="1:4" ht="28.2" customHeight="1">
      <c r="A1" s="369">
        <v>1</v>
      </c>
      <c r="B1" s="370" t="s">
        <v>227</v>
      </c>
      <c r="C1" s="377">
        <v>0.63939999999999997</v>
      </c>
      <c r="D1" s="378"/>
    </row>
    <row r="2" spans="1:4" ht="28.2" customHeight="1">
      <c r="A2" s="369">
        <v>2</v>
      </c>
      <c r="B2" s="370" t="s">
        <v>228</v>
      </c>
      <c r="C2" s="377">
        <v>0.3548</v>
      </c>
      <c r="D2" s="378"/>
    </row>
    <row r="3" spans="1:4" ht="28.2" customHeight="1">
      <c r="A3" s="369">
        <v>3</v>
      </c>
      <c r="B3" s="370" t="s">
        <v>229</v>
      </c>
      <c r="C3" s="377">
        <v>0.28799999999999998</v>
      </c>
      <c r="D3" s="378"/>
    </row>
    <row r="4" spans="1:4" ht="28.2" customHeight="1">
      <c r="A4" s="369">
        <v>4</v>
      </c>
      <c r="B4" s="370" t="s">
        <v>230</v>
      </c>
      <c r="C4" s="377">
        <v>0.625</v>
      </c>
      <c r="D4" s="378"/>
    </row>
    <row r="5" spans="1:4" ht="28.2" customHeight="1">
      <c r="A5" s="369">
        <v>5</v>
      </c>
      <c r="B5" s="370" t="s">
        <v>231</v>
      </c>
      <c r="C5" s="377">
        <v>0.50890000000000002</v>
      </c>
      <c r="D5" s="378"/>
    </row>
    <row r="6" spans="1:4" ht="28.2" customHeight="1">
      <c r="A6" s="369">
        <v>6</v>
      </c>
      <c r="B6" s="370" t="s">
        <v>232</v>
      </c>
      <c r="C6" s="377">
        <v>0.31369999999999998</v>
      </c>
      <c r="D6" s="378"/>
    </row>
    <row r="7" spans="1:4" ht="28.8" customHeight="1">
      <c r="A7" s="369">
        <v>7</v>
      </c>
      <c r="B7" s="370" t="s">
        <v>233</v>
      </c>
      <c r="C7" s="377">
        <f>0.4459+0.3464</f>
        <v>0.7923</v>
      </c>
      <c r="D7" s="378"/>
    </row>
    <row r="8" spans="1:4" ht="28.8" customHeight="1">
      <c r="A8" s="369">
        <v>8</v>
      </c>
      <c r="B8" s="370" t="s">
        <v>234</v>
      </c>
      <c r="C8" s="377">
        <v>0.32719999999999999</v>
      </c>
      <c r="D8" s="378"/>
    </row>
    <row r="9" spans="1:4" ht="28.2" customHeight="1">
      <c r="A9" s="369">
        <v>9</v>
      </c>
      <c r="B9" s="370" t="s">
        <v>265</v>
      </c>
      <c r="C9" s="377">
        <v>0.217</v>
      </c>
      <c r="D9" s="378"/>
    </row>
    <row r="10" spans="1:4" ht="28.8" customHeight="1">
      <c r="A10" s="369">
        <v>10</v>
      </c>
      <c r="B10" s="370" t="s">
        <v>266</v>
      </c>
      <c r="C10" s="377">
        <f>0.3322+0.4339</f>
        <v>0.7661</v>
      </c>
      <c r="D10" s="378"/>
    </row>
    <row r="11" spans="1:4" ht="28.2" customHeight="1">
      <c r="A11" s="369">
        <v>11</v>
      </c>
      <c r="B11" s="371" t="s">
        <v>238</v>
      </c>
      <c r="C11" s="377">
        <v>1.117</v>
      </c>
      <c r="D11" s="378"/>
    </row>
    <row r="12" spans="1:4" ht="28.2" customHeight="1">
      <c r="A12" s="369">
        <v>12</v>
      </c>
      <c r="B12" s="372" t="s">
        <v>259</v>
      </c>
      <c r="C12" s="377">
        <v>0.21929999999999999</v>
      </c>
      <c r="D12" s="378"/>
    </row>
    <row r="13" spans="1:4" ht="28.2" customHeight="1">
      <c r="A13" s="369">
        <v>13</v>
      </c>
      <c r="B13" s="372" t="s">
        <v>267</v>
      </c>
      <c r="C13" s="377">
        <v>0.47589999999999999</v>
      </c>
      <c r="D13" s="378"/>
    </row>
    <row r="14" spans="1:4" ht="28.2" customHeight="1">
      <c r="A14" s="369">
        <v>14</v>
      </c>
      <c r="B14" s="372" t="s">
        <v>268</v>
      </c>
      <c r="C14" s="377">
        <v>0.21929999999999999</v>
      </c>
      <c r="D14" s="378"/>
    </row>
    <row r="15" spans="1:4" ht="28.2" customHeight="1">
      <c r="A15" s="369">
        <v>15</v>
      </c>
      <c r="B15" s="372" t="s">
        <v>269</v>
      </c>
      <c r="C15" s="377">
        <v>0.66180000000000005</v>
      </c>
      <c r="D15" s="378"/>
    </row>
    <row r="16" spans="1:4" ht="28.2" customHeight="1">
      <c r="A16" s="369">
        <v>16</v>
      </c>
      <c r="B16" s="372" t="s">
        <v>270</v>
      </c>
      <c r="C16" s="377">
        <v>0.52139999999999997</v>
      </c>
      <c r="D16" s="378"/>
    </row>
    <row r="17" spans="1:4" ht="28.8" customHeight="1">
      <c r="A17" s="369">
        <v>17</v>
      </c>
      <c r="B17" s="372" t="s">
        <v>271</v>
      </c>
      <c r="C17" s="377">
        <v>0.7923</v>
      </c>
      <c r="D17" s="378"/>
    </row>
    <row r="18" spans="1:4" ht="28.2" customHeight="1">
      <c r="A18" s="369">
        <v>18</v>
      </c>
      <c r="B18" s="372" t="s">
        <v>264</v>
      </c>
      <c r="C18" s="377">
        <f>0.231+0.4788</f>
        <v>0.70979999999999999</v>
      </c>
      <c r="D18" s="378"/>
    </row>
    <row r="19" spans="1:4" ht="28.8" customHeight="1">
      <c r="A19" s="369">
        <v>19</v>
      </c>
      <c r="B19" s="372" t="s">
        <v>272</v>
      </c>
      <c r="C19" s="377">
        <f>0.7773+0.2531</f>
        <v>1.0304</v>
      </c>
      <c r="D19" s="378"/>
    </row>
    <row r="20" spans="1:4" ht="28.8" customHeight="1">
      <c r="A20" s="369">
        <v>20</v>
      </c>
      <c r="B20" s="370" t="s">
        <v>260</v>
      </c>
      <c r="C20" s="377">
        <v>0.70609999999999995</v>
      </c>
      <c r="D20" s="378"/>
    </row>
    <row r="21" spans="1:4" ht="28.8" customHeight="1">
      <c r="A21" s="369">
        <v>21</v>
      </c>
      <c r="B21" s="370" t="s">
        <v>261</v>
      </c>
      <c r="C21" s="377">
        <v>0.55259999999999998</v>
      </c>
      <c r="D21" s="378"/>
    </row>
    <row r="22" spans="1:4" ht="28.8" customHeight="1">
      <c r="A22" s="369">
        <v>22</v>
      </c>
      <c r="B22" s="370" t="s">
        <v>262</v>
      </c>
      <c r="C22" s="377">
        <v>0.78939999999999999</v>
      </c>
      <c r="D22" s="378"/>
    </row>
    <row r="23" spans="1:4" ht="28.2" customHeight="1">
      <c r="A23" s="369">
        <v>23</v>
      </c>
      <c r="B23" s="370" t="s">
        <v>236</v>
      </c>
      <c r="C23" s="377">
        <v>0.17860000000000001</v>
      </c>
      <c r="D23" s="378"/>
    </row>
    <row r="24" spans="1:4" ht="28.2" customHeight="1">
      <c r="A24" s="369">
        <v>24</v>
      </c>
      <c r="B24" s="370" t="s">
        <v>237</v>
      </c>
      <c r="C24" s="377">
        <v>0.27260000000000001</v>
      </c>
      <c r="D24" s="378"/>
    </row>
    <row r="25" spans="1:4" ht="28.2" customHeight="1">
      <c r="A25" s="369">
        <v>25</v>
      </c>
      <c r="B25" s="370" t="s">
        <v>263</v>
      </c>
      <c r="C25" s="377">
        <v>0.72440000000000004</v>
      </c>
      <c r="D25" s="378"/>
    </row>
    <row r="26" spans="1:4" ht="28.2" customHeight="1">
      <c r="A26" s="369">
        <v>26</v>
      </c>
      <c r="B26" s="370" t="s">
        <v>239</v>
      </c>
      <c r="C26" s="377">
        <v>0.9002</v>
      </c>
      <c r="D26" s="378"/>
    </row>
    <row r="27" spans="1:4" ht="28.2" customHeight="1">
      <c r="A27" s="369">
        <v>27</v>
      </c>
      <c r="B27" s="370" t="s">
        <v>240</v>
      </c>
      <c r="C27" s="377">
        <v>0.51839999999999997</v>
      </c>
      <c r="D27" s="378"/>
    </row>
    <row r="28" spans="1:4" ht="28.2" customHeight="1">
      <c r="A28" s="369">
        <v>28</v>
      </c>
      <c r="B28" s="370" t="s">
        <v>241</v>
      </c>
      <c r="C28" s="377">
        <v>0.39100000000000001</v>
      </c>
      <c r="D28" s="378"/>
    </row>
    <row r="29" spans="1:4" ht="28.2" customHeight="1">
      <c r="A29" s="369">
        <v>29</v>
      </c>
      <c r="B29" s="370" t="s">
        <v>242</v>
      </c>
      <c r="C29" s="377">
        <v>0.69330000000000003</v>
      </c>
      <c r="D29" s="378"/>
    </row>
    <row r="30" spans="1:4" ht="28.2" customHeight="1">
      <c r="A30" s="369">
        <v>30</v>
      </c>
      <c r="B30" s="370" t="s">
        <v>243</v>
      </c>
      <c r="C30" s="377">
        <v>0.50029999999999997</v>
      </c>
      <c r="D30" s="378"/>
    </row>
    <row r="31" spans="1:4" ht="28.2" customHeight="1">
      <c r="A31" s="369">
        <v>31</v>
      </c>
      <c r="B31" s="370" t="s">
        <v>244</v>
      </c>
      <c r="C31" s="377">
        <f>0.2328+1.3199+0.3942</f>
        <v>1.9469000000000003</v>
      </c>
      <c r="D31" s="378"/>
    </row>
    <row r="32" spans="1:4" ht="28.2" customHeight="1">
      <c r="A32" s="369">
        <v>32</v>
      </c>
      <c r="B32" s="370" t="s">
        <v>245</v>
      </c>
      <c r="C32" s="377">
        <v>0.57050000000000001</v>
      </c>
      <c r="D32" s="378"/>
    </row>
    <row r="33" spans="1:4" ht="28.2" customHeight="1">
      <c r="A33" s="369">
        <v>33</v>
      </c>
      <c r="B33" s="370" t="s">
        <v>246</v>
      </c>
      <c r="C33" s="377">
        <v>0.83320000000000005</v>
      </c>
      <c r="D33" s="378"/>
    </row>
    <row r="34" spans="1:4" ht="28.2" customHeight="1">
      <c r="A34" s="373">
        <v>34</v>
      </c>
      <c r="B34" s="374" t="s">
        <v>247</v>
      </c>
      <c r="C34" s="379">
        <v>0.35410000000000003</v>
      </c>
      <c r="D34" s="380"/>
    </row>
    <row r="35" spans="1:4" ht="28.2" customHeight="1">
      <c r="A35" s="369">
        <v>35</v>
      </c>
      <c r="B35" s="370" t="s">
        <v>248</v>
      </c>
      <c r="C35" s="377">
        <v>0.34639999999999999</v>
      </c>
      <c r="D35" s="378"/>
    </row>
    <row r="36" spans="1:4" ht="28.2" customHeight="1">
      <c r="A36" s="369">
        <v>36</v>
      </c>
      <c r="B36" s="370" t="s">
        <v>249</v>
      </c>
      <c r="C36" s="377">
        <v>0.68920000000000003</v>
      </c>
      <c r="D36" s="378"/>
    </row>
    <row r="37" spans="1:4" ht="28.2" customHeight="1">
      <c r="A37" s="369">
        <v>37</v>
      </c>
      <c r="B37" s="370" t="s">
        <v>250</v>
      </c>
      <c r="C37" s="377">
        <v>0.7288</v>
      </c>
      <c r="D37" s="378"/>
    </row>
    <row r="38" spans="1:4" ht="28.2" customHeight="1">
      <c r="A38" s="369">
        <v>38</v>
      </c>
      <c r="B38" s="375" t="s">
        <v>252</v>
      </c>
      <c r="C38" s="377">
        <v>1.3359000000000001</v>
      </c>
      <c r="D38" s="378"/>
    </row>
    <row r="39" spans="1:4" ht="28.2" customHeight="1">
      <c r="A39" s="369">
        <v>39</v>
      </c>
      <c r="B39" s="375" t="s">
        <v>251</v>
      </c>
      <c r="C39" s="377">
        <v>1.847</v>
      </c>
      <c r="D39" s="378"/>
    </row>
    <row r="40" spans="1:4" ht="28.2" customHeight="1">
      <c r="A40" s="369">
        <v>40</v>
      </c>
      <c r="B40" s="370" t="s">
        <v>253</v>
      </c>
      <c r="C40" s="377">
        <v>0.79549999999999998</v>
      </c>
      <c r="D40" s="378"/>
    </row>
    <row r="41" spans="1:4" ht="28.2" customHeight="1">
      <c r="A41" s="369">
        <v>41</v>
      </c>
      <c r="B41" s="370" t="s">
        <v>254</v>
      </c>
      <c r="C41" s="377">
        <v>0.7036</v>
      </c>
      <c r="D41" s="378"/>
    </row>
    <row r="42" spans="1:4" ht="28.2" customHeight="1">
      <c r="A42" s="369">
        <v>42</v>
      </c>
      <c r="B42" s="376" t="s">
        <v>255</v>
      </c>
      <c r="C42" s="377">
        <v>0.67479999999999996</v>
      </c>
      <c r="D42" s="378"/>
    </row>
    <row r="43" spans="1:4" ht="28.2" customHeight="1">
      <c r="A43" s="369">
        <v>43</v>
      </c>
      <c r="B43" s="375" t="s">
        <v>256</v>
      </c>
      <c r="C43" s="377">
        <v>0.30959999999999999</v>
      </c>
      <c r="D43" s="378"/>
    </row>
    <row r="44" spans="1:4" ht="28.2" customHeight="1">
      <c r="A44" s="369">
        <v>44</v>
      </c>
      <c r="B44" s="370" t="s">
        <v>257</v>
      </c>
      <c r="C44" s="377">
        <v>0.2243</v>
      </c>
      <c r="D44" s="378"/>
    </row>
    <row r="45" spans="1:4" ht="28.2" customHeight="1">
      <c r="A45" s="369">
        <v>45</v>
      </c>
      <c r="B45" s="370" t="s">
        <v>258</v>
      </c>
      <c r="C45" s="377">
        <f>0.3796+0.6041+0.2243</f>
        <v>1.208</v>
      </c>
      <c r="D45" s="378"/>
    </row>
    <row r="46" spans="1:4" ht="28.2" customHeight="1">
      <c r="A46" s="369">
        <v>46</v>
      </c>
      <c r="B46" s="370" t="s">
        <v>235</v>
      </c>
      <c r="C46" s="377">
        <v>0.12540000000000001</v>
      </c>
      <c r="D46" s="378"/>
    </row>
  </sheetData>
  <autoFilter ref="A1:A46"/>
  <mergeCells count="46">
    <mergeCell ref="C5:D5"/>
    <mergeCell ref="C6:D6"/>
    <mergeCell ref="C7:D7"/>
    <mergeCell ref="C4:D4"/>
    <mergeCell ref="C1:D1"/>
    <mergeCell ref="C2:D2"/>
    <mergeCell ref="C3:D3"/>
    <mergeCell ref="C10:D10"/>
    <mergeCell ref="C11:D11"/>
    <mergeCell ref="C12:D12"/>
    <mergeCell ref="C8:D8"/>
    <mergeCell ref="C9:D9"/>
    <mergeCell ref="C16:D16"/>
    <mergeCell ref="C17:D17"/>
    <mergeCell ref="C18:D18"/>
    <mergeCell ref="C13:D13"/>
    <mergeCell ref="C14:D14"/>
    <mergeCell ref="C15:D15"/>
    <mergeCell ref="C22:D22"/>
    <mergeCell ref="C23:D23"/>
    <mergeCell ref="C19:D19"/>
    <mergeCell ref="C20:D20"/>
    <mergeCell ref="C21:D21"/>
    <mergeCell ref="C27:D27"/>
    <mergeCell ref="C28:D28"/>
    <mergeCell ref="C29:D29"/>
    <mergeCell ref="C24:D24"/>
    <mergeCell ref="C25:D25"/>
    <mergeCell ref="C26:D26"/>
    <mergeCell ref="C33:D33"/>
    <mergeCell ref="C34:D34"/>
    <mergeCell ref="C35:D35"/>
    <mergeCell ref="C30:D30"/>
    <mergeCell ref="C31:D31"/>
    <mergeCell ref="C32:D32"/>
    <mergeCell ref="C39:D39"/>
    <mergeCell ref="C40:D40"/>
    <mergeCell ref="C41:D41"/>
    <mergeCell ref="C36:D36"/>
    <mergeCell ref="C37:D37"/>
    <mergeCell ref="C38:D38"/>
    <mergeCell ref="C45:D45"/>
    <mergeCell ref="C46:D46"/>
    <mergeCell ref="C42:D42"/>
    <mergeCell ref="C43:D43"/>
    <mergeCell ref="C44:D4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P68"/>
  <sheetViews>
    <sheetView view="pageBreakPreview" zoomScale="89" zoomScaleNormal="95" zoomScaleSheetLayoutView="89" workbookViewId="0">
      <selection activeCell="G10" sqref="G10:G11"/>
    </sheetView>
  </sheetViews>
  <sheetFormatPr defaultColWidth="9.109375" defaultRowHeight="17.399999999999999"/>
  <cols>
    <col min="1" max="1" width="1.6640625" style="211" customWidth="1"/>
    <col min="2" max="2" width="3" style="211" customWidth="1"/>
    <col min="3" max="3" width="14.33203125" style="212" customWidth="1"/>
    <col min="4" max="4" width="21.88671875" style="212" customWidth="1"/>
    <col min="5" max="5" width="16.33203125" style="212" customWidth="1"/>
    <col min="6" max="6" width="8.33203125" style="212" customWidth="1"/>
    <col min="7" max="7" width="13.109375" style="212" customWidth="1"/>
    <col min="8" max="9" width="28.33203125" style="212" customWidth="1"/>
    <col min="10" max="10" width="14.5546875" style="212" hidden="1" customWidth="1"/>
    <col min="11" max="11" width="8.88671875" style="212" customWidth="1"/>
    <col min="12" max="12" width="10.5546875" style="213" customWidth="1"/>
    <col min="13" max="13" width="16.109375" style="212" customWidth="1"/>
    <col min="14" max="14" width="16.33203125" style="212" customWidth="1"/>
    <col min="15" max="15" width="12.109375" style="212" customWidth="1"/>
    <col min="16" max="16" width="15.44140625" style="212" customWidth="1"/>
    <col min="17" max="16384" width="9.109375" style="212"/>
  </cols>
  <sheetData>
    <row r="1" spans="1:16" ht="14.25" customHeight="1" thickBot="1"/>
    <row r="2" spans="1:16" ht="42.75" customHeight="1" thickBot="1">
      <c r="C2" s="214"/>
      <c r="D2" s="215"/>
      <c r="E2" s="215"/>
      <c r="F2" s="215"/>
      <c r="G2" s="215"/>
      <c r="H2" s="276"/>
      <c r="I2" s="511" t="s">
        <v>25</v>
      </c>
      <c r="J2" s="511"/>
      <c r="K2" s="511"/>
      <c r="L2" s="511"/>
      <c r="M2" s="511"/>
      <c r="N2" s="511"/>
      <c r="O2" s="511"/>
      <c r="P2" s="512"/>
    </row>
    <row r="3" spans="1:16" s="224" customFormat="1" ht="13.8">
      <c r="A3" s="217"/>
      <c r="B3" s="217"/>
      <c r="C3" s="218" t="s">
        <v>0</v>
      </c>
      <c r="D3" s="513">
        <v>44341</v>
      </c>
      <c r="E3" s="514"/>
      <c r="F3" s="514"/>
      <c r="G3" s="515"/>
      <c r="H3" s="219" t="s">
        <v>1</v>
      </c>
      <c r="I3" s="220">
        <f>293/9.6</f>
        <v>30.520833333333336</v>
      </c>
      <c r="J3" s="221"/>
      <c r="K3" s="516" t="s">
        <v>2</v>
      </c>
      <c r="L3" s="517"/>
      <c r="M3" s="518"/>
      <c r="N3" s="222">
        <f>3600/I3</f>
        <v>117.95221843003412</v>
      </c>
      <c r="O3" s="219" t="s">
        <v>3</v>
      </c>
      <c r="P3" s="223">
        <f>MAX(L10:L52)</f>
        <v>108.49411764705883</v>
      </c>
    </row>
    <row r="4" spans="1:16" s="224" customFormat="1" ht="13.8">
      <c r="A4" s="217"/>
      <c r="B4" s="217"/>
      <c r="C4" s="225" t="s">
        <v>4</v>
      </c>
      <c r="D4" s="519">
        <v>221433</v>
      </c>
      <c r="E4" s="520"/>
      <c r="F4" s="520"/>
      <c r="G4" s="521"/>
      <c r="H4" s="30" t="s">
        <v>5</v>
      </c>
      <c r="I4" s="226">
        <f>3600/P3</f>
        <v>33.181522446324003</v>
      </c>
      <c r="J4" s="227"/>
      <c r="K4" s="522" t="s">
        <v>6</v>
      </c>
      <c r="L4" s="523"/>
      <c r="M4" s="524"/>
      <c r="N4" s="1">
        <f>I4/D6</f>
        <v>0.60056712209932772</v>
      </c>
      <c r="O4" s="228" t="s">
        <v>7</v>
      </c>
      <c r="P4" s="2">
        <f>N5/N6</f>
        <v>0.53156374706363874</v>
      </c>
    </row>
    <row r="5" spans="1:16" s="224" customFormat="1" ht="13.8">
      <c r="A5" s="217"/>
      <c r="B5" s="217"/>
      <c r="C5" s="225" t="s">
        <v>8</v>
      </c>
      <c r="D5" s="519"/>
      <c r="E5" s="520"/>
      <c r="F5" s="520"/>
      <c r="G5" s="521"/>
      <c r="H5" s="31" t="s">
        <v>9</v>
      </c>
      <c r="I5" s="229" t="s">
        <v>280</v>
      </c>
      <c r="J5" s="230">
        <f>+I5/60</f>
        <v>0.48868500000000004</v>
      </c>
      <c r="K5" s="519" t="s">
        <v>10</v>
      </c>
      <c r="L5" s="520"/>
      <c r="M5" s="520"/>
      <c r="N5" s="228">
        <f>SUM(L10:L52)</f>
        <v>1557.1315721925139</v>
      </c>
      <c r="O5" s="228" t="s">
        <v>11</v>
      </c>
      <c r="P5" s="231">
        <f>I4/I6</f>
        <v>1.2289452757897779</v>
      </c>
    </row>
    <row r="6" spans="1:16" s="224" customFormat="1" ht="13.8">
      <c r="A6" s="217"/>
      <c r="B6" s="217"/>
      <c r="C6" s="225" t="s">
        <v>12</v>
      </c>
      <c r="D6" s="525">
        <f>(60/I5)*I6</f>
        <v>55.250314619847131</v>
      </c>
      <c r="E6" s="526"/>
      <c r="F6" s="526"/>
      <c r="G6" s="527"/>
      <c r="H6" s="31" t="s">
        <v>13</v>
      </c>
      <c r="I6" s="232">
        <f>D53</f>
        <v>27</v>
      </c>
      <c r="J6" s="226">
        <f>60/J5*I6*0.65</f>
        <v>2154.7622701740383</v>
      </c>
      <c r="K6" s="519" t="s">
        <v>14</v>
      </c>
      <c r="L6" s="520"/>
      <c r="M6" s="521"/>
      <c r="N6" s="228">
        <f>P3*I6</f>
        <v>2929.3411764705884</v>
      </c>
      <c r="O6" s="228"/>
      <c r="P6" s="231"/>
    </row>
    <row r="7" spans="1:16" ht="12.75" customHeight="1">
      <c r="C7" s="528" t="s">
        <v>15</v>
      </c>
      <c r="D7" s="530" t="s">
        <v>16</v>
      </c>
      <c r="E7" s="530" t="s">
        <v>24</v>
      </c>
      <c r="F7" s="532" t="s">
        <v>31</v>
      </c>
      <c r="G7" s="533"/>
      <c r="H7" s="536" t="s">
        <v>17</v>
      </c>
      <c r="I7" s="536"/>
      <c r="J7" s="538" t="s">
        <v>18</v>
      </c>
      <c r="K7" s="530" t="s">
        <v>19</v>
      </c>
      <c r="L7" s="530"/>
      <c r="M7" s="530" t="s">
        <v>20</v>
      </c>
      <c r="N7" s="530" t="s">
        <v>11</v>
      </c>
      <c r="O7" s="548" t="s">
        <v>21</v>
      </c>
      <c r="P7" s="550" t="s">
        <v>22</v>
      </c>
    </row>
    <row r="8" spans="1:16" ht="13.2">
      <c r="C8" s="528"/>
      <c r="D8" s="530"/>
      <c r="E8" s="530"/>
      <c r="F8" s="534"/>
      <c r="G8" s="535"/>
      <c r="H8" s="536"/>
      <c r="I8" s="536"/>
      <c r="J8" s="538"/>
      <c r="K8" s="530"/>
      <c r="L8" s="530"/>
      <c r="M8" s="530"/>
      <c r="N8" s="530"/>
      <c r="O8" s="549"/>
      <c r="P8" s="551"/>
    </row>
    <row r="9" spans="1:16" ht="14.7" customHeight="1">
      <c r="C9" s="529"/>
      <c r="D9" s="531"/>
      <c r="E9" s="531"/>
      <c r="F9" s="233" t="s">
        <v>32</v>
      </c>
      <c r="G9" s="233" t="s">
        <v>28</v>
      </c>
      <c r="H9" s="537"/>
      <c r="I9" s="537"/>
      <c r="J9" s="539"/>
      <c r="K9" s="531"/>
      <c r="L9" s="531"/>
      <c r="M9" s="531"/>
      <c r="N9" s="531"/>
      <c r="O9" s="549"/>
      <c r="P9" s="551"/>
    </row>
    <row r="10" spans="1:16" s="240" customFormat="1" ht="104.25" customHeight="1" thickBot="1">
      <c r="A10" s="234">
        <f t="shared" ref="A10:A51" si="0">$P$3</f>
        <v>108.49411764705883</v>
      </c>
      <c r="B10" s="235">
        <f t="shared" ref="B10:B51" si="1">$N$3</f>
        <v>117.95221843003412</v>
      </c>
      <c r="C10" s="289" t="s">
        <v>289</v>
      </c>
      <c r="D10" s="542">
        <v>1</v>
      </c>
      <c r="E10" s="289"/>
      <c r="F10" s="544" t="s">
        <v>294</v>
      </c>
      <c r="G10" s="544" t="s">
        <v>293</v>
      </c>
      <c r="H10" s="540" t="s">
        <v>291</v>
      </c>
      <c r="I10" s="541"/>
      <c r="J10" s="236"/>
      <c r="K10" s="257">
        <f>1.9469/2</f>
        <v>0.97345000000000004</v>
      </c>
      <c r="L10" s="552">
        <f>((K10*60)/0.75)+((K11*60)/0.75)</f>
        <v>104.05200000000001</v>
      </c>
      <c r="M10" s="58">
        <f t="shared" ref="M10" si="2">IF(L10=0,"",L10/$P$3)</f>
        <v>0.95905660377358493</v>
      </c>
      <c r="N10" s="238">
        <f t="shared" ref="N10" si="3">IF(L10=0,"",3600/L10)</f>
        <v>34.598085572598315</v>
      </c>
      <c r="O10" s="239">
        <f t="shared" ref="O10" si="4">3600/L10</f>
        <v>34.598085572598315</v>
      </c>
      <c r="P10" s="239">
        <f t="shared" ref="P10" si="5">+O10</f>
        <v>34.598085572598315</v>
      </c>
    </row>
    <row r="11" spans="1:16" s="240" customFormat="1" ht="99" customHeight="1" thickBot="1">
      <c r="A11" s="234">
        <f t="shared" si="0"/>
        <v>108.49411764705883</v>
      </c>
      <c r="B11" s="235">
        <f t="shared" si="1"/>
        <v>117.95221843003412</v>
      </c>
      <c r="C11" s="289" t="s">
        <v>318</v>
      </c>
      <c r="D11" s="543"/>
      <c r="E11" s="289"/>
      <c r="F11" s="545"/>
      <c r="G11" s="545"/>
      <c r="H11" s="540" t="s">
        <v>319</v>
      </c>
      <c r="I11" s="541"/>
      <c r="J11" s="236"/>
      <c r="K11" s="236">
        <v>0.32719999999999999</v>
      </c>
      <c r="L11" s="553"/>
      <c r="M11" s="58"/>
      <c r="N11" s="238"/>
      <c r="O11" s="239"/>
      <c r="P11" s="239"/>
    </row>
    <row r="12" spans="1:16" s="240" customFormat="1" ht="63.75" customHeight="1" thickBot="1">
      <c r="A12" s="234">
        <f t="shared" si="0"/>
        <v>108.49411764705883</v>
      </c>
      <c r="B12" s="235">
        <f t="shared" si="1"/>
        <v>117.95221843003412</v>
      </c>
      <c r="C12" s="289">
        <v>1</v>
      </c>
      <c r="D12" s="614"/>
      <c r="E12" s="617" t="s">
        <v>326</v>
      </c>
      <c r="F12" s="544" t="s">
        <v>52</v>
      </c>
      <c r="G12" s="544" t="s">
        <v>275</v>
      </c>
      <c r="H12" s="540" t="s">
        <v>227</v>
      </c>
      <c r="I12" s="541"/>
      <c r="J12" s="236"/>
      <c r="K12" s="236">
        <v>0.63939999999999997</v>
      </c>
      <c r="L12" s="546">
        <f>((K12*60)/0.85)+((K13*60)/0.85)+((K14*60)/0.85)</f>
        <v>108.49411764705883</v>
      </c>
      <c r="M12" s="58">
        <f t="shared" ref="M12:M45" si="6">IF(L12=0,"",L12/$P$3)</f>
        <v>1</v>
      </c>
      <c r="N12" s="238">
        <f t="shared" ref="N12:N45" si="7">IF(L12=0,"",3600/L12)</f>
        <v>33.181522446324003</v>
      </c>
      <c r="O12" s="239">
        <f t="shared" ref="O12:O45" si="8">3600/L12</f>
        <v>33.181522446324003</v>
      </c>
      <c r="P12" s="239">
        <f t="shared" ref="P12:P45" si="9">+O12</f>
        <v>33.181522446324003</v>
      </c>
    </row>
    <row r="13" spans="1:16" s="240" customFormat="1" ht="67.5" customHeight="1" thickBot="1">
      <c r="A13" s="234">
        <f t="shared" si="0"/>
        <v>108.49411764705883</v>
      </c>
      <c r="B13" s="235">
        <f t="shared" si="1"/>
        <v>117.95221843003412</v>
      </c>
      <c r="C13" s="289">
        <v>4</v>
      </c>
      <c r="D13" s="615"/>
      <c r="E13" s="618"/>
      <c r="F13" s="608"/>
      <c r="G13" s="608"/>
      <c r="H13" s="540" t="s">
        <v>230</v>
      </c>
      <c r="I13" s="541"/>
      <c r="J13" s="236"/>
      <c r="K13" s="236">
        <v>0.625</v>
      </c>
      <c r="L13" s="612"/>
      <c r="M13" s="58"/>
      <c r="N13" s="238"/>
      <c r="O13" s="239"/>
      <c r="P13" s="239"/>
    </row>
    <row r="14" spans="1:16" s="240" customFormat="1" ht="107.25" customHeight="1" thickBot="1">
      <c r="A14" s="234">
        <f t="shared" si="0"/>
        <v>108.49411764705883</v>
      </c>
      <c r="B14" s="235">
        <f t="shared" si="1"/>
        <v>117.95221843003412</v>
      </c>
      <c r="C14" s="289">
        <v>24</v>
      </c>
      <c r="D14" s="616"/>
      <c r="E14" s="619"/>
      <c r="F14" s="545"/>
      <c r="G14" s="545"/>
      <c r="H14" s="540" t="s">
        <v>237</v>
      </c>
      <c r="I14" s="541"/>
      <c r="J14" s="236"/>
      <c r="K14" s="236">
        <v>0.27260000000000001</v>
      </c>
      <c r="L14" s="547"/>
      <c r="M14" s="58"/>
      <c r="N14" s="238"/>
      <c r="O14" s="239"/>
      <c r="P14" s="239"/>
    </row>
    <row r="15" spans="1:16" s="240" customFormat="1" ht="66" customHeight="1" thickBot="1">
      <c r="A15" s="234">
        <f t="shared" si="0"/>
        <v>108.49411764705883</v>
      </c>
      <c r="B15" s="235">
        <f t="shared" si="1"/>
        <v>117.95221843003412</v>
      </c>
      <c r="C15" s="289">
        <v>2</v>
      </c>
      <c r="D15" s="542">
        <v>3</v>
      </c>
      <c r="E15" s="289"/>
      <c r="F15" s="61" t="s">
        <v>142</v>
      </c>
      <c r="G15" s="61" t="s">
        <v>274</v>
      </c>
      <c r="H15" s="540" t="s">
        <v>322</v>
      </c>
      <c r="I15" s="541"/>
      <c r="J15" s="236"/>
      <c r="K15" s="236">
        <v>0.3548</v>
      </c>
      <c r="L15" s="552">
        <f>((K15*60)/0.75)+((K16*60)/0.75)</f>
        <v>69.096000000000004</v>
      </c>
      <c r="M15" s="58">
        <f t="shared" si="6"/>
        <v>0.63686402081977878</v>
      </c>
      <c r="N15" s="238">
        <f t="shared" si="7"/>
        <v>52.101424105592216</v>
      </c>
      <c r="O15" s="239">
        <f t="shared" si="8"/>
        <v>52.101424105592216</v>
      </c>
      <c r="P15" s="239">
        <f t="shared" si="9"/>
        <v>52.101424105592216</v>
      </c>
    </row>
    <row r="16" spans="1:16" s="240" customFormat="1" ht="77.25" customHeight="1" thickBot="1">
      <c r="A16" s="234">
        <f t="shared" si="0"/>
        <v>108.49411764705883</v>
      </c>
      <c r="B16" s="235">
        <f t="shared" si="1"/>
        <v>117.95221843003412</v>
      </c>
      <c r="C16" s="289">
        <v>5</v>
      </c>
      <c r="D16" s="543"/>
      <c r="E16" s="289"/>
      <c r="F16" s="61" t="s">
        <v>148</v>
      </c>
      <c r="G16" s="61" t="s">
        <v>274</v>
      </c>
      <c r="H16" s="540" t="s">
        <v>323</v>
      </c>
      <c r="I16" s="541"/>
      <c r="J16" s="236"/>
      <c r="K16" s="236">
        <v>0.50890000000000002</v>
      </c>
      <c r="L16" s="553"/>
      <c r="M16" s="58"/>
      <c r="N16" s="238"/>
      <c r="O16" s="239"/>
      <c r="P16" s="239"/>
    </row>
    <row r="17" spans="1:16" s="240" customFormat="1" ht="68.25" customHeight="1" thickBot="1">
      <c r="A17" s="234">
        <f t="shared" si="0"/>
        <v>108.49411764705883</v>
      </c>
      <c r="B17" s="235">
        <f t="shared" si="1"/>
        <v>117.95221843003412</v>
      </c>
      <c r="C17" s="289">
        <v>6</v>
      </c>
      <c r="D17" s="609">
        <v>1</v>
      </c>
      <c r="E17" s="289"/>
      <c r="F17" s="544" t="s">
        <v>52</v>
      </c>
      <c r="G17" s="544" t="s">
        <v>275</v>
      </c>
      <c r="H17" s="540" t="s">
        <v>232</v>
      </c>
      <c r="I17" s="541"/>
      <c r="J17" s="236"/>
      <c r="K17" s="236">
        <v>0.31369999999999998</v>
      </c>
      <c r="L17" s="613"/>
      <c r="M17" s="58"/>
      <c r="N17" s="238"/>
      <c r="O17" s="239"/>
      <c r="P17" s="239"/>
    </row>
    <row r="18" spans="1:16" s="240" customFormat="1" ht="58.5" customHeight="1" thickBot="1">
      <c r="A18" s="234">
        <f t="shared" si="0"/>
        <v>108.49411764705883</v>
      </c>
      <c r="B18" s="235">
        <f t="shared" si="1"/>
        <v>117.95221843003412</v>
      </c>
      <c r="C18" s="289" t="s">
        <v>320</v>
      </c>
      <c r="D18" s="609"/>
      <c r="E18" s="289"/>
      <c r="F18" s="545"/>
      <c r="G18" s="545"/>
      <c r="H18" s="610" t="s">
        <v>305</v>
      </c>
      <c r="I18" s="611"/>
      <c r="J18" s="236"/>
      <c r="K18" s="236">
        <f>0.7923*1/3</f>
        <v>0.2641</v>
      </c>
      <c r="L18" s="553"/>
      <c r="M18" s="58"/>
      <c r="N18" s="238"/>
      <c r="O18" s="239"/>
      <c r="P18" s="239"/>
    </row>
    <row r="19" spans="1:16" s="240" customFormat="1" ht="50.25" customHeight="1" thickBot="1">
      <c r="A19" s="234">
        <f t="shared" si="0"/>
        <v>108.49411764705883</v>
      </c>
      <c r="B19" s="235">
        <f t="shared" si="1"/>
        <v>117.95221843003412</v>
      </c>
      <c r="C19" s="289" t="s">
        <v>306</v>
      </c>
      <c r="D19" s="277">
        <v>5</v>
      </c>
      <c r="E19" s="289"/>
      <c r="F19" s="61" t="s">
        <v>142</v>
      </c>
      <c r="G19" s="61" t="s">
        <v>274</v>
      </c>
      <c r="H19" s="540" t="s">
        <v>299</v>
      </c>
      <c r="I19" s="541"/>
      <c r="J19" s="236"/>
      <c r="K19" s="236"/>
      <c r="L19" s="237">
        <f t="shared" ref="L19:L44" si="10">((K19*60)/0.75)</f>
        <v>0</v>
      </c>
      <c r="M19" s="58"/>
      <c r="N19" s="238"/>
      <c r="O19" s="239"/>
      <c r="P19" s="239"/>
    </row>
    <row r="20" spans="1:16" s="240" customFormat="1" ht="50.25" customHeight="1" thickBot="1">
      <c r="A20" s="234">
        <f t="shared" si="0"/>
        <v>108.49411764705883</v>
      </c>
      <c r="B20" s="235">
        <f t="shared" si="1"/>
        <v>117.95221843003412</v>
      </c>
      <c r="C20" s="289" t="s">
        <v>306</v>
      </c>
      <c r="D20" s="542">
        <v>6</v>
      </c>
      <c r="E20" s="289"/>
      <c r="F20" s="544" t="s">
        <v>317</v>
      </c>
      <c r="G20" s="544" t="s">
        <v>276</v>
      </c>
      <c r="H20" s="540" t="s">
        <v>300</v>
      </c>
      <c r="I20" s="541"/>
      <c r="J20" s="236"/>
      <c r="K20" s="236"/>
      <c r="L20" s="237">
        <f t="shared" si="10"/>
        <v>0</v>
      </c>
      <c r="M20" s="58"/>
      <c r="N20" s="238"/>
      <c r="O20" s="239"/>
      <c r="P20" s="239"/>
    </row>
    <row r="21" spans="1:16" s="240" customFormat="1" ht="66" customHeight="1" thickBot="1">
      <c r="A21" s="234">
        <f t="shared" si="0"/>
        <v>108.49411764705883</v>
      </c>
      <c r="B21" s="235">
        <f t="shared" si="1"/>
        <v>117.95221843003412</v>
      </c>
      <c r="C21" s="289">
        <v>3</v>
      </c>
      <c r="D21" s="543"/>
      <c r="E21" s="289"/>
      <c r="F21" s="545"/>
      <c r="G21" s="545"/>
      <c r="H21" s="540" t="s">
        <v>229</v>
      </c>
      <c r="I21" s="541"/>
      <c r="J21" s="236"/>
      <c r="K21" s="236">
        <v>0.28799999999999998</v>
      </c>
      <c r="L21" s="237">
        <f t="shared" ref="L21" si="11">((K21*60)/0.75)</f>
        <v>23.039999999999996</v>
      </c>
      <c r="M21" s="58">
        <f t="shared" ref="M21" si="12">IF(L21=0,"",L21/$P$3)</f>
        <v>0.21236174365647359</v>
      </c>
      <c r="N21" s="238">
        <f t="shared" ref="N21" si="13">IF(L21=0,"",3600/L21)</f>
        <v>156.25000000000003</v>
      </c>
      <c r="O21" s="239">
        <f t="shared" ref="O21" si="14">3600/L21</f>
        <v>156.25000000000003</v>
      </c>
      <c r="P21" s="239">
        <f t="shared" ref="P21" si="15">+O21</f>
        <v>156.25000000000003</v>
      </c>
    </row>
    <row r="22" spans="1:16" s="240" customFormat="1" ht="50.25" customHeight="1" thickBot="1">
      <c r="A22" s="234">
        <f t="shared" si="0"/>
        <v>108.49411764705883</v>
      </c>
      <c r="B22" s="235">
        <f t="shared" si="1"/>
        <v>117.95221843003412</v>
      </c>
      <c r="C22" s="289" t="s">
        <v>306</v>
      </c>
      <c r="D22" s="277">
        <v>7</v>
      </c>
      <c r="E22" s="289"/>
      <c r="F22" s="61" t="s">
        <v>301</v>
      </c>
      <c r="G22" s="61" t="s">
        <v>275</v>
      </c>
      <c r="H22" s="540" t="s">
        <v>302</v>
      </c>
      <c r="I22" s="541"/>
      <c r="J22" s="236"/>
      <c r="K22" s="236"/>
      <c r="L22" s="237">
        <f t="shared" si="10"/>
        <v>0</v>
      </c>
      <c r="M22" s="58"/>
      <c r="N22" s="238"/>
      <c r="O22" s="239"/>
      <c r="P22" s="239"/>
    </row>
    <row r="23" spans="1:16" s="240" customFormat="1" ht="53.25" customHeight="1" thickBot="1">
      <c r="A23" s="234">
        <f t="shared" si="0"/>
        <v>108.49411764705883</v>
      </c>
      <c r="B23" s="235">
        <f t="shared" si="1"/>
        <v>117.95221843003412</v>
      </c>
      <c r="C23" s="289" t="s">
        <v>306</v>
      </c>
      <c r="D23" s="277">
        <v>8</v>
      </c>
      <c r="E23" s="289"/>
      <c r="F23" s="61" t="s">
        <v>301</v>
      </c>
      <c r="G23" s="61" t="s">
        <v>275</v>
      </c>
      <c r="H23" s="540" t="s">
        <v>303</v>
      </c>
      <c r="I23" s="541"/>
      <c r="J23" s="236"/>
      <c r="K23" s="236"/>
      <c r="L23" s="237">
        <f t="shared" si="10"/>
        <v>0</v>
      </c>
      <c r="M23" s="58"/>
      <c r="N23" s="238"/>
      <c r="O23" s="239"/>
      <c r="P23" s="239"/>
    </row>
    <row r="24" spans="1:16" s="240" customFormat="1" ht="53.25" customHeight="1" thickBot="1">
      <c r="A24" s="234">
        <f t="shared" si="0"/>
        <v>108.49411764705883</v>
      </c>
      <c r="B24" s="235">
        <f t="shared" si="1"/>
        <v>117.95221843003412</v>
      </c>
      <c r="C24" s="289" t="s">
        <v>306</v>
      </c>
      <c r="D24" s="289">
        <v>9</v>
      </c>
      <c r="E24" s="289"/>
      <c r="F24" s="61" t="s">
        <v>142</v>
      </c>
      <c r="G24" s="61" t="s">
        <v>274</v>
      </c>
      <c r="H24" s="540" t="s">
        <v>304</v>
      </c>
      <c r="I24" s="541"/>
      <c r="J24" s="236"/>
      <c r="K24" s="236"/>
      <c r="L24" s="237">
        <f t="shared" si="10"/>
        <v>0</v>
      </c>
      <c r="M24" s="58"/>
      <c r="N24" s="238"/>
      <c r="O24" s="239"/>
      <c r="P24" s="239"/>
    </row>
    <row r="25" spans="1:16" s="240" customFormat="1" ht="54" customHeight="1" thickBot="1">
      <c r="A25" s="234"/>
      <c r="B25" s="235"/>
      <c r="C25" s="289" t="s">
        <v>306</v>
      </c>
      <c r="D25" s="277">
        <v>10</v>
      </c>
      <c r="E25" s="289"/>
      <c r="F25" s="278" t="s">
        <v>52</v>
      </c>
      <c r="G25" s="278" t="s">
        <v>297</v>
      </c>
      <c r="H25" s="540" t="s">
        <v>324</v>
      </c>
      <c r="I25" s="541"/>
      <c r="J25" s="236"/>
      <c r="K25" s="257"/>
      <c r="L25" s="237">
        <f t="shared" si="10"/>
        <v>0</v>
      </c>
      <c r="M25" s="58"/>
      <c r="N25" s="238"/>
      <c r="O25" s="239"/>
      <c r="P25" s="239"/>
    </row>
    <row r="26" spans="1:16" s="240" customFormat="1" ht="68.25" customHeight="1" thickBot="1">
      <c r="A26" s="234">
        <f t="shared" si="0"/>
        <v>108.49411764705883</v>
      </c>
      <c r="B26" s="235">
        <f t="shared" si="1"/>
        <v>117.95221843003412</v>
      </c>
      <c r="C26" s="289">
        <v>27</v>
      </c>
      <c r="D26" s="542">
        <v>11</v>
      </c>
      <c r="E26" s="289"/>
      <c r="F26" s="61" t="s">
        <v>142</v>
      </c>
      <c r="G26" s="61" t="s">
        <v>274</v>
      </c>
      <c r="H26" s="540" t="s">
        <v>240</v>
      </c>
      <c r="I26" s="541"/>
      <c r="J26" s="236"/>
      <c r="K26" s="236">
        <v>0.51839999999999997</v>
      </c>
      <c r="L26" s="552">
        <f>((K26*60)/0.75)+((K27*60)/0.75)</f>
        <v>72.75200000000001</v>
      </c>
      <c r="M26" s="58">
        <f t="shared" si="6"/>
        <v>0.67056170028193451</v>
      </c>
      <c r="N26" s="238">
        <f t="shared" si="7"/>
        <v>49.483175720255105</v>
      </c>
      <c r="O26" s="239">
        <f t="shared" si="8"/>
        <v>49.483175720255105</v>
      </c>
      <c r="P26" s="239">
        <f t="shared" si="9"/>
        <v>49.483175720255105</v>
      </c>
    </row>
    <row r="27" spans="1:16" s="240" customFormat="1" ht="60" customHeight="1" thickBot="1">
      <c r="A27" s="234">
        <f t="shared" si="0"/>
        <v>108.49411764705883</v>
      </c>
      <c r="B27" s="235">
        <f t="shared" si="1"/>
        <v>117.95221843003412</v>
      </c>
      <c r="C27" s="289">
        <v>28</v>
      </c>
      <c r="D27" s="543"/>
      <c r="E27" s="289"/>
      <c r="F27" s="61" t="s">
        <v>166</v>
      </c>
      <c r="G27" s="61" t="s">
        <v>277</v>
      </c>
      <c r="H27" s="540" t="s">
        <v>241</v>
      </c>
      <c r="I27" s="541"/>
      <c r="J27" s="236"/>
      <c r="K27" s="236">
        <v>0.39100000000000001</v>
      </c>
      <c r="L27" s="553"/>
      <c r="M27" s="58"/>
      <c r="N27" s="238"/>
      <c r="O27" s="239"/>
      <c r="P27" s="239"/>
    </row>
    <row r="28" spans="1:16" s="240" customFormat="1" ht="93.75" customHeight="1" thickBot="1">
      <c r="A28" s="234">
        <f t="shared" si="0"/>
        <v>108.49411764705883</v>
      </c>
      <c r="B28" s="235">
        <f t="shared" si="1"/>
        <v>117.95221843003412</v>
      </c>
      <c r="C28" s="289">
        <v>29</v>
      </c>
      <c r="D28" s="289">
        <v>12</v>
      </c>
      <c r="E28" s="289"/>
      <c r="F28" s="61" t="s">
        <v>142</v>
      </c>
      <c r="G28" s="61" t="s">
        <v>274</v>
      </c>
      <c r="H28" s="540" t="s">
        <v>242</v>
      </c>
      <c r="I28" s="541"/>
      <c r="J28" s="236"/>
      <c r="K28" s="236">
        <v>0.69330000000000003</v>
      </c>
      <c r="L28" s="237">
        <f t="shared" si="10"/>
        <v>55.463999999999999</v>
      </c>
      <c r="M28" s="58">
        <f t="shared" si="6"/>
        <v>0.51121665582303188</v>
      </c>
      <c r="N28" s="238">
        <f t="shared" si="7"/>
        <v>64.906966681090438</v>
      </c>
      <c r="O28" s="239">
        <f t="shared" si="8"/>
        <v>64.906966681090438</v>
      </c>
      <c r="P28" s="239">
        <f t="shared" si="9"/>
        <v>64.906966681090438</v>
      </c>
    </row>
    <row r="29" spans="1:16" s="240" customFormat="1" ht="103.5" customHeight="1" thickBot="1">
      <c r="A29" s="234">
        <f t="shared" si="0"/>
        <v>108.49411764705883</v>
      </c>
      <c r="B29" s="235">
        <f t="shared" si="1"/>
        <v>117.95221843003412</v>
      </c>
      <c r="C29" s="289">
        <v>30</v>
      </c>
      <c r="D29" s="290"/>
      <c r="E29" s="289"/>
      <c r="F29" s="61" t="s">
        <v>52</v>
      </c>
      <c r="G29" s="61" t="s">
        <v>275</v>
      </c>
      <c r="H29" s="540" t="s">
        <v>327</v>
      </c>
      <c r="I29" s="541"/>
      <c r="J29" s="236"/>
      <c r="K29" s="236">
        <v>0.50029999999999997</v>
      </c>
      <c r="L29" s="237">
        <f t="shared" si="10"/>
        <v>40.023999999999994</v>
      </c>
      <c r="M29" s="58">
        <f t="shared" si="6"/>
        <v>0.36890479288657552</v>
      </c>
      <c r="N29" s="238">
        <f t="shared" si="7"/>
        <v>89.946032380571665</v>
      </c>
      <c r="O29" s="239">
        <f t="shared" si="8"/>
        <v>89.946032380571665</v>
      </c>
      <c r="P29" s="239">
        <f t="shared" si="9"/>
        <v>89.946032380571665</v>
      </c>
    </row>
    <row r="30" spans="1:16" s="240" customFormat="1" ht="117" customHeight="1" thickBot="1">
      <c r="A30" s="234">
        <f t="shared" si="0"/>
        <v>108.49411764705883</v>
      </c>
      <c r="B30" s="235">
        <f t="shared" si="1"/>
        <v>117.95221843003412</v>
      </c>
      <c r="C30" s="289" t="s">
        <v>290</v>
      </c>
      <c r="D30" s="289">
        <v>14</v>
      </c>
      <c r="E30" s="289"/>
      <c r="F30" s="61" t="s">
        <v>52</v>
      </c>
      <c r="G30" s="61" t="s">
        <v>275</v>
      </c>
      <c r="H30" s="540" t="s">
        <v>325</v>
      </c>
      <c r="I30" s="541"/>
      <c r="J30" s="236"/>
      <c r="K30" s="257">
        <f>1.9469/2</f>
        <v>0.97345000000000004</v>
      </c>
      <c r="L30" s="237">
        <f t="shared" si="10"/>
        <v>77.876000000000005</v>
      </c>
      <c r="M30" s="58">
        <f t="shared" si="6"/>
        <v>0.71779006723053573</v>
      </c>
      <c r="N30" s="238">
        <f t="shared" si="7"/>
        <v>46.227335764548769</v>
      </c>
      <c r="O30" s="239">
        <f t="shared" si="8"/>
        <v>46.227335764548769</v>
      </c>
      <c r="P30" s="239">
        <f t="shared" si="9"/>
        <v>46.227335764548769</v>
      </c>
    </row>
    <row r="31" spans="1:16" s="240" customFormat="1" ht="71.25" customHeight="1" thickBot="1">
      <c r="A31" s="234">
        <f t="shared" si="0"/>
        <v>108.49411764705883</v>
      </c>
      <c r="B31" s="235">
        <f t="shared" si="1"/>
        <v>117.95221843003412</v>
      </c>
      <c r="C31" s="289">
        <v>32</v>
      </c>
      <c r="D31" s="289">
        <v>15</v>
      </c>
      <c r="E31" s="289"/>
      <c r="F31" s="61" t="s">
        <v>52</v>
      </c>
      <c r="G31" s="61" t="s">
        <v>275</v>
      </c>
      <c r="H31" s="540" t="s">
        <v>245</v>
      </c>
      <c r="I31" s="541"/>
      <c r="J31" s="236"/>
      <c r="K31" s="236">
        <v>0.57050000000000001</v>
      </c>
      <c r="L31" s="237">
        <f t="shared" si="10"/>
        <v>45.640000000000008</v>
      </c>
      <c r="M31" s="58">
        <f t="shared" si="6"/>
        <v>0.42066796790284106</v>
      </c>
      <c r="N31" s="238">
        <f t="shared" si="7"/>
        <v>78.878177037686228</v>
      </c>
      <c r="O31" s="239">
        <f t="shared" si="8"/>
        <v>78.878177037686228</v>
      </c>
      <c r="P31" s="239">
        <f t="shared" si="9"/>
        <v>78.878177037686228</v>
      </c>
    </row>
    <row r="32" spans="1:16" s="240" customFormat="1" ht="160.5" customHeight="1" thickBot="1">
      <c r="A32" s="234">
        <f t="shared" si="0"/>
        <v>108.49411764705883</v>
      </c>
      <c r="B32" s="235">
        <f t="shared" si="1"/>
        <v>117.95221843003412</v>
      </c>
      <c r="C32" s="289">
        <v>33</v>
      </c>
      <c r="D32" s="290">
        <v>16</v>
      </c>
      <c r="E32" s="289"/>
      <c r="F32" s="61" t="s">
        <v>57</v>
      </c>
      <c r="G32" s="61" t="s">
        <v>285</v>
      </c>
      <c r="H32" s="540" t="s">
        <v>339</v>
      </c>
      <c r="I32" s="541"/>
      <c r="J32" s="236"/>
      <c r="K32" s="236">
        <v>0.83320000000000005</v>
      </c>
      <c r="L32" s="237">
        <f t="shared" si="10"/>
        <v>66.656000000000006</v>
      </c>
      <c r="M32" s="58">
        <f t="shared" si="6"/>
        <v>0.61437432227282585</v>
      </c>
      <c r="N32" s="238">
        <f t="shared" si="7"/>
        <v>54.008641382621214</v>
      </c>
      <c r="O32" s="239">
        <f t="shared" si="8"/>
        <v>54.008641382621214</v>
      </c>
      <c r="P32" s="239">
        <f t="shared" si="9"/>
        <v>54.008641382621214</v>
      </c>
    </row>
    <row r="33" spans="1:16" s="240" customFormat="1" ht="68.25" customHeight="1" thickBot="1">
      <c r="A33" s="234">
        <f t="shared" si="0"/>
        <v>108.49411764705883</v>
      </c>
      <c r="B33" s="235">
        <f t="shared" si="1"/>
        <v>117.95221843003412</v>
      </c>
      <c r="C33" s="289">
        <v>35</v>
      </c>
      <c r="D33" s="289">
        <v>17</v>
      </c>
      <c r="E33" s="289"/>
      <c r="F33" s="61" t="s">
        <v>52</v>
      </c>
      <c r="G33" s="61" t="s">
        <v>275</v>
      </c>
      <c r="H33" s="540" t="s">
        <v>248</v>
      </c>
      <c r="I33" s="541"/>
      <c r="J33" s="236"/>
      <c r="K33" s="236">
        <v>0.34639999999999999</v>
      </c>
      <c r="L33" s="237">
        <f t="shared" si="10"/>
        <v>27.712</v>
      </c>
      <c r="M33" s="58">
        <f t="shared" si="6"/>
        <v>0.25542398612014744</v>
      </c>
      <c r="N33" s="238">
        <f t="shared" si="7"/>
        <v>129.90762124711316</v>
      </c>
      <c r="O33" s="239">
        <f t="shared" si="8"/>
        <v>129.90762124711316</v>
      </c>
      <c r="P33" s="239">
        <f t="shared" si="9"/>
        <v>129.90762124711316</v>
      </c>
    </row>
    <row r="34" spans="1:16" s="240" customFormat="1" ht="80.25" customHeight="1" thickBot="1">
      <c r="A34" s="234">
        <f t="shared" si="0"/>
        <v>108.49411764705883</v>
      </c>
      <c r="B34" s="235">
        <f t="shared" si="1"/>
        <v>117.95221843003412</v>
      </c>
      <c r="C34" s="289">
        <v>36</v>
      </c>
      <c r="D34" s="289">
        <v>18</v>
      </c>
      <c r="E34" s="289"/>
      <c r="F34" s="61" t="s">
        <v>52</v>
      </c>
      <c r="G34" s="61" t="s">
        <v>275</v>
      </c>
      <c r="H34" s="540" t="s">
        <v>249</v>
      </c>
      <c r="I34" s="541"/>
      <c r="J34" s="236"/>
      <c r="K34" s="236">
        <v>0.68920000000000003</v>
      </c>
      <c r="L34" s="237">
        <f t="shared" si="10"/>
        <v>55.136000000000003</v>
      </c>
      <c r="M34" s="58">
        <f t="shared" si="6"/>
        <v>0.50819345044458908</v>
      </c>
      <c r="N34" s="238">
        <f t="shared" si="7"/>
        <v>65.293093441671502</v>
      </c>
      <c r="O34" s="239">
        <f t="shared" si="8"/>
        <v>65.293093441671502</v>
      </c>
      <c r="P34" s="239">
        <f t="shared" si="9"/>
        <v>65.293093441671502</v>
      </c>
    </row>
    <row r="35" spans="1:16" s="240" customFormat="1" ht="69" customHeight="1" thickBot="1">
      <c r="A35" s="234">
        <f t="shared" si="0"/>
        <v>108.49411764705883</v>
      </c>
      <c r="B35" s="235">
        <f t="shared" si="1"/>
        <v>117.95221843003412</v>
      </c>
      <c r="C35" s="289">
        <v>34</v>
      </c>
      <c r="D35" s="542">
        <v>19</v>
      </c>
      <c r="E35" s="289"/>
      <c r="F35" s="544" t="s">
        <v>52</v>
      </c>
      <c r="G35" s="544" t="s">
        <v>275</v>
      </c>
      <c r="H35" s="540" t="s">
        <v>321</v>
      </c>
      <c r="I35" s="541"/>
      <c r="J35" s="236"/>
      <c r="K35" s="236">
        <v>0.35410000000000003</v>
      </c>
      <c r="L35" s="552">
        <f>((K35*60)/0.75)+((K36*60)/0.75)</f>
        <v>86.632000000000005</v>
      </c>
      <c r="M35" s="58">
        <f t="shared" si="6"/>
        <v>0.79849490349165042</v>
      </c>
      <c r="N35" s="238">
        <f t="shared" si="7"/>
        <v>41.555083571890293</v>
      </c>
      <c r="O35" s="239">
        <f t="shared" si="8"/>
        <v>41.555083571890293</v>
      </c>
      <c r="P35" s="239">
        <f t="shared" si="9"/>
        <v>41.555083571890293</v>
      </c>
    </row>
    <row r="36" spans="1:16" s="240" customFormat="1" ht="69" customHeight="1" thickBot="1">
      <c r="A36" s="234">
        <f t="shared" si="0"/>
        <v>108.49411764705883</v>
      </c>
      <c r="B36" s="235">
        <f t="shared" si="1"/>
        <v>117.95221843003412</v>
      </c>
      <c r="C36" s="289">
        <v>37</v>
      </c>
      <c r="D36" s="543"/>
      <c r="E36" s="289"/>
      <c r="F36" s="545"/>
      <c r="G36" s="545"/>
      <c r="H36" s="540" t="s">
        <v>250</v>
      </c>
      <c r="I36" s="541"/>
      <c r="J36" s="236"/>
      <c r="K36" s="236">
        <v>0.7288</v>
      </c>
      <c r="L36" s="553"/>
      <c r="M36" s="58"/>
      <c r="N36" s="238"/>
      <c r="O36" s="239"/>
      <c r="P36" s="239"/>
    </row>
    <row r="37" spans="1:16" s="240" customFormat="1" ht="79.5" customHeight="1" thickBot="1">
      <c r="A37" s="234">
        <f t="shared" si="0"/>
        <v>108.49411764705883</v>
      </c>
      <c r="B37" s="235">
        <f t="shared" si="1"/>
        <v>117.95221843003412</v>
      </c>
      <c r="C37" s="289">
        <v>22</v>
      </c>
      <c r="D37" s="289">
        <v>20</v>
      </c>
      <c r="E37" s="289"/>
      <c r="F37" s="61" t="s">
        <v>166</v>
      </c>
      <c r="G37" s="61" t="s">
        <v>277</v>
      </c>
      <c r="H37" s="540" t="s">
        <v>262</v>
      </c>
      <c r="I37" s="541"/>
      <c r="J37" s="236"/>
      <c r="K37" s="236">
        <v>0.78939999999999999</v>
      </c>
      <c r="L37" s="237">
        <f t="shared" si="10"/>
        <v>63.151999999999994</v>
      </c>
      <c r="M37" s="58">
        <f t="shared" si="6"/>
        <v>0.58207764042507038</v>
      </c>
      <c r="N37" s="238">
        <f t="shared" si="7"/>
        <v>57.005320496579685</v>
      </c>
      <c r="O37" s="239">
        <f t="shared" si="8"/>
        <v>57.005320496579685</v>
      </c>
      <c r="P37" s="239">
        <f t="shared" si="9"/>
        <v>57.005320496579685</v>
      </c>
    </row>
    <row r="38" spans="1:16" s="240" customFormat="1" ht="78" customHeight="1" thickBot="1">
      <c r="A38" s="234">
        <f t="shared" si="0"/>
        <v>108.49411764705883</v>
      </c>
      <c r="B38" s="235">
        <f t="shared" si="1"/>
        <v>117.95221843003412</v>
      </c>
      <c r="C38" s="289">
        <v>25</v>
      </c>
      <c r="D38" s="289">
        <v>21</v>
      </c>
      <c r="E38" s="289"/>
      <c r="F38" s="61" t="s">
        <v>166</v>
      </c>
      <c r="G38" s="61" t="s">
        <v>277</v>
      </c>
      <c r="H38" s="540" t="s">
        <v>263</v>
      </c>
      <c r="I38" s="541"/>
      <c r="J38" s="236"/>
      <c r="K38" s="236">
        <v>0.72440000000000004</v>
      </c>
      <c r="L38" s="237">
        <f t="shared" si="10"/>
        <v>57.952000000000005</v>
      </c>
      <c r="M38" s="58">
        <f t="shared" si="6"/>
        <v>0.53414877466926913</v>
      </c>
      <c r="N38" s="238">
        <f t="shared" si="7"/>
        <v>62.120375483158469</v>
      </c>
      <c r="O38" s="239">
        <f t="shared" si="8"/>
        <v>62.120375483158469</v>
      </c>
      <c r="P38" s="239">
        <f t="shared" si="9"/>
        <v>62.120375483158469</v>
      </c>
    </row>
    <row r="39" spans="1:16" s="240" customFormat="1" ht="69" customHeight="1" thickBot="1">
      <c r="A39" s="234">
        <f t="shared" si="0"/>
        <v>108.49411764705883</v>
      </c>
      <c r="B39" s="235">
        <f t="shared" si="1"/>
        <v>117.95221843003412</v>
      </c>
      <c r="C39" s="289">
        <v>26</v>
      </c>
      <c r="D39" s="289">
        <v>22</v>
      </c>
      <c r="E39" s="289"/>
      <c r="F39" s="61" t="s">
        <v>166</v>
      </c>
      <c r="G39" s="61" t="s">
        <v>277</v>
      </c>
      <c r="H39" s="540" t="s">
        <v>239</v>
      </c>
      <c r="I39" s="541"/>
      <c r="J39" s="236"/>
      <c r="K39" s="236">
        <v>0.9002</v>
      </c>
      <c r="L39" s="237">
        <f t="shared" si="10"/>
        <v>72.016000000000005</v>
      </c>
      <c r="M39" s="58">
        <f t="shared" si="6"/>
        <v>0.663777922359575</v>
      </c>
      <c r="N39" s="238">
        <f t="shared" si="7"/>
        <v>49.988891357476113</v>
      </c>
      <c r="O39" s="239">
        <f t="shared" si="8"/>
        <v>49.988891357476113</v>
      </c>
      <c r="P39" s="239">
        <f t="shared" si="9"/>
        <v>49.988891357476113</v>
      </c>
    </row>
    <row r="40" spans="1:16" s="240" customFormat="1" ht="70.5" customHeight="1" thickBot="1">
      <c r="A40" s="234">
        <f t="shared" si="0"/>
        <v>108.49411764705883</v>
      </c>
      <c r="B40" s="235">
        <f t="shared" si="1"/>
        <v>117.95221843003412</v>
      </c>
      <c r="C40" s="289">
        <v>38</v>
      </c>
      <c r="D40" s="289">
        <v>23</v>
      </c>
      <c r="E40" s="289"/>
      <c r="F40" s="61" t="s">
        <v>166</v>
      </c>
      <c r="G40" s="61" t="s">
        <v>277</v>
      </c>
      <c r="H40" s="540" t="s">
        <v>252</v>
      </c>
      <c r="I40" s="541"/>
      <c r="J40" s="236"/>
      <c r="K40" s="236">
        <v>1.3359000000000001</v>
      </c>
      <c r="L40" s="237">
        <f t="shared" si="10"/>
        <v>106.87200000000001</v>
      </c>
      <c r="M40" s="58">
        <f t="shared" si="6"/>
        <v>0.98504879635653875</v>
      </c>
      <c r="N40" s="238">
        <f t="shared" si="7"/>
        <v>33.685156074556474</v>
      </c>
      <c r="O40" s="239">
        <f t="shared" si="8"/>
        <v>33.685156074556474</v>
      </c>
      <c r="P40" s="239">
        <f t="shared" si="9"/>
        <v>33.685156074556474</v>
      </c>
    </row>
    <row r="41" spans="1:16" s="240" customFormat="1" ht="70.5" customHeight="1" thickBot="1">
      <c r="A41" s="234">
        <f t="shared" si="0"/>
        <v>108.49411764705883</v>
      </c>
      <c r="B41" s="235">
        <f t="shared" si="1"/>
        <v>117.95221843003412</v>
      </c>
      <c r="C41" s="275">
        <v>39</v>
      </c>
      <c r="D41" s="289">
        <v>24</v>
      </c>
      <c r="E41" s="289"/>
      <c r="F41" s="61" t="s">
        <v>166</v>
      </c>
      <c r="G41" s="61" t="s">
        <v>277</v>
      </c>
      <c r="H41" s="540" t="s">
        <v>251</v>
      </c>
      <c r="I41" s="541"/>
      <c r="J41" s="236"/>
      <c r="K41" s="236">
        <v>1.847</v>
      </c>
      <c r="L41" s="237">
        <f>((K41*60)/0.75)/2</f>
        <v>73.88</v>
      </c>
      <c r="M41" s="58">
        <f t="shared" si="6"/>
        <v>0.680958577315116</v>
      </c>
      <c r="N41" s="238">
        <f t="shared" si="7"/>
        <v>48.727666486193833</v>
      </c>
      <c r="O41" s="239">
        <f t="shared" si="8"/>
        <v>48.727666486193833</v>
      </c>
      <c r="P41" s="239">
        <f t="shared" si="9"/>
        <v>48.727666486193833</v>
      </c>
    </row>
    <row r="42" spans="1:16" s="240" customFormat="1" ht="70.5" customHeight="1" thickBot="1">
      <c r="A42" s="234">
        <f t="shared" si="0"/>
        <v>108.49411764705883</v>
      </c>
      <c r="B42" s="235">
        <f t="shared" si="1"/>
        <v>117.95221843003412</v>
      </c>
      <c r="C42" s="275">
        <v>39</v>
      </c>
      <c r="D42" s="289">
        <v>25</v>
      </c>
      <c r="E42" s="289"/>
      <c r="F42" s="61" t="s">
        <v>166</v>
      </c>
      <c r="G42" s="61" t="s">
        <v>277</v>
      </c>
      <c r="H42" s="540" t="s">
        <v>251</v>
      </c>
      <c r="I42" s="541"/>
      <c r="J42" s="236"/>
      <c r="K42" s="236">
        <v>1.847</v>
      </c>
      <c r="L42" s="237">
        <f>((K42*60)/0.75)/2</f>
        <v>73.88</v>
      </c>
      <c r="M42" s="58">
        <f t="shared" si="6"/>
        <v>0.680958577315116</v>
      </c>
      <c r="N42" s="238">
        <f t="shared" si="7"/>
        <v>48.727666486193833</v>
      </c>
      <c r="O42" s="239">
        <f t="shared" si="8"/>
        <v>48.727666486193833</v>
      </c>
      <c r="P42" s="239">
        <f t="shared" si="9"/>
        <v>48.727666486193833</v>
      </c>
    </row>
    <row r="43" spans="1:16" s="240" customFormat="1" ht="57.75" customHeight="1" thickBot="1">
      <c r="A43" s="234">
        <f t="shared" si="0"/>
        <v>108.49411764705883</v>
      </c>
      <c r="B43" s="235">
        <f t="shared" si="1"/>
        <v>117.95221843003412</v>
      </c>
      <c r="C43" s="289">
        <v>40</v>
      </c>
      <c r="D43" s="289">
        <v>26</v>
      </c>
      <c r="E43" s="289"/>
      <c r="F43" s="61" t="s">
        <v>142</v>
      </c>
      <c r="G43" s="61" t="s">
        <v>276</v>
      </c>
      <c r="H43" s="540" t="s">
        <v>253</v>
      </c>
      <c r="I43" s="541"/>
      <c r="J43" s="236"/>
      <c r="K43" s="236">
        <v>0.79549999999999998</v>
      </c>
      <c r="L43" s="237">
        <f t="shared" si="10"/>
        <v>63.639999999999993</v>
      </c>
      <c r="M43" s="58">
        <f t="shared" si="6"/>
        <v>0.58657558013446098</v>
      </c>
      <c r="N43" s="238">
        <f t="shared" si="7"/>
        <v>56.568196103079828</v>
      </c>
      <c r="O43" s="239">
        <f t="shared" si="8"/>
        <v>56.568196103079828</v>
      </c>
      <c r="P43" s="239">
        <f t="shared" si="9"/>
        <v>56.568196103079828</v>
      </c>
    </row>
    <row r="44" spans="1:16" s="240" customFormat="1" ht="81" customHeight="1" thickBot="1">
      <c r="A44" s="234">
        <f t="shared" si="0"/>
        <v>108.49411764705883</v>
      </c>
      <c r="B44" s="235">
        <f t="shared" si="1"/>
        <v>117.95221843003412</v>
      </c>
      <c r="C44" s="289">
        <v>41</v>
      </c>
      <c r="D44" s="289">
        <v>27</v>
      </c>
      <c r="E44" s="289"/>
      <c r="F44" s="61" t="s">
        <v>189</v>
      </c>
      <c r="G44" s="61" t="s">
        <v>278</v>
      </c>
      <c r="H44" s="540" t="s">
        <v>282</v>
      </c>
      <c r="I44" s="541"/>
      <c r="J44" s="236"/>
      <c r="K44" s="236">
        <v>0.7036</v>
      </c>
      <c r="L44" s="237">
        <f t="shared" si="10"/>
        <v>56.288000000000004</v>
      </c>
      <c r="M44" s="58">
        <f t="shared" si="6"/>
        <v>0.51881153762741272</v>
      </c>
      <c r="N44" s="238">
        <f t="shared" si="7"/>
        <v>63.956793632745871</v>
      </c>
      <c r="O44" s="239">
        <f t="shared" si="8"/>
        <v>63.956793632745871</v>
      </c>
      <c r="P44" s="239">
        <f t="shared" si="9"/>
        <v>63.956793632745871</v>
      </c>
    </row>
    <row r="45" spans="1:16" s="240" customFormat="1" ht="57.75" customHeight="1" thickBot="1">
      <c r="A45" s="234">
        <f t="shared" si="0"/>
        <v>108.49411764705883</v>
      </c>
      <c r="B45" s="235">
        <f t="shared" si="1"/>
        <v>117.95221843003412</v>
      </c>
      <c r="C45" s="289">
        <v>42</v>
      </c>
      <c r="D45" s="542">
        <v>28</v>
      </c>
      <c r="E45" s="289"/>
      <c r="F45" s="61" t="s">
        <v>189</v>
      </c>
      <c r="G45" s="61" t="s">
        <v>276</v>
      </c>
      <c r="H45" s="540" t="s">
        <v>255</v>
      </c>
      <c r="I45" s="541"/>
      <c r="J45" s="236"/>
      <c r="K45" s="236">
        <v>0.67479999999999996</v>
      </c>
      <c r="L45" s="552">
        <f>((K45*60)/0.75)+((K46*60)/0.75)</f>
        <v>78.75200000000001</v>
      </c>
      <c r="M45" s="58">
        <f t="shared" si="6"/>
        <v>0.72586423769247455</v>
      </c>
      <c r="N45" s="238">
        <f t="shared" si="7"/>
        <v>45.71312474603819</v>
      </c>
      <c r="O45" s="239">
        <f t="shared" si="8"/>
        <v>45.71312474603819</v>
      </c>
      <c r="P45" s="239">
        <f t="shared" si="9"/>
        <v>45.71312474603819</v>
      </c>
    </row>
    <row r="46" spans="1:16" s="240" customFormat="1" ht="69.75" customHeight="1" thickBot="1">
      <c r="A46" s="234">
        <f t="shared" si="0"/>
        <v>108.49411764705883</v>
      </c>
      <c r="B46" s="235">
        <f t="shared" si="1"/>
        <v>117.95221843003412</v>
      </c>
      <c r="C46" s="289">
        <v>43</v>
      </c>
      <c r="D46" s="543"/>
      <c r="E46" s="289"/>
      <c r="F46" s="61" t="s">
        <v>52</v>
      </c>
      <c r="G46" s="61" t="s">
        <v>275</v>
      </c>
      <c r="H46" s="540" t="s">
        <v>256</v>
      </c>
      <c r="I46" s="541"/>
      <c r="J46" s="236"/>
      <c r="K46" s="236">
        <v>0.30959999999999999</v>
      </c>
      <c r="L46" s="553"/>
      <c r="M46" s="58"/>
      <c r="N46" s="238"/>
      <c r="O46" s="239"/>
      <c r="P46" s="239"/>
    </row>
    <row r="47" spans="1:16" s="240" customFormat="1" ht="56.25" customHeight="1" thickBot="1">
      <c r="A47" s="234">
        <f t="shared" si="0"/>
        <v>108.49411764705883</v>
      </c>
      <c r="B47" s="235">
        <f t="shared" si="1"/>
        <v>117.95221843003412</v>
      </c>
      <c r="C47" s="289">
        <v>44</v>
      </c>
      <c r="D47" s="542">
        <v>29</v>
      </c>
      <c r="E47" s="289"/>
      <c r="F47" s="544" t="s">
        <v>147</v>
      </c>
      <c r="G47" s="544" t="s">
        <v>279</v>
      </c>
      <c r="H47" s="540" t="s">
        <v>257</v>
      </c>
      <c r="I47" s="541"/>
      <c r="J47" s="236"/>
      <c r="K47" s="236">
        <v>0.2243</v>
      </c>
      <c r="L47" s="546">
        <f>((K47*60)/1.1)+((K48*60)/1.1)</f>
        <v>78.125454545454545</v>
      </c>
      <c r="M47" s="58">
        <f t="shared" ref="M47" si="16">IF(L47=0,"",L47/$P$3)</f>
        <v>0.72008931211924054</v>
      </c>
      <c r="N47" s="238">
        <f t="shared" ref="N47" si="17">IF(L47=0,"",3600/L47)</f>
        <v>46.079731899741674</v>
      </c>
      <c r="O47" s="239">
        <f t="shared" ref="O47" si="18">3600/L47</f>
        <v>46.079731899741674</v>
      </c>
      <c r="P47" s="239">
        <f t="shared" ref="P47" si="19">+O47</f>
        <v>46.079731899741674</v>
      </c>
    </row>
    <row r="48" spans="1:16" s="240" customFormat="1" ht="105.75" customHeight="1" thickBot="1">
      <c r="A48" s="234">
        <f t="shared" si="0"/>
        <v>108.49411764705883</v>
      </c>
      <c r="B48" s="235">
        <f t="shared" si="1"/>
        <v>117.95221843003412</v>
      </c>
      <c r="C48" s="289">
        <v>45</v>
      </c>
      <c r="D48" s="543"/>
      <c r="E48" s="289"/>
      <c r="F48" s="545"/>
      <c r="G48" s="545"/>
      <c r="H48" s="540" t="s">
        <v>258</v>
      </c>
      <c r="I48" s="541"/>
      <c r="J48" s="236"/>
      <c r="K48" s="236">
        <v>1.208</v>
      </c>
      <c r="L48" s="547"/>
      <c r="M48" s="58"/>
      <c r="N48" s="238"/>
      <c r="O48" s="239"/>
      <c r="P48" s="239"/>
    </row>
    <row r="49" spans="1:16" s="240" customFormat="1" ht="57.75" customHeight="1" thickBot="1">
      <c r="A49" s="234">
        <f t="shared" si="0"/>
        <v>108.49411764705883</v>
      </c>
      <c r="B49" s="235">
        <f t="shared" si="1"/>
        <v>117.95221843003412</v>
      </c>
      <c r="C49" s="289">
        <v>46</v>
      </c>
      <c r="D49" s="289"/>
      <c r="E49" s="289"/>
      <c r="F49" s="61" t="s">
        <v>195</v>
      </c>
      <c r="G49" s="61" t="s">
        <v>273</v>
      </c>
      <c r="H49" s="540" t="s">
        <v>235</v>
      </c>
      <c r="I49" s="541"/>
      <c r="J49" s="236"/>
      <c r="K49" s="236">
        <v>0.12540000000000001</v>
      </c>
      <c r="L49" s="237"/>
      <c r="M49" s="58"/>
      <c r="N49" s="238"/>
      <c r="O49" s="239"/>
      <c r="P49" s="239"/>
    </row>
    <row r="50" spans="1:16" s="240" customFormat="1" ht="54.75" customHeight="1" thickBot="1">
      <c r="A50" s="234">
        <f t="shared" si="0"/>
        <v>108.49411764705883</v>
      </c>
      <c r="B50" s="235">
        <f t="shared" si="1"/>
        <v>117.95221843003412</v>
      </c>
      <c r="C50" s="289"/>
      <c r="D50" s="56"/>
      <c r="E50" s="289"/>
      <c r="F50" s="61"/>
      <c r="G50" s="61"/>
      <c r="H50" s="540"/>
      <c r="I50" s="541"/>
      <c r="J50" s="236"/>
      <c r="K50" s="236"/>
      <c r="L50" s="237"/>
      <c r="M50" s="58"/>
      <c r="N50" s="238"/>
      <c r="O50" s="239"/>
      <c r="P50" s="239"/>
    </row>
    <row r="51" spans="1:16" s="240" customFormat="1" ht="54.75" customHeight="1" thickBot="1">
      <c r="A51" s="234">
        <f t="shared" si="0"/>
        <v>108.49411764705883</v>
      </c>
      <c r="B51" s="235">
        <f t="shared" si="1"/>
        <v>117.95221843003412</v>
      </c>
      <c r="C51" s="289"/>
      <c r="D51" s="56"/>
      <c r="E51" s="289"/>
      <c r="F51" s="61"/>
      <c r="G51" s="61"/>
      <c r="H51" s="540"/>
      <c r="I51" s="541"/>
      <c r="J51" s="236"/>
      <c r="K51" s="236"/>
      <c r="L51" s="237"/>
      <c r="M51" s="58"/>
      <c r="N51" s="238"/>
      <c r="O51" s="239"/>
      <c r="P51" s="239"/>
    </row>
    <row r="52" spans="1:16" s="240" customFormat="1" ht="63.75" customHeight="1" thickBot="1">
      <c r="A52" s="234"/>
      <c r="B52" s="235"/>
      <c r="C52" s="289"/>
      <c r="D52" s="56"/>
      <c r="E52" s="56"/>
      <c r="F52" s="289"/>
      <c r="G52" s="56"/>
      <c r="H52" s="540"/>
      <c r="I52" s="541"/>
      <c r="J52" s="236"/>
      <c r="K52" s="236"/>
      <c r="L52" s="237"/>
      <c r="M52" s="58"/>
      <c r="N52" s="238"/>
      <c r="O52" s="239"/>
      <c r="P52" s="239"/>
    </row>
    <row r="53" spans="1:16" ht="28.5" customHeight="1">
      <c r="A53" s="241"/>
      <c r="B53" s="242"/>
      <c r="C53" s="243"/>
      <c r="D53" s="244">
        <f>COUNT(D10:D52)</f>
        <v>27</v>
      </c>
      <c r="E53" s="244">
        <f>COUNT(E52:E52)</f>
        <v>0</v>
      </c>
      <c r="F53" s="244">
        <f>COUNT(F52:F52)</f>
        <v>0</v>
      </c>
      <c r="G53" s="244">
        <f>SUM(G52:G52)</f>
        <v>0</v>
      </c>
      <c r="H53" s="554"/>
      <c r="I53" s="554"/>
      <c r="J53" s="554"/>
      <c r="K53" s="554"/>
      <c r="L53" s="554"/>
      <c r="M53" s="554"/>
      <c r="N53" s="554"/>
      <c r="O53" s="279"/>
      <c r="P53" s="246"/>
    </row>
    <row r="54" spans="1:16" ht="50.25" customHeight="1">
      <c r="A54" s="241"/>
      <c r="B54" s="242"/>
      <c r="C54" s="243"/>
      <c r="D54" s="247"/>
      <c r="E54" s="247"/>
      <c r="F54" s="247"/>
      <c r="G54" s="247"/>
      <c r="H54" s="247"/>
      <c r="I54" s="247"/>
      <c r="J54" s="247"/>
      <c r="K54" s="247"/>
      <c r="L54" s="248"/>
      <c r="M54" s="247"/>
      <c r="N54" s="247"/>
      <c r="O54" s="247"/>
      <c r="P54" s="246"/>
    </row>
    <row r="55" spans="1:16" ht="29.25" customHeight="1">
      <c r="A55" s="241"/>
      <c r="B55" s="242"/>
      <c r="C55" s="243"/>
      <c r="D55" s="247"/>
      <c r="E55" s="247"/>
      <c r="F55" s="247"/>
      <c r="G55" s="247"/>
      <c r="H55" s="247"/>
      <c r="I55" s="247"/>
      <c r="J55" s="247"/>
      <c r="K55" s="247"/>
      <c r="L55" s="248"/>
      <c r="M55" s="247"/>
      <c r="N55" s="247"/>
      <c r="O55" s="247"/>
      <c r="P55" s="246"/>
    </row>
    <row r="56" spans="1:16" ht="29.25" customHeight="1">
      <c r="A56" s="241"/>
      <c r="B56" s="242"/>
      <c r="C56" s="243"/>
      <c r="D56" s="247"/>
      <c r="E56" s="247"/>
      <c r="F56" s="247"/>
      <c r="G56" s="247"/>
      <c r="H56" s="247"/>
      <c r="I56" s="247"/>
      <c r="J56" s="247"/>
      <c r="K56" s="247"/>
      <c r="L56" s="248"/>
      <c r="M56" s="247"/>
      <c r="N56" s="247"/>
      <c r="O56" s="247"/>
      <c r="P56" s="246"/>
    </row>
    <row r="57" spans="1:16" ht="29.25" customHeight="1">
      <c r="A57" s="241"/>
      <c r="B57" s="242"/>
      <c r="C57" s="243"/>
      <c r="D57" s="279"/>
      <c r="E57" s="279"/>
      <c r="F57" s="279"/>
      <c r="G57" s="279"/>
      <c r="H57" s="554"/>
      <c r="I57" s="554"/>
      <c r="J57" s="554"/>
      <c r="K57" s="554"/>
      <c r="L57" s="554"/>
      <c r="M57" s="554"/>
      <c r="N57" s="554"/>
      <c r="O57" s="279"/>
      <c r="P57" s="246"/>
    </row>
    <row r="58" spans="1:16">
      <c r="A58" s="241"/>
      <c r="B58" s="242"/>
      <c r="C58" s="243"/>
      <c r="D58" s="247"/>
      <c r="E58" s="247"/>
      <c r="F58" s="247"/>
      <c r="G58" s="247"/>
      <c r="H58" s="247"/>
      <c r="I58" s="247"/>
      <c r="J58" s="247"/>
      <c r="K58" s="247"/>
      <c r="L58" s="248"/>
      <c r="M58" s="247"/>
      <c r="N58" s="247"/>
      <c r="O58" s="247"/>
      <c r="P58" s="246"/>
    </row>
    <row r="59" spans="1:16" ht="43.5" customHeight="1">
      <c r="A59" s="241"/>
      <c r="B59" s="242"/>
      <c r="C59" s="243"/>
      <c r="D59" s="247"/>
      <c r="E59" s="247"/>
      <c r="F59" s="247"/>
      <c r="G59" s="247"/>
      <c r="H59" s="247"/>
      <c r="I59" s="247"/>
      <c r="J59" s="247"/>
      <c r="K59" s="247"/>
      <c r="L59" s="248"/>
      <c r="M59" s="247"/>
      <c r="N59" s="247"/>
      <c r="O59" s="247"/>
      <c r="P59" s="246"/>
    </row>
    <row r="60" spans="1:16">
      <c r="A60" s="241"/>
      <c r="B60" s="242"/>
      <c r="C60" s="243"/>
      <c r="D60" s="247"/>
      <c r="E60" s="247"/>
      <c r="F60" s="247"/>
      <c r="G60" s="247"/>
      <c r="H60" s="247"/>
      <c r="I60" s="247"/>
      <c r="J60" s="247"/>
      <c r="K60" s="247"/>
      <c r="L60" s="248"/>
      <c r="M60" s="247"/>
      <c r="N60" s="247"/>
      <c r="O60" s="247"/>
      <c r="P60" s="246"/>
    </row>
    <row r="61" spans="1:16" ht="42" customHeight="1">
      <c r="C61" s="556" t="s">
        <v>79</v>
      </c>
      <c r="D61" s="556"/>
      <c r="E61" s="560" t="s">
        <v>80</v>
      </c>
      <c r="F61" s="561"/>
      <c r="G61" s="556" t="s">
        <v>81</v>
      </c>
      <c r="H61" s="556"/>
      <c r="I61" s="556" t="s">
        <v>82</v>
      </c>
      <c r="J61" s="556"/>
      <c r="K61" s="562" t="s">
        <v>83</v>
      </c>
      <c r="L61" s="562"/>
      <c r="M61" s="562"/>
      <c r="N61" s="556" t="s">
        <v>84</v>
      </c>
      <c r="O61" s="556"/>
      <c r="P61" s="556"/>
    </row>
    <row r="62" spans="1:16" ht="13.2">
      <c r="C62" s="559"/>
      <c r="D62" s="559"/>
      <c r="E62" s="559"/>
      <c r="F62" s="559"/>
      <c r="G62" s="559"/>
      <c r="H62" s="559"/>
      <c r="I62" s="559"/>
      <c r="J62" s="559"/>
      <c r="K62" s="559"/>
      <c r="L62" s="559"/>
      <c r="M62" s="559"/>
      <c r="N62" s="559"/>
      <c r="O62" s="559"/>
      <c r="P62" s="559"/>
    </row>
    <row r="63" spans="1:16" ht="13.2">
      <c r="C63" s="559"/>
      <c r="D63" s="559"/>
      <c r="E63" s="559"/>
      <c r="F63" s="559"/>
      <c r="G63" s="559"/>
      <c r="H63" s="559"/>
      <c r="I63" s="559"/>
      <c r="J63" s="559"/>
      <c r="K63" s="559"/>
      <c r="L63" s="559"/>
      <c r="M63" s="559"/>
      <c r="N63" s="559"/>
      <c r="O63" s="559"/>
      <c r="P63" s="559"/>
    </row>
    <row r="64" spans="1:16" s="250" customFormat="1" ht="57" customHeight="1">
      <c r="A64" s="249"/>
      <c r="B64" s="249"/>
      <c r="C64" s="559"/>
      <c r="D64" s="559"/>
      <c r="E64" s="559"/>
      <c r="F64" s="559"/>
      <c r="G64" s="559"/>
      <c r="H64" s="559"/>
      <c r="I64" s="559"/>
      <c r="J64" s="559"/>
      <c r="K64" s="559"/>
      <c r="L64" s="559"/>
      <c r="M64" s="559"/>
      <c r="N64" s="559"/>
      <c r="O64" s="559"/>
      <c r="P64" s="559"/>
    </row>
    <row r="65" spans="3:16" ht="42.75" customHeight="1">
      <c r="C65" s="556" t="s">
        <v>85</v>
      </c>
      <c r="D65" s="556"/>
      <c r="E65" s="556" t="s">
        <v>86</v>
      </c>
      <c r="F65" s="556"/>
      <c r="G65" s="556" t="s">
        <v>87</v>
      </c>
      <c r="H65" s="556"/>
      <c r="I65" s="557" t="s">
        <v>88</v>
      </c>
      <c r="J65" s="557"/>
      <c r="K65" s="558" t="s">
        <v>90</v>
      </c>
      <c r="L65" s="556"/>
      <c r="M65" s="556"/>
      <c r="N65" s="556" t="s">
        <v>89</v>
      </c>
      <c r="O65" s="556"/>
      <c r="P65" s="556"/>
    </row>
    <row r="66" spans="3:16" ht="13.2">
      <c r="C66" s="555"/>
      <c r="D66" s="555"/>
      <c r="E66" s="555"/>
      <c r="F66" s="555"/>
      <c r="G66" s="555"/>
      <c r="H66" s="555"/>
      <c r="I66" s="555"/>
      <c r="J66" s="555"/>
      <c r="K66" s="555"/>
      <c r="L66" s="555"/>
      <c r="M66" s="555"/>
      <c r="N66" s="555"/>
      <c r="O66" s="555"/>
      <c r="P66" s="555"/>
    </row>
    <row r="67" spans="3:16" ht="13.2">
      <c r="C67" s="555"/>
      <c r="D67" s="555"/>
      <c r="E67" s="555"/>
      <c r="F67" s="555"/>
      <c r="G67" s="555"/>
      <c r="H67" s="555"/>
      <c r="I67" s="555"/>
      <c r="J67" s="555"/>
      <c r="K67" s="555"/>
      <c r="L67" s="555"/>
      <c r="M67" s="555"/>
      <c r="N67" s="555"/>
      <c r="O67" s="555"/>
      <c r="P67" s="555"/>
    </row>
    <row r="68" spans="3:16" ht="62.25" customHeight="1">
      <c r="C68" s="555"/>
      <c r="D68" s="555"/>
      <c r="E68" s="555"/>
      <c r="F68" s="555"/>
      <c r="G68" s="555"/>
      <c r="H68" s="555"/>
      <c r="I68" s="555"/>
      <c r="J68" s="555"/>
      <c r="K68" s="555"/>
      <c r="L68" s="555"/>
      <c r="M68" s="555"/>
      <c r="N68" s="555"/>
      <c r="O68" s="555"/>
      <c r="P68" s="555"/>
    </row>
  </sheetData>
  <autoFilter ref="A9:P53">
    <filterColumn colId="7" showButton="0"/>
    <filterColumn colId="10" showButton="0"/>
  </autoFilter>
  <mergeCells count="119">
    <mergeCell ref="C7:C9"/>
    <mergeCell ref="D7:D9"/>
    <mergeCell ref="E7:E9"/>
    <mergeCell ref="F7:G8"/>
    <mergeCell ref="H7:I9"/>
    <mergeCell ref="J7:J9"/>
    <mergeCell ref="K7:L9"/>
    <mergeCell ref="M7:M9"/>
    <mergeCell ref="I2:P2"/>
    <mergeCell ref="D3:G3"/>
    <mergeCell ref="K3:M3"/>
    <mergeCell ref="D4:G4"/>
    <mergeCell ref="K4:M4"/>
    <mergeCell ref="D5:G5"/>
    <mergeCell ref="K5:M5"/>
    <mergeCell ref="P7:P9"/>
    <mergeCell ref="N7:N9"/>
    <mergeCell ref="O7:O9"/>
    <mergeCell ref="D10:D11"/>
    <mergeCell ref="F10:F11"/>
    <mergeCell ref="G10:G11"/>
    <mergeCell ref="H10:I10"/>
    <mergeCell ref="L10:L11"/>
    <mergeCell ref="H11:I11"/>
    <mergeCell ref="D6:G6"/>
    <mergeCell ref="K6:M6"/>
    <mergeCell ref="D12:D14"/>
    <mergeCell ref="F12:F14"/>
    <mergeCell ref="G12:G14"/>
    <mergeCell ref="H12:I12"/>
    <mergeCell ref="L12:L14"/>
    <mergeCell ref="H13:I13"/>
    <mergeCell ref="H14:I14"/>
    <mergeCell ref="E12:E14"/>
    <mergeCell ref="D15:D16"/>
    <mergeCell ref="H15:I15"/>
    <mergeCell ref="L15:L16"/>
    <mergeCell ref="H16:I16"/>
    <mergeCell ref="D17:D18"/>
    <mergeCell ref="L17:L18"/>
    <mergeCell ref="F17:F18"/>
    <mergeCell ref="G17:G18"/>
    <mergeCell ref="H17:I17"/>
    <mergeCell ref="H25:I25"/>
    <mergeCell ref="D26:D27"/>
    <mergeCell ref="H26:I26"/>
    <mergeCell ref="L26:L27"/>
    <mergeCell ref="H27:I27"/>
    <mergeCell ref="H28:I28"/>
    <mergeCell ref="H18:I18"/>
    <mergeCell ref="H19:I19"/>
    <mergeCell ref="H20:I20"/>
    <mergeCell ref="H22:I22"/>
    <mergeCell ref="H23:I23"/>
    <mergeCell ref="H24:I24"/>
    <mergeCell ref="H21:I21"/>
    <mergeCell ref="G20:G21"/>
    <mergeCell ref="F20:F21"/>
    <mergeCell ref="D20:D21"/>
    <mergeCell ref="D35:D36"/>
    <mergeCell ref="F35:F36"/>
    <mergeCell ref="G35:G36"/>
    <mergeCell ref="H35:I35"/>
    <mergeCell ref="L35:L36"/>
    <mergeCell ref="H36:I36"/>
    <mergeCell ref="H29:I29"/>
    <mergeCell ref="H30:I30"/>
    <mergeCell ref="H31:I31"/>
    <mergeCell ref="H32:I32"/>
    <mergeCell ref="H33:I33"/>
    <mergeCell ref="H34:I34"/>
    <mergeCell ref="N61:P61"/>
    <mergeCell ref="H49:I49"/>
    <mergeCell ref="H50:I50"/>
    <mergeCell ref="H51:I51"/>
    <mergeCell ref="H52:I52"/>
    <mergeCell ref="H53:N53"/>
    <mergeCell ref="H57:N57"/>
    <mergeCell ref="D47:D48"/>
    <mergeCell ref="F47:F48"/>
    <mergeCell ref="G47:G48"/>
    <mergeCell ref="H47:I47"/>
    <mergeCell ref="L47:L48"/>
    <mergeCell ref="H48:I48"/>
    <mergeCell ref="C61:D61"/>
    <mergeCell ref="E61:F61"/>
    <mergeCell ref="G61:H61"/>
    <mergeCell ref="I61:J61"/>
    <mergeCell ref="K61:M61"/>
    <mergeCell ref="N66:P68"/>
    <mergeCell ref="C65:D65"/>
    <mergeCell ref="E65:F65"/>
    <mergeCell ref="G65:H65"/>
    <mergeCell ref="I65:J65"/>
    <mergeCell ref="K65:M65"/>
    <mergeCell ref="N65:P65"/>
    <mergeCell ref="C62:D64"/>
    <mergeCell ref="E62:F64"/>
    <mergeCell ref="G62:H64"/>
    <mergeCell ref="I62:J64"/>
    <mergeCell ref="K62:M64"/>
    <mergeCell ref="N62:P64"/>
    <mergeCell ref="C66:D68"/>
    <mergeCell ref="E66:F68"/>
    <mergeCell ref="G66:H68"/>
    <mergeCell ref="I66:J68"/>
    <mergeCell ref="K66:M68"/>
    <mergeCell ref="H43:I43"/>
    <mergeCell ref="H44:I44"/>
    <mergeCell ref="D45:D46"/>
    <mergeCell ref="H45:I45"/>
    <mergeCell ref="L45:L46"/>
    <mergeCell ref="H46:I46"/>
    <mergeCell ref="H37:I37"/>
    <mergeCell ref="H38:I38"/>
    <mergeCell ref="H39:I39"/>
    <mergeCell ref="H40:I40"/>
    <mergeCell ref="H41:I41"/>
    <mergeCell ref="H42:I42"/>
  </mergeCells>
  <pageMargins left="0" right="0" top="0" bottom="0" header="0.31496062992126" footer="0.31496062992126"/>
  <pageSetup paperSize="9" scale="51" fitToHeight="0" orientation="portrait" r:id="rId1"/>
  <headerFooter alignWithMargins="0"/>
  <rowBreaks count="2" manualBreakCount="2">
    <brk id="30" min="2" max="15" man="1"/>
    <brk id="48" min="2" max="15" man="1"/>
  </rowBreaks>
  <ignoredErrors>
    <ignoredError sqref="I3:I4 L25:P29 L30:P30 K31:P32 K30 L33:P42 L43:P48 N3:P9" unlockedFormula="1"/>
    <ignoredError sqref="I5"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60"/>
  <sheetViews>
    <sheetView view="pageBreakPreview" topLeftCell="A179" zoomScale="70" zoomScaleNormal="80" zoomScaleSheetLayoutView="70" workbookViewId="0">
      <selection activeCell="U103" sqref="U103"/>
    </sheetView>
  </sheetViews>
  <sheetFormatPr defaultColWidth="9.109375" defaultRowHeight="13.2"/>
  <cols>
    <col min="1" max="1" width="6.6640625" style="55" customWidth="1"/>
    <col min="2" max="2" width="13" style="55" customWidth="1"/>
    <col min="3" max="3" width="10.33203125" style="55" customWidth="1"/>
    <col min="4" max="4" width="6.44140625" style="55" customWidth="1"/>
    <col min="5" max="5" width="20.44140625" style="55" customWidth="1"/>
    <col min="6" max="6" width="29.33203125" style="55" customWidth="1"/>
    <col min="7" max="7" width="14.44140625" style="55" customWidth="1"/>
    <col min="8" max="8" width="22.5546875" style="55" customWidth="1"/>
    <col min="9" max="9" width="13.88671875" style="55" customWidth="1"/>
    <col min="10" max="10" width="13" style="55" customWidth="1"/>
    <col min="11" max="11" width="9.44140625" style="55" customWidth="1"/>
    <col min="12" max="12" width="10.44140625" style="55" customWidth="1"/>
    <col min="13" max="16384" width="9.109375" style="55"/>
  </cols>
  <sheetData>
    <row r="1" spans="1:14" ht="7.5" customHeight="1" thickBot="1"/>
    <row r="2" spans="1:14" ht="42.75" customHeight="1" thickBot="1">
      <c r="B2" s="566"/>
      <c r="C2" s="567"/>
      <c r="D2" s="567"/>
      <c r="E2" s="567"/>
      <c r="F2" s="567"/>
      <c r="G2" s="567"/>
      <c r="H2" s="568"/>
      <c r="I2" s="567" t="s">
        <v>26</v>
      </c>
      <c r="J2" s="567"/>
      <c r="K2" s="567"/>
      <c r="L2" s="568"/>
    </row>
    <row r="3" spans="1:14" ht="32.25" customHeight="1">
      <c r="B3" s="11" t="s">
        <v>0</v>
      </c>
      <c r="C3" s="569"/>
      <c r="D3" s="569"/>
      <c r="E3" s="51" t="s">
        <v>98</v>
      </c>
      <c r="F3" s="13"/>
      <c r="G3" s="570" t="s">
        <v>2</v>
      </c>
      <c r="H3" s="571"/>
      <c r="I3" s="572"/>
      <c r="J3" s="14"/>
      <c r="K3" s="12" t="s">
        <v>3</v>
      </c>
      <c r="L3" s="15"/>
    </row>
    <row r="4" spans="1:14" ht="32.25" customHeight="1">
      <c r="B4" s="5" t="s">
        <v>4</v>
      </c>
      <c r="C4" s="573">
        <v>221433</v>
      </c>
      <c r="D4" s="573"/>
      <c r="E4" s="30"/>
      <c r="F4" s="22"/>
      <c r="G4" s="574" t="s">
        <v>6</v>
      </c>
      <c r="H4" s="575"/>
      <c r="I4" s="576"/>
      <c r="J4" s="16"/>
      <c r="K4" s="4" t="s">
        <v>7</v>
      </c>
      <c r="L4" s="17"/>
    </row>
    <row r="5" spans="1:14" ht="32.25" customHeight="1">
      <c r="B5" s="5" t="s">
        <v>8</v>
      </c>
      <c r="C5" s="577"/>
      <c r="D5" s="578"/>
      <c r="E5" s="31" t="s">
        <v>9</v>
      </c>
      <c r="F5" s="3">
        <v>29.321099999999998</v>
      </c>
      <c r="G5" s="579" t="s">
        <v>10</v>
      </c>
      <c r="H5" s="580"/>
      <c r="I5" s="580"/>
      <c r="J5" s="4"/>
      <c r="K5" s="4" t="s">
        <v>11</v>
      </c>
      <c r="L5" s="6"/>
    </row>
    <row r="6" spans="1:14" ht="32.25" customHeight="1" thickBot="1">
      <c r="B6" s="26" t="s">
        <v>12</v>
      </c>
      <c r="C6" s="581"/>
      <c r="D6" s="582"/>
      <c r="E6" s="31" t="s">
        <v>13</v>
      </c>
      <c r="F6" s="25"/>
      <c r="G6" s="579" t="s">
        <v>14</v>
      </c>
      <c r="H6" s="580"/>
      <c r="I6" s="583"/>
      <c r="J6" s="4"/>
      <c r="K6" s="4"/>
      <c r="L6" s="6"/>
    </row>
    <row r="7" spans="1:14" ht="99.75" customHeight="1">
      <c r="A7" s="7"/>
      <c r="B7" s="32"/>
      <c r="C7" s="32"/>
      <c r="D7" s="32"/>
      <c r="E7" s="282"/>
      <c r="F7" s="282"/>
      <c r="G7" s="34"/>
      <c r="H7" s="35"/>
      <c r="I7" s="18"/>
      <c r="J7" s="280"/>
      <c r="K7" s="280"/>
      <c r="L7" s="281"/>
      <c r="N7" s="8"/>
    </row>
    <row r="8" spans="1:14" ht="19.5" customHeight="1">
      <c r="A8" s="7"/>
      <c r="B8" s="32"/>
      <c r="C8" s="32"/>
      <c r="D8" s="32"/>
      <c r="E8" s="282"/>
      <c r="F8" s="282"/>
      <c r="G8" s="34"/>
      <c r="H8" s="35"/>
      <c r="I8" s="18"/>
      <c r="J8" s="280"/>
      <c r="K8" s="280"/>
      <c r="L8" s="281"/>
      <c r="N8" s="8"/>
    </row>
    <row r="9" spans="1:14" ht="18.75" customHeight="1">
      <c r="A9" s="7"/>
      <c r="B9" s="32"/>
      <c r="C9" s="32"/>
      <c r="D9" s="32"/>
      <c r="E9" s="282"/>
      <c r="F9" s="282"/>
      <c r="G9" s="34"/>
      <c r="H9" s="35"/>
      <c r="I9" s="18"/>
      <c r="J9" s="280"/>
      <c r="K9" s="280"/>
      <c r="L9" s="281"/>
      <c r="N9" s="8"/>
    </row>
    <row r="10" spans="1:14" ht="15.75" customHeight="1">
      <c r="A10" s="7"/>
      <c r="B10" s="32"/>
      <c r="C10" s="32"/>
      <c r="D10" s="32"/>
      <c r="E10" s="282"/>
      <c r="F10" s="282"/>
      <c r="G10" s="34"/>
      <c r="H10" s="35"/>
      <c r="I10" s="18"/>
      <c r="J10" s="280"/>
      <c r="K10" s="280"/>
      <c r="L10" s="281"/>
      <c r="N10" s="8"/>
    </row>
    <row r="11" spans="1:14" ht="18.75" customHeight="1">
      <c r="A11" s="7"/>
      <c r="B11" s="32"/>
      <c r="C11" s="32"/>
      <c r="D11" s="32"/>
      <c r="E11" s="282"/>
      <c r="F11" s="282"/>
      <c r="G11" s="34"/>
      <c r="H11" s="35"/>
      <c r="I11" s="18"/>
      <c r="J11" s="280"/>
      <c r="K11" s="280"/>
      <c r="L11" s="281"/>
      <c r="N11" s="8"/>
    </row>
    <row r="12" spans="1:14" ht="15.75" customHeight="1">
      <c r="A12" s="7"/>
      <c r="B12" s="32"/>
      <c r="C12" s="32"/>
      <c r="D12" s="32"/>
      <c r="E12" s="282"/>
      <c r="F12" s="282"/>
      <c r="G12" s="34"/>
      <c r="H12" s="35"/>
      <c r="I12" s="18"/>
      <c r="J12" s="280"/>
      <c r="K12" s="280"/>
      <c r="L12" s="281"/>
      <c r="N12" s="8"/>
    </row>
    <row r="13" spans="1:14" ht="18.75" customHeight="1">
      <c r="A13" s="7"/>
      <c r="B13" s="32"/>
      <c r="C13" s="32"/>
      <c r="D13" s="32"/>
      <c r="E13" s="282"/>
      <c r="F13" s="282"/>
      <c r="G13" s="34"/>
      <c r="H13" s="35"/>
      <c r="I13" s="18"/>
      <c r="J13" s="280"/>
      <c r="K13" s="280"/>
      <c r="L13" s="281"/>
      <c r="N13" s="8"/>
    </row>
    <row r="14" spans="1:14" ht="15.75" customHeight="1">
      <c r="A14" s="7"/>
      <c r="B14" s="32"/>
      <c r="C14" s="32"/>
      <c r="D14" s="32"/>
      <c r="E14" s="282"/>
      <c r="F14" s="282"/>
      <c r="G14" s="34"/>
      <c r="H14" s="35"/>
      <c r="I14" s="18"/>
      <c r="J14" s="280"/>
      <c r="K14" s="280"/>
      <c r="L14" s="281"/>
      <c r="N14" s="8"/>
    </row>
    <row r="15" spans="1:14" ht="15.75" customHeight="1">
      <c r="A15" s="7"/>
      <c r="B15" s="32"/>
      <c r="C15" s="32"/>
      <c r="D15" s="32"/>
      <c r="E15" s="282"/>
      <c r="F15" s="282"/>
      <c r="G15" s="34"/>
      <c r="H15" s="35"/>
      <c r="I15" s="18"/>
      <c r="J15" s="280"/>
      <c r="K15" s="280"/>
      <c r="L15" s="281"/>
      <c r="N15" s="8"/>
    </row>
    <row r="16" spans="1:14" ht="18.75" customHeight="1">
      <c r="A16" s="7"/>
      <c r="B16" s="32"/>
      <c r="C16" s="32"/>
      <c r="D16" s="32"/>
      <c r="E16" s="282"/>
      <c r="F16" s="282"/>
      <c r="G16" s="34"/>
      <c r="H16" s="35"/>
      <c r="I16" s="18"/>
      <c r="J16" s="280"/>
      <c r="K16" s="280"/>
      <c r="L16" s="281"/>
      <c r="N16" s="8"/>
    </row>
    <row r="17" spans="1:14" ht="15.75" customHeight="1">
      <c r="A17" s="7"/>
      <c r="B17" s="32"/>
      <c r="C17" s="32"/>
      <c r="D17" s="32"/>
      <c r="E17" s="282"/>
      <c r="F17" s="282"/>
      <c r="G17" s="34"/>
      <c r="H17" s="35"/>
      <c r="I17" s="18"/>
      <c r="J17" s="280"/>
      <c r="K17" s="280"/>
      <c r="L17" s="281"/>
      <c r="N17" s="8"/>
    </row>
    <row r="18" spans="1:14" ht="18.75" customHeight="1">
      <c r="A18" s="7"/>
      <c r="B18" s="32"/>
      <c r="C18" s="32"/>
      <c r="D18" s="32"/>
      <c r="E18" s="282"/>
      <c r="F18" s="282"/>
      <c r="G18" s="34"/>
      <c r="H18" s="35"/>
      <c r="I18" s="18"/>
      <c r="J18" s="280"/>
      <c r="K18" s="280"/>
      <c r="L18" s="281"/>
      <c r="N18" s="8"/>
    </row>
    <row r="19" spans="1:14" ht="15.75" customHeight="1">
      <c r="A19" s="7"/>
      <c r="B19" s="32"/>
      <c r="C19" s="32"/>
      <c r="D19" s="32"/>
      <c r="E19" s="282"/>
      <c r="F19" s="282"/>
      <c r="G19" s="34"/>
      <c r="H19" s="35"/>
      <c r="I19" s="18"/>
      <c r="J19" s="280"/>
      <c r="K19" s="280"/>
      <c r="L19" s="281"/>
      <c r="N19" s="8"/>
    </row>
    <row r="20" spans="1:14" ht="18.75" customHeight="1">
      <c r="A20" s="7"/>
      <c r="B20" s="32"/>
      <c r="C20" s="32"/>
      <c r="D20" s="32"/>
      <c r="E20" s="282"/>
      <c r="F20" s="282"/>
      <c r="G20" s="34"/>
      <c r="H20" s="35"/>
      <c r="I20" s="18"/>
      <c r="J20" s="280"/>
      <c r="K20" s="280"/>
      <c r="L20" s="281"/>
      <c r="N20" s="8"/>
    </row>
    <row r="21" spans="1:14" ht="15.75" customHeight="1">
      <c r="A21" s="7"/>
      <c r="B21" s="32"/>
      <c r="C21" s="32"/>
      <c r="D21" s="32"/>
      <c r="E21" s="282"/>
      <c r="F21" s="282"/>
      <c r="G21" s="34"/>
      <c r="H21" s="35"/>
      <c r="I21" s="18"/>
      <c r="J21" s="280"/>
      <c r="K21" s="280"/>
      <c r="L21" s="281"/>
      <c r="N21" s="8"/>
    </row>
    <row r="22" spans="1:14" ht="18.75" customHeight="1">
      <c r="A22" s="7"/>
      <c r="B22" s="32"/>
      <c r="C22" s="32"/>
      <c r="D22" s="32"/>
      <c r="E22" s="282"/>
      <c r="F22" s="282"/>
      <c r="G22" s="34"/>
      <c r="H22" s="35"/>
      <c r="I22" s="18"/>
      <c r="J22" s="280"/>
      <c r="K22" s="280"/>
      <c r="L22" s="281"/>
      <c r="N22" s="8"/>
    </row>
    <row r="23" spans="1:14" ht="15.75" customHeight="1">
      <c r="A23" s="7"/>
      <c r="B23" s="32"/>
      <c r="C23" s="32"/>
      <c r="D23" s="32"/>
      <c r="E23" s="282"/>
      <c r="F23" s="282"/>
      <c r="G23" s="34"/>
      <c r="H23" s="35"/>
      <c r="I23" s="18"/>
      <c r="J23" s="280"/>
      <c r="K23" s="280"/>
      <c r="L23" s="281"/>
      <c r="N23" s="8"/>
    </row>
    <row r="24" spans="1:14" ht="18.75" customHeight="1">
      <c r="A24" s="7"/>
      <c r="B24" s="32"/>
      <c r="C24" s="32"/>
      <c r="D24" s="32"/>
      <c r="E24" s="282"/>
      <c r="F24" s="282"/>
      <c r="G24" s="34"/>
      <c r="H24" s="35"/>
      <c r="I24" s="18"/>
      <c r="J24" s="280"/>
      <c r="K24" s="280"/>
      <c r="L24" s="281"/>
      <c r="N24" s="8"/>
    </row>
    <row r="25" spans="1:14" ht="15.75" customHeight="1">
      <c r="A25" s="7"/>
      <c r="B25" s="32"/>
      <c r="C25" s="32"/>
      <c r="D25" s="32"/>
      <c r="E25" s="282"/>
      <c r="F25" s="282"/>
      <c r="G25" s="34"/>
      <c r="H25" s="35"/>
      <c r="I25" s="18"/>
      <c r="J25" s="280"/>
      <c r="K25" s="280"/>
      <c r="L25" s="281"/>
      <c r="N25" s="8"/>
    </row>
    <row r="26" spans="1:14" ht="18.75" customHeight="1">
      <c r="A26" s="7"/>
      <c r="B26" s="32"/>
      <c r="C26" s="32"/>
      <c r="D26" s="32"/>
      <c r="E26" s="282"/>
      <c r="F26" s="282"/>
      <c r="G26" s="34"/>
      <c r="H26" s="35"/>
      <c r="I26" s="18"/>
      <c r="J26" s="280"/>
      <c r="K26" s="280"/>
      <c r="L26" s="281"/>
      <c r="N26" s="8"/>
    </row>
    <row r="27" spans="1:14" ht="15.75" customHeight="1">
      <c r="A27" s="7"/>
      <c r="B27" s="32"/>
      <c r="C27" s="32"/>
      <c r="D27" s="32"/>
      <c r="E27" s="282"/>
      <c r="F27" s="282"/>
      <c r="G27" s="34"/>
      <c r="H27" s="35"/>
      <c r="I27" s="18"/>
      <c r="J27" s="280"/>
      <c r="K27" s="280"/>
      <c r="L27" s="281"/>
      <c r="N27" s="8"/>
    </row>
    <row r="28" spans="1:14" ht="18.75" customHeight="1">
      <c r="A28" s="7"/>
      <c r="B28" s="32"/>
      <c r="C28" s="32"/>
      <c r="D28" s="32"/>
      <c r="E28" s="282"/>
      <c r="F28" s="282"/>
      <c r="G28" s="34"/>
      <c r="H28" s="35"/>
      <c r="I28" s="18"/>
      <c r="J28" s="280"/>
      <c r="K28" s="280"/>
      <c r="L28" s="281"/>
      <c r="N28" s="8"/>
    </row>
    <row r="29" spans="1:14" ht="15.75" customHeight="1">
      <c r="A29" s="7"/>
      <c r="B29" s="32"/>
      <c r="C29" s="32"/>
      <c r="D29" s="32"/>
      <c r="E29" s="282"/>
      <c r="F29" s="282"/>
      <c r="G29" s="34"/>
      <c r="H29" s="35"/>
      <c r="I29" s="18"/>
      <c r="J29" s="280"/>
      <c r="K29" s="280"/>
      <c r="L29" s="281"/>
      <c r="N29" s="8"/>
    </row>
    <row r="30" spans="1:14" ht="18.75" customHeight="1">
      <c r="A30" s="7"/>
      <c r="B30" s="32"/>
      <c r="C30" s="32"/>
      <c r="D30" s="32"/>
      <c r="E30" s="282"/>
      <c r="F30" s="282"/>
      <c r="G30" s="34"/>
      <c r="H30" s="35"/>
      <c r="I30" s="18"/>
      <c r="J30" s="280"/>
      <c r="K30" s="280"/>
      <c r="L30" s="281"/>
      <c r="N30" s="8"/>
    </row>
    <row r="31" spans="1:14" ht="18.75" customHeight="1">
      <c r="A31" s="7"/>
      <c r="B31" s="32"/>
      <c r="C31" s="32"/>
      <c r="D31" s="32"/>
      <c r="E31" s="282"/>
      <c r="F31" s="282"/>
      <c r="G31" s="34"/>
      <c r="H31" s="35"/>
      <c r="I31" s="18"/>
      <c r="J31" s="280"/>
      <c r="K31" s="280"/>
      <c r="L31" s="281"/>
      <c r="N31" s="8"/>
    </row>
    <row r="32" spans="1:14" ht="15.75" customHeight="1">
      <c r="A32" s="7"/>
      <c r="B32" s="32"/>
      <c r="C32" s="32"/>
      <c r="D32" s="32"/>
      <c r="E32" s="282"/>
      <c r="F32" s="282"/>
      <c r="G32" s="34"/>
      <c r="H32" s="35"/>
      <c r="I32" s="18"/>
      <c r="J32" s="280"/>
      <c r="K32" s="280"/>
      <c r="L32" s="281"/>
      <c r="N32" s="8"/>
    </row>
    <row r="33" spans="1:14" ht="18.75" customHeight="1">
      <c r="A33" s="7"/>
      <c r="B33" s="32"/>
      <c r="C33" s="32"/>
      <c r="D33" s="32"/>
      <c r="E33" s="282"/>
      <c r="F33" s="282"/>
      <c r="G33" s="34"/>
      <c r="H33" s="35"/>
      <c r="I33" s="18"/>
      <c r="J33" s="280"/>
      <c r="K33" s="280"/>
      <c r="L33" s="281"/>
      <c r="N33" s="8"/>
    </row>
    <row r="34" spans="1:14" ht="15.75" customHeight="1">
      <c r="A34" s="7"/>
      <c r="B34" s="32"/>
      <c r="C34" s="32"/>
      <c r="D34" s="32"/>
      <c r="E34" s="282"/>
      <c r="F34" s="282"/>
      <c r="G34" s="34"/>
      <c r="H34" s="35"/>
      <c r="I34" s="18"/>
      <c r="J34" s="280"/>
      <c r="K34" s="280"/>
      <c r="L34" s="281"/>
      <c r="N34" s="8"/>
    </row>
    <row r="35" spans="1:14" ht="18.75" customHeight="1">
      <c r="A35" s="7"/>
      <c r="B35" s="32"/>
      <c r="C35" s="32"/>
      <c r="D35" s="32"/>
      <c r="E35" s="282"/>
      <c r="F35" s="282"/>
      <c r="G35" s="34"/>
      <c r="H35" s="35"/>
      <c r="I35" s="18"/>
      <c r="J35" s="280"/>
      <c r="K35" s="280"/>
      <c r="L35" s="281"/>
      <c r="N35" s="8"/>
    </row>
    <row r="36" spans="1:14" ht="15.75" customHeight="1">
      <c r="A36" s="7"/>
      <c r="B36" s="32"/>
      <c r="C36" s="32"/>
      <c r="D36" s="32"/>
      <c r="E36" s="282"/>
      <c r="F36" s="282"/>
      <c r="G36" s="34"/>
      <c r="H36" s="35"/>
      <c r="I36" s="18"/>
      <c r="J36" s="280"/>
      <c r="K36" s="280"/>
      <c r="L36" s="281"/>
      <c r="N36" s="8"/>
    </row>
    <row r="37" spans="1:14" ht="18.75" customHeight="1">
      <c r="A37" s="7"/>
      <c r="B37" s="32"/>
      <c r="C37" s="32"/>
      <c r="D37" s="32"/>
      <c r="E37" s="282"/>
      <c r="F37" s="282"/>
      <c r="G37" s="34"/>
      <c r="H37" s="35"/>
      <c r="I37" s="18"/>
      <c r="J37" s="280"/>
      <c r="K37" s="280"/>
      <c r="L37" s="281"/>
      <c r="N37" s="8"/>
    </row>
    <row r="38" spans="1:14" ht="18.75" customHeight="1">
      <c r="A38" s="7"/>
      <c r="B38" s="32"/>
      <c r="C38" s="32"/>
      <c r="D38" s="32"/>
      <c r="E38" s="282"/>
      <c r="F38" s="282"/>
      <c r="G38" s="34"/>
      <c r="H38" s="35"/>
      <c r="I38" s="18"/>
      <c r="J38" s="280"/>
      <c r="K38" s="280"/>
      <c r="L38" s="281"/>
      <c r="N38" s="8"/>
    </row>
    <row r="39" spans="1:14" ht="15.75" customHeight="1">
      <c r="A39" s="7"/>
      <c r="B39" s="32"/>
      <c r="C39" s="32"/>
      <c r="D39" s="32"/>
      <c r="E39" s="282"/>
      <c r="F39" s="282"/>
      <c r="G39" s="34"/>
      <c r="H39" s="35"/>
      <c r="I39" s="18"/>
      <c r="J39" s="280"/>
      <c r="K39" s="280"/>
      <c r="L39" s="281"/>
      <c r="N39" s="8"/>
    </row>
    <row r="40" spans="1:14" ht="18.75" customHeight="1">
      <c r="A40" s="7"/>
      <c r="B40" s="32"/>
      <c r="C40" s="32"/>
      <c r="D40" s="32"/>
      <c r="E40" s="282"/>
      <c r="F40" s="282"/>
      <c r="G40" s="34"/>
      <c r="H40" s="35"/>
      <c r="I40" s="18"/>
      <c r="J40" s="280"/>
      <c r="K40" s="280"/>
      <c r="L40" s="281"/>
      <c r="N40" s="8"/>
    </row>
    <row r="41" spans="1:14" ht="15.75" customHeight="1">
      <c r="A41" s="7"/>
      <c r="B41" s="32"/>
      <c r="C41" s="32"/>
      <c r="D41" s="32"/>
      <c r="E41" s="282"/>
      <c r="F41" s="282"/>
      <c r="G41" s="34"/>
      <c r="H41" s="35"/>
      <c r="I41" s="18"/>
      <c r="J41" s="280"/>
      <c r="K41" s="280"/>
      <c r="L41" s="281"/>
      <c r="N41" s="8"/>
    </row>
    <row r="42" spans="1:14" ht="18.75" customHeight="1">
      <c r="A42" s="7"/>
      <c r="B42" s="32"/>
      <c r="C42" s="32"/>
      <c r="D42" s="32"/>
      <c r="E42" s="282"/>
      <c r="F42" s="282"/>
      <c r="G42" s="34"/>
      <c r="H42" s="35"/>
      <c r="I42" s="18"/>
      <c r="J42" s="280"/>
      <c r="K42" s="280"/>
      <c r="L42" s="281"/>
      <c r="N42" s="8"/>
    </row>
    <row r="43" spans="1:14" ht="15.75" customHeight="1">
      <c r="A43" s="7"/>
      <c r="B43" s="32"/>
      <c r="C43" s="32"/>
      <c r="D43" s="32"/>
      <c r="E43" s="282"/>
      <c r="F43" s="282"/>
      <c r="G43" s="34"/>
      <c r="H43" s="35"/>
      <c r="I43" s="18"/>
      <c r="J43" s="280"/>
      <c r="K43" s="280"/>
      <c r="L43" s="281"/>
      <c r="N43" s="8"/>
    </row>
    <row r="44" spans="1:14" ht="18.75" customHeight="1">
      <c r="A44" s="7"/>
      <c r="B44" s="32"/>
      <c r="C44" s="32"/>
      <c r="D44" s="32"/>
      <c r="E44" s="282"/>
      <c r="F44" s="282"/>
      <c r="G44" s="34"/>
      <c r="H44" s="35"/>
      <c r="I44" s="18"/>
      <c r="J44" s="280"/>
      <c r="K44" s="280"/>
      <c r="L44" s="281"/>
      <c r="N44" s="8"/>
    </row>
    <row r="45" spans="1:14" ht="18.75" customHeight="1">
      <c r="A45" s="7"/>
      <c r="B45" s="32"/>
      <c r="C45" s="32"/>
      <c r="D45" s="32"/>
      <c r="E45" s="282"/>
      <c r="F45" s="282"/>
      <c r="G45" s="34"/>
      <c r="H45" s="35"/>
      <c r="I45" s="18"/>
      <c r="J45" s="280"/>
      <c r="K45" s="280"/>
      <c r="L45" s="281"/>
      <c r="N45" s="8"/>
    </row>
    <row r="46" spans="1:14" ht="15.75" customHeight="1">
      <c r="A46" s="7"/>
      <c r="B46" s="32"/>
      <c r="C46" s="32"/>
      <c r="D46" s="32"/>
      <c r="E46" s="282"/>
      <c r="F46" s="282"/>
      <c r="G46" s="34"/>
      <c r="H46" s="35"/>
      <c r="I46" s="18"/>
      <c r="J46" s="280"/>
      <c r="K46" s="280"/>
      <c r="L46" s="281"/>
      <c r="N46" s="8"/>
    </row>
    <row r="47" spans="1:14" ht="18.75" customHeight="1">
      <c r="A47" s="7"/>
      <c r="B47" s="32"/>
      <c r="C47" s="32"/>
      <c r="D47" s="32"/>
      <c r="E47" s="282"/>
      <c r="F47" s="282"/>
      <c r="G47" s="34"/>
      <c r="H47" s="35"/>
      <c r="I47" s="18"/>
      <c r="J47" s="280"/>
      <c r="K47" s="280"/>
      <c r="L47" s="281"/>
      <c r="N47" s="8"/>
    </row>
    <row r="48" spans="1:14" ht="15.75" customHeight="1">
      <c r="A48" s="7"/>
      <c r="B48" s="32"/>
      <c r="C48" s="32"/>
      <c r="D48" s="32"/>
      <c r="E48" s="282"/>
      <c r="F48" s="282"/>
      <c r="G48" s="34"/>
      <c r="H48" s="35"/>
      <c r="I48" s="18"/>
      <c r="J48" s="280"/>
      <c r="K48" s="280"/>
      <c r="L48" s="281"/>
      <c r="N48" s="8"/>
    </row>
    <row r="49" spans="1:14" ht="15.75" customHeight="1">
      <c r="A49" s="7"/>
      <c r="B49" s="32"/>
      <c r="C49" s="32"/>
      <c r="D49" s="32"/>
      <c r="E49" s="282"/>
      <c r="F49" s="282"/>
      <c r="G49" s="34"/>
      <c r="H49" s="35"/>
      <c r="I49" s="18"/>
      <c r="J49" s="280"/>
      <c r="K49" s="280"/>
      <c r="L49" s="281"/>
      <c r="N49" s="8"/>
    </row>
    <row r="50" spans="1:14" ht="18.75" customHeight="1">
      <c r="A50" s="7"/>
      <c r="B50" s="32"/>
      <c r="C50" s="32"/>
      <c r="D50" s="32"/>
      <c r="E50" s="282"/>
      <c r="F50" s="282"/>
      <c r="G50" s="34"/>
      <c r="H50" s="35"/>
      <c r="I50" s="18"/>
      <c r="J50" s="280"/>
      <c r="K50" s="280"/>
      <c r="L50" s="281"/>
      <c r="N50" s="8"/>
    </row>
    <row r="51" spans="1:14" ht="18.75" customHeight="1">
      <c r="A51" s="7"/>
      <c r="B51" s="32"/>
      <c r="C51" s="32"/>
      <c r="D51" s="32"/>
      <c r="E51" s="282"/>
      <c r="F51" s="282"/>
      <c r="G51" s="34"/>
      <c r="H51" s="35"/>
      <c r="I51" s="18"/>
      <c r="J51" s="280"/>
      <c r="K51" s="280"/>
      <c r="L51" s="281"/>
      <c r="N51" s="8"/>
    </row>
    <row r="52" spans="1:14" ht="15.75" customHeight="1">
      <c r="A52" s="7"/>
      <c r="B52" s="32"/>
      <c r="C52" s="32"/>
      <c r="D52" s="32"/>
      <c r="E52" s="282"/>
      <c r="F52" s="282"/>
      <c r="G52" s="34"/>
      <c r="H52" s="35"/>
      <c r="I52" s="18"/>
      <c r="J52" s="280"/>
      <c r="K52" s="280"/>
      <c r="L52" s="281"/>
      <c r="N52" s="8"/>
    </row>
    <row r="53" spans="1:14" ht="18.75" customHeight="1">
      <c r="A53" s="7"/>
      <c r="B53" s="32"/>
      <c r="C53" s="32"/>
      <c r="D53" s="32"/>
      <c r="E53" s="282"/>
      <c r="F53" s="282"/>
      <c r="G53" s="34"/>
      <c r="H53" s="35"/>
      <c r="I53" s="18"/>
      <c r="J53" s="280"/>
      <c r="K53" s="280"/>
      <c r="L53" s="281"/>
      <c r="N53" s="8"/>
    </row>
    <row r="54" spans="1:14" ht="15.75" customHeight="1">
      <c r="A54" s="7"/>
      <c r="B54" s="32"/>
      <c r="C54" s="32"/>
      <c r="D54" s="32"/>
      <c r="E54" s="282"/>
      <c r="F54" s="282"/>
      <c r="G54" s="34"/>
      <c r="H54" s="35"/>
      <c r="I54" s="18"/>
      <c r="J54" s="280"/>
      <c r="K54" s="280"/>
      <c r="L54" s="281"/>
      <c r="N54" s="8"/>
    </row>
    <row r="55" spans="1:14" ht="18.75" customHeight="1">
      <c r="A55" s="7"/>
      <c r="B55" s="32"/>
      <c r="C55" s="32"/>
      <c r="D55" s="32"/>
      <c r="E55" s="282"/>
      <c r="F55" s="282"/>
      <c r="G55" s="34"/>
      <c r="H55" s="35"/>
      <c r="I55" s="18"/>
      <c r="J55" s="280"/>
      <c r="K55" s="280"/>
      <c r="L55" s="281"/>
      <c r="N55" s="8"/>
    </row>
    <row r="56" spans="1:14" ht="18.75" customHeight="1">
      <c r="A56" s="7"/>
      <c r="B56" s="32"/>
      <c r="C56" s="32"/>
      <c r="D56" s="32"/>
      <c r="E56" s="282"/>
      <c r="F56" s="282"/>
      <c r="G56" s="34"/>
      <c r="H56" s="35"/>
      <c r="I56" s="18"/>
      <c r="J56" s="280"/>
      <c r="K56" s="280"/>
      <c r="L56" s="281"/>
      <c r="N56" s="8"/>
    </row>
    <row r="57" spans="1:14" ht="15.75" customHeight="1">
      <c r="A57" s="7"/>
      <c r="B57" s="32"/>
      <c r="C57" s="32"/>
      <c r="D57" s="32"/>
      <c r="E57" s="282"/>
      <c r="F57" s="282"/>
      <c r="G57" s="34"/>
      <c r="H57" s="35"/>
      <c r="I57" s="18"/>
      <c r="J57" s="280"/>
      <c r="K57" s="280"/>
      <c r="L57" s="281"/>
      <c r="N57" s="8"/>
    </row>
    <row r="58" spans="1:14" ht="18.75" customHeight="1">
      <c r="A58" s="7"/>
      <c r="B58" s="32"/>
      <c r="C58" s="32"/>
      <c r="D58" s="32"/>
      <c r="E58" s="282"/>
      <c r="F58" s="282"/>
      <c r="G58" s="34"/>
      <c r="H58" s="35"/>
      <c r="I58" s="18"/>
      <c r="J58" s="280"/>
      <c r="K58" s="280"/>
      <c r="L58" s="281"/>
      <c r="N58" s="8"/>
    </row>
    <row r="59" spans="1:14" ht="18.75" customHeight="1">
      <c r="A59" s="7"/>
      <c r="B59" s="32"/>
      <c r="C59" s="32"/>
      <c r="D59" s="32"/>
      <c r="E59" s="282"/>
      <c r="F59" s="282"/>
      <c r="G59" s="34"/>
      <c r="H59" s="35"/>
      <c r="I59" s="18"/>
      <c r="J59" s="280"/>
      <c r="K59" s="280"/>
      <c r="L59" s="281"/>
      <c r="N59" s="8"/>
    </row>
    <row r="60" spans="1:14" ht="15.75" customHeight="1">
      <c r="A60" s="7"/>
      <c r="B60" s="32"/>
      <c r="C60" s="32"/>
      <c r="D60" s="32"/>
      <c r="E60" s="282"/>
      <c r="F60" s="282"/>
      <c r="G60" s="34"/>
      <c r="H60" s="35"/>
      <c r="I60" s="18"/>
      <c r="J60" s="280"/>
      <c r="K60" s="280"/>
      <c r="L60" s="281"/>
      <c r="N60" s="8"/>
    </row>
    <row r="61" spans="1:14" ht="18.75" customHeight="1">
      <c r="A61" s="7"/>
      <c r="B61" s="32"/>
      <c r="C61" s="32"/>
      <c r="D61" s="32"/>
      <c r="E61" s="282"/>
      <c r="F61" s="282"/>
      <c r="G61" s="34"/>
      <c r="H61" s="35"/>
      <c r="I61" s="18"/>
      <c r="J61" s="280"/>
      <c r="K61" s="280"/>
      <c r="L61" s="281"/>
      <c r="N61" s="8"/>
    </row>
    <row r="62" spans="1:14" ht="15.75" customHeight="1">
      <c r="A62" s="7"/>
      <c r="B62" s="32"/>
      <c r="C62" s="32"/>
      <c r="D62" s="32"/>
      <c r="E62" s="282"/>
      <c r="F62" s="282"/>
      <c r="G62" s="34"/>
      <c r="H62" s="35"/>
      <c r="I62" s="18"/>
      <c r="J62" s="280"/>
      <c r="K62" s="280"/>
      <c r="L62" s="281"/>
      <c r="N62" s="8"/>
    </row>
    <row r="63" spans="1:14" ht="18.75" customHeight="1">
      <c r="A63" s="7"/>
      <c r="B63" s="32"/>
      <c r="C63" s="32"/>
      <c r="D63" s="32"/>
      <c r="E63" s="282"/>
      <c r="F63" s="282"/>
      <c r="G63" s="34"/>
      <c r="H63" s="35"/>
      <c r="I63" s="18"/>
      <c r="J63" s="280"/>
      <c r="K63" s="280"/>
      <c r="L63" s="281"/>
      <c r="N63" s="8"/>
    </row>
    <row r="64" spans="1:14" ht="18.75" customHeight="1">
      <c r="A64" s="7"/>
      <c r="B64" s="32"/>
      <c r="C64" s="32"/>
      <c r="D64" s="32"/>
      <c r="E64" s="282"/>
      <c r="F64" s="282"/>
      <c r="G64" s="34"/>
      <c r="H64" s="35"/>
      <c r="I64" s="18"/>
      <c r="J64" s="280"/>
      <c r="K64" s="280"/>
      <c r="L64" s="281"/>
      <c r="N64" s="8"/>
    </row>
    <row r="65" spans="1:14" ht="15.75" customHeight="1">
      <c r="A65" s="7"/>
      <c r="B65" s="32"/>
      <c r="C65" s="32"/>
      <c r="D65" s="32"/>
      <c r="E65" s="282"/>
      <c r="F65" s="282"/>
      <c r="G65" s="34"/>
      <c r="H65" s="35"/>
      <c r="I65" s="18"/>
      <c r="J65" s="280"/>
      <c r="K65" s="280"/>
      <c r="L65" s="281"/>
      <c r="N65" s="8"/>
    </row>
    <row r="66" spans="1:14" ht="18.75" customHeight="1">
      <c r="A66" s="7"/>
      <c r="B66" s="32"/>
      <c r="C66" s="32"/>
      <c r="D66" s="32"/>
      <c r="E66" s="282"/>
      <c r="F66" s="282"/>
      <c r="G66" s="34"/>
      <c r="H66" s="35"/>
      <c r="I66" s="18"/>
      <c r="J66" s="280"/>
      <c r="K66" s="280"/>
      <c r="L66" s="281"/>
      <c r="N66" s="8"/>
    </row>
    <row r="67" spans="1:14" ht="15.75" customHeight="1">
      <c r="A67" s="7"/>
      <c r="B67" s="32"/>
      <c r="C67" s="32"/>
      <c r="D67" s="32"/>
      <c r="E67" s="282"/>
      <c r="F67" s="282"/>
      <c r="G67" s="34"/>
      <c r="H67" s="35"/>
      <c r="I67" s="18"/>
      <c r="J67" s="280"/>
      <c r="K67" s="280"/>
      <c r="L67" s="281"/>
      <c r="N67" s="8"/>
    </row>
    <row r="68" spans="1:14" ht="18.75" customHeight="1">
      <c r="A68" s="7"/>
      <c r="B68" s="32"/>
      <c r="C68" s="32"/>
      <c r="D68" s="32"/>
      <c r="E68" s="282"/>
      <c r="F68" s="282"/>
      <c r="G68" s="34"/>
      <c r="H68" s="35"/>
      <c r="I68" s="18"/>
      <c r="J68" s="280"/>
      <c r="K68" s="280"/>
      <c r="L68" s="281"/>
      <c r="N68" s="8"/>
    </row>
    <row r="69" spans="1:14" ht="15.75" customHeight="1">
      <c r="A69" s="7"/>
      <c r="B69" s="32"/>
      <c r="C69" s="32"/>
      <c r="D69" s="32"/>
      <c r="E69" s="282"/>
      <c r="F69" s="282"/>
      <c r="G69" s="34"/>
      <c r="H69" s="35"/>
      <c r="I69" s="18"/>
      <c r="J69" s="280"/>
      <c r="K69" s="280"/>
      <c r="L69" s="281"/>
      <c r="N69" s="8"/>
    </row>
    <row r="70" spans="1:14" ht="18.75" customHeight="1">
      <c r="A70" s="7"/>
      <c r="B70" s="32"/>
      <c r="C70" s="32"/>
      <c r="D70" s="32"/>
      <c r="E70" s="282"/>
      <c r="F70" s="282"/>
      <c r="G70" s="34"/>
      <c r="H70" s="35"/>
      <c r="I70" s="18"/>
      <c r="J70" s="280"/>
      <c r="K70" s="280"/>
      <c r="L70" s="281"/>
      <c r="N70" s="8"/>
    </row>
    <row r="71" spans="1:14" ht="18.75" customHeight="1">
      <c r="A71" s="7"/>
      <c r="B71" s="32"/>
      <c r="C71" s="32"/>
      <c r="D71" s="32"/>
      <c r="E71" s="282"/>
      <c r="F71" s="282"/>
      <c r="G71" s="34"/>
      <c r="H71" s="35"/>
      <c r="I71" s="18"/>
      <c r="J71" s="280"/>
      <c r="K71" s="280"/>
      <c r="L71" s="281"/>
      <c r="N71" s="8"/>
    </row>
    <row r="72" spans="1:14" ht="15.75" customHeight="1">
      <c r="A72" s="7"/>
      <c r="B72" s="32"/>
      <c r="C72" s="32"/>
      <c r="D72" s="32"/>
      <c r="E72" s="282"/>
      <c r="F72" s="282"/>
      <c r="G72" s="34"/>
      <c r="H72" s="35"/>
      <c r="I72" s="18"/>
      <c r="J72" s="280"/>
      <c r="K72" s="280"/>
      <c r="L72" s="281"/>
      <c r="N72" s="8"/>
    </row>
    <row r="73" spans="1:14" ht="18.75" customHeight="1">
      <c r="A73" s="7"/>
      <c r="B73" s="32"/>
      <c r="C73" s="32"/>
      <c r="D73" s="32"/>
      <c r="E73" s="282"/>
      <c r="F73" s="282"/>
      <c r="G73" s="34"/>
      <c r="H73" s="35"/>
      <c r="I73" s="18"/>
      <c r="J73" s="280"/>
      <c r="K73" s="280"/>
      <c r="L73" s="281"/>
      <c r="N73" s="8"/>
    </row>
    <row r="74" spans="1:14" ht="15.75" customHeight="1">
      <c r="A74" s="7"/>
      <c r="B74" s="32"/>
      <c r="C74" s="32"/>
      <c r="D74" s="32"/>
      <c r="E74" s="282"/>
      <c r="F74" s="282"/>
      <c r="G74" s="34"/>
      <c r="H74" s="35"/>
      <c r="I74" s="18"/>
      <c r="J74" s="280"/>
      <c r="K74" s="280"/>
      <c r="L74" s="281"/>
      <c r="N74" s="8"/>
    </row>
    <row r="75" spans="1:14" ht="18.75" customHeight="1">
      <c r="A75" s="7"/>
      <c r="B75" s="32"/>
      <c r="C75" s="32"/>
      <c r="D75" s="32"/>
      <c r="E75" s="282"/>
      <c r="F75" s="282"/>
      <c r="G75" s="34"/>
      <c r="H75" s="35"/>
      <c r="I75" s="18"/>
      <c r="J75" s="280"/>
      <c r="K75" s="280"/>
      <c r="L75" s="281"/>
      <c r="N75" s="8"/>
    </row>
    <row r="76" spans="1:14" ht="15.75" customHeight="1">
      <c r="A76" s="7"/>
      <c r="B76" s="32"/>
      <c r="C76" s="32"/>
      <c r="D76" s="32"/>
      <c r="E76" s="282"/>
      <c r="F76" s="282"/>
      <c r="G76" s="34"/>
      <c r="H76" s="35"/>
      <c r="I76" s="18"/>
      <c r="J76" s="280"/>
      <c r="K76" s="280"/>
      <c r="L76" s="281"/>
      <c r="N76" s="8"/>
    </row>
    <row r="77" spans="1:14" ht="18.75" customHeight="1">
      <c r="A77" s="7"/>
      <c r="B77" s="32"/>
      <c r="C77" s="32"/>
      <c r="D77" s="32"/>
      <c r="E77" s="282"/>
      <c r="F77" s="282"/>
      <c r="G77" s="34"/>
      <c r="H77" s="35"/>
      <c r="I77" s="18"/>
      <c r="J77" s="280"/>
      <c r="K77" s="280"/>
      <c r="L77" s="281"/>
      <c r="N77" s="8"/>
    </row>
    <row r="78" spans="1:14" ht="15.75" customHeight="1">
      <c r="A78" s="7"/>
      <c r="B78" s="32"/>
      <c r="C78" s="32"/>
      <c r="D78" s="32"/>
      <c r="E78" s="282"/>
      <c r="F78" s="282"/>
      <c r="G78" s="34"/>
      <c r="H78" s="35"/>
      <c r="I78" s="18"/>
      <c r="J78" s="280"/>
      <c r="K78" s="280"/>
      <c r="L78" s="281"/>
      <c r="N78" s="8"/>
    </row>
    <row r="79" spans="1:14" ht="18.75" customHeight="1">
      <c r="A79" s="7"/>
      <c r="B79" s="32"/>
      <c r="C79" s="32"/>
      <c r="D79" s="32"/>
      <c r="E79" s="282"/>
      <c r="F79" s="282"/>
      <c r="G79" s="34"/>
      <c r="H79" s="35"/>
      <c r="I79" s="18"/>
      <c r="J79" s="280"/>
      <c r="K79" s="280"/>
      <c r="L79" s="281"/>
      <c r="N79" s="8"/>
    </row>
    <row r="80" spans="1:14" ht="18.75" customHeight="1">
      <c r="A80" s="7"/>
      <c r="B80" s="32"/>
      <c r="C80" s="32"/>
      <c r="D80" s="32"/>
      <c r="E80" s="282"/>
      <c r="F80" s="282"/>
      <c r="G80" s="34"/>
      <c r="H80" s="35"/>
      <c r="I80" s="18"/>
      <c r="J80" s="280"/>
      <c r="K80" s="280"/>
      <c r="L80" s="281"/>
      <c r="N80" s="8"/>
    </row>
    <row r="81" spans="1:14" ht="15.75" customHeight="1">
      <c r="A81" s="7"/>
      <c r="B81" s="32"/>
      <c r="C81" s="32"/>
      <c r="D81" s="32"/>
      <c r="E81" s="282"/>
      <c r="F81" s="282"/>
      <c r="G81" s="34"/>
      <c r="H81" s="35"/>
      <c r="I81" s="18"/>
      <c r="J81" s="280"/>
      <c r="K81" s="280"/>
      <c r="L81" s="281"/>
      <c r="N81" s="8"/>
    </row>
    <row r="82" spans="1:14" ht="18.75" customHeight="1">
      <c r="A82" s="7"/>
      <c r="B82" s="32"/>
      <c r="C82" s="32"/>
      <c r="D82" s="32"/>
      <c r="E82" s="282"/>
      <c r="F82" s="282"/>
      <c r="G82" s="34"/>
      <c r="H82" s="35"/>
      <c r="I82" s="18"/>
      <c r="J82" s="280"/>
      <c r="K82" s="280"/>
      <c r="L82" s="281"/>
      <c r="N82" s="8"/>
    </row>
    <row r="83" spans="1:14" ht="15.75" customHeight="1">
      <c r="A83" s="7"/>
      <c r="B83" s="32"/>
      <c r="C83" s="32"/>
      <c r="D83" s="32"/>
      <c r="E83" s="282"/>
      <c r="F83" s="282"/>
      <c r="G83" s="34"/>
      <c r="H83" s="35"/>
      <c r="I83" s="18"/>
      <c r="J83" s="280"/>
      <c r="K83" s="280"/>
      <c r="L83" s="281"/>
      <c r="N83" s="8"/>
    </row>
    <row r="84" spans="1:14" ht="15.75" customHeight="1">
      <c r="A84" s="7"/>
      <c r="B84" s="32"/>
      <c r="C84" s="32"/>
      <c r="D84" s="32"/>
      <c r="E84" s="282"/>
      <c r="F84" s="282"/>
      <c r="G84" s="34"/>
      <c r="H84" s="35"/>
      <c r="I84" s="18"/>
      <c r="J84" s="280"/>
      <c r="K84" s="280"/>
      <c r="L84" s="281"/>
      <c r="N84" s="8"/>
    </row>
    <row r="85" spans="1:14" ht="18.75" customHeight="1">
      <c r="A85" s="7"/>
      <c r="B85" s="32"/>
      <c r="C85" s="32"/>
      <c r="D85" s="32"/>
      <c r="E85" s="282"/>
      <c r="F85" s="282"/>
      <c r="G85" s="34"/>
      <c r="H85" s="35"/>
      <c r="I85" s="18"/>
      <c r="J85" s="280"/>
      <c r="K85" s="280"/>
      <c r="L85" s="281"/>
      <c r="N85" s="8"/>
    </row>
    <row r="86" spans="1:14" ht="15.75" customHeight="1">
      <c r="A86" s="7"/>
      <c r="B86" s="32"/>
      <c r="C86" s="32"/>
      <c r="D86" s="32"/>
      <c r="E86" s="282"/>
      <c r="F86" s="282"/>
      <c r="G86" s="34"/>
      <c r="H86" s="35"/>
      <c r="I86" s="18"/>
      <c r="J86" s="280"/>
      <c r="K86" s="280"/>
      <c r="L86" s="281"/>
      <c r="N86" s="8"/>
    </row>
    <row r="87" spans="1:14" ht="18.75" customHeight="1">
      <c r="A87" s="7"/>
      <c r="B87" s="32"/>
      <c r="C87" s="32"/>
      <c r="D87" s="32"/>
      <c r="E87" s="282"/>
      <c r="F87" s="282"/>
      <c r="G87" s="34"/>
      <c r="H87" s="35"/>
      <c r="I87" s="18"/>
      <c r="J87" s="280"/>
      <c r="K87" s="280"/>
      <c r="L87" s="281"/>
      <c r="N87" s="8"/>
    </row>
    <row r="88" spans="1:14" ht="15.75" customHeight="1">
      <c r="A88" s="7"/>
      <c r="B88" s="32"/>
      <c r="C88" s="32"/>
      <c r="D88" s="32"/>
      <c r="E88" s="282"/>
      <c r="F88" s="282"/>
      <c r="G88" s="34"/>
      <c r="H88" s="35"/>
      <c r="I88" s="18"/>
      <c r="J88" s="280"/>
      <c r="K88" s="280"/>
      <c r="L88" s="281"/>
      <c r="N88" s="8"/>
    </row>
    <row r="89" spans="1:14" ht="15.75" customHeight="1">
      <c r="A89" s="7"/>
      <c r="B89" s="32"/>
      <c r="C89" s="32"/>
      <c r="D89" s="32"/>
      <c r="E89" s="282"/>
      <c r="F89" s="282"/>
      <c r="G89" s="34"/>
      <c r="H89" s="35"/>
      <c r="I89" s="18"/>
      <c r="J89" s="280"/>
      <c r="K89" s="280"/>
      <c r="L89" s="281"/>
      <c r="N89" s="8"/>
    </row>
    <row r="90" spans="1:14" ht="18.75" customHeight="1">
      <c r="A90" s="7"/>
      <c r="B90" s="32"/>
      <c r="C90" s="32"/>
      <c r="D90" s="32"/>
      <c r="E90" s="282"/>
      <c r="F90" s="282"/>
      <c r="G90" s="34"/>
      <c r="H90" s="35"/>
      <c r="I90" s="18"/>
      <c r="J90" s="280"/>
      <c r="K90" s="280"/>
      <c r="L90" s="281"/>
      <c r="N90" s="8"/>
    </row>
    <row r="91" spans="1:14" ht="15.75" customHeight="1">
      <c r="A91" s="7"/>
      <c r="B91" s="32"/>
      <c r="C91" s="32"/>
      <c r="D91" s="32"/>
      <c r="E91" s="282"/>
      <c r="F91" s="282"/>
      <c r="G91" s="34"/>
      <c r="H91" s="35"/>
      <c r="I91" s="18"/>
      <c r="J91" s="280"/>
      <c r="K91" s="280"/>
      <c r="L91" s="281"/>
      <c r="N91" s="8"/>
    </row>
    <row r="92" spans="1:14" ht="18.75" customHeight="1">
      <c r="A92" s="7"/>
      <c r="B92" s="32"/>
      <c r="C92" s="32"/>
      <c r="D92" s="32"/>
      <c r="E92" s="282"/>
      <c r="F92" s="282"/>
      <c r="G92" s="34"/>
      <c r="H92" s="35"/>
      <c r="I92" s="18"/>
      <c r="J92" s="280"/>
      <c r="K92" s="280"/>
      <c r="L92" s="281"/>
      <c r="N92" s="8"/>
    </row>
    <row r="93" spans="1:14" ht="15.75" customHeight="1">
      <c r="A93" s="7"/>
      <c r="B93" s="32"/>
      <c r="C93" s="32"/>
      <c r="D93" s="32"/>
      <c r="E93" s="282"/>
      <c r="F93" s="282"/>
      <c r="G93" s="34"/>
      <c r="H93" s="35"/>
      <c r="I93" s="18"/>
      <c r="J93" s="280"/>
      <c r="K93" s="280"/>
      <c r="L93" s="281"/>
      <c r="N93" s="8"/>
    </row>
    <row r="94" spans="1:14" ht="18.75" customHeight="1">
      <c r="A94" s="7"/>
      <c r="B94" s="32"/>
      <c r="C94" s="32"/>
      <c r="D94" s="32"/>
      <c r="E94" s="282"/>
      <c r="F94" s="282"/>
      <c r="G94" s="34"/>
      <c r="H94" s="35"/>
      <c r="I94" s="18"/>
      <c r="J94" s="280"/>
      <c r="K94" s="280"/>
      <c r="L94" s="281"/>
      <c r="N94" s="8"/>
    </row>
    <row r="95" spans="1:14" ht="15.75" customHeight="1">
      <c r="A95" s="7"/>
      <c r="B95" s="32"/>
      <c r="C95" s="32"/>
      <c r="D95" s="32"/>
      <c r="E95" s="282"/>
      <c r="F95" s="282"/>
      <c r="G95" s="34"/>
      <c r="H95" s="35"/>
      <c r="I95" s="18"/>
      <c r="J95" s="280"/>
      <c r="K95" s="280"/>
      <c r="L95" s="281"/>
      <c r="N95" s="8"/>
    </row>
    <row r="96" spans="1:14" ht="18.75" customHeight="1">
      <c r="A96" s="7"/>
      <c r="B96" s="32"/>
      <c r="C96" s="32"/>
      <c r="D96" s="32"/>
      <c r="E96" s="282"/>
      <c r="F96" s="282"/>
      <c r="G96" s="34"/>
      <c r="H96" s="35"/>
      <c r="I96" s="18"/>
      <c r="J96" s="280"/>
      <c r="K96" s="280"/>
      <c r="L96" s="281"/>
      <c r="N96" s="8"/>
    </row>
    <row r="97" spans="1:14" ht="15.75" customHeight="1">
      <c r="A97" s="7"/>
      <c r="B97" s="32"/>
      <c r="C97" s="32"/>
      <c r="D97" s="32"/>
      <c r="E97" s="282"/>
      <c r="F97" s="282"/>
      <c r="G97" s="34"/>
      <c r="H97" s="35"/>
      <c r="I97" s="18"/>
      <c r="J97" s="280"/>
      <c r="K97" s="280"/>
      <c r="L97" s="281"/>
      <c r="N97" s="8"/>
    </row>
    <row r="98" spans="1:14" ht="18.75" customHeight="1">
      <c r="A98" s="7"/>
      <c r="B98" s="32"/>
      <c r="C98" s="32"/>
      <c r="D98" s="32"/>
      <c r="E98" s="282"/>
      <c r="F98" s="282"/>
      <c r="G98" s="34"/>
      <c r="H98" s="35"/>
      <c r="I98" s="18"/>
      <c r="J98" s="280"/>
      <c r="K98" s="280"/>
      <c r="L98" s="281"/>
      <c r="N98" s="8"/>
    </row>
    <row r="99" spans="1:14" ht="18.75" customHeight="1">
      <c r="A99" s="7"/>
      <c r="B99" s="32"/>
      <c r="C99" s="32"/>
      <c r="D99" s="32"/>
      <c r="E99" s="282"/>
      <c r="F99" s="282"/>
      <c r="G99" s="34"/>
      <c r="H99" s="35"/>
      <c r="I99" s="18"/>
      <c r="J99" s="280"/>
      <c r="K99" s="280"/>
      <c r="L99" s="281"/>
      <c r="N99" s="8"/>
    </row>
    <row r="100" spans="1:14" ht="15.75" customHeight="1">
      <c r="A100" s="7"/>
      <c r="B100" s="32"/>
      <c r="C100" s="32"/>
      <c r="D100" s="32"/>
      <c r="E100" s="282"/>
      <c r="F100" s="282"/>
      <c r="G100" s="34"/>
      <c r="H100" s="35"/>
      <c r="I100" s="18"/>
      <c r="J100" s="280"/>
      <c r="K100" s="280"/>
      <c r="L100" s="281"/>
      <c r="N100" s="8"/>
    </row>
    <row r="101" spans="1:14" ht="18.75" customHeight="1">
      <c r="A101" s="7"/>
      <c r="B101" s="32"/>
      <c r="C101" s="32"/>
      <c r="D101" s="32"/>
      <c r="E101" s="282"/>
      <c r="F101" s="282"/>
      <c r="G101" s="34"/>
      <c r="H101" s="35"/>
      <c r="I101" s="18"/>
      <c r="J101" s="280"/>
      <c r="K101" s="280"/>
      <c r="L101" s="281"/>
      <c r="N101" s="8"/>
    </row>
    <row r="102" spans="1:14" ht="15.75" customHeight="1">
      <c r="A102" s="7"/>
      <c r="B102" s="32"/>
      <c r="C102" s="32"/>
      <c r="D102" s="32"/>
      <c r="E102" s="282"/>
      <c r="F102" s="282"/>
      <c r="G102" s="34"/>
      <c r="H102" s="35"/>
      <c r="I102" s="18"/>
      <c r="J102" s="280"/>
      <c r="K102" s="280"/>
      <c r="L102" s="281"/>
      <c r="N102" s="8"/>
    </row>
    <row r="103" spans="1:14" ht="18.75" customHeight="1">
      <c r="A103" s="7"/>
      <c r="B103" s="32"/>
      <c r="C103" s="32"/>
      <c r="D103" s="32"/>
      <c r="E103" s="282"/>
      <c r="F103" s="282"/>
      <c r="G103" s="34"/>
      <c r="H103" s="35"/>
      <c r="I103" s="18"/>
      <c r="J103" s="280"/>
      <c r="K103" s="280"/>
      <c r="L103" s="281"/>
      <c r="N103" s="8"/>
    </row>
    <row r="104" spans="1:14" ht="15.75" customHeight="1">
      <c r="A104" s="7"/>
      <c r="B104" s="32"/>
      <c r="C104" s="32"/>
      <c r="D104" s="32"/>
      <c r="E104" s="282"/>
      <c r="F104" s="282"/>
      <c r="G104" s="34"/>
      <c r="H104" s="35"/>
      <c r="I104" s="18"/>
      <c r="J104" s="280"/>
      <c r="K104" s="280"/>
      <c r="L104" s="281"/>
      <c r="N104" s="8"/>
    </row>
    <row r="105" spans="1:14" ht="18.75" customHeight="1">
      <c r="A105" s="7"/>
      <c r="B105" s="32"/>
      <c r="C105" s="32"/>
      <c r="D105" s="32"/>
      <c r="E105" s="282"/>
      <c r="F105" s="282"/>
      <c r="G105" s="34"/>
      <c r="H105" s="35"/>
      <c r="I105" s="18"/>
      <c r="J105" s="280"/>
      <c r="K105" s="280"/>
      <c r="L105" s="281"/>
      <c r="N105" s="8"/>
    </row>
    <row r="106" spans="1:14" ht="15.75" customHeight="1">
      <c r="A106" s="7"/>
      <c r="B106" s="32"/>
      <c r="C106" s="32"/>
      <c r="D106" s="32"/>
      <c r="E106" s="282"/>
      <c r="F106" s="282"/>
      <c r="G106" s="34"/>
      <c r="H106" s="35"/>
      <c r="I106" s="18"/>
      <c r="J106" s="280"/>
      <c r="K106" s="280"/>
      <c r="L106" s="281"/>
      <c r="N106" s="8"/>
    </row>
    <row r="107" spans="1:14" ht="18.75" customHeight="1">
      <c r="A107" s="7"/>
      <c r="B107" s="32"/>
      <c r="C107" s="32"/>
      <c r="D107" s="32"/>
      <c r="E107" s="282"/>
      <c r="F107" s="282"/>
      <c r="G107" s="34"/>
      <c r="H107" s="35"/>
      <c r="I107" s="18"/>
      <c r="J107" s="280"/>
      <c r="K107" s="280"/>
      <c r="L107" s="281"/>
      <c r="N107" s="8"/>
    </row>
    <row r="108" spans="1:14" ht="15.75" customHeight="1">
      <c r="A108" s="7"/>
      <c r="B108" s="32"/>
      <c r="C108" s="32"/>
      <c r="D108" s="32"/>
      <c r="E108" s="282"/>
      <c r="F108" s="282"/>
      <c r="G108" s="34"/>
      <c r="H108" s="35"/>
      <c r="I108" s="18"/>
      <c r="J108" s="280"/>
      <c r="K108" s="280"/>
      <c r="L108" s="281"/>
      <c r="N108" s="8"/>
    </row>
    <row r="109" spans="1:14" ht="18.75" customHeight="1">
      <c r="A109" s="7"/>
      <c r="B109" s="32"/>
      <c r="C109" s="32"/>
      <c r="D109" s="32"/>
      <c r="E109" s="282"/>
      <c r="F109" s="282"/>
      <c r="G109" s="34"/>
      <c r="H109" s="35"/>
      <c r="I109" s="18"/>
      <c r="J109" s="280"/>
      <c r="K109" s="280"/>
      <c r="L109" s="281"/>
      <c r="N109" s="8"/>
    </row>
    <row r="110" spans="1:14" ht="15.75" customHeight="1">
      <c r="A110" s="7"/>
      <c r="B110" s="32"/>
      <c r="C110" s="32"/>
      <c r="D110" s="32"/>
      <c r="E110" s="282"/>
      <c r="F110" s="282"/>
      <c r="G110" s="34"/>
      <c r="H110" s="35"/>
      <c r="I110" s="18"/>
      <c r="J110" s="280"/>
      <c r="K110" s="280"/>
      <c r="L110" s="281"/>
      <c r="N110" s="8"/>
    </row>
    <row r="111" spans="1:14" ht="18.75" customHeight="1">
      <c r="A111" s="7"/>
      <c r="B111" s="32"/>
      <c r="C111" s="32"/>
      <c r="D111" s="32"/>
      <c r="E111" s="282"/>
      <c r="F111" s="282"/>
      <c r="G111" s="34"/>
      <c r="H111" s="35"/>
      <c r="I111" s="18"/>
      <c r="J111" s="280"/>
      <c r="K111" s="280"/>
      <c r="L111" s="281"/>
      <c r="N111" s="8"/>
    </row>
    <row r="112" spans="1:14" ht="18.75" customHeight="1">
      <c r="A112" s="7"/>
      <c r="B112" s="32"/>
      <c r="C112" s="32"/>
      <c r="D112" s="32"/>
      <c r="E112" s="282"/>
      <c r="F112" s="282"/>
      <c r="G112" s="34"/>
      <c r="H112" s="35"/>
      <c r="I112" s="18"/>
      <c r="J112" s="280"/>
      <c r="K112" s="280"/>
      <c r="L112" s="281"/>
      <c r="N112" s="8"/>
    </row>
    <row r="113" spans="1:14" ht="15.75" customHeight="1">
      <c r="A113" s="7"/>
      <c r="B113" s="32"/>
      <c r="C113" s="32"/>
      <c r="D113" s="32"/>
      <c r="E113" s="282"/>
      <c r="F113" s="282"/>
      <c r="G113" s="34"/>
      <c r="H113" s="35"/>
      <c r="I113" s="18"/>
      <c r="J113" s="280"/>
      <c r="K113" s="280"/>
      <c r="L113" s="281"/>
      <c r="N113" s="8"/>
    </row>
    <row r="114" spans="1:14" ht="18.75" customHeight="1">
      <c r="A114" s="7"/>
      <c r="B114" s="32"/>
      <c r="C114" s="32"/>
      <c r="D114" s="32"/>
      <c r="E114" s="282"/>
      <c r="F114" s="282"/>
      <c r="G114" s="34"/>
      <c r="H114" s="35"/>
      <c r="I114" s="18"/>
      <c r="J114" s="280"/>
      <c r="K114" s="280"/>
      <c r="L114" s="281"/>
      <c r="N114" s="8"/>
    </row>
    <row r="115" spans="1:14" ht="15.75" customHeight="1">
      <c r="A115" s="7"/>
      <c r="B115" s="32"/>
      <c r="C115" s="32"/>
      <c r="D115" s="32"/>
      <c r="E115" s="282"/>
      <c r="F115" s="282"/>
      <c r="G115" s="34"/>
      <c r="H115" s="35"/>
      <c r="I115" s="18"/>
      <c r="J115" s="280"/>
      <c r="K115" s="280"/>
      <c r="L115" s="281"/>
      <c r="N115" s="8"/>
    </row>
    <row r="116" spans="1:14" ht="18.75" customHeight="1">
      <c r="A116" s="7"/>
      <c r="B116" s="32"/>
      <c r="C116" s="32"/>
      <c r="D116" s="32"/>
      <c r="E116" s="282"/>
      <c r="F116" s="282"/>
      <c r="G116" s="34"/>
      <c r="H116" s="35"/>
      <c r="I116" s="18"/>
      <c r="J116" s="280"/>
      <c r="K116" s="280"/>
      <c r="L116" s="281"/>
      <c r="N116" s="8"/>
    </row>
    <row r="117" spans="1:14" ht="15.75" customHeight="1">
      <c r="A117" s="7"/>
      <c r="B117" s="32"/>
      <c r="C117" s="32"/>
      <c r="D117" s="32"/>
      <c r="E117" s="282"/>
      <c r="F117" s="282"/>
      <c r="G117" s="34"/>
      <c r="H117" s="35"/>
      <c r="I117" s="18"/>
      <c r="J117" s="280"/>
      <c r="K117" s="280"/>
      <c r="L117" s="281"/>
      <c r="N117" s="8"/>
    </row>
    <row r="118" spans="1:14" ht="18.75" customHeight="1">
      <c r="A118" s="7"/>
      <c r="B118" s="32"/>
      <c r="C118" s="32"/>
      <c r="D118" s="32"/>
      <c r="E118" s="282"/>
      <c r="F118" s="282"/>
      <c r="G118" s="34"/>
      <c r="H118" s="35"/>
      <c r="I118" s="18"/>
      <c r="J118" s="280"/>
      <c r="K118" s="280"/>
      <c r="L118" s="281"/>
      <c r="N118" s="8"/>
    </row>
    <row r="119" spans="1:14" ht="15.75" customHeight="1">
      <c r="A119" s="7"/>
      <c r="B119" s="32"/>
      <c r="C119" s="32"/>
      <c r="D119" s="32"/>
      <c r="E119" s="282"/>
      <c r="F119" s="282"/>
      <c r="G119" s="34"/>
      <c r="H119" s="35"/>
      <c r="I119" s="18"/>
      <c r="J119" s="280"/>
      <c r="K119" s="280"/>
      <c r="L119" s="281"/>
      <c r="N119" s="8"/>
    </row>
    <row r="120" spans="1:14" ht="18.75" customHeight="1">
      <c r="A120" s="7"/>
      <c r="B120" s="32"/>
      <c r="C120" s="32"/>
      <c r="D120" s="32"/>
      <c r="E120" s="282"/>
      <c r="F120" s="282"/>
      <c r="G120" s="34"/>
      <c r="H120" s="35"/>
      <c r="I120" s="18"/>
      <c r="J120" s="280"/>
      <c r="K120" s="280"/>
      <c r="L120" s="281"/>
      <c r="N120" s="8"/>
    </row>
    <row r="121" spans="1:14" ht="15.75" customHeight="1">
      <c r="A121" s="7"/>
      <c r="B121" s="32"/>
      <c r="C121" s="32"/>
      <c r="D121" s="32"/>
      <c r="E121" s="282"/>
      <c r="F121" s="282"/>
      <c r="G121" s="34"/>
      <c r="H121" s="35"/>
      <c r="I121" s="18"/>
      <c r="J121" s="280"/>
      <c r="K121" s="280"/>
      <c r="L121" s="281"/>
      <c r="N121" s="8"/>
    </row>
    <row r="122" spans="1:14" ht="18.75" customHeight="1">
      <c r="A122" s="7"/>
      <c r="B122" s="32"/>
      <c r="C122" s="32"/>
      <c r="D122" s="32"/>
      <c r="E122" s="282"/>
      <c r="F122" s="282"/>
      <c r="G122" s="34"/>
      <c r="H122" s="35"/>
      <c r="I122" s="18"/>
      <c r="J122" s="280"/>
      <c r="K122" s="280"/>
      <c r="L122" s="281"/>
      <c r="N122" s="8"/>
    </row>
    <row r="123" spans="1:14" ht="15.75" customHeight="1">
      <c r="A123" s="7"/>
      <c r="B123" s="32"/>
      <c r="C123" s="32"/>
      <c r="D123" s="32"/>
      <c r="E123" s="282"/>
      <c r="F123" s="282"/>
      <c r="G123" s="34"/>
      <c r="H123" s="35"/>
      <c r="I123" s="18"/>
      <c r="J123" s="280"/>
      <c r="K123" s="280"/>
      <c r="L123" s="281"/>
      <c r="N123" s="8"/>
    </row>
    <row r="124" spans="1:14" ht="15.75" customHeight="1">
      <c r="A124" s="7"/>
      <c r="B124" s="32"/>
      <c r="C124" s="32"/>
      <c r="D124" s="32"/>
      <c r="E124" s="282"/>
      <c r="F124" s="282"/>
      <c r="G124" s="34"/>
      <c r="H124" s="35"/>
      <c r="I124" s="18"/>
      <c r="J124" s="280"/>
      <c r="K124" s="280"/>
      <c r="L124" s="281"/>
      <c r="N124" s="8"/>
    </row>
    <row r="125" spans="1:14" ht="18.75" customHeight="1">
      <c r="A125" s="7"/>
      <c r="B125" s="32"/>
      <c r="C125" s="32"/>
      <c r="D125" s="32"/>
      <c r="E125" s="282"/>
      <c r="F125" s="282"/>
      <c r="G125" s="34"/>
      <c r="H125" s="35"/>
      <c r="I125" s="18"/>
      <c r="J125" s="280"/>
      <c r="K125" s="280"/>
      <c r="L125" s="281"/>
      <c r="N125" s="8"/>
    </row>
    <row r="126" spans="1:14" ht="15.75" customHeight="1">
      <c r="A126" s="7"/>
      <c r="B126" s="32"/>
      <c r="C126" s="32"/>
      <c r="D126" s="32"/>
      <c r="E126" s="282"/>
      <c r="F126" s="282"/>
      <c r="G126" s="34"/>
      <c r="H126" s="35"/>
      <c r="I126" s="18"/>
      <c r="J126" s="280"/>
      <c r="K126" s="280"/>
      <c r="L126" s="281"/>
      <c r="N126" s="8"/>
    </row>
    <row r="127" spans="1:14" ht="18.75" customHeight="1">
      <c r="A127" s="7"/>
      <c r="B127" s="32"/>
      <c r="C127" s="32"/>
      <c r="D127" s="32"/>
      <c r="E127" s="282"/>
      <c r="F127" s="282"/>
      <c r="G127" s="34"/>
      <c r="H127" s="35"/>
      <c r="I127" s="18"/>
      <c r="J127" s="280"/>
      <c r="K127" s="280"/>
      <c r="L127" s="281"/>
      <c r="N127" s="8"/>
    </row>
    <row r="128" spans="1:14" ht="15.75" customHeight="1">
      <c r="A128" s="7"/>
      <c r="B128" s="32"/>
      <c r="C128" s="32"/>
      <c r="D128" s="32"/>
      <c r="E128" s="282"/>
      <c r="F128" s="282"/>
      <c r="G128" s="34"/>
      <c r="H128" s="35"/>
      <c r="I128" s="18"/>
      <c r="J128" s="280"/>
      <c r="K128" s="280"/>
      <c r="L128" s="281"/>
      <c r="N128" s="8"/>
    </row>
    <row r="129" spans="1:14" ht="18.75" customHeight="1">
      <c r="A129" s="7"/>
      <c r="B129" s="32"/>
      <c r="C129" s="32"/>
      <c r="D129" s="32"/>
      <c r="E129" s="282"/>
      <c r="F129" s="282"/>
      <c r="G129" s="34"/>
      <c r="H129" s="35"/>
      <c r="I129" s="18"/>
      <c r="J129" s="280"/>
      <c r="K129" s="280"/>
      <c r="L129" s="281"/>
      <c r="N129" s="8"/>
    </row>
    <row r="130" spans="1:14" ht="15.75" customHeight="1">
      <c r="A130" s="7"/>
      <c r="B130" s="32"/>
      <c r="C130" s="32"/>
      <c r="D130" s="32"/>
      <c r="E130" s="282"/>
      <c r="F130" s="282"/>
      <c r="G130" s="34"/>
      <c r="H130" s="35"/>
      <c r="I130" s="18"/>
      <c r="J130" s="280"/>
      <c r="K130" s="280"/>
      <c r="L130" s="281"/>
      <c r="N130" s="8"/>
    </row>
    <row r="131" spans="1:14" ht="15.75" customHeight="1">
      <c r="A131" s="7"/>
      <c r="B131" s="32"/>
      <c r="C131" s="32"/>
      <c r="D131" s="32"/>
      <c r="E131" s="282"/>
      <c r="F131" s="282"/>
      <c r="G131" s="34"/>
      <c r="H131" s="35"/>
      <c r="I131" s="18"/>
      <c r="J131" s="280"/>
      <c r="K131" s="280"/>
      <c r="L131" s="281"/>
      <c r="N131" s="8"/>
    </row>
    <row r="132" spans="1:14" ht="18.75" customHeight="1">
      <c r="A132" s="7"/>
      <c r="B132" s="32"/>
      <c r="C132" s="32"/>
      <c r="D132" s="32"/>
      <c r="E132" s="282"/>
      <c r="F132" s="282"/>
      <c r="G132" s="34"/>
      <c r="H132" s="35"/>
      <c r="I132" s="18"/>
      <c r="J132" s="280"/>
      <c r="K132" s="280"/>
      <c r="L132" s="281"/>
      <c r="N132" s="8"/>
    </row>
    <row r="133" spans="1:14" ht="15.75" customHeight="1">
      <c r="A133" s="7"/>
      <c r="B133" s="32"/>
      <c r="C133" s="32"/>
      <c r="D133" s="32"/>
      <c r="E133" s="282"/>
      <c r="F133" s="282"/>
      <c r="G133" s="34"/>
      <c r="H133" s="35"/>
      <c r="I133" s="18"/>
      <c r="J133" s="280"/>
      <c r="K133" s="280"/>
      <c r="L133" s="281"/>
      <c r="N133" s="8"/>
    </row>
    <row r="134" spans="1:14" ht="18.75" customHeight="1">
      <c r="A134" s="7"/>
      <c r="B134" s="32"/>
      <c r="C134" s="32"/>
      <c r="D134" s="32"/>
      <c r="E134" s="282"/>
      <c r="F134" s="282"/>
      <c r="G134" s="34"/>
      <c r="H134" s="35"/>
      <c r="I134" s="18"/>
      <c r="J134" s="280"/>
      <c r="K134" s="280"/>
      <c r="L134" s="281"/>
      <c r="N134" s="8"/>
    </row>
    <row r="135" spans="1:14" ht="18.75" customHeight="1">
      <c r="A135" s="7"/>
      <c r="B135" s="32"/>
      <c r="C135" s="32"/>
      <c r="D135" s="32"/>
      <c r="E135" s="282"/>
      <c r="F135" s="282"/>
      <c r="G135" s="34"/>
      <c r="H135" s="35"/>
      <c r="I135" s="18"/>
      <c r="J135" s="280"/>
      <c r="K135" s="280"/>
      <c r="L135" s="281"/>
      <c r="N135" s="8"/>
    </row>
    <row r="136" spans="1:14" ht="18.75" customHeight="1">
      <c r="A136" s="7"/>
      <c r="B136" s="32"/>
      <c r="C136" s="32"/>
      <c r="D136" s="32"/>
      <c r="E136" s="282"/>
      <c r="F136" s="282"/>
      <c r="G136" s="34"/>
      <c r="H136" s="35"/>
      <c r="I136" s="18"/>
      <c r="J136" s="280"/>
      <c r="K136" s="280"/>
      <c r="L136" s="281"/>
      <c r="N136" s="8"/>
    </row>
    <row r="137" spans="1:14" ht="15.75" customHeight="1">
      <c r="A137" s="7"/>
      <c r="B137" s="32"/>
      <c r="C137" s="32"/>
      <c r="D137" s="32"/>
      <c r="E137" s="282"/>
      <c r="F137" s="282"/>
      <c r="G137" s="34"/>
      <c r="H137" s="35"/>
      <c r="I137" s="18"/>
      <c r="J137" s="280"/>
      <c r="K137" s="280"/>
      <c r="L137" s="281"/>
      <c r="N137" s="8"/>
    </row>
    <row r="138" spans="1:14" ht="18.75" customHeight="1">
      <c r="A138" s="7"/>
      <c r="B138" s="32"/>
      <c r="C138" s="32"/>
      <c r="D138" s="32"/>
      <c r="E138" s="282"/>
      <c r="F138" s="282"/>
      <c r="G138" s="34"/>
      <c r="H138" s="35"/>
      <c r="I138" s="18"/>
      <c r="J138" s="280"/>
      <c r="K138" s="280"/>
      <c r="L138" s="281"/>
      <c r="N138" s="8"/>
    </row>
    <row r="139" spans="1:14" ht="18.75" customHeight="1">
      <c r="A139" s="7"/>
      <c r="B139" s="32"/>
      <c r="C139" s="32"/>
      <c r="D139" s="32"/>
      <c r="E139" s="282"/>
      <c r="F139" s="282"/>
      <c r="G139" s="34"/>
      <c r="H139" s="35"/>
      <c r="I139" s="18"/>
      <c r="J139" s="280"/>
      <c r="K139" s="280"/>
      <c r="L139" s="281"/>
      <c r="N139" s="8"/>
    </row>
    <row r="140" spans="1:14" ht="15.75" customHeight="1">
      <c r="A140" s="7"/>
      <c r="B140" s="32"/>
      <c r="C140" s="32"/>
      <c r="D140" s="32"/>
      <c r="E140" s="282"/>
      <c r="F140" s="282"/>
      <c r="G140" s="34"/>
      <c r="H140" s="35"/>
      <c r="I140" s="18"/>
      <c r="J140" s="280"/>
      <c r="K140" s="280"/>
      <c r="L140" s="281"/>
      <c r="N140" s="8"/>
    </row>
    <row r="141" spans="1:14" ht="18.75" customHeight="1">
      <c r="A141" s="7"/>
      <c r="B141" s="32"/>
      <c r="C141" s="32"/>
      <c r="D141" s="32"/>
      <c r="E141" s="282"/>
      <c r="F141" s="282"/>
      <c r="G141" s="34"/>
      <c r="H141" s="35"/>
      <c r="I141" s="18"/>
      <c r="J141" s="280"/>
      <c r="K141" s="280"/>
      <c r="L141" s="281"/>
      <c r="N141" s="8"/>
    </row>
    <row r="142" spans="1:14" ht="15.75" customHeight="1">
      <c r="A142" s="7"/>
      <c r="B142" s="32"/>
      <c r="C142" s="32"/>
      <c r="D142" s="32"/>
      <c r="E142" s="282"/>
      <c r="F142" s="282"/>
      <c r="G142" s="34"/>
      <c r="H142" s="35"/>
      <c r="I142" s="18"/>
      <c r="J142" s="280"/>
      <c r="K142" s="280"/>
      <c r="L142" s="281"/>
      <c r="N142" s="8"/>
    </row>
    <row r="143" spans="1:14" ht="18.75" customHeight="1">
      <c r="A143" s="7"/>
      <c r="B143" s="32"/>
      <c r="C143" s="32"/>
      <c r="D143" s="32"/>
      <c r="E143" s="282"/>
      <c r="F143" s="282"/>
      <c r="G143" s="34"/>
      <c r="H143" s="35"/>
      <c r="I143" s="18"/>
      <c r="J143" s="280"/>
      <c r="K143" s="280"/>
      <c r="L143" s="281"/>
      <c r="N143" s="8"/>
    </row>
    <row r="144" spans="1:14" ht="15.75" customHeight="1">
      <c r="A144" s="7"/>
      <c r="B144" s="32"/>
      <c r="C144" s="32"/>
      <c r="D144" s="32"/>
      <c r="E144" s="282"/>
      <c r="F144" s="282"/>
      <c r="G144" s="34"/>
      <c r="H144" s="35"/>
      <c r="I144" s="18"/>
      <c r="J144" s="280"/>
      <c r="K144" s="280"/>
      <c r="L144" s="281"/>
      <c r="N144" s="8"/>
    </row>
    <row r="145" spans="1:14" ht="15.75" customHeight="1">
      <c r="A145" s="7"/>
      <c r="B145" s="32"/>
      <c r="C145" s="32"/>
      <c r="D145" s="32"/>
      <c r="E145" s="282"/>
      <c r="F145" s="282"/>
      <c r="G145" s="34"/>
      <c r="H145" s="35"/>
      <c r="I145" s="18"/>
      <c r="J145" s="280"/>
      <c r="K145" s="280"/>
      <c r="L145" s="281"/>
      <c r="N145" s="8"/>
    </row>
    <row r="146" spans="1:14" ht="18.75" customHeight="1">
      <c r="A146" s="7"/>
      <c r="B146" s="32"/>
      <c r="C146" s="32"/>
      <c r="D146" s="32"/>
      <c r="E146" s="282"/>
      <c r="F146" s="282"/>
      <c r="G146" s="34"/>
      <c r="H146" s="35"/>
      <c r="I146" s="18"/>
      <c r="J146" s="280"/>
      <c r="K146" s="280"/>
      <c r="L146" s="281"/>
      <c r="N146" s="8"/>
    </row>
    <row r="147" spans="1:14" ht="15.75" customHeight="1">
      <c r="A147" s="7"/>
      <c r="B147" s="32"/>
      <c r="C147" s="32"/>
      <c r="D147" s="32"/>
      <c r="E147" s="282"/>
      <c r="F147" s="282"/>
      <c r="G147" s="34"/>
      <c r="H147" s="35"/>
      <c r="I147" s="18"/>
      <c r="J147" s="280"/>
      <c r="K147" s="280"/>
      <c r="L147" s="281"/>
      <c r="N147" s="8"/>
    </row>
    <row r="148" spans="1:14" ht="15.75" customHeight="1">
      <c r="A148" s="7"/>
      <c r="B148" s="32"/>
      <c r="C148" s="32"/>
      <c r="D148" s="32"/>
      <c r="E148" s="282"/>
      <c r="F148" s="282"/>
      <c r="G148" s="34"/>
      <c r="H148" s="35"/>
      <c r="I148" s="18"/>
      <c r="J148" s="280"/>
      <c r="K148" s="280"/>
      <c r="L148" s="281"/>
      <c r="N148" s="8"/>
    </row>
    <row r="149" spans="1:14" ht="15.75" customHeight="1">
      <c r="A149" s="7"/>
      <c r="B149" s="32"/>
      <c r="C149" s="32"/>
      <c r="D149" s="32"/>
      <c r="E149" s="282"/>
      <c r="F149" s="282"/>
      <c r="G149" s="34"/>
      <c r="H149" s="35"/>
      <c r="I149" s="18"/>
      <c r="J149" s="280"/>
      <c r="K149" s="280"/>
      <c r="L149" s="281"/>
      <c r="N149" s="8"/>
    </row>
    <row r="150" spans="1:14" ht="15.75" customHeight="1">
      <c r="A150" s="7"/>
      <c r="B150" s="32"/>
      <c r="C150" s="32"/>
      <c r="D150" s="32"/>
      <c r="E150" s="282"/>
      <c r="F150" s="282"/>
      <c r="G150" s="34"/>
      <c r="H150" s="35"/>
      <c r="I150" s="18"/>
      <c r="J150" s="280"/>
      <c r="K150" s="280"/>
      <c r="L150" s="281"/>
      <c r="N150" s="8"/>
    </row>
    <row r="151" spans="1:14" ht="18.75" customHeight="1">
      <c r="A151" s="7"/>
      <c r="B151" s="32"/>
      <c r="C151" s="32"/>
      <c r="D151" s="32"/>
      <c r="E151" s="282"/>
      <c r="F151" s="282"/>
      <c r="G151" s="34"/>
      <c r="H151" s="35"/>
      <c r="I151" s="18"/>
      <c r="J151" s="280"/>
      <c r="K151" s="280"/>
      <c r="L151" s="281"/>
      <c r="N151" s="8"/>
    </row>
    <row r="152" spans="1:14" ht="15.75" customHeight="1">
      <c r="A152" s="7"/>
      <c r="B152" s="32"/>
      <c r="C152" s="32"/>
      <c r="D152" s="32"/>
      <c r="E152" s="282"/>
      <c r="F152" s="282"/>
      <c r="G152" s="34"/>
      <c r="H152" s="35"/>
      <c r="I152" s="18"/>
      <c r="J152" s="280"/>
      <c r="K152" s="280"/>
      <c r="L152" s="281"/>
      <c r="N152" s="8"/>
    </row>
    <row r="153" spans="1:14" ht="18.75" customHeight="1">
      <c r="A153" s="7"/>
      <c r="B153" s="32"/>
      <c r="C153" s="32"/>
      <c r="D153" s="32"/>
      <c r="E153" s="282"/>
      <c r="F153" s="282"/>
      <c r="G153" s="34"/>
      <c r="H153" s="35"/>
      <c r="I153" s="18"/>
      <c r="J153" s="280"/>
      <c r="K153" s="280"/>
      <c r="L153" s="281"/>
      <c r="N153" s="8"/>
    </row>
    <row r="154" spans="1:14" ht="15.75" customHeight="1">
      <c r="A154" s="7"/>
      <c r="B154" s="32"/>
      <c r="C154" s="32"/>
      <c r="D154" s="32"/>
      <c r="E154" s="282"/>
      <c r="F154" s="282"/>
      <c r="G154" s="34"/>
      <c r="H154" s="35"/>
      <c r="I154" s="18"/>
      <c r="J154" s="280"/>
      <c r="K154" s="280"/>
      <c r="L154" s="281"/>
      <c r="N154" s="8"/>
    </row>
    <row r="155" spans="1:14" ht="18.75" customHeight="1">
      <c r="A155" s="7"/>
      <c r="B155" s="32"/>
      <c r="C155" s="32"/>
      <c r="D155" s="32"/>
      <c r="E155" s="282"/>
      <c r="F155" s="282"/>
      <c r="G155" s="34"/>
      <c r="H155" s="35"/>
      <c r="I155" s="18"/>
      <c r="J155" s="280"/>
      <c r="K155" s="280"/>
      <c r="L155" s="281"/>
      <c r="N155" s="8"/>
    </row>
    <row r="156" spans="1:14" ht="15.75" customHeight="1">
      <c r="A156" s="7"/>
      <c r="B156" s="32"/>
      <c r="C156" s="32"/>
      <c r="D156" s="32"/>
      <c r="E156" s="282"/>
      <c r="F156" s="282"/>
      <c r="G156" s="34"/>
      <c r="H156" s="35"/>
      <c r="I156" s="18"/>
      <c r="J156" s="280"/>
      <c r="K156" s="280"/>
      <c r="L156" s="281"/>
      <c r="N156" s="8"/>
    </row>
    <row r="157" spans="1:14" ht="18.75" customHeight="1">
      <c r="A157" s="7"/>
      <c r="B157" s="32"/>
      <c r="C157" s="32"/>
      <c r="D157" s="32"/>
      <c r="E157" s="282"/>
      <c r="F157" s="282"/>
      <c r="G157" s="34"/>
      <c r="H157" s="35"/>
      <c r="I157" s="18"/>
      <c r="J157" s="280"/>
      <c r="K157" s="280"/>
      <c r="L157" s="281"/>
      <c r="N157" s="8"/>
    </row>
    <row r="158" spans="1:14" ht="13.5" hidden="1" customHeight="1">
      <c r="A158" s="7"/>
      <c r="B158" s="32"/>
      <c r="C158" s="32"/>
      <c r="D158" s="32"/>
      <c r="E158" s="282"/>
      <c r="F158" s="282"/>
      <c r="G158" s="34"/>
      <c r="H158" s="35"/>
      <c r="I158" s="18"/>
      <c r="J158" s="280"/>
      <c r="K158" s="280"/>
      <c r="L158" s="281"/>
      <c r="N158" s="8"/>
    </row>
    <row r="159" spans="1:14" ht="19.5" customHeight="1">
      <c r="A159" s="7"/>
      <c r="B159" s="32"/>
      <c r="C159" s="32"/>
      <c r="D159" s="32"/>
      <c r="E159" s="282"/>
      <c r="F159" s="282"/>
      <c r="G159" s="34"/>
      <c r="H159" s="35"/>
      <c r="I159" s="18"/>
      <c r="J159" s="280"/>
      <c r="K159" s="280"/>
      <c r="L159" s="281"/>
      <c r="N159" s="8"/>
    </row>
    <row r="160" spans="1:14" ht="20.100000000000001" customHeight="1">
      <c r="A160" s="7"/>
      <c r="B160" s="32"/>
      <c r="C160" s="32"/>
      <c r="D160" s="32"/>
      <c r="E160" s="282"/>
      <c r="F160" s="282"/>
      <c r="G160" s="34"/>
      <c r="H160" s="35"/>
      <c r="I160" s="18"/>
      <c r="J160" s="280"/>
      <c r="K160" s="280"/>
      <c r="L160" s="281"/>
      <c r="N160" s="8"/>
    </row>
    <row r="161" spans="1:14" ht="27" customHeight="1">
      <c r="A161" s="7"/>
      <c r="B161" s="32"/>
      <c r="C161" s="32"/>
      <c r="D161" s="32"/>
      <c r="E161" s="282"/>
      <c r="F161" s="282"/>
      <c r="G161" s="34"/>
      <c r="H161" s="35"/>
      <c r="I161" s="18"/>
      <c r="J161" s="280"/>
      <c r="K161" s="280"/>
      <c r="L161" s="281"/>
      <c r="N161" s="8"/>
    </row>
    <row r="162" spans="1:14" ht="20.100000000000001" customHeight="1">
      <c r="A162" s="7"/>
      <c r="B162" s="32"/>
      <c r="C162" s="32"/>
      <c r="D162" s="32"/>
      <c r="E162" s="282"/>
      <c r="F162" s="282"/>
      <c r="G162" s="34"/>
      <c r="H162" s="35"/>
      <c r="I162" s="18"/>
      <c r="J162" s="280"/>
      <c r="K162" s="280"/>
      <c r="L162" s="281"/>
      <c r="N162" s="8"/>
    </row>
    <row r="163" spans="1:14" ht="20.100000000000001" customHeight="1">
      <c r="A163" s="7"/>
      <c r="B163" s="32"/>
      <c r="C163" s="32"/>
      <c r="D163" s="32"/>
      <c r="E163" s="282"/>
      <c r="F163" s="282"/>
      <c r="G163" s="34"/>
      <c r="H163" s="35"/>
      <c r="I163" s="18"/>
      <c r="J163" s="280"/>
      <c r="K163" s="280"/>
      <c r="L163" s="281"/>
      <c r="N163" s="8"/>
    </row>
    <row r="164" spans="1:14" ht="20.100000000000001" customHeight="1">
      <c r="A164" s="7"/>
      <c r="B164" s="32"/>
      <c r="C164" s="32"/>
      <c r="D164" s="32"/>
      <c r="E164" s="282"/>
      <c r="F164" s="282"/>
      <c r="G164" s="34"/>
      <c r="H164" s="35"/>
      <c r="I164" s="18"/>
      <c r="J164" s="280"/>
      <c r="K164" s="280"/>
      <c r="L164" s="281"/>
      <c r="N164" s="8"/>
    </row>
    <row r="165" spans="1:14" ht="39.75" customHeight="1">
      <c r="A165" s="7"/>
      <c r="B165" s="32"/>
      <c r="C165" s="32"/>
      <c r="D165" s="32"/>
      <c r="E165" s="282"/>
      <c r="F165" s="282"/>
      <c r="G165" s="34"/>
      <c r="H165" s="35"/>
      <c r="I165" s="18"/>
      <c r="J165" s="280"/>
      <c r="K165" s="280"/>
      <c r="L165" s="281"/>
      <c r="N165" s="8"/>
    </row>
    <row r="166" spans="1:14" ht="28.5" customHeight="1">
      <c r="A166" s="7"/>
      <c r="B166" s="32"/>
      <c r="C166" s="32"/>
      <c r="D166" s="32"/>
      <c r="E166" s="282"/>
      <c r="F166" s="282"/>
      <c r="G166" s="34"/>
      <c r="H166" s="35"/>
      <c r="I166" s="18"/>
      <c r="J166" s="280"/>
      <c r="K166" s="280"/>
      <c r="L166" s="281"/>
      <c r="N166" s="8"/>
    </row>
    <row r="167" spans="1:14" ht="3" customHeight="1">
      <c r="A167" s="7"/>
      <c r="B167" s="32"/>
      <c r="C167" s="32"/>
      <c r="D167" s="32"/>
      <c r="E167" s="282"/>
      <c r="F167" s="282"/>
      <c r="G167" s="34"/>
      <c r="H167" s="35"/>
      <c r="I167" s="18"/>
      <c r="J167" s="280"/>
      <c r="K167" s="280"/>
      <c r="L167" s="281"/>
      <c r="N167" s="8"/>
    </row>
    <row r="168" spans="1:14" ht="19.5" customHeight="1">
      <c r="A168" s="7"/>
      <c r="B168" s="32"/>
      <c r="C168" s="32"/>
      <c r="D168" s="32"/>
      <c r="E168" s="282"/>
      <c r="F168" s="282"/>
      <c r="G168" s="34"/>
      <c r="H168" s="35"/>
      <c r="I168" s="18"/>
      <c r="J168" s="280"/>
      <c r="K168" s="280"/>
      <c r="L168" s="281"/>
      <c r="N168" s="8"/>
    </row>
    <row r="169" spans="1:14" ht="20.100000000000001" customHeight="1">
      <c r="A169" s="7"/>
      <c r="B169" s="32"/>
      <c r="C169" s="32"/>
      <c r="D169" s="32"/>
      <c r="E169" s="282"/>
      <c r="F169" s="282"/>
      <c r="G169" s="34"/>
      <c r="H169" s="35"/>
      <c r="I169" s="18"/>
      <c r="J169" s="280"/>
      <c r="K169" s="280"/>
      <c r="L169" s="281"/>
      <c r="N169" s="8"/>
    </row>
    <row r="170" spans="1:14" ht="20.100000000000001" customHeight="1">
      <c r="A170" s="7"/>
      <c r="B170" s="32"/>
      <c r="C170" s="32"/>
      <c r="D170" s="32"/>
      <c r="E170" s="282"/>
      <c r="F170" s="282"/>
      <c r="G170" s="34"/>
      <c r="H170" s="35"/>
      <c r="I170" s="18"/>
      <c r="J170" s="280"/>
      <c r="K170" s="280"/>
      <c r="L170" s="281"/>
      <c r="N170" s="8"/>
    </row>
    <row r="171" spans="1:14" ht="20.100000000000001" customHeight="1">
      <c r="A171" s="7"/>
      <c r="B171" s="32"/>
      <c r="C171" s="32"/>
      <c r="D171" s="32"/>
      <c r="E171" s="282"/>
      <c r="F171" s="282"/>
      <c r="G171" s="34"/>
      <c r="H171" s="35"/>
      <c r="I171" s="18"/>
      <c r="J171" s="280"/>
      <c r="K171" s="280"/>
      <c r="L171" s="281"/>
      <c r="N171" s="8"/>
    </row>
    <row r="172" spans="1:14" ht="20.100000000000001" customHeight="1">
      <c r="A172" s="7"/>
      <c r="B172" s="32"/>
      <c r="C172" s="32"/>
      <c r="D172" s="32"/>
      <c r="E172" s="282"/>
      <c r="F172" s="282"/>
      <c r="G172" s="34"/>
      <c r="H172" s="35"/>
      <c r="I172" s="18"/>
      <c r="J172" s="280"/>
      <c r="K172" s="280"/>
      <c r="L172" s="281"/>
      <c r="N172" s="8"/>
    </row>
    <row r="173" spans="1:14" ht="19.5" customHeight="1">
      <c r="A173" s="7"/>
      <c r="B173" s="32"/>
      <c r="C173" s="32"/>
      <c r="D173" s="32"/>
      <c r="E173" s="584"/>
      <c r="F173" s="584"/>
      <c r="G173" s="34"/>
      <c r="H173" s="35"/>
      <c r="I173" s="18"/>
      <c r="J173" s="280"/>
      <c r="K173" s="564"/>
      <c r="L173" s="565"/>
      <c r="N173" s="8"/>
    </row>
    <row r="174" spans="1:14" ht="1.5" hidden="1" customHeight="1">
      <c r="A174" s="7"/>
      <c r="B174" s="32"/>
      <c r="C174" s="32"/>
      <c r="D174" s="32"/>
      <c r="E174" s="282"/>
      <c r="F174" s="282"/>
      <c r="G174" s="34"/>
      <c r="H174" s="35"/>
      <c r="I174" s="18"/>
      <c r="J174" s="280"/>
      <c r="K174" s="280"/>
      <c r="L174" s="281"/>
      <c r="N174" s="8"/>
    </row>
    <row r="175" spans="1:14" ht="19.5" hidden="1" customHeight="1">
      <c r="A175" s="7"/>
      <c r="B175" s="32"/>
      <c r="C175" s="32"/>
      <c r="D175" s="32"/>
      <c r="E175" s="282"/>
      <c r="F175" s="282"/>
      <c r="G175" s="34"/>
      <c r="H175" s="35"/>
      <c r="I175" s="18"/>
      <c r="J175" s="280"/>
      <c r="K175" s="280"/>
      <c r="L175" s="281"/>
      <c r="N175" s="8"/>
    </row>
    <row r="176" spans="1:14" ht="22.5" customHeight="1">
      <c r="A176" s="7"/>
      <c r="B176" s="32"/>
      <c r="C176" s="32"/>
      <c r="D176" s="32"/>
      <c r="E176" s="282"/>
      <c r="F176" s="282"/>
      <c r="G176" s="34"/>
      <c r="H176" s="35"/>
      <c r="I176" s="18"/>
      <c r="J176" s="280"/>
      <c r="K176" s="280"/>
      <c r="L176" s="281"/>
      <c r="N176" s="9"/>
    </row>
    <row r="177" spans="1:14" ht="22.5" customHeight="1">
      <c r="A177" s="7"/>
      <c r="B177" s="32"/>
      <c r="C177" s="32"/>
      <c r="D177" s="32"/>
      <c r="E177" s="282"/>
      <c r="F177" s="282"/>
      <c r="G177" s="34"/>
      <c r="H177" s="35"/>
      <c r="I177" s="18"/>
      <c r="J177" s="280"/>
      <c r="K177" s="280"/>
      <c r="L177" s="281"/>
      <c r="N177" s="9"/>
    </row>
    <row r="178" spans="1:14" ht="22.5" customHeight="1">
      <c r="A178" s="7"/>
      <c r="B178" s="32"/>
      <c r="C178" s="32"/>
      <c r="D178" s="32"/>
      <c r="E178" s="282"/>
      <c r="F178" s="282"/>
      <c r="G178" s="34"/>
      <c r="H178" s="35"/>
      <c r="I178" s="18"/>
      <c r="J178" s="280"/>
      <c r="K178" s="280"/>
      <c r="L178" s="281"/>
      <c r="N178" s="9"/>
    </row>
    <row r="179" spans="1:14" ht="22.5" customHeight="1">
      <c r="A179" s="7"/>
      <c r="B179" s="32"/>
      <c r="C179" s="32"/>
      <c r="D179" s="32"/>
      <c r="E179" s="282"/>
      <c r="F179" s="282"/>
      <c r="G179" s="34"/>
      <c r="H179" s="35"/>
      <c r="I179" s="18"/>
      <c r="J179" s="280"/>
      <c r="K179" s="280"/>
      <c r="L179" s="281"/>
      <c r="N179" s="9"/>
    </row>
    <row r="180" spans="1:14" ht="7.5" customHeight="1">
      <c r="A180" s="7"/>
      <c r="B180" s="32"/>
      <c r="C180" s="32"/>
      <c r="D180" s="32"/>
      <c r="E180" s="282"/>
      <c r="F180" s="282"/>
      <c r="G180" s="34"/>
      <c r="H180" s="35"/>
      <c r="I180" s="18"/>
      <c r="J180" s="280"/>
      <c r="K180" s="280"/>
      <c r="L180" s="281"/>
      <c r="N180" s="9"/>
    </row>
    <row r="181" spans="1:14" ht="15.75" customHeight="1">
      <c r="A181" s="7"/>
      <c r="B181" s="32"/>
      <c r="C181" s="32"/>
      <c r="D181" s="32"/>
      <c r="E181" s="282"/>
      <c r="G181" s="34"/>
      <c r="H181" s="35"/>
      <c r="I181" s="18"/>
      <c r="J181" s="280"/>
      <c r="K181" s="280"/>
      <c r="L181" s="281"/>
      <c r="N181" s="9"/>
    </row>
    <row r="182" spans="1:14" ht="29.25" customHeight="1">
      <c r="A182" s="7"/>
      <c r="B182" s="32"/>
      <c r="C182" s="32"/>
      <c r="D182" s="32"/>
      <c r="E182" s="282"/>
      <c r="F182" s="282"/>
      <c r="G182" s="34"/>
      <c r="H182" s="35"/>
      <c r="I182" s="18"/>
      <c r="J182" s="280"/>
      <c r="K182" s="280"/>
      <c r="L182" s="281"/>
      <c r="N182" s="9"/>
    </row>
    <row r="183" spans="1:14" ht="22.5" customHeight="1">
      <c r="A183" s="7"/>
      <c r="B183" s="32"/>
      <c r="C183" s="32"/>
      <c r="D183" s="32"/>
      <c r="E183" s="282"/>
      <c r="F183" s="282"/>
      <c r="G183" s="34"/>
      <c r="H183" s="35"/>
      <c r="I183" s="18"/>
      <c r="J183" s="280"/>
      <c r="K183" s="280"/>
      <c r="L183" s="281"/>
      <c r="N183" s="9"/>
    </row>
    <row r="184" spans="1:14" ht="29.25" customHeight="1">
      <c r="A184" s="7"/>
      <c r="B184" s="32"/>
      <c r="C184" s="32"/>
      <c r="D184" s="32"/>
      <c r="E184" s="282"/>
      <c r="F184" s="282"/>
      <c r="G184" s="34"/>
      <c r="H184" s="35"/>
      <c r="I184" s="18"/>
      <c r="J184" s="280"/>
      <c r="K184" s="280"/>
      <c r="L184" s="281"/>
      <c r="N184" s="9"/>
    </row>
    <row r="185" spans="1:14" ht="27.75" customHeight="1">
      <c r="A185" s="7"/>
      <c r="B185" s="32"/>
      <c r="C185" s="32"/>
      <c r="D185" s="32"/>
      <c r="E185" s="282"/>
      <c r="F185" s="282"/>
      <c r="G185" s="34"/>
      <c r="H185" s="35"/>
      <c r="I185" s="18"/>
      <c r="J185" s="280"/>
      <c r="K185" s="280"/>
      <c r="L185" s="281"/>
    </row>
    <row r="186" spans="1:14" ht="22.5" customHeight="1">
      <c r="A186" s="7"/>
      <c r="B186" s="32"/>
      <c r="C186" s="32"/>
      <c r="D186" s="32"/>
      <c r="E186" s="282"/>
      <c r="F186" s="282"/>
      <c r="G186" s="34"/>
      <c r="H186" s="35"/>
      <c r="I186" s="18"/>
      <c r="J186" s="280"/>
      <c r="K186" s="280"/>
      <c r="L186" s="280"/>
    </row>
    <row r="187" spans="1:14" ht="22.5" customHeight="1">
      <c r="A187" s="7"/>
      <c r="B187" s="32"/>
      <c r="C187" s="32"/>
      <c r="D187" s="32"/>
      <c r="E187" s="282"/>
      <c r="F187" s="282"/>
      <c r="G187" s="34"/>
      <c r="H187" s="35"/>
      <c r="I187" s="18"/>
      <c r="J187" s="280"/>
      <c r="K187" s="280"/>
      <c r="L187" s="280"/>
    </row>
    <row r="188" spans="1:14" ht="19.5" customHeight="1">
      <c r="A188" s="7"/>
      <c r="B188" s="32"/>
      <c r="C188" s="32"/>
      <c r="D188" s="32"/>
      <c r="E188" s="282"/>
      <c r="F188" s="282"/>
      <c r="G188" s="34"/>
      <c r="H188" s="35"/>
      <c r="I188" s="20"/>
      <c r="J188" s="21"/>
      <c r="K188" s="21"/>
      <c r="L188" s="280"/>
    </row>
    <row r="189" spans="1:14" ht="38.25" customHeight="1">
      <c r="A189" s="7"/>
      <c r="B189" s="32"/>
      <c r="C189" s="32"/>
      <c r="D189" s="32"/>
      <c r="E189" s="282"/>
      <c r="F189" s="282"/>
      <c r="G189" s="34"/>
      <c r="H189" s="35"/>
      <c r="I189" s="21"/>
      <c r="J189" s="21"/>
      <c r="K189" s="21"/>
      <c r="L189" s="280"/>
    </row>
    <row r="190" spans="1:14" ht="18" customHeight="1">
      <c r="A190" s="7"/>
      <c r="B190" s="32"/>
      <c r="C190" s="32"/>
      <c r="D190" s="32"/>
      <c r="E190" s="282"/>
      <c r="F190" s="282"/>
      <c r="G190" s="34"/>
      <c r="H190" s="35"/>
      <c r="I190" s="21"/>
      <c r="J190" s="21"/>
      <c r="K190" s="21"/>
      <c r="L190" s="280"/>
    </row>
    <row r="191" spans="1:14" ht="22.5" customHeight="1">
      <c r="A191" s="7"/>
      <c r="B191" s="32"/>
      <c r="C191" s="32"/>
      <c r="D191" s="32"/>
      <c r="E191" s="282"/>
      <c r="F191" s="282"/>
      <c r="G191" s="34"/>
      <c r="H191" s="35"/>
      <c r="I191" s="18"/>
      <c r="J191" s="280"/>
      <c r="K191" s="280"/>
      <c r="L191" s="280"/>
    </row>
    <row r="192" spans="1:14" ht="22.5" customHeight="1">
      <c r="A192" s="7"/>
      <c r="B192" s="32"/>
      <c r="C192" s="32"/>
      <c r="D192" s="32"/>
      <c r="E192" s="282"/>
      <c r="F192" s="282"/>
      <c r="G192" s="34"/>
      <c r="H192" s="35"/>
      <c r="I192" s="19"/>
      <c r="J192" s="280"/>
      <c r="K192" s="280"/>
      <c r="L192" s="281"/>
    </row>
    <row r="193" spans="1:12" ht="22.5" customHeight="1">
      <c r="A193" s="7"/>
      <c r="B193" s="32"/>
      <c r="C193" s="32"/>
      <c r="D193" s="32"/>
      <c r="E193" s="584"/>
      <c r="F193" s="584"/>
      <c r="G193" s="34"/>
      <c r="H193" s="35"/>
      <c r="I193" s="18"/>
      <c r="J193" s="280"/>
      <c r="K193" s="564"/>
      <c r="L193" s="565"/>
    </row>
    <row r="194" spans="1:12" ht="22.5" customHeight="1">
      <c r="A194" s="7"/>
      <c r="B194" s="32"/>
      <c r="C194" s="32"/>
      <c r="D194" s="32"/>
      <c r="E194" s="584"/>
      <c r="F194" s="584"/>
      <c r="G194" s="34"/>
      <c r="H194" s="35"/>
      <c r="I194" s="18"/>
      <c r="J194" s="280"/>
      <c r="K194" s="564"/>
      <c r="L194" s="565"/>
    </row>
    <row r="195" spans="1:12" ht="34.5" customHeight="1">
      <c r="A195" s="7"/>
      <c r="B195" s="32"/>
      <c r="C195" s="32"/>
      <c r="D195" s="32"/>
      <c r="E195" s="584"/>
      <c r="F195" s="584"/>
      <c r="G195" s="34"/>
      <c r="H195" s="35"/>
      <c r="I195" s="18"/>
      <c r="J195" s="280"/>
      <c r="K195" s="564"/>
      <c r="L195" s="565"/>
    </row>
    <row r="196" spans="1:12" ht="18" customHeight="1">
      <c r="A196" s="7"/>
      <c r="B196" s="32"/>
      <c r="C196" s="32"/>
      <c r="D196" s="32"/>
      <c r="E196" s="282"/>
      <c r="F196" s="282"/>
      <c r="G196" s="34"/>
      <c r="H196" s="35"/>
      <c r="I196" s="21"/>
      <c r="J196" s="21"/>
      <c r="K196" s="21"/>
      <c r="L196" s="280"/>
    </row>
    <row r="197" spans="1:12" ht="22.5" customHeight="1">
      <c r="A197" s="7"/>
      <c r="B197" s="32"/>
      <c r="C197" s="32"/>
      <c r="D197" s="32"/>
      <c r="E197" s="282"/>
      <c r="F197" s="282"/>
      <c r="G197" s="34"/>
      <c r="H197" s="35"/>
      <c r="I197" s="18"/>
      <c r="J197" s="280"/>
      <c r="K197" s="280"/>
      <c r="L197" s="280"/>
    </row>
    <row r="198" spans="1:12" ht="22.5" customHeight="1">
      <c r="A198" s="7"/>
      <c r="B198" s="32"/>
      <c r="C198" s="32"/>
      <c r="D198" s="32"/>
      <c r="E198" s="282"/>
      <c r="F198" s="282"/>
      <c r="G198" s="34"/>
      <c r="H198" s="35"/>
      <c r="I198" s="19"/>
      <c r="J198" s="280"/>
      <c r="K198" s="280"/>
      <c r="L198" s="281"/>
    </row>
    <row r="199" spans="1:12" ht="19.5" hidden="1" customHeight="1">
      <c r="A199" s="7"/>
      <c r="B199" s="32"/>
      <c r="C199" s="32"/>
      <c r="D199" s="32"/>
      <c r="E199" s="584"/>
      <c r="F199" s="584"/>
      <c r="G199" s="34"/>
      <c r="H199" s="35"/>
      <c r="I199" s="18"/>
      <c r="J199" s="280"/>
      <c r="K199" s="564"/>
      <c r="L199" s="565"/>
    </row>
    <row r="200" spans="1:12" ht="35.25" customHeight="1">
      <c r="A200" s="585" t="s">
        <v>29</v>
      </c>
      <c r="B200" s="585"/>
      <c r="C200" s="283" t="s">
        <v>30</v>
      </c>
      <c r="D200" s="585" t="s">
        <v>27</v>
      </c>
      <c r="E200" s="585"/>
      <c r="F200" s="283" t="s">
        <v>23</v>
      </c>
      <c r="G200" s="585" t="s">
        <v>29</v>
      </c>
      <c r="H200" s="585"/>
      <c r="I200" s="283" t="s">
        <v>30</v>
      </c>
      <c r="J200" s="585" t="s">
        <v>27</v>
      </c>
      <c r="K200" s="585"/>
      <c r="L200" s="283" t="s">
        <v>23</v>
      </c>
    </row>
    <row r="201" spans="1:12" ht="35.25" customHeight="1">
      <c r="A201" s="586" t="s">
        <v>33</v>
      </c>
      <c r="B201" s="586"/>
      <c r="C201" s="591" t="s">
        <v>52</v>
      </c>
      <c r="D201" s="587" t="s">
        <v>58</v>
      </c>
      <c r="E201" s="586"/>
      <c r="F201" s="254">
        <v>12</v>
      </c>
      <c r="G201" s="592" t="s">
        <v>39</v>
      </c>
      <c r="H201" s="593"/>
      <c r="I201" s="596" t="s">
        <v>53</v>
      </c>
      <c r="J201" s="284" t="s">
        <v>38</v>
      </c>
      <c r="K201" s="40"/>
      <c r="L201" s="254"/>
    </row>
    <row r="202" spans="1:12" ht="35.25" customHeight="1">
      <c r="A202" s="586"/>
      <c r="B202" s="586"/>
      <c r="C202" s="591"/>
      <c r="D202" s="587" t="s">
        <v>59</v>
      </c>
      <c r="E202" s="586"/>
      <c r="F202" s="255"/>
      <c r="G202" s="594"/>
      <c r="H202" s="595"/>
      <c r="I202" s="597"/>
      <c r="J202" s="287" t="s">
        <v>72</v>
      </c>
      <c r="K202" s="40"/>
      <c r="L202" s="255">
        <v>7</v>
      </c>
    </row>
    <row r="203" spans="1:12" ht="35.25" customHeight="1">
      <c r="A203" s="586"/>
      <c r="B203" s="586"/>
      <c r="C203" s="286" t="s">
        <v>57</v>
      </c>
      <c r="D203" s="587" t="s">
        <v>60</v>
      </c>
      <c r="E203" s="586"/>
      <c r="F203" s="255"/>
      <c r="G203" s="598" t="s">
        <v>42</v>
      </c>
      <c r="H203" s="599"/>
      <c r="I203" s="43" t="s">
        <v>73</v>
      </c>
      <c r="J203" s="44"/>
      <c r="K203" s="40"/>
      <c r="L203" s="255">
        <v>1</v>
      </c>
    </row>
    <row r="204" spans="1:12" ht="35.25" customHeight="1">
      <c r="A204" s="586" t="s">
        <v>34</v>
      </c>
      <c r="B204" s="586"/>
      <c r="C204" s="45" t="s">
        <v>54</v>
      </c>
      <c r="D204" s="587" t="s">
        <v>61</v>
      </c>
      <c r="E204" s="586"/>
      <c r="F204" s="254"/>
      <c r="G204" s="588" t="s">
        <v>43</v>
      </c>
      <c r="H204" s="589"/>
      <c r="I204" s="46" t="s">
        <v>74</v>
      </c>
      <c r="J204" s="44"/>
      <c r="K204" s="40"/>
      <c r="L204" s="254"/>
    </row>
    <row r="205" spans="1:12" ht="35.25" customHeight="1">
      <c r="A205" s="586"/>
      <c r="B205" s="586"/>
      <c r="C205" s="45" t="s">
        <v>55</v>
      </c>
      <c r="D205" s="590" t="s">
        <v>62</v>
      </c>
      <c r="E205" s="591"/>
      <c r="F205" s="255"/>
      <c r="G205" s="588" t="s">
        <v>44</v>
      </c>
      <c r="H205" s="589"/>
      <c r="I205" s="46" t="s">
        <v>75</v>
      </c>
      <c r="J205" s="47"/>
      <c r="K205" s="48"/>
      <c r="L205" s="255"/>
    </row>
    <row r="206" spans="1:12" ht="35.25" customHeight="1">
      <c r="A206" s="586" t="s">
        <v>35</v>
      </c>
      <c r="B206" s="586"/>
      <c r="C206" s="591" t="s">
        <v>36</v>
      </c>
      <c r="D206" s="587" t="s">
        <v>63</v>
      </c>
      <c r="E206" s="586"/>
      <c r="F206" s="256">
        <v>6</v>
      </c>
      <c r="G206" s="600" t="s">
        <v>41</v>
      </c>
      <c r="H206" s="601"/>
      <c r="I206" s="46" t="s">
        <v>76</v>
      </c>
      <c r="J206" s="44"/>
      <c r="K206" s="40"/>
      <c r="L206" s="256"/>
    </row>
    <row r="207" spans="1:12" ht="35.25" customHeight="1">
      <c r="A207" s="586"/>
      <c r="B207" s="586"/>
      <c r="C207" s="591"/>
      <c r="D207" s="590" t="s">
        <v>64</v>
      </c>
      <c r="E207" s="591"/>
      <c r="F207" s="28">
        <v>1</v>
      </c>
      <c r="G207" s="600" t="s">
        <v>45</v>
      </c>
      <c r="H207" s="601"/>
      <c r="I207" s="49" t="s">
        <v>40</v>
      </c>
      <c r="J207" s="47"/>
      <c r="K207" s="48"/>
      <c r="L207" s="28"/>
    </row>
    <row r="208" spans="1:12" ht="35.25" customHeight="1">
      <c r="A208" s="586"/>
      <c r="B208" s="586"/>
      <c r="C208" s="591"/>
      <c r="D208" s="587" t="s">
        <v>65</v>
      </c>
      <c r="E208" s="586"/>
      <c r="F208" s="28"/>
      <c r="G208" s="600" t="s">
        <v>46</v>
      </c>
      <c r="H208" s="601"/>
      <c r="I208" s="49" t="s">
        <v>50</v>
      </c>
      <c r="J208" s="44"/>
      <c r="K208" s="40"/>
      <c r="L208" s="28"/>
    </row>
    <row r="209" spans="1:12" ht="35.25" customHeight="1">
      <c r="A209" s="586"/>
      <c r="B209" s="586"/>
      <c r="C209" s="591"/>
      <c r="D209" s="587" t="s">
        <v>66</v>
      </c>
      <c r="E209" s="586"/>
      <c r="F209" s="28"/>
      <c r="G209" s="588" t="s">
        <v>47</v>
      </c>
      <c r="H209" s="589"/>
      <c r="I209" s="46" t="s">
        <v>99</v>
      </c>
      <c r="J209" s="44"/>
      <c r="K209" s="40"/>
      <c r="L209" s="28"/>
    </row>
    <row r="210" spans="1:12" ht="45" customHeight="1">
      <c r="A210" s="587" t="s">
        <v>37</v>
      </c>
      <c r="B210" s="587"/>
      <c r="C210" s="591" t="s">
        <v>56</v>
      </c>
      <c r="D210" s="587" t="s">
        <v>67</v>
      </c>
      <c r="E210" s="586"/>
      <c r="F210" s="28"/>
      <c r="G210" s="588" t="s">
        <v>47</v>
      </c>
      <c r="H210" s="589"/>
      <c r="I210" s="46" t="s">
        <v>100</v>
      </c>
      <c r="J210" s="44"/>
      <c r="K210" s="40"/>
      <c r="L210" s="28"/>
    </row>
    <row r="211" spans="1:12" ht="35.25" customHeight="1">
      <c r="A211" s="587"/>
      <c r="B211" s="587"/>
      <c r="C211" s="591"/>
      <c r="D211" s="587" t="s">
        <v>68</v>
      </c>
      <c r="E211" s="586"/>
      <c r="F211" s="28">
        <v>2</v>
      </c>
      <c r="G211" s="588" t="s">
        <v>47</v>
      </c>
      <c r="H211" s="589"/>
      <c r="I211" s="285" t="s">
        <v>101</v>
      </c>
      <c r="J211" s="44"/>
      <c r="K211" s="40"/>
      <c r="L211" s="28"/>
    </row>
    <row r="212" spans="1:12" ht="54.75" customHeight="1">
      <c r="A212" s="587"/>
      <c r="B212" s="587"/>
      <c r="C212" s="591"/>
      <c r="D212" s="587" t="s">
        <v>69</v>
      </c>
      <c r="E212" s="586"/>
      <c r="F212" s="28">
        <v>1</v>
      </c>
      <c r="G212" s="588" t="s">
        <v>48</v>
      </c>
      <c r="H212" s="589"/>
      <c r="I212" s="46" t="s">
        <v>77</v>
      </c>
      <c r="J212" s="44"/>
      <c r="K212" s="40"/>
      <c r="L212" s="28"/>
    </row>
    <row r="213" spans="1:12" ht="35.25" customHeight="1">
      <c r="A213" s="587"/>
      <c r="B213" s="587"/>
      <c r="C213" s="591"/>
      <c r="D213" s="587" t="s">
        <v>70</v>
      </c>
      <c r="E213" s="586"/>
      <c r="F213" s="28"/>
      <c r="G213" s="606" t="s">
        <v>49</v>
      </c>
      <c r="H213" s="607"/>
      <c r="I213" s="285" t="s">
        <v>78</v>
      </c>
      <c r="J213" s="44"/>
      <c r="K213" s="40"/>
      <c r="L213" s="28">
        <v>1</v>
      </c>
    </row>
    <row r="214" spans="1:12" ht="35.25" customHeight="1">
      <c r="A214" s="587"/>
      <c r="B214" s="587"/>
      <c r="C214" s="591"/>
      <c r="D214" s="587" t="s">
        <v>71</v>
      </c>
      <c r="E214" s="586"/>
      <c r="F214" s="28">
        <v>1</v>
      </c>
      <c r="G214" s="604"/>
      <c r="H214" s="605"/>
      <c r="I214" s="48"/>
      <c r="J214" s="44"/>
      <c r="K214" s="40"/>
      <c r="L214" s="28"/>
    </row>
    <row r="215" spans="1:12" ht="30" customHeight="1">
      <c r="G215" s="10" t="s">
        <v>51</v>
      </c>
      <c r="H215" s="10"/>
      <c r="I215" s="10"/>
      <c r="J215" s="603">
        <f>SUM(F201:F214)+SUM(L201:L214)</f>
        <v>32</v>
      </c>
      <c r="K215" s="603"/>
    </row>
    <row r="216" spans="1:12" ht="30" customHeight="1">
      <c r="A216" s="602" t="s">
        <v>79</v>
      </c>
      <c r="B216" s="602"/>
      <c r="C216" s="602" t="s">
        <v>91</v>
      </c>
      <c r="D216" s="602"/>
      <c r="E216" s="602"/>
      <c r="F216" s="288" t="s">
        <v>81</v>
      </c>
      <c r="G216" s="602" t="s">
        <v>92</v>
      </c>
      <c r="H216" s="602"/>
      <c r="I216" s="602" t="s">
        <v>84</v>
      </c>
      <c r="J216" s="602"/>
      <c r="K216" s="602"/>
      <c r="L216" s="288"/>
    </row>
    <row r="217" spans="1:12" ht="74.25" customHeight="1">
      <c r="A217" s="288"/>
      <c r="B217" s="288"/>
      <c r="C217" s="288"/>
      <c r="D217" s="288"/>
      <c r="E217" s="288"/>
      <c r="F217" s="288"/>
      <c r="G217" s="288"/>
      <c r="H217" s="288"/>
      <c r="I217" s="288"/>
      <c r="J217" s="288"/>
      <c r="K217" s="288"/>
      <c r="L217" s="288"/>
    </row>
    <row r="218" spans="1:12" ht="30" customHeight="1">
      <c r="A218" s="602" t="s">
        <v>93</v>
      </c>
      <c r="B218" s="602"/>
      <c r="C218" s="602" t="s">
        <v>94</v>
      </c>
      <c r="D218" s="602"/>
      <c r="E218" s="602"/>
      <c r="F218" s="288" t="s">
        <v>95</v>
      </c>
      <c r="G218" s="602" t="s">
        <v>96</v>
      </c>
      <c r="H218" s="602"/>
      <c r="I218" s="602" t="s">
        <v>97</v>
      </c>
      <c r="J218" s="602"/>
      <c r="K218" s="602"/>
      <c r="L218" s="288"/>
    </row>
    <row r="219" spans="1:12" ht="30" customHeight="1"/>
    <row r="220" spans="1:12" ht="30" customHeight="1"/>
    <row r="221" spans="1:12" ht="30" customHeight="1"/>
    <row r="222" spans="1:12" ht="30" customHeight="1"/>
    <row r="223" spans="1:12" ht="30" customHeight="1"/>
    <row r="224" spans="1:12"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sheetData>
  <mergeCells count="68">
    <mergeCell ref="K173:L173"/>
    <mergeCell ref="B2:H2"/>
    <mergeCell ref="I2:L2"/>
    <mergeCell ref="C3:D3"/>
    <mergeCell ref="G3:I3"/>
    <mergeCell ref="C4:D4"/>
    <mergeCell ref="G4:I4"/>
    <mergeCell ref="C5:D5"/>
    <mergeCell ref="G5:I5"/>
    <mergeCell ref="C6:D6"/>
    <mergeCell ref="G6:I6"/>
    <mergeCell ref="E173:F173"/>
    <mergeCell ref="E193:F193"/>
    <mergeCell ref="K193:L193"/>
    <mergeCell ref="E194:F194"/>
    <mergeCell ref="K194:L194"/>
    <mergeCell ref="E195:F195"/>
    <mergeCell ref="K195:L195"/>
    <mergeCell ref="E199:F199"/>
    <mergeCell ref="K199:L199"/>
    <mergeCell ref="A200:B200"/>
    <mergeCell ref="D200:E200"/>
    <mergeCell ref="G200:H200"/>
    <mergeCell ref="J200:K200"/>
    <mergeCell ref="A201:B203"/>
    <mergeCell ref="C201:C202"/>
    <mergeCell ref="D201:E201"/>
    <mergeCell ref="G201:H202"/>
    <mergeCell ref="I201:I202"/>
    <mergeCell ref="D202:E202"/>
    <mergeCell ref="D203:E203"/>
    <mergeCell ref="G203:H203"/>
    <mergeCell ref="A206:B209"/>
    <mergeCell ref="C206:C209"/>
    <mergeCell ref="D206:E206"/>
    <mergeCell ref="G206:H206"/>
    <mergeCell ref="D207:E207"/>
    <mergeCell ref="G207:H207"/>
    <mergeCell ref="D208:E208"/>
    <mergeCell ref="G208:H208"/>
    <mergeCell ref="D209:E209"/>
    <mergeCell ref="G209:H209"/>
    <mergeCell ref="A204:B205"/>
    <mergeCell ref="D204:E204"/>
    <mergeCell ref="G204:H204"/>
    <mergeCell ref="D205:E205"/>
    <mergeCell ref="G205:H205"/>
    <mergeCell ref="A218:B218"/>
    <mergeCell ref="C218:E218"/>
    <mergeCell ref="G218:H218"/>
    <mergeCell ref="I218:K218"/>
    <mergeCell ref="G211:H211"/>
    <mergeCell ref="D212:E212"/>
    <mergeCell ref="G212:H212"/>
    <mergeCell ref="D213:E213"/>
    <mergeCell ref="G213:H213"/>
    <mergeCell ref="D214:E214"/>
    <mergeCell ref="G214:H214"/>
    <mergeCell ref="A210:B214"/>
    <mergeCell ref="C210:C214"/>
    <mergeCell ref="D210:E210"/>
    <mergeCell ref="G210:H210"/>
    <mergeCell ref="D211:E211"/>
    <mergeCell ref="J215:K215"/>
    <mergeCell ref="A216:B216"/>
    <mergeCell ref="C216:E216"/>
    <mergeCell ref="G216:H216"/>
    <mergeCell ref="I216:K216"/>
  </mergeCells>
  <conditionalFormatting sqref="H189 H158:H187 H199 H13">
    <cfRule type="cellIs" dxfId="248" priority="109" stopIfTrue="1" operator="greaterThan">
      <formula>$I$5</formula>
    </cfRule>
  </conditionalFormatting>
  <conditionalFormatting sqref="H198">
    <cfRule type="cellIs" dxfId="247" priority="108" stopIfTrue="1" operator="greaterThan">
      <formula>$I$5</formula>
    </cfRule>
  </conditionalFormatting>
  <conditionalFormatting sqref="H196:H197">
    <cfRule type="cellIs" dxfId="246" priority="107" stopIfTrue="1" operator="greaterThan">
      <formula>$I$5</formula>
    </cfRule>
  </conditionalFormatting>
  <conditionalFormatting sqref="H188">
    <cfRule type="cellIs" dxfId="245" priority="106" stopIfTrue="1" operator="greaterThan">
      <formula>$I$5</formula>
    </cfRule>
  </conditionalFormatting>
  <conditionalFormatting sqref="H156:H157">
    <cfRule type="cellIs" dxfId="244" priority="105" stopIfTrue="1" operator="greaterThan">
      <formula>$I$5</formula>
    </cfRule>
  </conditionalFormatting>
  <conditionalFormatting sqref="H8">
    <cfRule type="cellIs" dxfId="243" priority="104" stopIfTrue="1" operator="greaterThan">
      <formula>$I$5</formula>
    </cfRule>
  </conditionalFormatting>
  <conditionalFormatting sqref="H7">
    <cfRule type="cellIs" dxfId="242" priority="103" stopIfTrue="1" operator="greaterThan">
      <formula>$I$5</formula>
    </cfRule>
  </conditionalFormatting>
  <conditionalFormatting sqref="H154:H155">
    <cfRule type="cellIs" dxfId="241" priority="102" stopIfTrue="1" operator="greaterThan">
      <formula>$I$5</formula>
    </cfRule>
  </conditionalFormatting>
  <conditionalFormatting sqref="H152:H153">
    <cfRule type="cellIs" dxfId="240" priority="101" stopIfTrue="1" operator="greaterThan">
      <formula>$I$5</formula>
    </cfRule>
  </conditionalFormatting>
  <conditionalFormatting sqref="H142:H143">
    <cfRule type="cellIs" dxfId="239" priority="96" stopIfTrue="1" operator="greaterThan">
      <formula>$I$5</formula>
    </cfRule>
  </conditionalFormatting>
  <conditionalFormatting sqref="H140:H141">
    <cfRule type="cellIs" dxfId="238" priority="95" stopIfTrue="1" operator="greaterThan">
      <formula>$I$5</formula>
    </cfRule>
  </conditionalFormatting>
  <conditionalFormatting sqref="H150:H151">
    <cfRule type="cellIs" dxfId="237" priority="100" stopIfTrue="1" operator="greaterThan">
      <formula>$I$5</formula>
    </cfRule>
  </conditionalFormatting>
  <conditionalFormatting sqref="H145:H146">
    <cfRule type="cellIs" dxfId="236" priority="99" stopIfTrue="1" operator="greaterThan">
      <formula>$I$5</formula>
    </cfRule>
  </conditionalFormatting>
  <conditionalFormatting sqref="H131 H135">
    <cfRule type="cellIs" dxfId="235" priority="93" stopIfTrue="1" operator="greaterThan">
      <formula>$I$5</formula>
    </cfRule>
  </conditionalFormatting>
  <conditionalFormatting sqref="H144">
    <cfRule type="cellIs" dxfId="234" priority="97" stopIfTrue="1" operator="greaterThan">
      <formula>$I$5</formula>
    </cfRule>
  </conditionalFormatting>
  <conditionalFormatting sqref="H124 H139">
    <cfRule type="cellIs" dxfId="233" priority="94" stopIfTrue="1" operator="greaterThan">
      <formula>$I$5</formula>
    </cfRule>
  </conditionalFormatting>
  <conditionalFormatting sqref="H130">
    <cfRule type="cellIs" dxfId="232" priority="92" stopIfTrue="1" operator="greaterThan">
      <formula>$I$5</formula>
    </cfRule>
  </conditionalFormatting>
  <conditionalFormatting sqref="H128:H129">
    <cfRule type="cellIs" dxfId="231" priority="91" stopIfTrue="1" operator="greaterThan">
      <formula>$I$5</formula>
    </cfRule>
  </conditionalFormatting>
  <conditionalFormatting sqref="H126:H127">
    <cfRule type="cellIs" dxfId="230" priority="90" stopIfTrue="1" operator="greaterThan">
      <formula>$I$5</formula>
    </cfRule>
  </conditionalFormatting>
  <conditionalFormatting sqref="H125">
    <cfRule type="cellIs" dxfId="229" priority="89" stopIfTrue="1" operator="greaterThan">
      <formula>$I$5</formula>
    </cfRule>
  </conditionalFormatting>
  <conditionalFormatting sqref="H115:H116">
    <cfRule type="cellIs" dxfId="228" priority="88" stopIfTrue="1" operator="greaterThan">
      <formula>$I$5</formula>
    </cfRule>
  </conditionalFormatting>
  <conditionalFormatting sqref="H113:H114">
    <cfRule type="cellIs" dxfId="227" priority="87" stopIfTrue="1" operator="greaterThan">
      <formula>$I$5</formula>
    </cfRule>
  </conditionalFormatting>
  <conditionalFormatting sqref="H112">
    <cfRule type="cellIs" dxfId="226" priority="86" stopIfTrue="1" operator="greaterThan">
      <formula>$I$5</formula>
    </cfRule>
  </conditionalFormatting>
  <conditionalFormatting sqref="H108">
    <cfRule type="cellIs" dxfId="225" priority="85" stopIfTrue="1" operator="greaterThan">
      <formula>$I$5</formula>
    </cfRule>
  </conditionalFormatting>
  <conditionalFormatting sqref="H110:H111">
    <cfRule type="cellIs" dxfId="224" priority="84" stopIfTrue="1" operator="greaterThan">
      <formula>$I$5</formula>
    </cfRule>
  </conditionalFormatting>
  <conditionalFormatting sqref="H109">
    <cfRule type="cellIs" dxfId="223" priority="83" stopIfTrue="1" operator="greaterThan">
      <formula>$I$5</formula>
    </cfRule>
  </conditionalFormatting>
  <conditionalFormatting sqref="H106:H107">
    <cfRule type="cellIs" dxfId="222" priority="82" stopIfTrue="1" operator="greaterThan">
      <formula>$I$5</formula>
    </cfRule>
  </conditionalFormatting>
  <conditionalFormatting sqref="H104:H105">
    <cfRule type="cellIs" dxfId="221" priority="81" stopIfTrue="1" operator="greaterThan">
      <formula>$I$5</formula>
    </cfRule>
  </conditionalFormatting>
  <conditionalFormatting sqref="H103">
    <cfRule type="cellIs" dxfId="220" priority="80" stopIfTrue="1" operator="greaterThan">
      <formula>$I$5</formula>
    </cfRule>
  </conditionalFormatting>
  <conditionalFormatting sqref="H102">
    <cfRule type="cellIs" dxfId="219" priority="79" stopIfTrue="1" operator="greaterThan">
      <formula>$I$5</formula>
    </cfRule>
  </conditionalFormatting>
  <conditionalFormatting sqref="H100:H101">
    <cfRule type="cellIs" dxfId="218" priority="78" stopIfTrue="1" operator="greaterThan">
      <formula>$I$5</formula>
    </cfRule>
  </conditionalFormatting>
  <conditionalFormatting sqref="H99">
    <cfRule type="cellIs" dxfId="217" priority="77" stopIfTrue="1" operator="greaterThan">
      <formula>$I$5</formula>
    </cfRule>
  </conditionalFormatting>
  <conditionalFormatting sqref="H95">
    <cfRule type="cellIs" dxfId="216" priority="76" stopIfTrue="1" operator="greaterThan">
      <formula>$I$5</formula>
    </cfRule>
  </conditionalFormatting>
  <conditionalFormatting sqref="H97:H98">
    <cfRule type="cellIs" dxfId="215" priority="75" stopIfTrue="1" operator="greaterThan">
      <formula>$I$5</formula>
    </cfRule>
  </conditionalFormatting>
  <conditionalFormatting sqref="H96">
    <cfRule type="cellIs" dxfId="214" priority="74" stopIfTrue="1" operator="greaterThan">
      <formula>$I$5</formula>
    </cfRule>
  </conditionalFormatting>
  <conditionalFormatting sqref="H93:H94">
    <cfRule type="cellIs" dxfId="213" priority="73" stopIfTrue="1" operator="greaterThan">
      <formula>$I$5</formula>
    </cfRule>
  </conditionalFormatting>
  <conditionalFormatting sqref="H91:H92">
    <cfRule type="cellIs" dxfId="212" priority="72" stopIfTrue="1" operator="greaterThan">
      <formula>$I$5</formula>
    </cfRule>
  </conditionalFormatting>
  <conditionalFormatting sqref="H71">
    <cfRule type="cellIs" dxfId="211" priority="71" stopIfTrue="1" operator="greaterThan">
      <formula>$I$5</formula>
    </cfRule>
  </conditionalFormatting>
  <conditionalFormatting sqref="H89:H90">
    <cfRule type="cellIs" dxfId="210" priority="70" stopIfTrue="1" operator="greaterThan">
      <formula>$I$5</formula>
    </cfRule>
  </conditionalFormatting>
  <conditionalFormatting sqref="H80">
    <cfRule type="cellIs" dxfId="209" priority="69" stopIfTrue="1" operator="greaterThan">
      <formula>$I$5</formula>
    </cfRule>
  </conditionalFormatting>
  <conditionalFormatting sqref="H76">
    <cfRule type="cellIs" dxfId="208" priority="68" stopIfTrue="1" operator="greaterThan">
      <formula>$I$5</formula>
    </cfRule>
  </conditionalFormatting>
  <conditionalFormatting sqref="H78:H79">
    <cfRule type="cellIs" dxfId="207" priority="67" stopIfTrue="1" operator="greaterThan">
      <formula>$I$5</formula>
    </cfRule>
  </conditionalFormatting>
  <conditionalFormatting sqref="H77">
    <cfRule type="cellIs" dxfId="206" priority="66" stopIfTrue="1" operator="greaterThan">
      <formula>$I$5</formula>
    </cfRule>
  </conditionalFormatting>
  <conditionalFormatting sqref="H74:H75">
    <cfRule type="cellIs" dxfId="205" priority="65" stopIfTrue="1" operator="greaterThan">
      <formula>$I$5</formula>
    </cfRule>
  </conditionalFormatting>
  <conditionalFormatting sqref="H72:H73">
    <cfRule type="cellIs" dxfId="204" priority="64" stopIfTrue="1" operator="greaterThan">
      <formula>$I$5</formula>
    </cfRule>
  </conditionalFormatting>
  <conditionalFormatting sqref="H64">
    <cfRule type="cellIs" dxfId="203" priority="63" stopIfTrue="1" operator="greaterThan">
      <formula>$I$5</formula>
    </cfRule>
  </conditionalFormatting>
  <conditionalFormatting sqref="H69">
    <cfRule type="cellIs" dxfId="202" priority="62" stopIfTrue="1" operator="greaterThan">
      <formula>$I$5</formula>
    </cfRule>
  </conditionalFormatting>
  <conditionalFormatting sqref="H70">
    <cfRule type="cellIs" dxfId="201" priority="61" stopIfTrue="1" operator="greaterThan">
      <formula>$I$5</formula>
    </cfRule>
  </conditionalFormatting>
  <conditionalFormatting sqref="H67:H68">
    <cfRule type="cellIs" dxfId="200" priority="60" stopIfTrue="1" operator="greaterThan">
      <formula>$I$5</formula>
    </cfRule>
  </conditionalFormatting>
  <conditionalFormatting sqref="H65:H66">
    <cfRule type="cellIs" dxfId="199" priority="59" stopIfTrue="1" operator="greaterThan">
      <formula>$I$5</formula>
    </cfRule>
  </conditionalFormatting>
  <conditionalFormatting sqref="H59">
    <cfRule type="cellIs" dxfId="198" priority="58" stopIfTrue="1" operator="greaterThan">
      <formula>$I$5</formula>
    </cfRule>
  </conditionalFormatting>
  <conditionalFormatting sqref="H62:H63">
    <cfRule type="cellIs" dxfId="197" priority="57" stopIfTrue="1" operator="greaterThan">
      <formula>$I$5</formula>
    </cfRule>
  </conditionalFormatting>
  <conditionalFormatting sqref="H60:H61">
    <cfRule type="cellIs" dxfId="196" priority="56" stopIfTrue="1" operator="greaterThan">
      <formula>$I$5</formula>
    </cfRule>
  </conditionalFormatting>
  <conditionalFormatting sqref="H56">
    <cfRule type="cellIs" dxfId="195" priority="55" stopIfTrue="1" operator="greaterThan">
      <formula>$I$5</formula>
    </cfRule>
  </conditionalFormatting>
  <conditionalFormatting sqref="H57:H58">
    <cfRule type="cellIs" dxfId="194" priority="54" stopIfTrue="1" operator="greaterThan">
      <formula>$I$5</formula>
    </cfRule>
  </conditionalFormatting>
  <conditionalFormatting sqref="H54:H55">
    <cfRule type="cellIs" dxfId="193" priority="53" stopIfTrue="1" operator="greaterThan">
      <formula>$I$5</formula>
    </cfRule>
  </conditionalFormatting>
  <conditionalFormatting sqref="H52:H53">
    <cfRule type="cellIs" dxfId="192" priority="52" stopIfTrue="1" operator="greaterThan">
      <formula>$I$5</formula>
    </cfRule>
  </conditionalFormatting>
  <conditionalFormatting sqref="H51">
    <cfRule type="cellIs" dxfId="191" priority="51" stopIfTrue="1" operator="greaterThan">
      <formula>$I$5</formula>
    </cfRule>
  </conditionalFormatting>
  <conditionalFormatting sqref="H49:H50">
    <cfRule type="cellIs" dxfId="190" priority="50" stopIfTrue="1" operator="greaterThan">
      <formula>$I$5</formula>
    </cfRule>
  </conditionalFormatting>
  <conditionalFormatting sqref="H41:H42">
    <cfRule type="cellIs" dxfId="189" priority="49" stopIfTrue="1" operator="greaterThan">
      <formula>$I$5</formula>
    </cfRule>
  </conditionalFormatting>
  <conditionalFormatting sqref="H48">
    <cfRule type="cellIs" dxfId="188" priority="48" stopIfTrue="1" operator="greaterThan">
      <formula>$I$5</formula>
    </cfRule>
  </conditionalFormatting>
  <conditionalFormatting sqref="H46:H47">
    <cfRule type="cellIs" dxfId="187" priority="47" stopIfTrue="1" operator="greaterThan">
      <formula>$I$5</formula>
    </cfRule>
  </conditionalFormatting>
  <conditionalFormatting sqref="H45">
    <cfRule type="cellIs" dxfId="186" priority="46" stopIfTrue="1" operator="greaterThan">
      <formula>$I$5</formula>
    </cfRule>
  </conditionalFormatting>
  <conditionalFormatting sqref="H43:H44">
    <cfRule type="cellIs" dxfId="185" priority="45" stopIfTrue="1" operator="greaterThan">
      <formula>$I$5</formula>
    </cfRule>
  </conditionalFormatting>
  <conditionalFormatting sqref="H39:H40">
    <cfRule type="cellIs" dxfId="184" priority="44" stopIfTrue="1" operator="greaterThan">
      <formula>$I$5</formula>
    </cfRule>
  </conditionalFormatting>
  <conditionalFormatting sqref="H25 H38">
    <cfRule type="cellIs" dxfId="183" priority="43" stopIfTrue="1" operator="greaterThan">
      <formula>$I$5</formula>
    </cfRule>
  </conditionalFormatting>
  <conditionalFormatting sqref="H23:H24">
    <cfRule type="cellIs" dxfId="182" priority="42" stopIfTrue="1" operator="greaterThan">
      <formula>$I$5</formula>
    </cfRule>
  </conditionalFormatting>
  <conditionalFormatting sqref="H36:H37">
    <cfRule type="cellIs" dxfId="181" priority="41" stopIfTrue="1" operator="greaterThan">
      <formula>$I$5</formula>
    </cfRule>
  </conditionalFormatting>
  <conditionalFormatting sqref="H34:H35">
    <cfRule type="cellIs" dxfId="180" priority="40" stopIfTrue="1" operator="greaterThan">
      <formula>$I$5</formula>
    </cfRule>
  </conditionalFormatting>
  <conditionalFormatting sqref="H33">
    <cfRule type="cellIs" dxfId="179" priority="39" stopIfTrue="1" operator="greaterThan">
      <formula>$I$5</formula>
    </cfRule>
  </conditionalFormatting>
  <conditionalFormatting sqref="H32">
    <cfRule type="cellIs" dxfId="178" priority="38" stopIfTrue="1" operator="greaterThan">
      <formula>$I$5</formula>
    </cfRule>
  </conditionalFormatting>
  <conditionalFormatting sqref="H31">
    <cfRule type="cellIs" dxfId="177" priority="37" stopIfTrue="1" operator="greaterThan">
      <formula>$I$5</formula>
    </cfRule>
  </conditionalFormatting>
  <conditionalFormatting sqref="H29:H30">
    <cfRule type="cellIs" dxfId="176" priority="36" stopIfTrue="1" operator="greaterThan">
      <formula>$I$5</formula>
    </cfRule>
  </conditionalFormatting>
  <conditionalFormatting sqref="H27:H28">
    <cfRule type="cellIs" dxfId="175" priority="35" stopIfTrue="1" operator="greaterThan">
      <formula>$I$5</formula>
    </cfRule>
  </conditionalFormatting>
  <conditionalFormatting sqref="H26">
    <cfRule type="cellIs" dxfId="174" priority="34" stopIfTrue="1" operator="greaterThan">
      <formula>$I$5</formula>
    </cfRule>
  </conditionalFormatting>
  <conditionalFormatting sqref="H17">
    <cfRule type="cellIs" dxfId="173" priority="33" stopIfTrue="1" operator="greaterThan">
      <formula>$I$5</formula>
    </cfRule>
  </conditionalFormatting>
  <conditionalFormatting sqref="H15:H16">
    <cfRule type="cellIs" dxfId="172" priority="32" stopIfTrue="1" operator="greaterThan">
      <formula>$I$5</formula>
    </cfRule>
  </conditionalFormatting>
  <conditionalFormatting sqref="H21:H22">
    <cfRule type="cellIs" dxfId="171" priority="31" stopIfTrue="1" operator="greaterThan">
      <formula>$I$5</formula>
    </cfRule>
  </conditionalFormatting>
  <conditionalFormatting sqref="H19:H20">
    <cfRule type="cellIs" dxfId="170" priority="30" stopIfTrue="1" operator="greaterThan">
      <formula>$I$5</formula>
    </cfRule>
  </conditionalFormatting>
  <conditionalFormatting sqref="H18">
    <cfRule type="cellIs" dxfId="169" priority="29" stopIfTrue="1" operator="greaterThan">
      <formula>$I$5</formula>
    </cfRule>
  </conditionalFormatting>
  <conditionalFormatting sqref="H14">
    <cfRule type="cellIs" dxfId="168" priority="28" stopIfTrue="1" operator="greaterThan">
      <formula>$I$5</formula>
    </cfRule>
  </conditionalFormatting>
  <conditionalFormatting sqref="H9">
    <cfRule type="cellIs" dxfId="167" priority="27" stopIfTrue="1" operator="greaterThan">
      <formula>$I$5</formula>
    </cfRule>
  </conditionalFormatting>
  <conditionalFormatting sqref="H117">
    <cfRule type="cellIs" dxfId="166" priority="26" stopIfTrue="1" operator="greaterThan">
      <formula>$I$5</formula>
    </cfRule>
  </conditionalFormatting>
  <conditionalFormatting sqref="H123">
    <cfRule type="cellIs" dxfId="165" priority="25" stopIfTrue="1" operator="greaterThan">
      <formula>$I$5</formula>
    </cfRule>
  </conditionalFormatting>
  <conditionalFormatting sqref="H121:H122">
    <cfRule type="cellIs" dxfId="164" priority="24" stopIfTrue="1" operator="greaterThan">
      <formula>$I$5</formula>
    </cfRule>
  </conditionalFormatting>
  <conditionalFormatting sqref="H119:H120">
    <cfRule type="cellIs" dxfId="163" priority="23" stopIfTrue="1" operator="greaterThan">
      <formula>$I$5</formula>
    </cfRule>
  </conditionalFormatting>
  <conditionalFormatting sqref="H118">
    <cfRule type="cellIs" dxfId="162" priority="22" stopIfTrue="1" operator="greaterThan">
      <formula>$I$5</formula>
    </cfRule>
  </conditionalFormatting>
  <conditionalFormatting sqref="H193:H195">
    <cfRule type="cellIs" dxfId="161" priority="21" stopIfTrue="1" operator="greaterThan">
      <formula>$I$5</formula>
    </cfRule>
  </conditionalFormatting>
  <conditionalFormatting sqref="H192">
    <cfRule type="cellIs" dxfId="160" priority="20" stopIfTrue="1" operator="greaterThan">
      <formula>$I$5</formula>
    </cfRule>
  </conditionalFormatting>
  <conditionalFormatting sqref="H190:H191">
    <cfRule type="cellIs" dxfId="159" priority="19" stopIfTrue="1" operator="greaterThan">
      <formula>$I$5</formula>
    </cfRule>
  </conditionalFormatting>
  <conditionalFormatting sqref="H10">
    <cfRule type="cellIs" dxfId="158" priority="17" stopIfTrue="1" operator="greaterThan">
      <formula>$I$5</formula>
    </cfRule>
  </conditionalFormatting>
  <conditionalFormatting sqref="H12">
    <cfRule type="cellIs" dxfId="157" priority="15" stopIfTrue="1" operator="greaterThan">
      <formula>$I$5</formula>
    </cfRule>
  </conditionalFormatting>
  <conditionalFormatting sqref="H11">
    <cfRule type="cellIs" dxfId="156" priority="14" stopIfTrue="1" operator="greaterThan">
      <formula>$I$5</formula>
    </cfRule>
  </conditionalFormatting>
  <conditionalFormatting sqref="H149">
    <cfRule type="cellIs" dxfId="155" priority="12" stopIfTrue="1" operator="greaterThan">
      <formula>$I$5</formula>
    </cfRule>
  </conditionalFormatting>
  <conditionalFormatting sqref="H148">
    <cfRule type="cellIs" dxfId="154" priority="11" stopIfTrue="1" operator="greaterThan">
      <formula>$I$5</formula>
    </cfRule>
  </conditionalFormatting>
  <conditionalFormatting sqref="H147">
    <cfRule type="cellIs" dxfId="153" priority="10" stopIfTrue="1" operator="greaterThan">
      <formula>$I$5</formula>
    </cfRule>
  </conditionalFormatting>
  <conditionalFormatting sqref="H137:H138">
    <cfRule type="cellIs" dxfId="152" priority="9" stopIfTrue="1" operator="greaterThan">
      <formula>$I$5</formula>
    </cfRule>
  </conditionalFormatting>
  <conditionalFormatting sqref="H136">
    <cfRule type="cellIs" dxfId="151" priority="8" stopIfTrue="1" operator="greaterThan">
      <formula>$I$5</formula>
    </cfRule>
  </conditionalFormatting>
  <conditionalFormatting sqref="H133:H134">
    <cfRule type="cellIs" dxfId="150" priority="7" stopIfTrue="1" operator="greaterThan">
      <formula>$I$5</formula>
    </cfRule>
  </conditionalFormatting>
  <conditionalFormatting sqref="H132">
    <cfRule type="cellIs" dxfId="149" priority="6" stopIfTrue="1" operator="greaterThan">
      <formula>$I$5</formula>
    </cfRule>
  </conditionalFormatting>
  <conditionalFormatting sqref="H88">
    <cfRule type="cellIs" dxfId="148" priority="5" stopIfTrue="1" operator="greaterThan">
      <formula>$I$5</formula>
    </cfRule>
  </conditionalFormatting>
  <conditionalFormatting sqref="H86:H87">
    <cfRule type="cellIs" dxfId="147" priority="4" stopIfTrue="1" operator="greaterThan">
      <formula>$I$5</formula>
    </cfRule>
  </conditionalFormatting>
  <conditionalFormatting sqref="H84:H85">
    <cfRule type="cellIs" dxfId="146" priority="3" stopIfTrue="1" operator="greaterThan">
      <formula>$I$5</formula>
    </cfRule>
  </conditionalFormatting>
  <conditionalFormatting sqref="H83">
    <cfRule type="cellIs" dxfId="145" priority="2" stopIfTrue="1" operator="greaterThan">
      <formula>$I$5</formula>
    </cfRule>
  </conditionalFormatting>
  <conditionalFormatting sqref="H81:H82">
    <cfRule type="cellIs" dxfId="144" priority="1" stopIfTrue="1" operator="greaterThan">
      <formula>$I$5</formula>
    </cfRule>
  </conditionalFormatting>
  <printOptions horizontalCentered="1"/>
  <pageMargins left="0.24" right="0.25" top="0.17" bottom="0.35" header="0.17" footer="0.17"/>
  <pageSetup paperSize="9" scale="42" orientation="portrait" r:id="rId1"/>
  <rowBreaks count="3" manualBreakCount="3">
    <brk id="93" max="11" man="1"/>
    <brk id="199" max="11" man="1"/>
    <brk id="219"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R61"/>
  <sheetViews>
    <sheetView topLeftCell="A7" zoomScale="70" zoomScaleNormal="70" zoomScaleSheetLayoutView="89" workbookViewId="0">
      <selection activeCell="D4" sqref="D4:G4"/>
    </sheetView>
  </sheetViews>
  <sheetFormatPr defaultColWidth="9.109375" defaultRowHeight="17.399999999999999"/>
  <cols>
    <col min="1" max="1" width="1.6640625" style="211" customWidth="1"/>
    <col min="2" max="2" width="3" style="211" customWidth="1"/>
    <col min="3" max="3" width="14.33203125" style="212" customWidth="1"/>
    <col min="4" max="4" width="21.88671875" style="212" customWidth="1"/>
    <col min="5" max="5" width="16.33203125" style="212" customWidth="1"/>
    <col min="6" max="6" width="6.6640625" style="212" customWidth="1"/>
    <col min="7" max="7" width="9" style="212" customWidth="1"/>
    <col min="8" max="8" width="28.33203125" style="212" customWidth="1"/>
    <col min="9" max="9" width="21.5546875" style="212" customWidth="1"/>
    <col min="10" max="10" width="14.5546875" style="212" hidden="1" customWidth="1"/>
    <col min="11" max="11" width="8.33203125" style="212" customWidth="1"/>
    <col min="12" max="14" width="10.5546875" style="213" customWidth="1"/>
    <col min="15" max="15" width="16.109375" style="212" customWidth="1"/>
    <col min="16" max="16" width="16.33203125" style="212" customWidth="1"/>
    <col min="17" max="17" width="12.109375" style="212" customWidth="1"/>
    <col min="18" max="18" width="15.44140625" style="212" customWidth="1"/>
    <col min="19" max="16384" width="9.109375" style="212"/>
  </cols>
  <sheetData>
    <row r="1" spans="1:18" ht="14.25" customHeight="1" thickBot="1"/>
    <row r="2" spans="1:18" ht="42.75" customHeight="1" thickBot="1">
      <c r="C2" s="214"/>
      <c r="D2" s="215"/>
      <c r="E2" s="215"/>
      <c r="F2" s="215"/>
      <c r="G2" s="215"/>
      <c r="H2" s="292"/>
      <c r="I2" s="511" t="s">
        <v>25</v>
      </c>
      <c r="J2" s="511"/>
      <c r="K2" s="511"/>
      <c r="L2" s="511"/>
      <c r="M2" s="511"/>
      <c r="N2" s="511"/>
      <c r="O2" s="511"/>
      <c r="P2" s="511"/>
      <c r="Q2" s="511"/>
      <c r="R2" s="512"/>
    </row>
    <row r="3" spans="1:18" s="224" customFormat="1" ht="13.8">
      <c r="A3" s="217"/>
      <c r="B3" s="217"/>
      <c r="C3" s="218" t="s">
        <v>0</v>
      </c>
      <c r="D3" s="513">
        <v>44341</v>
      </c>
      <c r="E3" s="514"/>
      <c r="F3" s="514"/>
      <c r="G3" s="515"/>
      <c r="H3" s="219" t="s">
        <v>1</v>
      </c>
      <c r="I3" s="220">
        <v>40</v>
      </c>
      <c r="J3" s="221"/>
      <c r="K3" s="516" t="s">
        <v>2</v>
      </c>
      <c r="L3" s="517"/>
      <c r="M3" s="517"/>
      <c r="N3" s="517"/>
      <c r="O3" s="518"/>
      <c r="P3" s="222">
        <f>3600/I3</f>
        <v>90</v>
      </c>
      <c r="Q3" s="219" t="s">
        <v>3</v>
      </c>
      <c r="R3" s="223">
        <f>MAX(N10:N44)</f>
        <v>170</v>
      </c>
    </row>
    <row r="4" spans="1:18" s="224" customFormat="1" ht="13.8">
      <c r="A4" s="217"/>
      <c r="B4" s="217"/>
      <c r="C4" s="225" t="s">
        <v>4</v>
      </c>
      <c r="D4" s="519">
        <v>221433</v>
      </c>
      <c r="E4" s="520"/>
      <c r="F4" s="520"/>
      <c r="G4" s="521"/>
      <c r="H4" s="30" t="s">
        <v>5</v>
      </c>
      <c r="I4" s="226">
        <f>3600/R3</f>
        <v>21.176470588235293</v>
      </c>
      <c r="J4" s="227"/>
      <c r="K4" s="522" t="s">
        <v>6</v>
      </c>
      <c r="L4" s="523"/>
      <c r="M4" s="523"/>
      <c r="N4" s="523"/>
      <c r="O4" s="524"/>
      <c r="P4" s="1">
        <f>I4/D6</f>
        <v>0.38328235294117652</v>
      </c>
      <c r="Q4" s="228" t="s">
        <v>7</v>
      </c>
      <c r="R4" s="2">
        <f>P5/P6</f>
        <v>0.4895424836601307</v>
      </c>
    </row>
    <row r="5" spans="1:18" s="224" customFormat="1" ht="13.8">
      <c r="A5" s="217"/>
      <c r="B5" s="217"/>
      <c r="C5" s="225" t="s">
        <v>8</v>
      </c>
      <c r="D5" s="519">
        <v>13</v>
      </c>
      <c r="E5" s="520"/>
      <c r="F5" s="520"/>
      <c r="G5" s="521"/>
      <c r="H5" s="31" t="s">
        <v>9</v>
      </c>
      <c r="I5" s="229" t="s">
        <v>280</v>
      </c>
      <c r="J5" s="230">
        <f>+I5/60</f>
        <v>0.48868500000000004</v>
      </c>
      <c r="K5" s="519" t="s">
        <v>10</v>
      </c>
      <c r="L5" s="520"/>
      <c r="M5" s="520"/>
      <c r="N5" s="520"/>
      <c r="O5" s="520"/>
      <c r="P5" s="228">
        <f>SUM(N10:N44)</f>
        <v>2247</v>
      </c>
      <c r="Q5" s="228" t="s">
        <v>11</v>
      </c>
      <c r="R5" s="231">
        <f>I4/I6</f>
        <v>0.78431372549019607</v>
      </c>
    </row>
    <row r="6" spans="1:18" s="224" customFormat="1" ht="13.8">
      <c r="A6" s="217"/>
      <c r="B6" s="217"/>
      <c r="C6" s="225" t="s">
        <v>12</v>
      </c>
      <c r="D6" s="525">
        <f>(60/I5)*I6</f>
        <v>55.250314619847131</v>
      </c>
      <c r="E6" s="526"/>
      <c r="F6" s="526"/>
      <c r="G6" s="527"/>
      <c r="H6" s="31" t="s">
        <v>13</v>
      </c>
      <c r="I6" s="232">
        <f>D46</f>
        <v>27</v>
      </c>
      <c r="J6" s="226">
        <f>60/J5*I6*0.65</f>
        <v>2154.7622701740383</v>
      </c>
      <c r="K6" s="519" t="s">
        <v>14</v>
      </c>
      <c r="L6" s="520"/>
      <c r="M6" s="520"/>
      <c r="N6" s="520"/>
      <c r="O6" s="521"/>
      <c r="P6" s="228">
        <f>R3*I6</f>
        <v>4590</v>
      </c>
      <c r="Q6" s="228"/>
      <c r="R6" s="231"/>
    </row>
    <row r="7" spans="1:18" ht="12.75" customHeight="1">
      <c r="C7" s="528" t="s">
        <v>15</v>
      </c>
      <c r="D7" s="530" t="s">
        <v>16</v>
      </c>
      <c r="E7" s="530" t="s">
        <v>24</v>
      </c>
      <c r="F7" s="532" t="s">
        <v>31</v>
      </c>
      <c r="G7" s="533"/>
      <c r="H7" s="536" t="s">
        <v>17</v>
      </c>
      <c r="I7" s="536"/>
      <c r="J7" s="538" t="s">
        <v>18</v>
      </c>
      <c r="K7" s="530" t="s">
        <v>19</v>
      </c>
      <c r="L7" s="530"/>
      <c r="M7" s="530" t="s">
        <v>364</v>
      </c>
      <c r="N7" s="530" t="s">
        <v>365</v>
      </c>
      <c r="O7" s="530" t="s">
        <v>20</v>
      </c>
      <c r="P7" s="530" t="s">
        <v>11</v>
      </c>
      <c r="Q7" s="548" t="s">
        <v>21</v>
      </c>
      <c r="R7" s="550" t="s">
        <v>22</v>
      </c>
    </row>
    <row r="8" spans="1:18" ht="13.2">
      <c r="C8" s="528"/>
      <c r="D8" s="530"/>
      <c r="E8" s="530"/>
      <c r="F8" s="534"/>
      <c r="G8" s="535"/>
      <c r="H8" s="536"/>
      <c r="I8" s="536"/>
      <c r="J8" s="538"/>
      <c r="K8" s="530"/>
      <c r="L8" s="530"/>
      <c r="M8" s="530"/>
      <c r="N8" s="530"/>
      <c r="O8" s="530"/>
      <c r="P8" s="530"/>
      <c r="Q8" s="549"/>
      <c r="R8" s="551"/>
    </row>
    <row r="9" spans="1:18" ht="14.7" customHeight="1">
      <c r="C9" s="529"/>
      <c r="D9" s="531"/>
      <c r="E9" s="531"/>
      <c r="F9" s="233" t="s">
        <v>32</v>
      </c>
      <c r="G9" s="233" t="s">
        <v>28</v>
      </c>
      <c r="H9" s="537"/>
      <c r="I9" s="537"/>
      <c r="J9" s="539"/>
      <c r="K9" s="530"/>
      <c r="L9" s="530"/>
      <c r="M9" s="530"/>
      <c r="N9" s="530"/>
      <c r="O9" s="531"/>
      <c r="P9" s="531"/>
      <c r="Q9" s="549"/>
      <c r="R9" s="551"/>
    </row>
    <row r="10" spans="1:18" s="240" customFormat="1" ht="120.75" customHeight="1" thickBot="1">
      <c r="A10" s="234">
        <f t="shared" ref="A10:A20" si="0">$R$3</f>
        <v>170</v>
      </c>
      <c r="B10" s="235">
        <f t="shared" ref="B10:B20" si="1">$P$3</f>
        <v>90</v>
      </c>
      <c r="C10" s="300">
        <v>24</v>
      </c>
      <c r="D10" s="294" t="s">
        <v>340</v>
      </c>
      <c r="E10" s="300"/>
      <c r="F10" s="296" t="s">
        <v>195</v>
      </c>
      <c r="G10" s="296" t="s">
        <v>405</v>
      </c>
      <c r="H10" s="540" t="s">
        <v>366</v>
      </c>
      <c r="I10" s="541"/>
      <c r="J10" s="236"/>
      <c r="K10" s="304">
        <v>0.27260000000000001</v>
      </c>
      <c r="L10" s="302"/>
      <c r="M10" s="298">
        <v>50</v>
      </c>
      <c r="N10" s="298">
        <f>M10</f>
        <v>50</v>
      </c>
      <c r="O10" s="306">
        <f>IF(N10=0,"",N10/$R$3)</f>
        <v>0.29411764705882354</v>
      </c>
      <c r="P10" s="307">
        <f>IF(N10=0,"",3600/N10)</f>
        <v>72</v>
      </c>
      <c r="Q10" s="308">
        <f>3600/$P$3</f>
        <v>40</v>
      </c>
      <c r="R10" s="308">
        <f>+Q10</f>
        <v>40</v>
      </c>
    </row>
    <row r="11" spans="1:18" s="240" customFormat="1" ht="66" customHeight="1" thickBot="1">
      <c r="A11" s="234">
        <f t="shared" si="0"/>
        <v>170</v>
      </c>
      <c r="B11" s="235">
        <f t="shared" si="1"/>
        <v>90</v>
      </c>
      <c r="C11" s="300">
        <v>2</v>
      </c>
      <c r="D11" s="542" t="s">
        <v>341</v>
      </c>
      <c r="E11" s="300"/>
      <c r="F11" s="61" t="s">
        <v>142</v>
      </c>
      <c r="G11" s="61" t="s">
        <v>274</v>
      </c>
      <c r="H11" s="540" t="s">
        <v>228</v>
      </c>
      <c r="I11" s="541"/>
      <c r="J11" s="236"/>
      <c r="K11" s="236">
        <v>0.3548</v>
      </c>
      <c r="L11" s="301">
        <f>((K11*60)/0.75)+((K12*60)/0.75)</f>
        <v>69.096000000000004</v>
      </c>
      <c r="M11" s="237">
        <v>48</v>
      </c>
      <c r="N11" s="552">
        <f>M11+M12</f>
        <v>73</v>
      </c>
      <c r="O11" s="620">
        <f>IF(N11=0,"",N11/$R$3)</f>
        <v>0.42941176470588233</v>
      </c>
      <c r="P11" s="622">
        <f>IF(N11=0,"",3600/N11)</f>
        <v>49.315068493150683</v>
      </c>
      <c r="Q11" s="624">
        <f>3600/$P$3</f>
        <v>40</v>
      </c>
      <c r="R11" s="624">
        <f t="shared" ref="R11" si="2">+Q11</f>
        <v>40</v>
      </c>
    </row>
    <row r="12" spans="1:18" s="240" customFormat="1" ht="77.25" customHeight="1" thickBot="1">
      <c r="A12" s="234">
        <f t="shared" si="0"/>
        <v>170</v>
      </c>
      <c r="B12" s="235">
        <f t="shared" si="1"/>
        <v>90</v>
      </c>
      <c r="C12" s="300">
        <v>5</v>
      </c>
      <c r="D12" s="543"/>
      <c r="E12" s="300"/>
      <c r="F12" s="61" t="s">
        <v>148</v>
      </c>
      <c r="G12" s="61" t="s">
        <v>274</v>
      </c>
      <c r="H12" s="540" t="s">
        <v>231</v>
      </c>
      <c r="I12" s="541"/>
      <c r="J12" s="236"/>
      <c r="K12" s="236">
        <v>0.50890000000000002</v>
      </c>
      <c r="L12" s="302"/>
      <c r="M12" s="298">
        <v>25</v>
      </c>
      <c r="N12" s="553"/>
      <c r="O12" s="621"/>
      <c r="P12" s="623"/>
      <c r="Q12" s="625"/>
      <c r="R12" s="625"/>
    </row>
    <row r="13" spans="1:18" s="240" customFormat="1" ht="66" customHeight="1" thickBot="1">
      <c r="A13" s="234">
        <f t="shared" si="0"/>
        <v>170</v>
      </c>
      <c r="B13" s="235">
        <f t="shared" si="1"/>
        <v>90</v>
      </c>
      <c r="C13" s="300">
        <v>3</v>
      </c>
      <c r="D13" s="542" t="s">
        <v>342</v>
      </c>
      <c r="E13" s="300"/>
      <c r="F13" s="61" t="s">
        <v>57</v>
      </c>
      <c r="G13" s="61" t="s">
        <v>276</v>
      </c>
      <c r="H13" s="540" t="s">
        <v>229</v>
      </c>
      <c r="I13" s="541"/>
      <c r="J13" s="236"/>
      <c r="K13" s="236">
        <v>0.28799999999999998</v>
      </c>
      <c r="L13" s="301">
        <f>((K13*60)/0.75)+((K15*60)/0.75)+((K16*60)/0.75)</f>
        <v>69.263999999999996</v>
      </c>
      <c r="M13" s="297">
        <v>20</v>
      </c>
      <c r="N13" s="552">
        <f>M13+M14</f>
        <v>50</v>
      </c>
      <c r="O13" s="620">
        <f t="shared" ref="O13:O43" si="3">IF(N13=0,"",N13/$R$3)</f>
        <v>0.29411764705882354</v>
      </c>
      <c r="P13" s="622">
        <f t="shared" ref="P13:P43" si="4">IF(N13=0,"",3600/N13)</f>
        <v>72</v>
      </c>
      <c r="Q13" s="624">
        <f t="shared" ref="Q13:Q43" si="5">3600/$P$3</f>
        <v>40</v>
      </c>
      <c r="R13" s="624">
        <f t="shared" ref="R13:R43" si="6">+Q13</f>
        <v>40</v>
      </c>
    </row>
    <row r="14" spans="1:18" s="240" customFormat="1" ht="50.25" customHeight="1" thickBot="1">
      <c r="A14" s="234">
        <f t="shared" si="0"/>
        <v>170</v>
      </c>
      <c r="B14" s="235">
        <f t="shared" si="1"/>
        <v>90</v>
      </c>
      <c r="C14" s="300" t="s">
        <v>306</v>
      </c>
      <c r="D14" s="543"/>
      <c r="E14" s="300"/>
      <c r="F14" s="61" t="s">
        <v>317</v>
      </c>
      <c r="G14" s="61" t="s">
        <v>276</v>
      </c>
      <c r="H14" s="540" t="s">
        <v>300</v>
      </c>
      <c r="I14" s="541"/>
      <c r="J14" s="236"/>
      <c r="K14" s="236"/>
      <c r="L14" s="237">
        <f t="shared" ref="L14" si="7">((K14*60)/0.75)</f>
        <v>0</v>
      </c>
      <c r="M14" s="237">
        <v>30</v>
      </c>
      <c r="N14" s="553"/>
      <c r="O14" s="621"/>
      <c r="P14" s="623"/>
      <c r="Q14" s="625"/>
      <c r="R14" s="625"/>
    </row>
    <row r="15" spans="1:18" s="240" customFormat="1" ht="68.25" customHeight="1" thickBot="1">
      <c r="A15" s="234">
        <f t="shared" si="0"/>
        <v>170</v>
      </c>
      <c r="B15" s="235">
        <f t="shared" si="1"/>
        <v>90</v>
      </c>
      <c r="C15" s="300">
        <v>6</v>
      </c>
      <c r="D15" s="542" t="s">
        <v>343</v>
      </c>
      <c r="E15" s="300"/>
      <c r="F15" s="544" t="s">
        <v>52</v>
      </c>
      <c r="G15" s="544" t="s">
        <v>275</v>
      </c>
      <c r="H15" s="540" t="s">
        <v>232</v>
      </c>
      <c r="I15" s="541"/>
      <c r="J15" s="236"/>
      <c r="K15" s="236">
        <v>0.31369999999999998</v>
      </c>
      <c r="L15" s="303"/>
      <c r="M15" s="552">
        <v>60</v>
      </c>
      <c r="N15" s="552">
        <f t="shared" ref="N15:N43" si="8">M15</f>
        <v>60</v>
      </c>
      <c r="O15" s="620">
        <f t="shared" si="3"/>
        <v>0.35294117647058826</v>
      </c>
      <c r="P15" s="622">
        <f t="shared" si="4"/>
        <v>60</v>
      </c>
      <c r="Q15" s="624">
        <f t="shared" si="5"/>
        <v>40</v>
      </c>
      <c r="R15" s="624">
        <f t="shared" si="6"/>
        <v>40</v>
      </c>
    </row>
    <row r="16" spans="1:18" s="240" customFormat="1" ht="58.5" customHeight="1" thickBot="1">
      <c r="A16" s="234">
        <f t="shared" si="0"/>
        <v>170</v>
      </c>
      <c r="B16" s="235">
        <f t="shared" si="1"/>
        <v>90</v>
      </c>
      <c r="C16" s="300" t="s">
        <v>320</v>
      </c>
      <c r="D16" s="543"/>
      <c r="E16" s="300"/>
      <c r="F16" s="545"/>
      <c r="G16" s="545"/>
      <c r="H16" s="540" t="s">
        <v>305</v>
      </c>
      <c r="I16" s="541"/>
      <c r="J16" s="236"/>
      <c r="K16" s="236">
        <f>0.7923*1/3</f>
        <v>0.2641</v>
      </c>
      <c r="L16" s="302"/>
      <c r="M16" s="553"/>
      <c r="N16" s="553"/>
      <c r="O16" s="621"/>
      <c r="P16" s="623"/>
      <c r="Q16" s="625"/>
      <c r="R16" s="625"/>
    </row>
    <row r="17" spans="1:18" s="240" customFormat="1" ht="50.25" customHeight="1" thickBot="1">
      <c r="A17" s="234">
        <f t="shared" si="0"/>
        <v>170</v>
      </c>
      <c r="B17" s="235">
        <f t="shared" si="1"/>
        <v>90</v>
      </c>
      <c r="C17" s="300" t="s">
        <v>306</v>
      </c>
      <c r="D17" s="542" t="s">
        <v>344</v>
      </c>
      <c r="E17" s="300"/>
      <c r="F17" s="544" t="s">
        <v>142</v>
      </c>
      <c r="G17" s="544" t="s">
        <v>274</v>
      </c>
      <c r="H17" s="540" t="s">
        <v>299</v>
      </c>
      <c r="I17" s="541"/>
      <c r="J17" s="236"/>
      <c r="K17" s="236"/>
      <c r="L17" s="237">
        <f t="shared" ref="L17:L40" si="9">((K17*60)/0.75)</f>
        <v>0</v>
      </c>
      <c r="M17" s="237">
        <v>50</v>
      </c>
      <c r="N17" s="552">
        <f>M17+M18</f>
        <v>70</v>
      </c>
      <c r="O17" s="620">
        <f t="shared" si="3"/>
        <v>0.41176470588235292</v>
      </c>
      <c r="P17" s="622">
        <f t="shared" si="4"/>
        <v>51.428571428571431</v>
      </c>
      <c r="Q17" s="624">
        <f t="shared" si="5"/>
        <v>40</v>
      </c>
      <c r="R17" s="624">
        <f t="shared" si="6"/>
        <v>40</v>
      </c>
    </row>
    <row r="18" spans="1:18" s="240" customFormat="1" ht="53.25" customHeight="1" thickBot="1">
      <c r="A18" s="234">
        <f t="shared" si="0"/>
        <v>170</v>
      </c>
      <c r="B18" s="235">
        <f t="shared" si="1"/>
        <v>90</v>
      </c>
      <c r="C18" s="300" t="s">
        <v>306</v>
      </c>
      <c r="D18" s="543"/>
      <c r="E18" s="300"/>
      <c r="F18" s="545"/>
      <c r="G18" s="545"/>
      <c r="H18" s="540" t="s">
        <v>367</v>
      </c>
      <c r="I18" s="541"/>
      <c r="J18" s="236"/>
      <c r="K18" s="236"/>
      <c r="L18" s="237">
        <f t="shared" ref="L18" si="10">((K18*60)/0.75)</f>
        <v>0</v>
      </c>
      <c r="M18" s="237">
        <v>20</v>
      </c>
      <c r="N18" s="553"/>
      <c r="O18" s="621"/>
      <c r="P18" s="623"/>
      <c r="Q18" s="625"/>
      <c r="R18" s="625"/>
    </row>
    <row r="19" spans="1:18" s="240" customFormat="1" ht="50.25" customHeight="1" thickBot="1">
      <c r="A19" s="234">
        <f t="shared" si="0"/>
        <v>170</v>
      </c>
      <c r="B19" s="235">
        <f t="shared" si="1"/>
        <v>90</v>
      </c>
      <c r="C19" s="300" t="s">
        <v>306</v>
      </c>
      <c r="D19" s="293" t="s">
        <v>345</v>
      </c>
      <c r="E19" s="300"/>
      <c r="F19" s="61" t="s">
        <v>301</v>
      </c>
      <c r="G19" s="61" t="s">
        <v>275</v>
      </c>
      <c r="H19" s="540" t="s">
        <v>302</v>
      </c>
      <c r="I19" s="541"/>
      <c r="J19" s="236"/>
      <c r="K19" s="236"/>
      <c r="L19" s="237">
        <f t="shared" si="9"/>
        <v>0</v>
      </c>
      <c r="M19" s="237">
        <v>170</v>
      </c>
      <c r="N19" s="298">
        <f t="shared" si="8"/>
        <v>170</v>
      </c>
      <c r="O19" s="306">
        <f t="shared" si="3"/>
        <v>1</v>
      </c>
      <c r="P19" s="307">
        <f t="shared" si="4"/>
        <v>21.176470588235293</v>
      </c>
      <c r="Q19" s="308">
        <f t="shared" si="5"/>
        <v>40</v>
      </c>
      <c r="R19" s="308">
        <f t="shared" si="6"/>
        <v>40</v>
      </c>
    </row>
    <row r="20" spans="1:18" s="240" customFormat="1" ht="53.25" customHeight="1" thickBot="1">
      <c r="A20" s="234">
        <f t="shared" si="0"/>
        <v>170</v>
      </c>
      <c r="B20" s="235">
        <f t="shared" si="1"/>
        <v>90</v>
      </c>
      <c r="C20" s="300" t="s">
        <v>306</v>
      </c>
      <c r="D20" s="293" t="s">
        <v>346</v>
      </c>
      <c r="E20" s="300"/>
      <c r="F20" s="61" t="s">
        <v>301</v>
      </c>
      <c r="G20" s="61" t="s">
        <v>275</v>
      </c>
      <c r="H20" s="540" t="s">
        <v>303</v>
      </c>
      <c r="I20" s="541"/>
      <c r="J20" s="236"/>
      <c r="K20" s="236"/>
      <c r="L20" s="237">
        <f t="shared" si="9"/>
        <v>0</v>
      </c>
      <c r="M20" s="237">
        <v>80</v>
      </c>
      <c r="N20" s="298">
        <f t="shared" si="8"/>
        <v>80</v>
      </c>
      <c r="O20" s="306">
        <f t="shared" si="3"/>
        <v>0.47058823529411764</v>
      </c>
      <c r="P20" s="307">
        <f t="shared" si="4"/>
        <v>45</v>
      </c>
      <c r="Q20" s="308">
        <f t="shared" si="5"/>
        <v>40</v>
      </c>
      <c r="R20" s="308">
        <f t="shared" si="6"/>
        <v>40</v>
      </c>
    </row>
    <row r="21" spans="1:18" s="240" customFormat="1" ht="54" customHeight="1" thickBot="1">
      <c r="A21" s="234"/>
      <c r="B21" s="235"/>
      <c r="C21" s="300" t="s">
        <v>306</v>
      </c>
      <c r="D21" s="293" t="s">
        <v>347</v>
      </c>
      <c r="E21" s="300"/>
      <c r="F21" s="295" t="s">
        <v>52</v>
      </c>
      <c r="G21" s="295" t="s">
        <v>297</v>
      </c>
      <c r="H21" s="540" t="s">
        <v>298</v>
      </c>
      <c r="I21" s="541"/>
      <c r="J21" s="236"/>
      <c r="K21" s="257"/>
      <c r="L21" s="237">
        <f t="shared" si="9"/>
        <v>0</v>
      </c>
      <c r="M21" s="237">
        <v>80</v>
      </c>
      <c r="N21" s="298">
        <f t="shared" si="8"/>
        <v>80</v>
      </c>
      <c r="O21" s="306">
        <f t="shared" si="3"/>
        <v>0.47058823529411764</v>
      </c>
      <c r="P21" s="307">
        <f t="shared" si="4"/>
        <v>45</v>
      </c>
      <c r="Q21" s="308">
        <f t="shared" si="5"/>
        <v>40</v>
      </c>
      <c r="R21" s="308">
        <f t="shared" si="6"/>
        <v>40</v>
      </c>
    </row>
    <row r="22" spans="1:18" s="240" customFormat="1" ht="68.25" customHeight="1" thickBot="1">
      <c r="A22" s="234">
        <f t="shared" ref="A22:A44" si="11">$R$3</f>
        <v>170</v>
      </c>
      <c r="B22" s="235">
        <f t="shared" ref="B22:B44" si="12">$P$3</f>
        <v>90</v>
      </c>
      <c r="C22" s="300">
        <v>27</v>
      </c>
      <c r="D22" s="542" t="s">
        <v>348</v>
      </c>
      <c r="E22" s="300"/>
      <c r="F22" s="61" t="s">
        <v>142</v>
      </c>
      <c r="G22" s="61" t="s">
        <v>274</v>
      </c>
      <c r="H22" s="540" t="s">
        <v>240</v>
      </c>
      <c r="I22" s="541"/>
      <c r="J22" s="236"/>
      <c r="K22" s="236">
        <v>0.51839999999999997</v>
      </c>
      <c r="L22" s="301">
        <f>((K22*60)/0.75)+((K23*60)/0.75)</f>
        <v>72.75200000000001</v>
      </c>
      <c r="M22" s="237">
        <v>30</v>
      </c>
      <c r="N22" s="552">
        <f>M22+M23</f>
        <v>50</v>
      </c>
      <c r="O22" s="620">
        <f t="shared" si="3"/>
        <v>0.29411764705882354</v>
      </c>
      <c r="P22" s="622">
        <f t="shared" si="4"/>
        <v>72</v>
      </c>
      <c r="Q22" s="624">
        <f t="shared" si="5"/>
        <v>40</v>
      </c>
      <c r="R22" s="624">
        <f t="shared" si="6"/>
        <v>40</v>
      </c>
    </row>
    <row r="23" spans="1:18" s="240" customFormat="1" ht="60" customHeight="1" thickBot="1">
      <c r="A23" s="234">
        <f t="shared" si="11"/>
        <v>170</v>
      </c>
      <c r="B23" s="235">
        <f t="shared" si="12"/>
        <v>90</v>
      </c>
      <c r="C23" s="300">
        <v>28</v>
      </c>
      <c r="D23" s="543"/>
      <c r="E23" s="300"/>
      <c r="F23" s="61" t="s">
        <v>166</v>
      </c>
      <c r="G23" s="61" t="s">
        <v>277</v>
      </c>
      <c r="H23" s="540" t="s">
        <v>241</v>
      </c>
      <c r="I23" s="541"/>
      <c r="J23" s="236"/>
      <c r="K23" s="236">
        <v>0.39100000000000001</v>
      </c>
      <c r="L23" s="302"/>
      <c r="M23" s="237">
        <v>20</v>
      </c>
      <c r="N23" s="553"/>
      <c r="O23" s="621"/>
      <c r="P23" s="623"/>
      <c r="Q23" s="625"/>
      <c r="R23" s="625"/>
    </row>
    <row r="24" spans="1:18" s="240" customFormat="1" ht="93.75" customHeight="1" thickBot="1">
      <c r="A24" s="234">
        <f t="shared" si="11"/>
        <v>170</v>
      </c>
      <c r="B24" s="235">
        <f t="shared" si="12"/>
        <v>90</v>
      </c>
      <c r="C24" s="300">
        <v>29</v>
      </c>
      <c r="D24" s="300" t="s">
        <v>349</v>
      </c>
      <c r="E24" s="300"/>
      <c r="F24" s="61" t="s">
        <v>142</v>
      </c>
      <c r="G24" s="61" t="s">
        <v>274</v>
      </c>
      <c r="H24" s="540" t="s">
        <v>242</v>
      </c>
      <c r="I24" s="541"/>
      <c r="J24" s="236"/>
      <c r="K24" s="236">
        <v>0.69330000000000003</v>
      </c>
      <c r="L24" s="237">
        <f t="shared" si="9"/>
        <v>55.463999999999999</v>
      </c>
      <c r="M24" s="237">
        <v>90</v>
      </c>
      <c r="N24" s="298">
        <f t="shared" si="8"/>
        <v>90</v>
      </c>
      <c r="O24" s="306">
        <f t="shared" si="3"/>
        <v>0.52941176470588236</v>
      </c>
      <c r="P24" s="307">
        <f t="shared" si="4"/>
        <v>40</v>
      </c>
      <c r="Q24" s="308">
        <f t="shared" si="5"/>
        <v>40</v>
      </c>
      <c r="R24" s="308">
        <f t="shared" si="6"/>
        <v>40</v>
      </c>
    </row>
    <row r="25" spans="1:18" s="240" customFormat="1" ht="96.75" customHeight="1" thickBot="1">
      <c r="A25" s="234">
        <f t="shared" si="11"/>
        <v>170</v>
      </c>
      <c r="B25" s="235">
        <f t="shared" si="12"/>
        <v>90</v>
      </c>
      <c r="C25" s="300">
        <v>30</v>
      </c>
      <c r="D25" s="300" t="s">
        <v>341</v>
      </c>
      <c r="E25" s="300"/>
      <c r="F25" s="61" t="s">
        <v>52</v>
      </c>
      <c r="G25" s="61" t="s">
        <v>275</v>
      </c>
      <c r="H25" s="540" t="s">
        <v>243</v>
      </c>
      <c r="I25" s="541"/>
      <c r="J25" s="236"/>
      <c r="K25" s="236">
        <v>0.50029999999999997</v>
      </c>
      <c r="L25" s="237">
        <f t="shared" si="9"/>
        <v>40.023999999999994</v>
      </c>
      <c r="M25" s="237">
        <v>55</v>
      </c>
      <c r="N25" s="298">
        <f t="shared" si="8"/>
        <v>55</v>
      </c>
      <c r="O25" s="306">
        <f t="shared" si="3"/>
        <v>0.3235294117647059</v>
      </c>
      <c r="P25" s="307">
        <f t="shared" si="4"/>
        <v>65.454545454545453</v>
      </c>
      <c r="Q25" s="308">
        <f t="shared" si="5"/>
        <v>40</v>
      </c>
      <c r="R25" s="308">
        <f t="shared" si="6"/>
        <v>40</v>
      </c>
    </row>
    <row r="26" spans="1:18" s="240" customFormat="1" ht="117" customHeight="1" thickBot="1">
      <c r="A26" s="234">
        <f t="shared" si="11"/>
        <v>170</v>
      </c>
      <c r="B26" s="235">
        <f t="shared" si="12"/>
        <v>90</v>
      </c>
      <c r="C26" s="300" t="s">
        <v>290</v>
      </c>
      <c r="D26" s="300" t="s">
        <v>350</v>
      </c>
      <c r="E26" s="300"/>
      <c r="F26" s="61" t="s">
        <v>52</v>
      </c>
      <c r="G26" s="61" t="s">
        <v>275</v>
      </c>
      <c r="H26" s="540" t="s">
        <v>292</v>
      </c>
      <c r="I26" s="541"/>
      <c r="J26" s="236"/>
      <c r="K26" s="257">
        <f>1.9469/2</f>
        <v>0.97345000000000004</v>
      </c>
      <c r="L26" s="237">
        <f t="shared" si="9"/>
        <v>77.876000000000005</v>
      </c>
      <c r="M26" s="237">
        <v>86</v>
      </c>
      <c r="N26" s="298">
        <f t="shared" si="8"/>
        <v>86</v>
      </c>
      <c r="O26" s="306">
        <f t="shared" si="3"/>
        <v>0.50588235294117645</v>
      </c>
      <c r="P26" s="307">
        <f t="shared" si="4"/>
        <v>41.860465116279073</v>
      </c>
      <c r="Q26" s="308">
        <f t="shared" si="5"/>
        <v>40</v>
      </c>
      <c r="R26" s="308">
        <f t="shared" si="6"/>
        <v>40</v>
      </c>
    </row>
    <row r="27" spans="1:18" s="240" customFormat="1" ht="71.25" customHeight="1" thickBot="1">
      <c r="A27" s="234">
        <f t="shared" si="11"/>
        <v>170</v>
      </c>
      <c r="B27" s="235">
        <f t="shared" si="12"/>
        <v>90</v>
      </c>
      <c r="C27" s="300">
        <v>32</v>
      </c>
      <c r="D27" s="300" t="s">
        <v>351</v>
      </c>
      <c r="E27" s="300"/>
      <c r="F27" s="61" t="s">
        <v>52</v>
      </c>
      <c r="G27" s="61" t="s">
        <v>275</v>
      </c>
      <c r="H27" s="540" t="s">
        <v>245</v>
      </c>
      <c r="I27" s="541"/>
      <c r="J27" s="236"/>
      <c r="K27" s="236">
        <v>0.57050000000000001</v>
      </c>
      <c r="L27" s="237">
        <f t="shared" si="9"/>
        <v>45.640000000000008</v>
      </c>
      <c r="M27" s="237">
        <v>80</v>
      </c>
      <c r="N27" s="298">
        <f t="shared" si="8"/>
        <v>80</v>
      </c>
      <c r="O27" s="306">
        <f t="shared" si="3"/>
        <v>0.47058823529411764</v>
      </c>
      <c r="P27" s="307">
        <f t="shared" si="4"/>
        <v>45</v>
      </c>
      <c r="Q27" s="308">
        <f t="shared" si="5"/>
        <v>40</v>
      </c>
      <c r="R27" s="308">
        <f t="shared" si="6"/>
        <v>40</v>
      </c>
    </row>
    <row r="28" spans="1:18" s="240" customFormat="1" ht="171" customHeight="1" thickBot="1">
      <c r="A28" s="234">
        <f t="shared" si="11"/>
        <v>170</v>
      </c>
      <c r="B28" s="235">
        <f t="shared" si="12"/>
        <v>90</v>
      </c>
      <c r="C28" s="300">
        <v>33</v>
      </c>
      <c r="D28" s="542" t="s">
        <v>352</v>
      </c>
      <c r="E28" s="300"/>
      <c r="F28" s="61" t="s">
        <v>57</v>
      </c>
      <c r="G28" s="61" t="s">
        <v>285</v>
      </c>
      <c r="H28" s="540" t="s">
        <v>368</v>
      </c>
      <c r="I28" s="541"/>
      <c r="J28" s="236"/>
      <c r="K28" s="236">
        <v>0.83320000000000005</v>
      </c>
      <c r="L28" s="237">
        <f t="shared" si="9"/>
        <v>66.656000000000006</v>
      </c>
      <c r="M28" s="237">
        <v>70</v>
      </c>
      <c r="N28" s="552">
        <f>M28+M29</f>
        <v>90</v>
      </c>
      <c r="O28" s="620">
        <f t="shared" si="3"/>
        <v>0.52941176470588236</v>
      </c>
      <c r="P28" s="622">
        <f t="shared" si="4"/>
        <v>40</v>
      </c>
      <c r="Q28" s="624">
        <f t="shared" si="5"/>
        <v>40</v>
      </c>
      <c r="R28" s="624">
        <f t="shared" si="6"/>
        <v>40</v>
      </c>
    </row>
    <row r="29" spans="1:18" s="240" customFormat="1" ht="69" customHeight="1" thickBot="1">
      <c r="A29" s="234">
        <f t="shared" si="11"/>
        <v>170</v>
      </c>
      <c r="B29" s="235">
        <f t="shared" si="12"/>
        <v>90</v>
      </c>
      <c r="C29" s="300">
        <v>34</v>
      </c>
      <c r="D29" s="543"/>
      <c r="E29" s="300"/>
      <c r="F29" s="61" t="s">
        <v>52</v>
      </c>
      <c r="G29" s="61" t="s">
        <v>275</v>
      </c>
      <c r="H29" s="540" t="s">
        <v>321</v>
      </c>
      <c r="I29" s="541"/>
      <c r="J29" s="236"/>
      <c r="K29" s="236">
        <v>0.35410000000000003</v>
      </c>
      <c r="L29" s="301">
        <f>((K29*60)/0.75)+((K30*60)/0.75)</f>
        <v>56.040000000000006</v>
      </c>
      <c r="M29" s="297">
        <v>20</v>
      </c>
      <c r="N29" s="553"/>
      <c r="O29" s="621"/>
      <c r="P29" s="623"/>
      <c r="Q29" s="625"/>
      <c r="R29" s="625"/>
    </row>
    <row r="30" spans="1:18" s="240" customFormat="1" ht="68.25" customHeight="1" thickBot="1">
      <c r="A30" s="234">
        <f t="shared" si="11"/>
        <v>170</v>
      </c>
      <c r="B30" s="235">
        <f t="shared" si="12"/>
        <v>90</v>
      </c>
      <c r="C30" s="300">
        <v>35</v>
      </c>
      <c r="D30" s="300" t="s">
        <v>340</v>
      </c>
      <c r="E30" s="300"/>
      <c r="F30" s="61" t="s">
        <v>52</v>
      </c>
      <c r="G30" s="61" t="s">
        <v>275</v>
      </c>
      <c r="H30" s="540" t="s">
        <v>248</v>
      </c>
      <c r="I30" s="541"/>
      <c r="J30" s="236"/>
      <c r="K30" s="236">
        <v>0.34639999999999999</v>
      </c>
      <c r="L30" s="237">
        <f t="shared" si="9"/>
        <v>27.712</v>
      </c>
      <c r="M30" s="237">
        <v>85</v>
      </c>
      <c r="N30" s="298">
        <f>M30</f>
        <v>85</v>
      </c>
      <c r="O30" s="306">
        <f t="shared" si="3"/>
        <v>0.5</v>
      </c>
      <c r="P30" s="307">
        <f t="shared" si="4"/>
        <v>42.352941176470587</v>
      </c>
      <c r="Q30" s="308">
        <f t="shared" si="5"/>
        <v>40</v>
      </c>
      <c r="R30" s="308">
        <f t="shared" si="6"/>
        <v>40</v>
      </c>
    </row>
    <row r="31" spans="1:18" s="240" customFormat="1" ht="72.75" customHeight="1" thickBot="1">
      <c r="A31" s="234">
        <f t="shared" si="11"/>
        <v>170</v>
      </c>
      <c r="B31" s="235">
        <f t="shared" si="12"/>
        <v>90</v>
      </c>
      <c r="C31" s="300">
        <v>36</v>
      </c>
      <c r="D31" s="300" t="s">
        <v>353</v>
      </c>
      <c r="E31" s="300"/>
      <c r="F31" s="61" t="s">
        <v>52</v>
      </c>
      <c r="G31" s="61" t="s">
        <v>275</v>
      </c>
      <c r="H31" s="540" t="s">
        <v>249</v>
      </c>
      <c r="I31" s="541"/>
      <c r="J31" s="236"/>
      <c r="K31" s="236">
        <v>0.68920000000000003</v>
      </c>
      <c r="L31" s="237">
        <f t="shared" si="9"/>
        <v>55.136000000000003</v>
      </c>
      <c r="M31" s="237">
        <v>70</v>
      </c>
      <c r="N31" s="298">
        <f t="shared" si="8"/>
        <v>70</v>
      </c>
      <c r="O31" s="306">
        <f t="shared" si="3"/>
        <v>0.41176470588235292</v>
      </c>
      <c r="P31" s="307">
        <f t="shared" si="4"/>
        <v>51.428571428571431</v>
      </c>
      <c r="Q31" s="308">
        <f t="shared" si="5"/>
        <v>40</v>
      </c>
      <c r="R31" s="308">
        <f t="shared" si="6"/>
        <v>40</v>
      </c>
    </row>
    <row r="32" spans="1:18" s="240" customFormat="1" ht="69" customHeight="1" thickBot="1">
      <c r="A32" s="234">
        <f t="shared" si="11"/>
        <v>170</v>
      </c>
      <c r="B32" s="235">
        <f t="shared" si="12"/>
        <v>90</v>
      </c>
      <c r="C32" s="300">
        <v>37</v>
      </c>
      <c r="D32" s="294" t="s">
        <v>354</v>
      </c>
      <c r="E32" s="300"/>
      <c r="F32" s="296" t="s">
        <v>52</v>
      </c>
      <c r="G32" s="296" t="s">
        <v>275</v>
      </c>
      <c r="H32" s="540" t="s">
        <v>250</v>
      </c>
      <c r="I32" s="541"/>
      <c r="J32" s="236"/>
      <c r="K32" s="236">
        <v>0.7288</v>
      </c>
      <c r="L32" s="302"/>
      <c r="M32" s="298">
        <v>73</v>
      </c>
      <c r="N32" s="298">
        <f t="shared" si="8"/>
        <v>73</v>
      </c>
      <c r="O32" s="306">
        <f t="shared" si="3"/>
        <v>0.42941176470588233</v>
      </c>
      <c r="P32" s="307">
        <f t="shared" si="4"/>
        <v>49.315068493150683</v>
      </c>
      <c r="Q32" s="308">
        <f t="shared" si="5"/>
        <v>40</v>
      </c>
      <c r="R32" s="308">
        <f t="shared" si="6"/>
        <v>40</v>
      </c>
    </row>
    <row r="33" spans="1:18" s="240" customFormat="1" ht="79.5" customHeight="1" thickBot="1">
      <c r="A33" s="234">
        <f t="shared" si="11"/>
        <v>170</v>
      </c>
      <c r="B33" s="235">
        <f t="shared" si="12"/>
        <v>90</v>
      </c>
      <c r="C33" s="300">
        <v>22</v>
      </c>
      <c r="D33" s="300" t="s">
        <v>355</v>
      </c>
      <c r="E33" s="300"/>
      <c r="F33" s="61" t="s">
        <v>166</v>
      </c>
      <c r="G33" s="61" t="s">
        <v>277</v>
      </c>
      <c r="H33" s="540" t="s">
        <v>262</v>
      </c>
      <c r="I33" s="541"/>
      <c r="J33" s="236"/>
      <c r="K33" s="236">
        <v>0.78939999999999999</v>
      </c>
      <c r="L33" s="237">
        <f t="shared" si="9"/>
        <v>63.151999999999994</v>
      </c>
      <c r="M33" s="237">
        <v>80</v>
      </c>
      <c r="N33" s="298">
        <f t="shared" si="8"/>
        <v>80</v>
      </c>
      <c r="O33" s="306">
        <f t="shared" si="3"/>
        <v>0.47058823529411764</v>
      </c>
      <c r="P33" s="307">
        <f t="shared" si="4"/>
        <v>45</v>
      </c>
      <c r="Q33" s="308">
        <f t="shared" si="5"/>
        <v>40</v>
      </c>
      <c r="R33" s="308">
        <f t="shared" si="6"/>
        <v>40</v>
      </c>
    </row>
    <row r="34" spans="1:18" s="240" customFormat="1" ht="78" customHeight="1" thickBot="1">
      <c r="A34" s="234">
        <f t="shared" si="11"/>
        <v>170</v>
      </c>
      <c r="B34" s="235">
        <f t="shared" si="12"/>
        <v>90</v>
      </c>
      <c r="C34" s="300">
        <v>25</v>
      </c>
      <c r="D34" s="300" t="s">
        <v>356</v>
      </c>
      <c r="E34" s="300"/>
      <c r="F34" s="61" t="s">
        <v>166</v>
      </c>
      <c r="G34" s="61" t="s">
        <v>277</v>
      </c>
      <c r="H34" s="540" t="s">
        <v>263</v>
      </c>
      <c r="I34" s="541"/>
      <c r="J34" s="236"/>
      <c r="K34" s="236">
        <v>0.72440000000000004</v>
      </c>
      <c r="L34" s="237">
        <f t="shared" si="9"/>
        <v>57.952000000000005</v>
      </c>
      <c r="M34" s="237">
        <v>70</v>
      </c>
      <c r="N34" s="298">
        <f t="shared" si="8"/>
        <v>70</v>
      </c>
      <c r="O34" s="306">
        <f t="shared" si="3"/>
        <v>0.41176470588235292</v>
      </c>
      <c r="P34" s="307">
        <f t="shared" si="4"/>
        <v>51.428571428571431</v>
      </c>
      <c r="Q34" s="308">
        <f t="shared" si="5"/>
        <v>40</v>
      </c>
      <c r="R34" s="308">
        <f t="shared" si="6"/>
        <v>40</v>
      </c>
    </row>
    <row r="35" spans="1:18" s="240" customFormat="1" ht="69" customHeight="1" thickBot="1">
      <c r="A35" s="234">
        <f t="shared" si="11"/>
        <v>170</v>
      </c>
      <c r="B35" s="235">
        <f t="shared" si="12"/>
        <v>90</v>
      </c>
      <c r="C35" s="300">
        <v>26</v>
      </c>
      <c r="D35" s="300" t="s">
        <v>357</v>
      </c>
      <c r="E35" s="300"/>
      <c r="F35" s="61" t="s">
        <v>166</v>
      </c>
      <c r="G35" s="61" t="s">
        <v>277</v>
      </c>
      <c r="H35" s="540" t="s">
        <v>239</v>
      </c>
      <c r="I35" s="541"/>
      <c r="J35" s="236"/>
      <c r="K35" s="236">
        <v>0.9002</v>
      </c>
      <c r="L35" s="237">
        <f t="shared" si="9"/>
        <v>72.016000000000005</v>
      </c>
      <c r="M35" s="237">
        <v>130</v>
      </c>
      <c r="N35" s="298">
        <f t="shared" si="8"/>
        <v>130</v>
      </c>
      <c r="O35" s="306">
        <f t="shared" si="3"/>
        <v>0.76470588235294112</v>
      </c>
      <c r="P35" s="307">
        <f t="shared" si="4"/>
        <v>27.692307692307693</v>
      </c>
      <c r="Q35" s="308">
        <f t="shared" si="5"/>
        <v>40</v>
      </c>
      <c r="R35" s="308">
        <f t="shared" si="6"/>
        <v>40</v>
      </c>
    </row>
    <row r="36" spans="1:18" s="240" customFormat="1" ht="70.5" customHeight="1" thickBot="1">
      <c r="A36" s="234">
        <f t="shared" si="11"/>
        <v>170</v>
      </c>
      <c r="B36" s="235">
        <f t="shared" si="12"/>
        <v>90</v>
      </c>
      <c r="C36" s="300">
        <v>38</v>
      </c>
      <c r="D36" s="300" t="s">
        <v>341</v>
      </c>
      <c r="E36" s="300"/>
      <c r="F36" s="61" t="s">
        <v>166</v>
      </c>
      <c r="G36" s="61" t="s">
        <v>277</v>
      </c>
      <c r="H36" s="540" t="s">
        <v>252</v>
      </c>
      <c r="I36" s="541"/>
      <c r="J36" s="236"/>
      <c r="K36" s="236">
        <v>1.3359000000000001</v>
      </c>
      <c r="L36" s="237">
        <f t="shared" si="9"/>
        <v>106.87200000000001</v>
      </c>
      <c r="M36" s="237">
        <v>130</v>
      </c>
      <c r="N36" s="298">
        <f t="shared" si="8"/>
        <v>130</v>
      </c>
      <c r="O36" s="306">
        <f t="shared" si="3"/>
        <v>0.76470588235294112</v>
      </c>
      <c r="P36" s="307">
        <f t="shared" si="4"/>
        <v>27.692307692307693</v>
      </c>
      <c r="Q36" s="308">
        <f t="shared" si="5"/>
        <v>40</v>
      </c>
      <c r="R36" s="308">
        <f t="shared" si="6"/>
        <v>40</v>
      </c>
    </row>
    <row r="37" spans="1:18" s="240" customFormat="1" ht="70.5" customHeight="1" thickBot="1">
      <c r="A37" s="234">
        <f t="shared" si="11"/>
        <v>170</v>
      </c>
      <c r="B37" s="235">
        <f t="shared" si="12"/>
        <v>90</v>
      </c>
      <c r="C37" s="300">
        <v>39</v>
      </c>
      <c r="D37" s="300" t="s">
        <v>358</v>
      </c>
      <c r="E37" s="300"/>
      <c r="F37" s="61" t="s">
        <v>166</v>
      </c>
      <c r="G37" s="61" t="s">
        <v>277</v>
      </c>
      <c r="H37" s="540" t="s">
        <v>251</v>
      </c>
      <c r="I37" s="541"/>
      <c r="J37" s="236"/>
      <c r="K37" s="236">
        <v>1.847</v>
      </c>
      <c r="L37" s="237">
        <f>((K37*60)/0.75)/2</f>
        <v>73.88</v>
      </c>
      <c r="M37" s="237">
        <v>110</v>
      </c>
      <c r="N37" s="298">
        <f t="shared" si="8"/>
        <v>110</v>
      </c>
      <c r="O37" s="306">
        <f t="shared" si="3"/>
        <v>0.6470588235294118</v>
      </c>
      <c r="P37" s="307">
        <f t="shared" si="4"/>
        <v>32.727272727272727</v>
      </c>
      <c r="Q37" s="308">
        <f t="shared" si="5"/>
        <v>40</v>
      </c>
      <c r="R37" s="308">
        <f t="shared" si="6"/>
        <v>40</v>
      </c>
    </row>
    <row r="38" spans="1:18" s="240" customFormat="1" ht="70.5" customHeight="1" thickBot="1">
      <c r="A38" s="234">
        <f t="shared" si="11"/>
        <v>170</v>
      </c>
      <c r="B38" s="235">
        <f t="shared" si="12"/>
        <v>90</v>
      </c>
      <c r="C38" s="300">
        <v>39</v>
      </c>
      <c r="D38" s="300" t="s">
        <v>359</v>
      </c>
      <c r="E38" s="300"/>
      <c r="F38" s="61" t="s">
        <v>166</v>
      </c>
      <c r="G38" s="61" t="s">
        <v>277</v>
      </c>
      <c r="H38" s="540" t="s">
        <v>251</v>
      </c>
      <c r="I38" s="541"/>
      <c r="J38" s="236"/>
      <c r="K38" s="236">
        <v>1.847</v>
      </c>
      <c r="L38" s="237">
        <f>((K38*60)/0.75)/2</f>
        <v>73.88</v>
      </c>
      <c r="M38" s="237">
        <v>110</v>
      </c>
      <c r="N38" s="298">
        <f t="shared" si="8"/>
        <v>110</v>
      </c>
      <c r="O38" s="306">
        <f t="shared" si="3"/>
        <v>0.6470588235294118</v>
      </c>
      <c r="P38" s="307">
        <f t="shared" si="4"/>
        <v>32.727272727272727</v>
      </c>
      <c r="Q38" s="308">
        <f t="shared" si="5"/>
        <v>40</v>
      </c>
      <c r="R38" s="308">
        <f t="shared" si="6"/>
        <v>40</v>
      </c>
    </row>
    <row r="39" spans="1:18" s="240" customFormat="1" ht="57.75" customHeight="1" thickBot="1">
      <c r="A39" s="234">
        <f t="shared" si="11"/>
        <v>170</v>
      </c>
      <c r="B39" s="235">
        <f t="shared" si="12"/>
        <v>90</v>
      </c>
      <c r="C39" s="300">
        <v>40</v>
      </c>
      <c r="D39" s="300" t="s">
        <v>360</v>
      </c>
      <c r="E39" s="300"/>
      <c r="F39" s="61" t="s">
        <v>142</v>
      </c>
      <c r="G39" s="61" t="s">
        <v>276</v>
      </c>
      <c r="H39" s="540" t="s">
        <v>253</v>
      </c>
      <c r="I39" s="541"/>
      <c r="J39" s="236"/>
      <c r="K39" s="236">
        <v>0.79549999999999998</v>
      </c>
      <c r="L39" s="237">
        <f t="shared" si="9"/>
        <v>63.639999999999993</v>
      </c>
      <c r="M39" s="237">
        <v>80</v>
      </c>
      <c r="N39" s="298">
        <f t="shared" si="8"/>
        <v>80</v>
      </c>
      <c r="O39" s="306">
        <f t="shared" si="3"/>
        <v>0.47058823529411764</v>
      </c>
      <c r="P39" s="307">
        <f t="shared" si="4"/>
        <v>45</v>
      </c>
      <c r="Q39" s="308">
        <f t="shared" si="5"/>
        <v>40</v>
      </c>
      <c r="R39" s="308">
        <f t="shared" si="6"/>
        <v>40</v>
      </c>
    </row>
    <row r="40" spans="1:18" s="240" customFormat="1" ht="81" customHeight="1" thickBot="1">
      <c r="A40" s="234">
        <f t="shared" si="11"/>
        <v>170</v>
      </c>
      <c r="B40" s="235">
        <f t="shared" si="12"/>
        <v>90</v>
      </c>
      <c r="C40" s="300">
        <v>41</v>
      </c>
      <c r="D40" s="300" t="s">
        <v>361</v>
      </c>
      <c r="E40" s="300"/>
      <c r="F40" s="61" t="s">
        <v>189</v>
      </c>
      <c r="G40" s="61" t="s">
        <v>278</v>
      </c>
      <c r="H40" s="540" t="s">
        <v>282</v>
      </c>
      <c r="I40" s="541"/>
      <c r="J40" s="236"/>
      <c r="K40" s="236">
        <v>0.7036</v>
      </c>
      <c r="L40" s="237">
        <f t="shared" si="9"/>
        <v>56.288000000000004</v>
      </c>
      <c r="M40" s="237">
        <v>50</v>
      </c>
      <c r="N40" s="298">
        <f t="shared" si="8"/>
        <v>50</v>
      </c>
      <c r="O40" s="306">
        <f t="shared" si="3"/>
        <v>0.29411764705882354</v>
      </c>
      <c r="P40" s="307">
        <f t="shared" si="4"/>
        <v>72</v>
      </c>
      <c r="Q40" s="308">
        <f t="shared" si="5"/>
        <v>40</v>
      </c>
      <c r="R40" s="308">
        <f t="shared" si="6"/>
        <v>40</v>
      </c>
    </row>
    <row r="41" spans="1:18" s="240" customFormat="1" ht="57.75" customHeight="1" thickBot="1">
      <c r="A41" s="234">
        <f t="shared" si="11"/>
        <v>170</v>
      </c>
      <c r="B41" s="235">
        <f t="shared" si="12"/>
        <v>90</v>
      </c>
      <c r="C41" s="300">
        <v>42</v>
      </c>
      <c r="D41" s="609" t="s">
        <v>362</v>
      </c>
      <c r="E41" s="300"/>
      <c r="F41" s="61" t="s">
        <v>189</v>
      </c>
      <c r="G41" s="61" t="s">
        <v>276</v>
      </c>
      <c r="H41" s="540" t="s">
        <v>255</v>
      </c>
      <c r="I41" s="541"/>
      <c r="J41" s="236"/>
      <c r="K41" s="236">
        <v>0.67479999999999996</v>
      </c>
      <c r="L41" s="301">
        <f>((K41*60)/0.75)+((K42*60)/0.75)</f>
        <v>78.75200000000001</v>
      </c>
      <c r="M41" s="297">
        <v>65</v>
      </c>
      <c r="N41" s="552">
        <f>M41+M42</f>
        <v>90</v>
      </c>
      <c r="O41" s="620">
        <f t="shared" si="3"/>
        <v>0.52941176470588236</v>
      </c>
      <c r="P41" s="622">
        <f t="shared" si="4"/>
        <v>40</v>
      </c>
      <c r="Q41" s="624">
        <f t="shared" si="5"/>
        <v>40</v>
      </c>
      <c r="R41" s="624">
        <f t="shared" si="6"/>
        <v>40</v>
      </c>
    </row>
    <row r="42" spans="1:18" s="240" customFormat="1" ht="69.75" customHeight="1" thickBot="1">
      <c r="A42" s="234">
        <f t="shared" si="11"/>
        <v>170</v>
      </c>
      <c r="B42" s="235">
        <f t="shared" si="12"/>
        <v>90</v>
      </c>
      <c r="C42" s="300">
        <v>43</v>
      </c>
      <c r="D42" s="609"/>
      <c r="E42" s="300"/>
      <c r="F42" s="61" t="s">
        <v>52</v>
      </c>
      <c r="G42" s="61" t="s">
        <v>275</v>
      </c>
      <c r="H42" s="540" t="s">
        <v>256</v>
      </c>
      <c r="I42" s="541"/>
      <c r="J42" s="236"/>
      <c r="K42" s="236">
        <v>0.30959999999999999</v>
      </c>
      <c r="L42" s="302"/>
      <c r="M42" s="298">
        <v>25</v>
      </c>
      <c r="N42" s="553"/>
      <c r="O42" s="621"/>
      <c r="P42" s="623"/>
      <c r="Q42" s="625"/>
      <c r="R42" s="625"/>
    </row>
    <row r="43" spans="1:18" s="240" customFormat="1" ht="56.25" customHeight="1" thickBot="1">
      <c r="A43" s="234">
        <f t="shared" si="11"/>
        <v>170</v>
      </c>
      <c r="B43" s="235">
        <f t="shared" si="12"/>
        <v>90</v>
      </c>
      <c r="C43" s="300">
        <v>44</v>
      </c>
      <c r="D43" s="542" t="s">
        <v>363</v>
      </c>
      <c r="E43" s="300"/>
      <c r="F43" s="544" t="s">
        <v>147</v>
      </c>
      <c r="G43" s="544" t="s">
        <v>279</v>
      </c>
      <c r="H43" s="540" t="s">
        <v>257</v>
      </c>
      <c r="I43" s="541"/>
      <c r="J43" s="236"/>
      <c r="K43" s="236">
        <v>0.2243</v>
      </c>
      <c r="L43" s="301">
        <f>((K43*60)/1.1)+((K44*60)/1.1)</f>
        <v>78.125454545454545</v>
      </c>
      <c r="M43" s="552">
        <v>85</v>
      </c>
      <c r="N43" s="552">
        <f t="shared" si="8"/>
        <v>85</v>
      </c>
      <c r="O43" s="620">
        <f t="shared" si="3"/>
        <v>0.5</v>
      </c>
      <c r="P43" s="622">
        <f t="shared" si="4"/>
        <v>42.352941176470587</v>
      </c>
      <c r="Q43" s="624">
        <f t="shared" si="5"/>
        <v>40</v>
      </c>
      <c r="R43" s="624">
        <f t="shared" si="6"/>
        <v>40</v>
      </c>
    </row>
    <row r="44" spans="1:18" s="240" customFormat="1" ht="105.75" customHeight="1" thickBot="1">
      <c r="A44" s="234">
        <f t="shared" si="11"/>
        <v>170</v>
      </c>
      <c r="B44" s="235">
        <f t="shared" si="12"/>
        <v>90</v>
      </c>
      <c r="C44" s="300">
        <v>45</v>
      </c>
      <c r="D44" s="543"/>
      <c r="E44" s="300"/>
      <c r="F44" s="545"/>
      <c r="G44" s="545"/>
      <c r="H44" s="540" t="s">
        <v>258</v>
      </c>
      <c r="I44" s="541"/>
      <c r="J44" s="236"/>
      <c r="K44" s="236">
        <v>1.208</v>
      </c>
      <c r="L44" s="302"/>
      <c r="M44" s="553"/>
      <c r="N44" s="553"/>
      <c r="O44" s="621"/>
      <c r="P44" s="623"/>
      <c r="Q44" s="625"/>
      <c r="R44" s="625"/>
    </row>
    <row r="45" spans="1:18" s="315" customFormat="1" ht="105.75" customHeight="1">
      <c r="A45" s="311"/>
      <c r="B45" s="312"/>
      <c r="C45" s="313"/>
      <c r="D45" s="294" t="s">
        <v>373</v>
      </c>
      <c r="E45" s="300"/>
      <c r="F45" s="296"/>
      <c r="G45" s="296"/>
      <c r="H45" s="540"/>
      <c r="I45" s="541"/>
      <c r="J45" s="314"/>
      <c r="K45" s="236"/>
      <c r="L45" s="305"/>
      <c r="M45" s="237"/>
      <c r="N45" s="237"/>
      <c r="O45" s="306"/>
      <c r="P45" s="307"/>
      <c r="Q45" s="308"/>
      <c r="R45" s="308"/>
    </row>
    <row r="46" spans="1:18" ht="28.5" customHeight="1">
      <c r="A46" s="241"/>
      <c r="B46" s="242"/>
      <c r="C46" s="243"/>
      <c r="D46" s="244">
        <f>COUNTA(D10:D44)</f>
        <v>27</v>
      </c>
      <c r="E46" s="244"/>
      <c r="F46" s="244"/>
      <c r="G46" s="244"/>
      <c r="H46" s="554"/>
      <c r="I46" s="554"/>
      <c r="J46" s="554"/>
      <c r="K46" s="554"/>
      <c r="L46" s="554"/>
      <c r="M46" s="554"/>
      <c r="N46" s="554"/>
      <c r="O46" s="554"/>
      <c r="P46" s="554"/>
      <c r="Q46" s="299"/>
      <c r="R46" s="246"/>
    </row>
    <row r="47" spans="1:18" ht="50.25" customHeight="1">
      <c r="A47" s="241"/>
      <c r="B47" s="242"/>
      <c r="C47" s="243"/>
      <c r="D47" s="247"/>
      <c r="E47" s="247"/>
      <c r="F47" s="247"/>
      <c r="G47" s="247"/>
      <c r="H47" s="247"/>
      <c r="I47" s="247"/>
      <c r="J47" s="247"/>
      <c r="K47" s="247"/>
      <c r="L47" s="248"/>
      <c r="M47" s="248"/>
      <c r="N47" s="248"/>
      <c r="O47" s="247"/>
      <c r="P47" s="247"/>
      <c r="Q47" s="247"/>
      <c r="R47" s="246"/>
    </row>
    <row r="48" spans="1:18" ht="29.25" customHeight="1">
      <c r="A48" s="241"/>
      <c r="B48" s="242"/>
      <c r="C48" s="243"/>
      <c r="D48" s="247"/>
      <c r="E48" s="247"/>
      <c r="F48" s="247"/>
      <c r="G48" s="247"/>
      <c r="H48" s="247"/>
      <c r="I48" s="247"/>
      <c r="J48" s="247"/>
      <c r="K48" s="247"/>
      <c r="L48" s="248"/>
      <c r="M48" s="248"/>
      <c r="N48" s="248"/>
      <c r="O48" s="247"/>
      <c r="P48" s="247"/>
      <c r="Q48" s="247"/>
      <c r="R48" s="246"/>
    </row>
    <row r="49" spans="1:18" ht="29.25" customHeight="1">
      <c r="A49" s="241"/>
      <c r="B49" s="242"/>
      <c r="C49" s="243"/>
      <c r="D49" s="247"/>
      <c r="E49" s="247"/>
      <c r="F49" s="247"/>
      <c r="G49" s="247"/>
      <c r="H49" s="247"/>
      <c r="I49" s="247"/>
      <c r="J49" s="247"/>
      <c r="K49" s="247"/>
      <c r="L49" s="248"/>
      <c r="M49" s="248"/>
      <c r="N49" s="248"/>
      <c r="O49" s="247"/>
      <c r="P49" s="247"/>
      <c r="Q49" s="247"/>
      <c r="R49" s="246"/>
    </row>
    <row r="50" spans="1:18" ht="29.25" customHeight="1">
      <c r="A50" s="241"/>
      <c r="B50" s="242"/>
      <c r="C50" s="243"/>
      <c r="D50" s="299"/>
      <c r="E50" s="299"/>
      <c r="F50" s="299"/>
      <c r="G50" s="299"/>
      <c r="H50" s="554"/>
      <c r="I50" s="554"/>
      <c r="J50" s="554"/>
      <c r="K50" s="554"/>
      <c r="L50" s="554"/>
      <c r="M50" s="554"/>
      <c r="N50" s="554"/>
      <c r="O50" s="554"/>
      <c r="P50" s="554"/>
      <c r="Q50" s="299"/>
      <c r="R50" s="246"/>
    </row>
    <row r="51" spans="1:18">
      <c r="A51" s="241"/>
      <c r="B51" s="242"/>
      <c r="C51" s="243"/>
      <c r="D51" s="247"/>
      <c r="E51" s="247"/>
      <c r="F51" s="247"/>
      <c r="G51" s="247"/>
      <c r="H51" s="247"/>
      <c r="I51" s="247"/>
      <c r="J51" s="247"/>
      <c r="K51" s="247"/>
      <c r="L51" s="248"/>
      <c r="M51" s="248"/>
      <c r="N51" s="248"/>
      <c r="O51" s="247"/>
      <c r="P51" s="247"/>
      <c r="Q51" s="247"/>
      <c r="R51" s="246"/>
    </row>
    <row r="52" spans="1:18" ht="43.5" customHeight="1">
      <c r="A52" s="241"/>
      <c r="B52" s="242"/>
      <c r="C52" s="243"/>
      <c r="D52" s="247"/>
      <c r="E52" s="247"/>
      <c r="F52" s="247"/>
      <c r="G52" s="247"/>
      <c r="H52" s="247"/>
      <c r="I52" s="247"/>
      <c r="J52" s="247"/>
      <c r="K52" s="247"/>
      <c r="L52" s="248"/>
      <c r="M52" s="248"/>
      <c r="N52" s="248"/>
      <c r="O52" s="247"/>
      <c r="P52" s="247"/>
      <c r="Q52" s="247"/>
      <c r="R52" s="246"/>
    </row>
    <row r="53" spans="1:18">
      <c r="A53" s="241"/>
      <c r="B53" s="242"/>
      <c r="C53" s="243"/>
      <c r="D53" s="247"/>
      <c r="E53" s="247"/>
      <c r="F53" s="247"/>
      <c r="G53" s="247"/>
      <c r="H53" s="247"/>
      <c r="I53" s="247"/>
      <c r="J53" s="247"/>
      <c r="K53" s="247"/>
      <c r="L53" s="248"/>
      <c r="M53" s="248"/>
      <c r="N53" s="248"/>
      <c r="O53" s="247"/>
      <c r="P53" s="247"/>
      <c r="Q53" s="247"/>
      <c r="R53" s="246"/>
    </row>
    <row r="54" spans="1:18" ht="42" customHeight="1">
      <c r="C54" s="556" t="s">
        <v>79</v>
      </c>
      <c r="D54" s="556"/>
      <c r="E54" s="560" t="s">
        <v>80</v>
      </c>
      <c r="F54" s="561"/>
      <c r="G54" s="556" t="s">
        <v>81</v>
      </c>
      <c r="H54" s="556"/>
      <c r="I54" s="556" t="s">
        <v>82</v>
      </c>
      <c r="J54" s="556"/>
      <c r="K54" s="562" t="s">
        <v>83</v>
      </c>
      <c r="L54" s="562"/>
      <c r="M54" s="562"/>
      <c r="N54" s="562"/>
      <c r="O54" s="562"/>
      <c r="P54" s="556" t="s">
        <v>84</v>
      </c>
      <c r="Q54" s="556"/>
      <c r="R54" s="556"/>
    </row>
    <row r="55" spans="1:18" ht="13.2">
      <c r="C55" s="559"/>
      <c r="D55" s="559"/>
      <c r="E55" s="559"/>
      <c r="F55" s="559"/>
      <c r="G55" s="559"/>
      <c r="H55" s="559"/>
      <c r="I55" s="559"/>
      <c r="J55" s="559"/>
      <c r="K55" s="559"/>
      <c r="L55" s="559"/>
      <c r="M55" s="559"/>
      <c r="N55" s="559"/>
      <c r="O55" s="559"/>
      <c r="P55" s="559"/>
      <c r="Q55" s="559"/>
      <c r="R55" s="559"/>
    </row>
    <row r="56" spans="1:18" ht="13.2">
      <c r="C56" s="559"/>
      <c r="D56" s="559"/>
      <c r="E56" s="559"/>
      <c r="F56" s="559"/>
      <c r="G56" s="559"/>
      <c r="H56" s="559"/>
      <c r="I56" s="559"/>
      <c r="J56" s="559"/>
      <c r="K56" s="559"/>
      <c r="L56" s="559"/>
      <c r="M56" s="559"/>
      <c r="N56" s="559"/>
      <c r="O56" s="559"/>
      <c r="P56" s="559"/>
      <c r="Q56" s="559"/>
      <c r="R56" s="559"/>
    </row>
    <row r="57" spans="1:18" s="250" customFormat="1" ht="57" customHeight="1">
      <c r="A57" s="249"/>
      <c r="B57" s="249"/>
      <c r="C57" s="559"/>
      <c r="D57" s="559"/>
      <c r="E57" s="559"/>
      <c r="F57" s="559"/>
      <c r="G57" s="559"/>
      <c r="H57" s="559"/>
      <c r="I57" s="559"/>
      <c r="J57" s="559"/>
      <c r="K57" s="559"/>
      <c r="L57" s="559"/>
      <c r="M57" s="559"/>
      <c r="N57" s="559"/>
      <c r="O57" s="559"/>
      <c r="P57" s="559"/>
      <c r="Q57" s="559"/>
      <c r="R57" s="559"/>
    </row>
    <row r="58" spans="1:18" ht="42.75" customHeight="1">
      <c r="C58" s="556" t="s">
        <v>85</v>
      </c>
      <c r="D58" s="556"/>
      <c r="E58" s="556" t="s">
        <v>86</v>
      </c>
      <c r="F58" s="556"/>
      <c r="G58" s="556" t="s">
        <v>87</v>
      </c>
      <c r="H58" s="556"/>
      <c r="I58" s="557" t="s">
        <v>88</v>
      </c>
      <c r="J58" s="557"/>
      <c r="K58" s="558" t="s">
        <v>90</v>
      </c>
      <c r="L58" s="556"/>
      <c r="M58" s="556"/>
      <c r="N58" s="556"/>
      <c r="O58" s="556"/>
      <c r="P58" s="556" t="s">
        <v>89</v>
      </c>
      <c r="Q58" s="556"/>
      <c r="R58" s="556"/>
    </row>
    <row r="59" spans="1:18" ht="13.2">
      <c r="C59" s="555"/>
      <c r="D59" s="555"/>
      <c r="E59" s="555"/>
      <c r="F59" s="555"/>
      <c r="G59" s="555"/>
      <c r="H59" s="555"/>
      <c r="I59" s="555"/>
      <c r="J59" s="555"/>
      <c r="K59" s="555"/>
      <c r="L59" s="555"/>
      <c r="M59" s="555"/>
      <c r="N59" s="555"/>
      <c r="O59" s="555"/>
      <c r="P59" s="555"/>
      <c r="Q59" s="555"/>
      <c r="R59" s="555"/>
    </row>
    <row r="60" spans="1:18" ht="13.2">
      <c r="C60" s="555"/>
      <c r="D60" s="555"/>
      <c r="E60" s="555"/>
      <c r="F60" s="555"/>
      <c r="G60" s="555"/>
      <c r="H60" s="555"/>
      <c r="I60" s="555"/>
      <c r="J60" s="555"/>
      <c r="K60" s="555"/>
      <c r="L60" s="555"/>
      <c r="M60" s="555"/>
      <c r="N60" s="555"/>
      <c r="O60" s="555"/>
      <c r="P60" s="555"/>
      <c r="Q60" s="555"/>
      <c r="R60" s="555"/>
    </row>
    <row r="61" spans="1:18" ht="62.25" customHeight="1">
      <c r="C61" s="555"/>
      <c r="D61" s="555"/>
      <c r="E61" s="555"/>
      <c r="F61" s="555"/>
      <c r="G61" s="555"/>
      <c r="H61" s="555"/>
      <c r="I61" s="555"/>
      <c r="J61" s="555"/>
      <c r="K61" s="555"/>
      <c r="L61" s="555"/>
      <c r="M61" s="555"/>
      <c r="N61" s="555"/>
      <c r="O61" s="555"/>
      <c r="P61" s="555"/>
      <c r="Q61" s="555"/>
      <c r="R61" s="555"/>
    </row>
  </sheetData>
  <autoFilter ref="A9:R46">
    <filterColumn colId="7" showButton="0"/>
    <filterColumn colId="10" showButton="0"/>
  </autoFilter>
  <mergeCells count="140">
    <mergeCell ref="I2:R2"/>
    <mergeCell ref="D3:G3"/>
    <mergeCell ref="K3:O3"/>
    <mergeCell ref="D4:G4"/>
    <mergeCell ref="K4:O4"/>
    <mergeCell ref="D5:G5"/>
    <mergeCell ref="K5:O5"/>
    <mergeCell ref="P7:P9"/>
    <mergeCell ref="Q7:Q9"/>
    <mergeCell ref="R7:R9"/>
    <mergeCell ref="D6:G6"/>
    <mergeCell ref="K6:O6"/>
    <mergeCell ref="C7:C9"/>
    <mergeCell ref="D7:D9"/>
    <mergeCell ref="E7:E9"/>
    <mergeCell ref="F7:G8"/>
    <mergeCell ref="H7:I9"/>
    <mergeCell ref="J7:J9"/>
    <mergeCell ref="K7:L9"/>
    <mergeCell ref="O7:O9"/>
    <mergeCell ref="D13:D14"/>
    <mergeCell ref="H11:I11"/>
    <mergeCell ref="H12:I12"/>
    <mergeCell ref="H13:I13"/>
    <mergeCell ref="F15:F16"/>
    <mergeCell ref="G15:G16"/>
    <mergeCell ref="H15:I15"/>
    <mergeCell ref="H10:I10"/>
    <mergeCell ref="D11:D12"/>
    <mergeCell ref="H27:I27"/>
    <mergeCell ref="H28:I28"/>
    <mergeCell ref="H30:I30"/>
    <mergeCell ref="H31:I31"/>
    <mergeCell ref="H21:I21"/>
    <mergeCell ref="H22:I22"/>
    <mergeCell ref="H23:I23"/>
    <mergeCell ref="H24:I24"/>
    <mergeCell ref="H16:I16"/>
    <mergeCell ref="H17:I17"/>
    <mergeCell ref="H18:I18"/>
    <mergeCell ref="H19:I19"/>
    <mergeCell ref="H20:I20"/>
    <mergeCell ref="F17:F18"/>
    <mergeCell ref="G17:G18"/>
    <mergeCell ref="H45:I45"/>
    <mergeCell ref="H46:P46"/>
    <mergeCell ref="H50:P50"/>
    <mergeCell ref="F43:F44"/>
    <mergeCell ref="G43:G44"/>
    <mergeCell ref="H43:I43"/>
    <mergeCell ref="H44:I44"/>
    <mergeCell ref="H39:I39"/>
    <mergeCell ref="H40:I40"/>
    <mergeCell ref="H41:I41"/>
    <mergeCell ref="H42:I42"/>
    <mergeCell ref="C55:D57"/>
    <mergeCell ref="E55:F57"/>
    <mergeCell ref="G55:H57"/>
    <mergeCell ref="I55:J57"/>
    <mergeCell ref="K55:O57"/>
    <mergeCell ref="P55:R57"/>
    <mergeCell ref="C54:D54"/>
    <mergeCell ref="E54:F54"/>
    <mergeCell ref="G54:H54"/>
    <mergeCell ref="I54:J54"/>
    <mergeCell ref="K54:O54"/>
    <mergeCell ref="P54:R54"/>
    <mergeCell ref="C59:D61"/>
    <mergeCell ref="E59:F61"/>
    <mergeCell ref="G59:H61"/>
    <mergeCell ref="I59:J61"/>
    <mergeCell ref="K59:O61"/>
    <mergeCell ref="P59:R61"/>
    <mergeCell ref="C58:D58"/>
    <mergeCell ref="E58:F58"/>
    <mergeCell ref="G58:H58"/>
    <mergeCell ref="I58:J58"/>
    <mergeCell ref="K58:O58"/>
    <mergeCell ref="P58:R58"/>
    <mergeCell ref="D41:D42"/>
    <mergeCell ref="D43:D44"/>
    <mergeCell ref="N7:N9"/>
    <mergeCell ref="M7:M9"/>
    <mergeCell ref="N11:N12"/>
    <mergeCell ref="N13:N14"/>
    <mergeCell ref="M15:M16"/>
    <mergeCell ref="N15:N16"/>
    <mergeCell ref="N17:N18"/>
    <mergeCell ref="H14:I14"/>
    <mergeCell ref="D15:D16"/>
    <mergeCell ref="D17:D18"/>
    <mergeCell ref="D22:D23"/>
    <mergeCell ref="H29:I29"/>
    <mergeCell ref="D28:D29"/>
    <mergeCell ref="H33:I33"/>
    <mergeCell ref="H34:I34"/>
    <mergeCell ref="H35:I35"/>
    <mergeCell ref="H36:I36"/>
    <mergeCell ref="H37:I37"/>
    <mergeCell ref="H38:I38"/>
    <mergeCell ref="H32:I32"/>
    <mergeCell ref="H25:I25"/>
    <mergeCell ref="H26:I26"/>
    <mergeCell ref="N22:N23"/>
    <mergeCell ref="N28:N29"/>
    <mergeCell ref="N41:N42"/>
    <mergeCell ref="M43:M44"/>
    <mergeCell ref="N43:N44"/>
    <mergeCell ref="R11:R12"/>
    <mergeCell ref="Q11:Q12"/>
    <mergeCell ref="P11:P12"/>
    <mergeCell ref="O11:O12"/>
    <mergeCell ref="R13:R14"/>
    <mergeCell ref="R17:R18"/>
    <mergeCell ref="Q17:Q18"/>
    <mergeCell ref="P17:P18"/>
    <mergeCell ref="O17:O18"/>
    <mergeCell ref="R22:R23"/>
    <mergeCell ref="Q22:Q23"/>
    <mergeCell ref="P22:P23"/>
    <mergeCell ref="O22:O23"/>
    <mergeCell ref="Q13:Q14"/>
    <mergeCell ref="P13:P14"/>
    <mergeCell ref="O13:O14"/>
    <mergeCell ref="R15:R16"/>
    <mergeCell ref="Q15:Q16"/>
    <mergeCell ref="P15:P16"/>
    <mergeCell ref="O15:O16"/>
    <mergeCell ref="P41:P42"/>
    <mergeCell ref="O41:O42"/>
    <mergeCell ref="R28:R29"/>
    <mergeCell ref="Q28:Q29"/>
    <mergeCell ref="P28:P29"/>
    <mergeCell ref="O28:O29"/>
    <mergeCell ref="R43:R44"/>
    <mergeCell ref="Q43:Q44"/>
    <mergeCell ref="P43:P44"/>
    <mergeCell ref="O43:O44"/>
    <mergeCell ref="R41:R42"/>
    <mergeCell ref="Q41:Q42"/>
  </mergeCells>
  <pageMargins left="0" right="0" top="0" bottom="0" header="0.31496062992126" footer="0.31496062992126"/>
  <pageSetup paperSize="9" scale="47" fitToHeight="0" orientation="portrait" r:id="rId1"/>
  <headerFooter alignWithMargins="0"/>
  <rowBreaks count="2" manualBreakCount="2">
    <brk id="26" min="2" max="15" man="1"/>
    <brk id="40" min="2" max="15" man="1"/>
  </rowBreaks>
  <ignoredErrors>
    <ignoredError sqref="L17:R25 K16 K26:R26 L27:R28 L30:R30 M29:R29 L33:R38 L39:R42 L43:R44 I4 P3:R6 L11:R14 N10 Q10:R10 Q15:R16" unlockedFormula="1"/>
    <ignoredError sqref="L29 N15" formula="1" unlockedFormula="1"/>
    <ignoredError sqref="I5" numberStoredAsText="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R62"/>
  <sheetViews>
    <sheetView view="pageBreakPreview" topLeftCell="A25" zoomScale="89" zoomScaleNormal="85" zoomScaleSheetLayoutView="89" workbookViewId="0">
      <selection activeCell="D48" sqref="D48"/>
    </sheetView>
  </sheetViews>
  <sheetFormatPr defaultColWidth="9.109375" defaultRowHeight="17.399999999999999"/>
  <cols>
    <col min="1" max="1" width="1.6640625" style="211" customWidth="1"/>
    <col min="2" max="2" width="3" style="211" customWidth="1"/>
    <col min="3" max="3" width="14.33203125" style="212" customWidth="1"/>
    <col min="4" max="4" width="21.88671875" style="212" customWidth="1"/>
    <col min="5" max="5" width="16.33203125" style="212" customWidth="1"/>
    <col min="6" max="6" width="8.33203125" style="212" customWidth="1"/>
    <col min="7" max="7" width="13.109375" style="212" customWidth="1"/>
    <col min="8" max="9" width="28.33203125" style="212" customWidth="1"/>
    <col min="10" max="10" width="14.5546875" style="212" hidden="1" customWidth="1"/>
    <col min="11" max="11" width="8.88671875" style="212" customWidth="1"/>
    <col min="12" max="14" width="10.5546875" style="213" customWidth="1"/>
    <col min="15" max="15" width="16.109375" style="212" customWidth="1"/>
    <col min="16" max="16" width="16.33203125" style="212" customWidth="1"/>
    <col min="17" max="17" width="12.109375" style="212" customWidth="1"/>
    <col min="18" max="18" width="15.44140625" style="212" customWidth="1"/>
    <col min="19" max="16384" width="9.109375" style="212"/>
  </cols>
  <sheetData>
    <row r="1" spans="1:18" ht="14.25" customHeight="1" thickBot="1"/>
    <row r="2" spans="1:18" ht="42.75" customHeight="1" thickBot="1">
      <c r="C2" s="214"/>
      <c r="D2" s="215"/>
      <c r="E2" s="215"/>
      <c r="F2" s="215"/>
      <c r="G2" s="215"/>
      <c r="H2" s="292"/>
      <c r="I2" s="511" t="s">
        <v>25</v>
      </c>
      <c r="J2" s="511"/>
      <c r="K2" s="511"/>
      <c r="L2" s="511"/>
      <c r="M2" s="511"/>
      <c r="N2" s="511"/>
      <c r="O2" s="511"/>
      <c r="P2" s="511"/>
      <c r="Q2" s="511"/>
      <c r="R2" s="512"/>
    </row>
    <row r="3" spans="1:18" s="224" customFormat="1" ht="13.8">
      <c r="A3" s="217"/>
      <c r="B3" s="217"/>
      <c r="C3" s="218" t="s">
        <v>0</v>
      </c>
      <c r="D3" s="513">
        <v>44341</v>
      </c>
      <c r="E3" s="514"/>
      <c r="F3" s="514"/>
      <c r="G3" s="515"/>
      <c r="H3" s="219" t="s">
        <v>1</v>
      </c>
      <c r="I3" s="220">
        <v>40</v>
      </c>
      <c r="J3" s="221"/>
      <c r="K3" s="516" t="s">
        <v>2</v>
      </c>
      <c r="L3" s="517"/>
      <c r="M3" s="517"/>
      <c r="N3" s="517"/>
      <c r="O3" s="518"/>
      <c r="P3" s="222">
        <f>3600/I3</f>
        <v>90</v>
      </c>
      <c r="Q3" s="219" t="s">
        <v>3</v>
      </c>
      <c r="R3" s="223">
        <f>MAX(N10:N45)</f>
        <v>91</v>
      </c>
    </row>
    <row r="4" spans="1:18" s="224" customFormat="1" ht="13.8">
      <c r="A4" s="217"/>
      <c r="B4" s="217"/>
      <c r="C4" s="225" t="s">
        <v>4</v>
      </c>
      <c r="D4" s="519">
        <v>221433</v>
      </c>
      <c r="E4" s="520"/>
      <c r="F4" s="520"/>
      <c r="G4" s="521"/>
      <c r="H4" s="30" t="s">
        <v>5</v>
      </c>
      <c r="I4" s="226">
        <f>3600/R3</f>
        <v>39.560439560439562</v>
      </c>
      <c r="J4" s="227"/>
      <c r="K4" s="522" t="s">
        <v>6</v>
      </c>
      <c r="L4" s="523"/>
      <c r="M4" s="523"/>
      <c r="N4" s="523"/>
      <c r="O4" s="524"/>
      <c r="P4" s="1">
        <f>I4/D6</f>
        <v>0.66664115195149687</v>
      </c>
      <c r="Q4" s="228" t="s">
        <v>7</v>
      </c>
      <c r="R4" s="2">
        <f>P5/P6</f>
        <v>0.79996210685865854</v>
      </c>
    </row>
    <row r="5" spans="1:18" s="224" customFormat="1" ht="13.8">
      <c r="A5" s="217"/>
      <c r="B5" s="217"/>
      <c r="C5" s="225" t="s">
        <v>8</v>
      </c>
      <c r="D5" s="519">
        <v>13</v>
      </c>
      <c r="E5" s="520"/>
      <c r="F5" s="520"/>
      <c r="G5" s="521"/>
      <c r="H5" s="31" t="s">
        <v>9</v>
      </c>
      <c r="I5" s="229" t="s">
        <v>280</v>
      </c>
      <c r="J5" s="230">
        <f>+I5/60</f>
        <v>0.48868500000000004</v>
      </c>
      <c r="K5" s="519" t="s">
        <v>10</v>
      </c>
      <c r="L5" s="520"/>
      <c r="M5" s="520"/>
      <c r="N5" s="520"/>
      <c r="O5" s="520"/>
      <c r="P5" s="228">
        <f>SUM(N10:N45)</f>
        <v>2111.1</v>
      </c>
      <c r="Q5" s="228" t="s">
        <v>11</v>
      </c>
      <c r="R5" s="231">
        <f>I4/I6</f>
        <v>1.3641530882910193</v>
      </c>
    </row>
    <row r="6" spans="1:18" s="224" customFormat="1" ht="13.8">
      <c r="A6" s="217"/>
      <c r="B6" s="217"/>
      <c r="C6" s="225" t="s">
        <v>12</v>
      </c>
      <c r="D6" s="525">
        <f>(60/I5)*I6</f>
        <v>59.342930517613588</v>
      </c>
      <c r="E6" s="526"/>
      <c r="F6" s="526"/>
      <c r="G6" s="527"/>
      <c r="H6" s="31" t="s">
        <v>13</v>
      </c>
      <c r="I6" s="232">
        <f>D47</f>
        <v>29</v>
      </c>
      <c r="J6" s="226">
        <f>60/J5*I6*0.65</f>
        <v>2314.3742901869305</v>
      </c>
      <c r="K6" s="519" t="s">
        <v>14</v>
      </c>
      <c r="L6" s="520"/>
      <c r="M6" s="520"/>
      <c r="N6" s="520"/>
      <c r="O6" s="521"/>
      <c r="P6" s="228">
        <f>R3*I6</f>
        <v>2639</v>
      </c>
      <c r="Q6" s="228"/>
      <c r="R6" s="231"/>
    </row>
    <row r="7" spans="1:18" ht="12.75" customHeight="1">
      <c r="C7" s="528" t="s">
        <v>15</v>
      </c>
      <c r="D7" s="530" t="s">
        <v>16</v>
      </c>
      <c r="E7" s="530" t="s">
        <v>24</v>
      </c>
      <c r="F7" s="532" t="s">
        <v>31</v>
      </c>
      <c r="G7" s="533"/>
      <c r="H7" s="536" t="s">
        <v>17</v>
      </c>
      <c r="I7" s="536"/>
      <c r="J7" s="538" t="s">
        <v>18</v>
      </c>
      <c r="K7" s="530" t="s">
        <v>19</v>
      </c>
      <c r="L7" s="530"/>
      <c r="M7" s="530" t="s">
        <v>364</v>
      </c>
      <c r="N7" s="530" t="s">
        <v>365</v>
      </c>
      <c r="O7" s="530" t="s">
        <v>20</v>
      </c>
      <c r="P7" s="530" t="s">
        <v>11</v>
      </c>
      <c r="Q7" s="548" t="s">
        <v>21</v>
      </c>
      <c r="R7" s="550" t="s">
        <v>22</v>
      </c>
    </row>
    <row r="8" spans="1:18" ht="13.2">
      <c r="C8" s="528"/>
      <c r="D8" s="530"/>
      <c r="E8" s="530"/>
      <c r="F8" s="534"/>
      <c r="G8" s="535"/>
      <c r="H8" s="536"/>
      <c r="I8" s="536"/>
      <c r="J8" s="538"/>
      <c r="K8" s="530"/>
      <c r="L8" s="530"/>
      <c r="M8" s="530"/>
      <c r="N8" s="530"/>
      <c r="O8" s="530"/>
      <c r="P8" s="530"/>
      <c r="Q8" s="549"/>
      <c r="R8" s="551"/>
    </row>
    <row r="9" spans="1:18" ht="14.7" customHeight="1">
      <c r="C9" s="529"/>
      <c r="D9" s="531"/>
      <c r="E9" s="531"/>
      <c r="F9" s="233" t="s">
        <v>32</v>
      </c>
      <c r="G9" s="233" t="s">
        <v>28</v>
      </c>
      <c r="H9" s="537"/>
      <c r="I9" s="537"/>
      <c r="J9" s="539"/>
      <c r="K9" s="530"/>
      <c r="L9" s="530"/>
      <c r="M9" s="530"/>
      <c r="N9" s="530"/>
      <c r="O9" s="531"/>
      <c r="P9" s="531"/>
      <c r="Q9" s="549"/>
      <c r="R9" s="551"/>
    </row>
    <row r="10" spans="1:18" s="240" customFormat="1" ht="107.25" customHeight="1" thickBot="1">
      <c r="A10" s="234">
        <f t="shared" ref="A10:A22" si="0">$R$3</f>
        <v>91</v>
      </c>
      <c r="B10" s="235">
        <f t="shared" ref="B10:B22" si="1">$P$3</f>
        <v>90</v>
      </c>
      <c r="C10" s="300">
        <v>24</v>
      </c>
      <c r="D10" s="294" t="s">
        <v>340</v>
      </c>
      <c r="E10" s="300"/>
      <c r="F10" s="296"/>
      <c r="G10" s="296"/>
      <c r="H10" s="540" t="s">
        <v>366</v>
      </c>
      <c r="I10" s="541"/>
      <c r="J10" s="236"/>
      <c r="K10" s="304">
        <v>0.27260000000000001</v>
      </c>
      <c r="L10" s="302"/>
      <c r="M10" s="298">
        <v>65</v>
      </c>
      <c r="N10" s="298">
        <f>M10</f>
        <v>65</v>
      </c>
      <c r="O10" s="316">
        <f>IF(N10=0,"",N10/$R$3)</f>
        <v>0.7142857142857143</v>
      </c>
      <c r="P10" s="307">
        <f>IF(N10=0,"",3600/N10)</f>
        <v>55.384615384615387</v>
      </c>
      <c r="Q10" s="308">
        <f>3600/$P$3</f>
        <v>40</v>
      </c>
      <c r="R10" s="308">
        <f>+Q10</f>
        <v>40</v>
      </c>
    </row>
    <row r="11" spans="1:18" s="240" customFormat="1" ht="66" customHeight="1" thickBot="1">
      <c r="A11" s="234">
        <f t="shared" si="0"/>
        <v>91</v>
      </c>
      <c r="B11" s="235">
        <f t="shared" si="1"/>
        <v>90</v>
      </c>
      <c r="C11" s="300">
        <v>2</v>
      </c>
      <c r="D11" s="542" t="s">
        <v>341</v>
      </c>
      <c r="E11" s="300"/>
      <c r="F11" s="61" t="s">
        <v>142</v>
      </c>
      <c r="G11" s="61" t="s">
        <v>274</v>
      </c>
      <c r="H11" s="540" t="s">
        <v>228</v>
      </c>
      <c r="I11" s="541"/>
      <c r="J11" s="236"/>
      <c r="K11" s="236">
        <v>0.3548</v>
      </c>
      <c r="L11" s="301">
        <f>((K11*60)/0.75)+((K12*60)/0.75)</f>
        <v>69.096000000000004</v>
      </c>
      <c r="M11" s="237">
        <v>48</v>
      </c>
      <c r="N11" s="552">
        <f>M11+M12</f>
        <v>73</v>
      </c>
      <c r="O11" s="626">
        <f>IF(N11=0,"",N11/$R$3)</f>
        <v>0.80219780219780223</v>
      </c>
      <c r="P11" s="622">
        <f>IF(N11=0,"",3600/N11)</f>
        <v>49.315068493150683</v>
      </c>
      <c r="Q11" s="624">
        <f>3600/$P$3</f>
        <v>40</v>
      </c>
      <c r="R11" s="624">
        <f t="shared" ref="R11" si="2">+Q11</f>
        <v>40</v>
      </c>
    </row>
    <row r="12" spans="1:18" s="240" customFormat="1" ht="77.25" customHeight="1" thickBot="1">
      <c r="A12" s="234">
        <f t="shared" si="0"/>
        <v>91</v>
      </c>
      <c r="B12" s="235">
        <f t="shared" si="1"/>
        <v>90</v>
      </c>
      <c r="C12" s="300">
        <v>5</v>
      </c>
      <c r="D12" s="543"/>
      <c r="E12" s="300"/>
      <c r="F12" s="61" t="s">
        <v>148</v>
      </c>
      <c r="G12" s="61" t="s">
        <v>274</v>
      </c>
      <c r="H12" s="540" t="s">
        <v>231</v>
      </c>
      <c r="I12" s="541"/>
      <c r="J12" s="236"/>
      <c r="K12" s="236">
        <v>0.50890000000000002</v>
      </c>
      <c r="L12" s="302"/>
      <c r="M12" s="298">
        <v>25</v>
      </c>
      <c r="N12" s="553"/>
      <c r="O12" s="627"/>
      <c r="P12" s="623"/>
      <c r="Q12" s="625"/>
      <c r="R12" s="625"/>
    </row>
    <row r="13" spans="1:18" s="240" customFormat="1" ht="66" customHeight="1" thickBot="1">
      <c r="A13" s="234">
        <f t="shared" si="0"/>
        <v>91</v>
      </c>
      <c r="B13" s="235">
        <f t="shared" si="1"/>
        <v>90</v>
      </c>
      <c r="C13" s="300">
        <v>3</v>
      </c>
      <c r="D13" s="542" t="s">
        <v>342</v>
      </c>
      <c r="E13" s="300"/>
      <c r="F13" s="61" t="s">
        <v>57</v>
      </c>
      <c r="G13" s="61" t="s">
        <v>276</v>
      </c>
      <c r="H13" s="540" t="s">
        <v>229</v>
      </c>
      <c r="I13" s="541"/>
      <c r="J13" s="236"/>
      <c r="K13" s="236">
        <v>0.28799999999999998</v>
      </c>
      <c r="L13" s="301">
        <f>((K13*60)/0.75)+((K15*60)/0.75)+((K16*60)/0.75)</f>
        <v>69.263999999999996</v>
      </c>
      <c r="M13" s="297">
        <v>20</v>
      </c>
      <c r="N13" s="552">
        <f>M13+M14</f>
        <v>50</v>
      </c>
      <c r="O13" s="626">
        <f t="shared" ref="O13:O44" si="3">IF(N13=0,"",N13/$R$3)</f>
        <v>0.5494505494505495</v>
      </c>
      <c r="P13" s="622">
        <f t="shared" ref="P13:P44" si="4">IF(N13=0,"",3600/N13)</f>
        <v>72</v>
      </c>
      <c r="Q13" s="624">
        <f t="shared" ref="Q13:Q44" si="5">3600/$P$3</f>
        <v>40</v>
      </c>
      <c r="R13" s="624">
        <f t="shared" ref="R13:R44" si="6">+Q13</f>
        <v>40</v>
      </c>
    </row>
    <row r="14" spans="1:18" s="240" customFormat="1" ht="50.25" customHeight="1" thickBot="1">
      <c r="A14" s="234">
        <f t="shared" si="0"/>
        <v>91</v>
      </c>
      <c r="B14" s="235">
        <f t="shared" si="1"/>
        <v>90</v>
      </c>
      <c r="C14" s="300" t="s">
        <v>306</v>
      </c>
      <c r="D14" s="543"/>
      <c r="E14" s="300"/>
      <c r="F14" s="61" t="s">
        <v>317</v>
      </c>
      <c r="G14" s="61" t="s">
        <v>276</v>
      </c>
      <c r="H14" s="540" t="s">
        <v>300</v>
      </c>
      <c r="I14" s="541"/>
      <c r="J14" s="236"/>
      <c r="K14" s="236"/>
      <c r="L14" s="237">
        <f t="shared" ref="L14" si="7">((K14*60)/0.75)</f>
        <v>0</v>
      </c>
      <c r="M14" s="237">
        <v>30</v>
      </c>
      <c r="N14" s="553"/>
      <c r="O14" s="627"/>
      <c r="P14" s="623"/>
      <c r="Q14" s="625"/>
      <c r="R14" s="625"/>
    </row>
    <row r="15" spans="1:18" s="240" customFormat="1" ht="68.25" customHeight="1" thickBot="1">
      <c r="A15" s="234">
        <f t="shared" si="0"/>
        <v>91</v>
      </c>
      <c r="B15" s="235">
        <f t="shared" si="1"/>
        <v>90</v>
      </c>
      <c r="C15" s="300">
        <v>6</v>
      </c>
      <c r="D15" s="542" t="s">
        <v>343</v>
      </c>
      <c r="E15" s="300"/>
      <c r="F15" s="544" t="s">
        <v>52</v>
      </c>
      <c r="G15" s="544" t="s">
        <v>275</v>
      </c>
      <c r="H15" s="540" t="s">
        <v>232</v>
      </c>
      <c r="I15" s="541"/>
      <c r="J15" s="236"/>
      <c r="K15" s="236">
        <v>0.31369999999999998</v>
      </c>
      <c r="L15" s="303"/>
      <c r="M15" s="552">
        <v>60</v>
      </c>
      <c r="N15" s="552">
        <f t="shared" ref="N15:N44" si="8">M15</f>
        <v>60</v>
      </c>
      <c r="O15" s="626">
        <f t="shared" si="3"/>
        <v>0.65934065934065933</v>
      </c>
      <c r="P15" s="622">
        <f t="shared" si="4"/>
        <v>60</v>
      </c>
      <c r="Q15" s="624">
        <f t="shared" si="5"/>
        <v>40</v>
      </c>
      <c r="R15" s="624">
        <f t="shared" si="6"/>
        <v>40</v>
      </c>
    </row>
    <row r="16" spans="1:18" s="240" customFormat="1" ht="58.5" customHeight="1" thickBot="1">
      <c r="A16" s="234">
        <f t="shared" si="0"/>
        <v>91</v>
      </c>
      <c r="B16" s="235">
        <f t="shared" si="1"/>
        <v>90</v>
      </c>
      <c r="C16" s="300" t="s">
        <v>320</v>
      </c>
      <c r="D16" s="543"/>
      <c r="E16" s="300"/>
      <c r="F16" s="545"/>
      <c r="G16" s="545"/>
      <c r="H16" s="540" t="s">
        <v>305</v>
      </c>
      <c r="I16" s="541"/>
      <c r="J16" s="236"/>
      <c r="K16" s="236">
        <f>0.7923*1/3</f>
        <v>0.2641</v>
      </c>
      <c r="L16" s="302"/>
      <c r="M16" s="553"/>
      <c r="N16" s="553"/>
      <c r="O16" s="627"/>
      <c r="P16" s="623"/>
      <c r="Q16" s="625"/>
      <c r="R16" s="625"/>
    </row>
    <row r="17" spans="1:18" s="240" customFormat="1" ht="50.25" customHeight="1" thickBot="1">
      <c r="A17" s="234">
        <f t="shared" si="0"/>
        <v>91</v>
      </c>
      <c r="B17" s="235">
        <f t="shared" si="1"/>
        <v>90</v>
      </c>
      <c r="C17" s="300" t="s">
        <v>306</v>
      </c>
      <c r="D17" s="542" t="s">
        <v>344</v>
      </c>
      <c r="E17" s="300"/>
      <c r="F17" s="61" t="s">
        <v>142</v>
      </c>
      <c r="G17" s="61" t="s">
        <v>274</v>
      </c>
      <c r="H17" s="540" t="s">
        <v>299</v>
      </c>
      <c r="I17" s="541"/>
      <c r="J17" s="236"/>
      <c r="K17" s="236"/>
      <c r="L17" s="237">
        <f t="shared" ref="L17:L41" si="9">((K17*60)/0.75)</f>
        <v>0</v>
      </c>
      <c r="M17" s="237">
        <v>50</v>
      </c>
      <c r="N17" s="552">
        <f>M17+M18</f>
        <v>70</v>
      </c>
      <c r="O17" s="626">
        <f t="shared" si="3"/>
        <v>0.76923076923076927</v>
      </c>
      <c r="P17" s="622">
        <f t="shared" si="4"/>
        <v>51.428571428571431</v>
      </c>
      <c r="Q17" s="624">
        <f t="shared" si="5"/>
        <v>40</v>
      </c>
      <c r="R17" s="624">
        <f t="shared" si="6"/>
        <v>40</v>
      </c>
    </row>
    <row r="18" spans="1:18" s="240" customFormat="1" ht="53.25" customHeight="1" thickBot="1">
      <c r="A18" s="234">
        <f t="shared" si="0"/>
        <v>91</v>
      </c>
      <c r="B18" s="235">
        <f t="shared" si="1"/>
        <v>90</v>
      </c>
      <c r="C18" s="300" t="s">
        <v>306</v>
      </c>
      <c r="D18" s="543"/>
      <c r="E18" s="300"/>
      <c r="F18" s="61" t="s">
        <v>142</v>
      </c>
      <c r="G18" s="61" t="s">
        <v>274</v>
      </c>
      <c r="H18" s="540" t="s">
        <v>367</v>
      </c>
      <c r="I18" s="541"/>
      <c r="J18" s="236"/>
      <c r="K18" s="236"/>
      <c r="L18" s="237">
        <f t="shared" si="9"/>
        <v>0</v>
      </c>
      <c r="M18" s="237">
        <v>20</v>
      </c>
      <c r="N18" s="553"/>
      <c r="O18" s="627"/>
      <c r="P18" s="623"/>
      <c r="Q18" s="625"/>
      <c r="R18" s="625"/>
    </row>
    <row r="19" spans="1:18" s="240" customFormat="1" ht="50.25" customHeight="1" thickBot="1">
      <c r="A19" s="234">
        <f t="shared" si="0"/>
        <v>91</v>
      </c>
      <c r="B19" s="235">
        <f t="shared" si="1"/>
        <v>90</v>
      </c>
      <c r="C19" s="300">
        <v>26</v>
      </c>
      <c r="D19" s="293" t="s">
        <v>345</v>
      </c>
      <c r="E19" s="300"/>
      <c r="F19" s="61" t="s">
        <v>301</v>
      </c>
      <c r="G19" s="61" t="s">
        <v>275</v>
      </c>
      <c r="H19" s="540" t="s">
        <v>302</v>
      </c>
      <c r="I19" s="541"/>
      <c r="J19" s="236"/>
      <c r="K19" s="236"/>
      <c r="L19" s="237">
        <f t="shared" si="9"/>
        <v>0</v>
      </c>
      <c r="M19" s="237">
        <v>150</v>
      </c>
      <c r="N19" s="298">
        <f>M19*0.6</f>
        <v>90</v>
      </c>
      <c r="O19" s="316">
        <f t="shared" si="3"/>
        <v>0.98901098901098905</v>
      </c>
      <c r="P19" s="307">
        <f t="shared" si="4"/>
        <v>40</v>
      </c>
      <c r="Q19" s="308">
        <f t="shared" si="5"/>
        <v>40</v>
      </c>
      <c r="R19" s="308">
        <f t="shared" si="6"/>
        <v>40</v>
      </c>
    </row>
    <row r="20" spans="1:18" s="240" customFormat="1" ht="68.25" customHeight="1" thickBot="1">
      <c r="A20" s="234">
        <f t="shared" si="0"/>
        <v>91</v>
      </c>
      <c r="B20" s="235">
        <f t="shared" si="1"/>
        <v>90</v>
      </c>
      <c r="C20" s="300">
        <v>27</v>
      </c>
      <c r="D20" s="542" t="s">
        <v>348</v>
      </c>
      <c r="E20" s="628" t="s">
        <v>370</v>
      </c>
      <c r="F20" s="61" t="s">
        <v>142</v>
      </c>
      <c r="G20" s="61" t="s">
        <v>274</v>
      </c>
      <c r="H20" s="540" t="s">
        <v>240</v>
      </c>
      <c r="I20" s="541"/>
      <c r="J20" s="236"/>
      <c r="K20" s="236">
        <v>0.51839999999999997</v>
      </c>
      <c r="L20" s="305">
        <f>((K20*60)/0.75)+((K21*60)/0.75)</f>
        <v>72.75200000000001</v>
      </c>
      <c r="M20" s="237">
        <v>25</v>
      </c>
      <c r="N20" s="552">
        <f>(M20+M21)+M19*0.3</f>
        <v>90</v>
      </c>
      <c r="O20" s="626">
        <f t="shared" si="3"/>
        <v>0.98901098901098905</v>
      </c>
      <c r="P20" s="622">
        <f t="shared" ref="P20" si="10">IF(N20=0,"",3600/N20)</f>
        <v>40</v>
      </c>
      <c r="Q20" s="624">
        <f t="shared" si="5"/>
        <v>40</v>
      </c>
      <c r="R20" s="624">
        <f t="shared" ref="R20" si="11">+Q20</f>
        <v>40</v>
      </c>
    </row>
    <row r="21" spans="1:18" s="240" customFormat="1" ht="60" customHeight="1" thickBot="1">
      <c r="A21" s="234">
        <f t="shared" si="0"/>
        <v>91</v>
      </c>
      <c r="B21" s="235">
        <f t="shared" si="1"/>
        <v>90</v>
      </c>
      <c r="C21" s="300">
        <v>28</v>
      </c>
      <c r="D21" s="543"/>
      <c r="E21" s="629"/>
      <c r="F21" s="61" t="s">
        <v>166</v>
      </c>
      <c r="G21" s="61" t="s">
        <v>277</v>
      </c>
      <c r="H21" s="540" t="s">
        <v>241</v>
      </c>
      <c r="I21" s="541"/>
      <c r="J21" s="236"/>
      <c r="K21" s="236">
        <v>0.39100000000000001</v>
      </c>
      <c r="L21" s="302"/>
      <c r="M21" s="237">
        <v>20</v>
      </c>
      <c r="N21" s="553"/>
      <c r="O21" s="627"/>
      <c r="P21" s="623"/>
      <c r="Q21" s="625"/>
      <c r="R21" s="625"/>
    </row>
    <row r="22" spans="1:18" s="240" customFormat="1" ht="53.25" customHeight="1" thickBot="1">
      <c r="A22" s="234">
        <f t="shared" si="0"/>
        <v>91</v>
      </c>
      <c r="B22" s="235">
        <f t="shared" si="1"/>
        <v>90</v>
      </c>
      <c r="C22" s="300" t="s">
        <v>306</v>
      </c>
      <c r="D22" s="293" t="s">
        <v>346</v>
      </c>
      <c r="E22" s="309" t="s">
        <v>371</v>
      </c>
      <c r="F22" s="61" t="s">
        <v>301</v>
      </c>
      <c r="G22" s="61" t="s">
        <v>275</v>
      </c>
      <c r="H22" s="540" t="s">
        <v>303</v>
      </c>
      <c r="I22" s="541"/>
      <c r="J22" s="236"/>
      <c r="K22" s="236"/>
      <c r="L22" s="237">
        <f t="shared" si="9"/>
        <v>0</v>
      </c>
      <c r="M22" s="237">
        <v>75</v>
      </c>
      <c r="N22" s="298">
        <f>M22+M19*0.1</f>
        <v>90</v>
      </c>
      <c r="O22" s="316">
        <f t="shared" si="3"/>
        <v>0.98901098901098905</v>
      </c>
      <c r="P22" s="307">
        <f t="shared" si="4"/>
        <v>40</v>
      </c>
      <c r="Q22" s="308">
        <f t="shared" si="5"/>
        <v>40</v>
      </c>
      <c r="R22" s="308">
        <f t="shared" si="6"/>
        <v>40</v>
      </c>
    </row>
    <row r="23" spans="1:18" s="240" customFormat="1" ht="54" customHeight="1" thickBot="1">
      <c r="A23" s="234"/>
      <c r="B23" s="235"/>
      <c r="C23" s="300" t="s">
        <v>306</v>
      </c>
      <c r="D23" s="293" t="s">
        <v>347</v>
      </c>
      <c r="E23" s="300"/>
      <c r="F23" s="295" t="s">
        <v>52</v>
      </c>
      <c r="G23" s="295" t="s">
        <v>297</v>
      </c>
      <c r="H23" s="540" t="s">
        <v>298</v>
      </c>
      <c r="I23" s="541"/>
      <c r="J23" s="236"/>
      <c r="K23" s="257"/>
      <c r="L23" s="237">
        <f t="shared" si="9"/>
        <v>0</v>
      </c>
      <c r="M23" s="237">
        <v>80</v>
      </c>
      <c r="N23" s="298">
        <f t="shared" si="8"/>
        <v>80</v>
      </c>
      <c r="O23" s="316">
        <f t="shared" si="3"/>
        <v>0.87912087912087911</v>
      </c>
      <c r="P23" s="307">
        <f t="shared" si="4"/>
        <v>45</v>
      </c>
      <c r="Q23" s="308">
        <f t="shared" si="5"/>
        <v>40</v>
      </c>
      <c r="R23" s="308">
        <f t="shared" si="6"/>
        <v>40</v>
      </c>
    </row>
    <row r="24" spans="1:18" s="240" customFormat="1" ht="93.75" customHeight="1" thickBot="1">
      <c r="A24" s="234">
        <f t="shared" ref="A24:A36" si="12">$R$3</f>
        <v>91</v>
      </c>
      <c r="B24" s="235">
        <f t="shared" ref="B24:B36" si="13">$P$3</f>
        <v>90</v>
      </c>
      <c r="C24" s="300">
        <v>29</v>
      </c>
      <c r="D24" s="300" t="s">
        <v>349</v>
      </c>
      <c r="E24" s="300"/>
      <c r="F24" s="61" t="s">
        <v>142</v>
      </c>
      <c r="G24" s="61" t="s">
        <v>274</v>
      </c>
      <c r="H24" s="540" t="s">
        <v>242</v>
      </c>
      <c r="I24" s="541"/>
      <c r="J24" s="236"/>
      <c r="K24" s="236">
        <v>0.69330000000000003</v>
      </c>
      <c r="L24" s="237">
        <f t="shared" si="9"/>
        <v>55.463999999999999</v>
      </c>
      <c r="M24" s="237">
        <v>90</v>
      </c>
      <c r="N24" s="298">
        <f t="shared" si="8"/>
        <v>90</v>
      </c>
      <c r="O24" s="316">
        <f t="shared" si="3"/>
        <v>0.98901098901098905</v>
      </c>
      <c r="P24" s="307">
        <f t="shared" si="4"/>
        <v>40</v>
      </c>
      <c r="Q24" s="308">
        <f t="shared" si="5"/>
        <v>40</v>
      </c>
      <c r="R24" s="308">
        <f t="shared" si="6"/>
        <v>40</v>
      </c>
    </row>
    <row r="25" spans="1:18" s="240" customFormat="1" ht="96.75" customHeight="1" thickBot="1">
      <c r="A25" s="234">
        <f t="shared" si="12"/>
        <v>91</v>
      </c>
      <c r="B25" s="235">
        <f t="shared" si="13"/>
        <v>90</v>
      </c>
      <c r="C25" s="300">
        <v>30</v>
      </c>
      <c r="D25" s="300" t="s">
        <v>341</v>
      </c>
      <c r="E25" s="300"/>
      <c r="F25" s="61" t="s">
        <v>52</v>
      </c>
      <c r="G25" s="61" t="s">
        <v>275</v>
      </c>
      <c r="H25" s="540" t="s">
        <v>243</v>
      </c>
      <c r="I25" s="541"/>
      <c r="J25" s="236"/>
      <c r="K25" s="236">
        <v>0.50029999999999997</v>
      </c>
      <c r="L25" s="237">
        <f t="shared" si="9"/>
        <v>40.023999999999994</v>
      </c>
      <c r="M25" s="237">
        <v>55</v>
      </c>
      <c r="N25" s="298">
        <f t="shared" si="8"/>
        <v>55</v>
      </c>
      <c r="O25" s="316">
        <f t="shared" si="3"/>
        <v>0.60439560439560436</v>
      </c>
      <c r="P25" s="307">
        <f t="shared" si="4"/>
        <v>65.454545454545453</v>
      </c>
      <c r="Q25" s="308">
        <f t="shared" si="5"/>
        <v>40</v>
      </c>
      <c r="R25" s="308">
        <f t="shared" si="6"/>
        <v>40</v>
      </c>
    </row>
    <row r="26" spans="1:18" s="240" customFormat="1" ht="117" customHeight="1" thickBot="1">
      <c r="A26" s="234">
        <f t="shared" si="12"/>
        <v>91</v>
      </c>
      <c r="B26" s="235">
        <f t="shared" si="13"/>
        <v>90</v>
      </c>
      <c r="C26" s="300" t="s">
        <v>290</v>
      </c>
      <c r="D26" s="300" t="s">
        <v>350</v>
      </c>
      <c r="E26" s="300"/>
      <c r="F26" s="61" t="s">
        <v>52</v>
      </c>
      <c r="G26" s="61" t="s">
        <v>275</v>
      </c>
      <c r="H26" s="540" t="s">
        <v>292</v>
      </c>
      <c r="I26" s="541"/>
      <c r="J26" s="236"/>
      <c r="K26" s="257">
        <f>1.9469/2</f>
        <v>0.97345000000000004</v>
      </c>
      <c r="L26" s="237">
        <f t="shared" si="9"/>
        <v>77.876000000000005</v>
      </c>
      <c r="M26" s="237">
        <v>86</v>
      </c>
      <c r="N26" s="298">
        <f t="shared" si="8"/>
        <v>86</v>
      </c>
      <c r="O26" s="316">
        <f t="shared" si="3"/>
        <v>0.94505494505494503</v>
      </c>
      <c r="P26" s="307">
        <f t="shared" si="4"/>
        <v>41.860465116279073</v>
      </c>
      <c r="Q26" s="308">
        <f t="shared" si="5"/>
        <v>40</v>
      </c>
      <c r="R26" s="308">
        <f t="shared" si="6"/>
        <v>40</v>
      </c>
    </row>
    <row r="27" spans="1:18" s="240" customFormat="1" ht="71.25" customHeight="1" thickBot="1">
      <c r="A27" s="234">
        <f t="shared" si="12"/>
        <v>91</v>
      </c>
      <c r="B27" s="235">
        <f t="shared" si="13"/>
        <v>90</v>
      </c>
      <c r="C27" s="300">
        <v>32</v>
      </c>
      <c r="D27" s="300" t="s">
        <v>351</v>
      </c>
      <c r="E27" s="300"/>
      <c r="F27" s="61" t="s">
        <v>52</v>
      </c>
      <c r="G27" s="61" t="s">
        <v>275</v>
      </c>
      <c r="H27" s="540" t="s">
        <v>245</v>
      </c>
      <c r="I27" s="541"/>
      <c r="J27" s="236"/>
      <c r="K27" s="236">
        <v>0.57050000000000001</v>
      </c>
      <c r="L27" s="237">
        <f t="shared" si="9"/>
        <v>45.640000000000008</v>
      </c>
      <c r="M27" s="237">
        <v>80</v>
      </c>
      <c r="N27" s="298">
        <f t="shared" si="8"/>
        <v>80</v>
      </c>
      <c r="O27" s="316">
        <f t="shared" si="3"/>
        <v>0.87912087912087911</v>
      </c>
      <c r="P27" s="307">
        <f t="shared" si="4"/>
        <v>45</v>
      </c>
      <c r="Q27" s="308">
        <f t="shared" si="5"/>
        <v>40</v>
      </c>
      <c r="R27" s="308">
        <f t="shared" si="6"/>
        <v>40</v>
      </c>
    </row>
    <row r="28" spans="1:18" s="240" customFormat="1" ht="160.5" customHeight="1" thickBot="1">
      <c r="A28" s="234">
        <f t="shared" si="12"/>
        <v>91</v>
      </c>
      <c r="B28" s="235">
        <f t="shared" si="13"/>
        <v>90</v>
      </c>
      <c r="C28" s="300">
        <v>33</v>
      </c>
      <c r="D28" s="542" t="s">
        <v>352</v>
      </c>
      <c r="E28" s="300"/>
      <c r="F28" s="61" t="s">
        <v>57</v>
      </c>
      <c r="G28" s="61" t="s">
        <v>285</v>
      </c>
      <c r="H28" s="540" t="s">
        <v>368</v>
      </c>
      <c r="I28" s="541"/>
      <c r="J28" s="236"/>
      <c r="K28" s="236">
        <v>0.83320000000000005</v>
      </c>
      <c r="L28" s="237">
        <f t="shared" si="9"/>
        <v>66.656000000000006</v>
      </c>
      <c r="M28" s="237">
        <v>70</v>
      </c>
      <c r="N28" s="552">
        <f>M28+M29</f>
        <v>90</v>
      </c>
      <c r="O28" s="626">
        <f t="shared" si="3"/>
        <v>0.98901098901098905</v>
      </c>
      <c r="P28" s="622">
        <f t="shared" si="4"/>
        <v>40</v>
      </c>
      <c r="Q28" s="624">
        <f t="shared" si="5"/>
        <v>40</v>
      </c>
      <c r="R28" s="624">
        <f t="shared" si="6"/>
        <v>40</v>
      </c>
    </row>
    <row r="29" spans="1:18" s="240" customFormat="1" ht="69" customHeight="1" thickBot="1">
      <c r="A29" s="234">
        <f t="shared" si="12"/>
        <v>91</v>
      </c>
      <c r="B29" s="235">
        <f t="shared" si="13"/>
        <v>90</v>
      </c>
      <c r="C29" s="300">
        <v>34</v>
      </c>
      <c r="D29" s="543"/>
      <c r="E29" s="300"/>
      <c r="F29" s="61"/>
      <c r="G29" s="61"/>
      <c r="H29" s="540" t="s">
        <v>321</v>
      </c>
      <c r="I29" s="541"/>
      <c r="J29" s="236"/>
      <c r="K29" s="236">
        <v>0.35410000000000003</v>
      </c>
      <c r="L29" s="301">
        <f>((K29*60)/0.75)+((K30*60)/0.75)</f>
        <v>56.040000000000006</v>
      </c>
      <c r="M29" s="297">
        <v>20</v>
      </c>
      <c r="N29" s="553"/>
      <c r="O29" s="627"/>
      <c r="P29" s="623"/>
      <c r="Q29" s="625"/>
      <c r="R29" s="625"/>
    </row>
    <row r="30" spans="1:18" s="240" customFormat="1" ht="68.25" customHeight="1" thickBot="1">
      <c r="A30" s="234">
        <f t="shared" si="12"/>
        <v>91</v>
      </c>
      <c r="B30" s="235">
        <f t="shared" si="13"/>
        <v>90</v>
      </c>
      <c r="C30" s="300">
        <v>35</v>
      </c>
      <c r="D30" s="300" t="s">
        <v>340</v>
      </c>
      <c r="E30" s="300"/>
      <c r="F30" s="61" t="s">
        <v>52</v>
      </c>
      <c r="G30" s="61" t="s">
        <v>275</v>
      </c>
      <c r="H30" s="540" t="s">
        <v>248</v>
      </c>
      <c r="I30" s="541"/>
      <c r="J30" s="236"/>
      <c r="K30" s="236">
        <v>0.34639999999999999</v>
      </c>
      <c r="L30" s="237">
        <f t="shared" si="9"/>
        <v>27.712</v>
      </c>
      <c r="M30" s="237">
        <v>85</v>
      </c>
      <c r="N30" s="298">
        <f>M30</f>
        <v>85</v>
      </c>
      <c r="O30" s="316">
        <f t="shared" si="3"/>
        <v>0.93406593406593408</v>
      </c>
      <c r="P30" s="307">
        <f t="shared" si="4"/>
        <v>42.352941176470587</v>
      </c>
      <c r="Q30" s="308">
        <f t="shared" si="5"/>
        <v>40</v>
      </c>
      <c r="R30" s="308">
        <f t="shared" si="6"/>
        <v>40</v>
      </c>
    </row>
    <row r="31" spans="1:18" s="240" customFormat="1" ht="72.75" customHeight="1" thickBot="1">
      <c r="A31" s="234">
        <f t="shared" si="12"/>
        <v>91</v>
      </c>
      <c r="B31" s="235">
        <f t="shared" si="13"/>
        <v>90</v>
      </c>
      <c r="C31" s="300">
        <v>36</v>
      </c>
      <c r="D31" s="300" t="s">
        <v>353</v>
      </c>
      <c r="E31" s="300"/>
      <c r="F31" s="61" t="s">
        <v>52</v>
      </c>
      <c r="G31" s="61" t="s">
        <v>275</v>
      </c>
      <c r="H31" s="540" t="s">
        <v>249</v>
      </c>
      <c r="I31" s="541"/>
      <c r="J31" s="236"/>
      <c r="K31" s="236">
        <v>0.68920000000000003</v>
      </c>
      <c r="L31" s="237">
        <f t="shared" si="9"/>
        <v>55.136000000000003</v>
      </c>
      <c r="M31" s="237">
        <v>70</v>
      </c>
      <c r="N31" s="298">
        <f t="shared" si="8"/>
        <v>70</v>
      </c>
      <c r="O31" s="316">
        <f t="shared" si="3"/>
        <v>0.76923076923076927</v>
      </c>
      <c r="P31" s="307">
        <f t="shared" si="4"/>
        <v>51.428571428571431</v>
      </c>
      <c r="Q31" s="308">
        <f t="shared" si="5"/>
        <v>40</v>
      </c>
      <c r="R31" s="308">
        <f t="shared" si="6"/>
        <v>40</v>
      </c>
    </row>
    <row r="32" spans="1:18" s="240" customFormat="1" ht="69" customHeight="1" thickBot="1">
      <c r="A32" s="234">
        <f t="shared" si="12"/>
        <v>91</v>
      </c>
      <c r="B32" s="235">
        <f t="shared" si="13"/>
        <v>90</v>
      </c>
      <c r="C32" s="300">
        <v>37</v>
      </c>
      <c r="D32" s="294" t="s">
        <v>354</v>
      </c>
      <c r="E32" s="300"/>
      <c r="F32" s="296"/>
      <c r="G32" s="296"/>
      <c r="H32" s="540" t="s">
        <v>250</v>
      </c>
      <c r="I32" s="541"/>
      <c r="J32" s="236"/>
      <c r="K32" s="236">
        <v>0.7288</v>
      </c>
      <c r="L32" s="302"/>
      <c r="M32" s="298">
        <v>73</v>
      </c>
      <c r="N32" s="298">
        <f t="shared" si="8"/>
        <v>73</v>
      </c>
      <c r="O32" s="316">
        <f t="shared" si="3"/>
        <v>0.80219780219780223</v>
      </c>
      <c r="P32" s="307">
        <f t="shared" si="4"/>
        <v>49.315068493150683</v>
      </c>
      <c r="Q32" s="308">
        <f t="shared" si="5"/>
        <v>40</v>
      </c>
      <c r="R32" s="308">
        <f t="shared" si="6"/>
        <v>40</v>
      </c>
    </row>
    <row r="33" spans="1:18" s="240" customFormat="1" ht="79.5" customHeight="1" thickBot="1">
      <c r="A33" s="234">
        <f t="shared" si="12"/>
        <v>91</v>
      </c>
      <c r="B33" s="235">
        <f t="shared" si="13"/>
        <v>90</v>
      </c>
      <c r="C33" s="300">
        <v>22</v>
      </c>
      <c r="D33" s="300" t="s">
        <v>355</v>
      </c>
      <c r="E33" s="300"/>
      <c r="F33" s="61" t="s">
        <v>166</v>
      </c>
      <c r="G33" s="61" t="s">
        <v>277</v>
      </c>
      <c r="H33" s="540" t="s">
        <v>262</v>
      </c>
      <c r="I33" s="541"/>
      <c r="J33" s="236"/>
      <c r="K33" s="236">
        <v>0.78939999999999999</v>
      </c>
      <c r="L33" s="237">
        <f t="shared" si="9"/>
        <v>63.151999999999994</v>
      </c>
      <c r="M33" s="237">
        <v>80</v>
      </c>
      <c r="N33" s="298">
        <f t="shared" si="8"/>
        <v>80</v>
      </c>
      <c r="O33" s="316">
        <f t="shared" si="3"/>
        <v>0.87912087912087911</v>
      </c>
      <c r="P33" s="307">
        <f t="shared" si="4"/>
        <v>45</v>
      </c>
      <c r="Q33" s="308">
        <f t="shared" si="5"/>
        <v>40</v>
      </c>
      <c r="R33" s="308">
        <f t="shared" si="6"/>
        <v>40</v>
      </c>
    </row>
    <row r="34" spans="1:18" s="240" customFormat="1" ht="78" customHeight="1" thickBot="1">
      <c r="A34" s="234">
        <f t="shared" si="12"/>
        <v>91</v>
      </c>
      <c r="B34" s="235">
        <f t="shared" si="13"/>
        <v>90</v>
      </c>
      <c r="C34" s="300">
        <v>25</v>
      </c>
      <c r="D34" s="300" t="s">
        <v>356</v>
      </c>
      <c r="E34" s="300"/>
      <c r="F34" s="61" t="s">
        <v>166</v>
      </c>
      <c r="G34" s="61" t="s">
        <v>277</v>
      </c>
      <c r="H34" s="540" t="s">
        <v>263</v>
      </c>
      <c r="I34" s="541"/>
      <c r="J34" s="236"/>
      <c r="K34" s="236">
        <v>0.72440000000000004</v>
      </c>
      <c r="L34" s="237">
        <f t="shared" si="9"/>
        <v>57.952000000000005</v>
      </c>
      <c r="M34" s="237">
        <v>70</v>
      </c>
      <c r="N34" s="298">
        <f t="shared" si="8"/>
        <v>70</v>
      </c>
      <c r="O34" s="316">
        <f t="shared" si="3"/>
        <v>0.76923076923076927</v>
      </c>
      <c r="P34" s="307">
        <f t="shared" si="4"/>
        <v>51.428571428571431</v>
      </c>
      <c r="Q34" s="308">
        <f t="shared" si="5"/>
        <v>40</v>
      </c>
      <c r="R34" s="308">
        <f t="shared" si="6"/>
        <v>40</v>
      </c>
    </row>
    <row r="35" spans="1:18" s="240" customFormat="1" ht="69" customHeight="1" thickBot="1">
      <c r="A35" s="234">
        <f t="shared" si="12"/>
        <v>91</v>
      </c>
      <c r="B35" s="235">
        <f t="shared" si="13"/>
        <v>90</v>
      </c>
      <c r="C35" s="300">
        <v>26</v>
      </c>
      <c r="D35" s="300" t="s">
        <v>357</v>
      </c>
      <c r="E35" s="300"/>
      <c r="F35" s="61" t="s">
        <v>166</v>
      </c>
      <c r="G35" s="61" t="s">
        <v>277</v>
      </c>
      <c r="H35" s="540" t="s">
        <v>239</v>
      </c>
      <c r="I35" s="541"/>
      <c r="J35" s="236"/>
      <c r="K35" s="236">
        <v>0.9002</v>
      </c>
      <c r="L35" s="237">
        <f t="shared" si="9"/>
        <v>72.016000000000005</v>
      </c>
      <c r="M35" s="237">
        <v>130</v>
      </c>
      <c r="N35" s="298">
        <f>M35*0.7</f>
        <v>91</v>
      </c>
      <c r="O35" s="316">
        <f t="shared" si="3"/>
        <v>1</v>
      </c>
      <c r="P35" s="307">
        <f t="shared" si="4"/>
        <v>39.560439560439562</v>
      </c>
      <c r="Q35" s="308">
        <f t="shared" si="5"/>
        <v>40</v>
      </c>
      <c r="R35" s="308">
        <f t="shared" si="6"/>
        <v>40</v>
      </c>
    </row>
    <row r="36" spans="1:18" s="240" customFormat="1" ht="70.5" customHeight="1" thickBot="1">
      <c r="A36" s="234">
        <f t="shared" si="12"/>
        <v>91</v>
      </c>
      <c r="B36" s="235">
        <f t="shared" si="13"/>
        <v>90</v>
      </c>
      <c r="C36" s="300">
        <v>38</v>
      </c>
      <c r="D36" s="300" t="s">
        <v>341</v>
      </c>
      <c r="E36" s="300"/>
      <c r="F36" s="61" t="s">
        <v>166</v>
      </c>
      <c r="G36" s="61" t="s">
        <v>277</v>
      </c>
      <c r="H36" s="540" t="s">
        <v>252</v>
      </c>
      <c r="I36" s="541"/>
      <c r="J36" s="236"/>
      <c r="K36" s="236">
        <v>1.3359000000000001</v>
      </c>
      <c r="L36" s="237">
        <f t="shared" si="9"/>
        <v>106.87200000000001</v>
      </c>
      <c r="M36" s="237">
        <v>130</v>
      </c>
      <c r="N36" s="298">
        <f>M36*0.7</f>
        <v>91</v>
      </c>
      <c r="O36" s="316">
        <f t="shared" si="3"/>
        <v>1</v>
      </c>
      <c r="P36" s="307">
        <f t="shared" si="4"/>
        <v>39.560439560439562</v>
      </c>
      <c r="Q36" s="308">
        <f t="shared" si="5"/>
        <v>40</v>
      </c>
      <c r="R36" s="308">
        <f t="shared" si="6"/>
        <v>40</v>
      </c>
    </row>
    <row r="37" spans="1:18" s="240" customFormat="1" ht="121.5" customHeight="1" thickBot="1">
      <c r="A37" s="234"/>
      <c r="B37" s="235"/>
      <c r="C37" s="300"/>
      <c r="D37" s="300" t="s">
        <v>372</v>
      </c>
      <c r="E37" s="310" t="s">
        <v>374</v>
      </c>
      <c r="F37" s="61"/>
      <c r="G37" s="61"/>
      <c r="H37" s="540" t="s">
        <v>369</v>
      </c>
      <c r="I37" s="541"/>
      <c r="J37" s="236"/>
      <c r="K37" s="236"/>
      <c r="L37" s="237"/>
      <c r="M37" s="237">
        <f>(M36*0.3)+(N38*0.2)+(M35*0.25)</f>
        <v>89.1</v>
      </c>
      <c r="N37" s="298">
        <f>M37</f>
        <v>89.1</v>
      </c>
      <c r="O37" s="316">
        <f t="shared" si="3"/>
        <v>0.97912087912087908</v>
      </c>
      <c r="P37" s="307">
        <f t="shared" si="4"/>
        <v>40.404040404040408</v>
      </c>
      <c r="Q37" s="308">
        <f t="shared" si="5"/>
        <v>40</v>
      </c>
      <c r="R37" s="308">
        <f t="shared" ref="R37" si="14">+Q37</f>
        <v>40</v>
      </c>
    </row>
    <row r="38" spans="1:18" s="240" customFormat="1" ht="70.5" customHeight="1" thickBot="1">
      <c r="A38" s="234">
        <f t="shared" ref="A38:A45" si="15">$R$3</f>
        <v>91</v>
      </c>
      <c r="B38" s="235">
        <f t="shared" ref="B38:B45" si="16">$P$3</f>
        <v>90</v>
      </c>
      <c r="C38" s="300">
        <v>39</v>
      </c>
      <c r="D38" s="300" t="s">
        <v>358</v>
      </c>
      <c r="E38" s="300"/>
      <c r="F38" s="61" t="s">
        <v>166</v>
      </c>
      <c r="G38" s="61" t="s">
        <v>277</v>
      </c>
      <c r="H38" s="540" t="s">
        <v>251</v>
      </c>
      <c r="I38" s="541"/>
      <c r="J38" s="236"/>
      <c r="K38" s="236">
        <v>1.847</v>
      </c>
      <c r="L38" s="237">
        <f>((K38*60)/0.75)/2</f>
        <v>73.88</v>
      </c>
      <c r="M38" s="237">
        <v>110</v>
      </c>
      <c r="N38" s="552">
        <f>M38*0.8</f>
        <v>88</v>
      </c>
      <c r="O38" s="626">
        <f t="shared" si="3"/>
        <v>0.96703296703296704</v>
      </c>
      <c r="P38" s="622">
        <f t="shared" si="4"/>
        <v>40.909090909090907</v>
      </c>
      <c r="Q38" s="624">
        <f t="shared" si="5"/>
        <v>40</v>
      </c>
      <c r="R38" s="624">
        <f t="shared" si="6"/>
        <v>40</v>
      </c>
    </row>
    <row r="39" spans="1:18" s="240" customFormat="1" ht="70.5" customHeight="1" thickBot="1">
      <c r="A39" s="234">
        <f t="shared" si="15"/>
        <v>91</v>
      </c>
      <c r="B39" s="235">
        <f t="shared" si="16"/>
        <v>90</v>
      </c>
      <c r="C39" s="300">
        <v>39</v>
      </c>
      <c r="D39" s="300" t="s">
        <v>359</v>
      </c>
      <c r="E39" s="300"/>
      <c r="F39" s="61" t="s">
        <v>166</v>
      </c>
      <c r="G39" s="61" t="s">
        <v>277</v>
      </c>
      <c r="H39" s="540" t="s">
        <v>251</v>
      </c>
      <c r="I39" s="541"/>
      <c r="J39" s="236"/>
      <c r="K39" s="236">
        <v>1.847</v>
      </c>
      <c r="L39" s="237">
        <f>((K39*60)/0.75)/2</f>
        <v>73.88</v>
      </c>
      <c r="M39" s="237">
        <v>110</v>
      </c>
      <c r="N39" s="553"/>
      <c r="O39" s="627"/>
      <c r="P39" s="623"/>
      <c r="Q39" s="625"/>
      <c r="R39" s="625"/>
    </row>
    <row r="40" spans="1:18" s="240" customFormat="1" ht="57.75" customHeight="1" thickBot="1">
      <c r="A40" s="234">
        <f t="shared" si="15"/>
        <v>91</v>
      </c>
      <c r="B40" s="235">
        <f t="shared" si="16"/>
        <v>90</v>
      </c>
      <c r="C40" s="300">
        <v>40</v>
      </c>
      <c r="D40" s="300" t="s">
        <v>360</v>
      </c>
      <c r="E40" s="300"/>
      <c r="F40" s="61" t="s">
        <v>142</v>
      </c>
      <c r="G40" s="61" t="s">
        <v>276</v>
      </c>
      <c r="H40" s="540" t="s">
        <v>253</v>
      </c>
      <c r="I40" s="541"/>
      <c r="J40" s="236"/>
      <c r="K40" s="236">
        <v>0.79549999999999998</v>
      </c>
      <c r="L40" s="237">
        <f t="shared" si="9"/>
        <v>63.639999999999993</v>
      </c>
      <c r="M40" s="237">
        <v>80</v>
      </c>
      <c r="N40" s="298">
        <f t="shared" si="8"/>
        <v>80</v>
      </c>
      <c r="O40" s="316">
        <f t="shared" si="3"/>
        <v>0.87912087912087911</v>
      </c>
      <c r="P40" s="307">
        <f t="shared" si="4"/>
        <v>45</v>
      </c>
      <c r="Q40" s="308">
        <f t="shared" si="5"/>
        <v>40</v>
      </c>
      <c r="R40" s="308">
        <f t="shared" si="6"/>
        <v>40</v>
      </c>
    </row>
    <row r="41" spans="1:18" s="240" customFormat="1" ht="81" customHeight="1" thickBot="1">
      <c r="A41" s="234">
        <f t="shared" si="15"/>
        <v>91</v>
      </c>
      <c r="B41" s="235">
        <f t="shared" si="16"/>
        <v>90</v>
      </c>
      <c r="C41" s="300">
        <v>41</v>
      </c>
      <c r="D41" s="300" t="s">
        <v>361</v>
      </c>
      <c r="E41" s="300"/>
      <c r="F41" s="61" t="s">
        <v>189</v>
      </c>
      <c r="G41" s="61" t="s">
        <v>278</v>
      </c>
      <c r="H41" s="540" t="s">
        <v>282</v>
      </c>
      <c r="I41" s="541"/>
      <c r="J41" s="236"/>
      <c r="K41" s="236">
        <v>0.7036</v>
      </c>
      <c r="L41" s="237">
        <f t="shared" si="9"/>
        <v>56.288000000000004</v>
      </c>
      <c r="M41" s="237">
        <v>50</v>
      </c>
      <c r="N41" s="298">
        <f t="shared" si="8"/>
        <v>50</v>
      </c>
      <c r="O41" s="316">
        <f t="shared" si="3"/>
        <v>0.5494505494505495</v>
      </c>
      <c r="P41" s="307">
        <f t="shared" si="4"/>
        <v>72</v>
      </c>
      <c r="Q41" s="308">
        <f t="shared" si="5"/>
        <v>40</v>
      </c>
      <c r="R41" s="308">
        <f t="shared" si="6"/>
        <v>40</v>
      </c>
    </row>
    <row r="42" spans="1:18" s="240" customFormat="1" ht="57.75" customHeight="1" thickBot="1">
      <c r="A42" s="234">
        <f t="shared" si="15"/>
        <v>91</v>
      </c>
      <c r="B42" s="235">
        <f t="shared" si="16"/>
        <v>90</v>
      </c>
      <c r="C42" s="300">
        <v>42</v>
      </c>
      <c r="D42" s="609" t="s">
        <v>362</v>
      </c>
      <c r="E42" s="300"/>
      <c r="F42" s="61" t="s">
        <v>189</v>
      </c>
      <c r="G42" s="61" t="s">
        <v>276</v>
      </c>
      <c r="H42" s="540" t="s">
        <v>255</v>
      </c>
      <c r="I42" s="541"/>
      <c r="J42" s="236"/>
      <c r="K42" s="236">
        <v>0.67479999999999996</v>
      </c>
      <c r="L42" s="301">
        <f>((K42*60)/0.75)+((K43*60)/0.75)</f>
        <v>78.75200000000001</v>
      </c>
      <c r="M42" s="237">
        <v>65</v>
      </c>
      <c r="N42" s="552">
        <f>M42+M43</f>
        <v>90</v>
      </c>
      <c r="O42" s="626">
        <f t="shared" si="3"/>
        <v>0.98901098901098905</v>
      </c>
      <c r="P42" s="622">
        <f t="shared" si="4"/>
        <v>40</v>
      </c>
      <c r="Q42" s="624">
        <f t="shared" si="5"/>
        <v>40</v>
      </c>
      <c r="R42" s="624">
        <f t="shared" si="6"/>
        <v>40</v>
      </c>
    </row>
    <row r="43" spans="1:18" s="240" customFormat="1" ht="69.75" customHeight="1" thickBot="1">
      <c r="A43" s="234">
        <f t="shared" si="15"/>
        <v>91</v>
      </c>
      <c r="B43" s="235">
        <f t="shared" si="16"/>
        <v>90</v>
      </c>
      <c r="C43" s="300">
        <v>43</v>
      </c>
      <c r="D43" s="609"/>
      <c r="E43" s="300"/>
      <c r="F43" s="61" t="s">
        <v>52</v>
      </c>
      <c r="G43" s="61" t="s">
        <v>275</v>
      </c>
      <c r="H43" s="540" t="s">
        <v>256</v>
      </c>
      <c r="I43" s="541"/>
      <c r="J43" s="236"/>
      <c r="K43" s="236">
        <v>0.30959999999999999</v>
      </c>
      <c r="L43" s="302"/>
      <c r="M43" s="237">
        <v>25</v>
      </c>
      <c r="N43" s="553"/>
      <c r="O43" s="627"/>
      <c r="P43" s="623"/>
      <c r="Q43" s="625"/>
      <c r="R43" s="625"/>
    </row>
    <row r="44" spans="1:18" s="240" customFormat="1" ht="56.25" customHeight="1" thickBot="1">
      <c r="A44" s="234">
        <f t="shared" si="15"/>
        <v>91</v>
      </c>
      <c r="B44" s="235">
        <f t="shared" si="16"/>
        <v>90</v>
      </c>
      <c r="C44" s="300">
        <v>44</v>
      </c>
      <c r="D44" s="542" t="s">
        <v>363</v>
      </c>
      <c r="E44" s="300"/>
      <c r="F44" s="544" t="s">
        <v>147</v>
      </c>
      <c r="G44" s="544" t="s">
        <v>279</v>
      </c>
      <c r="H44" s="540" t="s">
        <v>257</v>
      </c>
      <c r="I44" s="541"/>
      <c r="J44" s="236"/>
      <c r="K44" s="236">
        <v>0.2243</v>
      </c>
      <c r="L44" s="301">
        <f>((K44*60)/1.1)+((K45*60)/1.1)</f>
        <v>78.125454545454545</v>
      </c>
      <c r="M44" s="552">
        <v>85</v>
      </c>
      <c r="N44" s="552">
        <f t="shared" si="8"/>
        <v>85</v>
      </c>
      <c r="O44" s="626">
        <f t="shared" si="3"/>
        <v>0.93406593406593408</v>
      </c>
      <c r="P44" s="622">
        <f t="shared" si="4"/>
        <v>42.352941176470587</v>
      </c>
      <c r="Q44" s="624">
        <f t="shared" si="5"/>
        <v>40</v>
      </c>
      <c r="R44" s="624">
        <f t="shared" si="6"/>
        <v>40</v>
      </c>
    </row>
    <row r="45" spans="1:18" s="240" customFormat="1" ht="105.75" customHeight="1" thickBot="1">
      <c r="A45" s="234">
        <f t="shared" si="15"/>
        <v>91</v>
      </c>
      <c r="B45" s="235">
        <f t="shared" si="16"/>
        <v>90</v>
      </c>
      <c r="C45" s="300">
        <v>45</v>
      </c>
      <c r="D45" s="543"/>
      <c r="E45" s="300"/>
      <c r="F45" s="545"/>
      <c r="G45" s="545"/>
      <c r="H45" s="540" t="s">
        <v>258</v>
      </c>
      <c r="I45" s="541"/>
      <c r="J45" s="236"/>
      <c r="K45" s="236">
        <v>1.208</v>
      </c>
      <c r="L45" s="302"/>
      <c r="M45" s="553"/>
      <c r="N45" s="553"/>
      <c r="O45" s="627"/>
      <c r="P45" s="623"/>
      <c r="Q45" s="625"/>
      <c r="R45" s="625"/>
    </row>
    <row r="46" spans="1:18" s="315" customFormat="1" ht="105.75" customHeight="1">
      <c r="A46" s="311"/>
      <c r="B46" s="312"/>
      <c r="C46" s="313"/>
      <c r="D46" s="294" t="s">
        <v>373</v>
      </c>
      <c r="E46" s="300"/>
      <c r="F46" s="296"/>
      <c r="G46" s="296"/>
      <c r="H46" s="630"/>
      <c r="I46" s="630"/>
      <c r="J46" s="314"/>
      <c r="K46" s="236"/>
      <c r="L46" s="305"/>
      <c r="M46" s="237"/>
      <c r="N46" s="237"/>
      <c r="O46" s="306"/>
      <c r="P46" s="307"/>
      <c r="Q46" s="308"/>
      <c r="R46" s="308"/>
    </row>
    <row r="47" spans="1:18" ht="28.5" customHeight="1">
      <c r="A47" s="241"/>
      <c r="B47" s="242"/>
      <c r="C47" s="243"/>
      <c r="D47" s="244">
        <f>COUNTA(D10:D46)</f>
        <v>29</v>
      </c>
      <c r="E47" s="244"/>
      <c r="F47" s="244"/>
      <c r="G47" s="244"/>
      <c r="H47" s="554"/>
      <c r="I47" s="554"/>
      <c r="J47" s="554"/>
      <c r="K47" s="554"/>
      <c r="L47" s="554"/>
      <c r="M47" s="554"/>
      <c r="N47" s="554"/>
      <c r="O47" s="554"/>
      <c r="P47" s="554"/>
      <c r="Q47" s="299"/>
      <c r="R47" s="246"/>
    </row>
    <row r="48" spans="1:18" ht="50.25" customHeight="1">
      <c r="A48" s="241"/>
      <c r="B48" s="242"/>
      <c r="C48" s="243"/>
      <c r="D48" s="247"/>
      <c r="E48" s="247"/>
      <c r="F48" s="247"/>
      <c r="G48" s="247"/>
      <c r="H48" s="247"/>
      <c r="I48" s="247"/>
      <c r="J48" s="247"/>
      <c r="K48" s="247"/>
      <c r="L48" s="248"/>
      <c r="M48" s="248"/>
      <c r="N48" s="248"/>
      <c r="O48" s="247"/>
      <c r="P48" s="247"/>
      <c r="Q48" s="247"/>
      <c r="R48" s="246"/>
    </row>
    <row r="49" spans="1:18" ht="29.25" customHeight="1">
      <c r="A49" s="241"/>
      <c r="B49" s="242"/>
      <c r="C49" s="243"/>
      <c r="D49" s="247"/>
      <c r="E49" s="247"/>
      <c r="F49" s="247"/>
      <c r="G49" s="247"/>
      <c r="H49" s="247"/>
      <c r="I49" s="247"/>
      <c r="J49" s="247"/>
      <c r="K49" s="247"/>
      <c r="L49" s="248"/>
      <c r="M49" s="248"/>
      <c r="N49" s="248"/>
      <c r="O49" s="247"/>
      <c r="P49" s="247"/>
      <c r="Q49" s="247"/>
      <c r="R49" s="246"/>
    </row>
    <row r="50" spans="1:18" ht="29.25" customHeight="1">
      <c r="A50" s="241"/>
      <c r="B50" s="242"/>
      <c r="C50" s="243"/>
      <c r="D50" s="247"/>
      <c r="E50" s="247"/>
      <c r="F50" s="247"/>
      <c r="G50" s="247"/>
      <c r="H50" s="247"/>
      <c r="I50" s="247"/>
      <c r="J50" s="247"/>
      <c r="K50" s="247"/>
      <c r="L50" s="248"/>
      <c r="M50" s="248"/>
      <c r="N50" s="248"/>
      <c r="O50" s="247"/>
      <c r="P50" s="247"/>
      <c r="Q50" s="247"/>
      <c r="R50" s="246"/>
    </row>
    <row r="51" spans="1:18" ht="29.25" customHeight="1">
      <c r="A51" s="241"/>
      <c r="B51" s="242"/>
      <c r="C51" s="243"/>
      <c r="D51" s="299"/>
      <c r="E51" s="299"/>
      <c r="F51" s="299"/>
      <c r="G51" s="299"/>
      <c r="H51" s="554"/>
      <c r="I51" s="554"/>
      <c r="J51" s="554"/>
      <c r="K51" s="554"/>
      <c r="L51" s="554"/>
      <c r="M51" s="554"/>
      <c r="N51" s="554"/>
      <c r="O51" s="554"/>
      <c r="P51" s="554"/>
      <c r="Q51" s="299"/>
      <c r="R51" s="246"/>
    </row>
    <row r="52" spans="1:18">
      <c r="A52" s="241"/>
      <c r="B52" s="242"/>
      <c r="C52" s="243"/>
      <c r="D52" s="247"/>
      <c r="E52" s="247"/>
      <c r="F52" s="247"/>
      <c r="G52" s="247"/>
      <c r="H52" s="247"/>
      <c r="I52" s="247"/>
      <c r="J52" s="247"/>
      <c r="K52" s="247"/>
      <c r="L52" s="248"/>
      <c r="M52" s="248"/>
      <c r="N52" s="248"/>
      <c r="O52" s="247"/>
      <c r="P52" s="247"/>
      <c r="Q52" s="247"/>
      <c r="R52" s="246"/>
    </row>
    <row r="53" spans="1:18" ht="43.5" customHeight="1">
      <c r="A53" s="241"/>
      <c r="B53" s="242"/>
      <c r="C53" s="243"/>
      <c r="D53" s="247"/>
      <c r="E53" s="247"/>
      <c r="F53" s="247"/>
      <c r="G53" s="247"/>
      <c r="H53" s="247"/>
      <c r="I53" s="247"/>
      <c r="J53" s="247"/>
      <c r="K53" s="247"/>
      <c r="L53" s="248"/>
      <c r="M53" s="248"/>
      <c r="N53" s="248"/>
      <c r="O53" s="247"/>
      <c r="P53" s="247"/>
      <c r="Q53" s="247"/>
      <c r="R53" s="246"/>
    </row>
    <row r="54" spans="1:18">
      <c r="A54" s="241"/>
      <c r="B54" s="242"/>
      <c r="C54" s="243"/>
      <c r="D54" s="247"/>
      <c r="E54" s="247"/>
      <c r="F54" s="247"/>
      <c r="G54" s="247"/>
      <c r="H54" s="247"/>
      <c r="I54" s="247"/>
      <c r="J54" s="247"/>
      <c r="K54" s="247"/>
      <c r="L54" s="248"/>
      <c r="M54" s="248"/>
      <c r="N54" s="248"/>
      <c r="O54" s="247"/>
      <c r="P54" s="247"/>
      <c r="Q54" s="247"/>
      <c r="R54" s="246"/>
    </row>
    <row r="55" spans="1:18" ht="42" customHeight="1">
      <c r="C55" s="556" t="s">
        <v>79</v>
      </c>
      <c r="D55" s="556"/>
      <c r="E55" s="560" t="s">
        <v>80</v>
      </c>
      <c r="F55" s="561"/>
      <c r="G55" s="556" t="s">
        <v>81</v>
      </c>
      <c r="H55" s="556"/>
      <c r="I55" s="556" t="s">
        <v>82</v>
      </c>
      <c r="J55" s="556"/>
      <c r="K55" s="562" t="s">
        <v>83</v>
      </c>
      <c r="L55" s="562"/>
      <c r="M55" s="562"/>
      <c r="N55" s="562"/>
      <c r="O55" s="562"/>
      <c r="P55" s="556" t="s">
        <v>84</v>
      </c>
      <c r="Q55" s="556"/>
      <c r="R55" s="556"/>
    </row>
    <row r="56" spans="1:18" ht="13.2">
      <c r="C56" s="559"/>
      <c r="D56" s="559"/>
      <c r="E56" s="559"/>
      <c r="F56" s="559"/>
      <c r="G56" s="559"/>
      <c r="H56" s="559"/>
      <c r="I56" s="559"/>
      <c r="J56" s="559"/>
      <c r="K56" s="559"/>
      <c r="L56" s="559"/>
      <c r="M56" s="559"/>
      <c r="N56" s="559"/>
      <c r="O56" s="559"/>
      <c r="P56" s="559"/>
      <c r="Q56" s="559"/>
      <c r="R56" s="559"/>
    </row>
    <row r="57" spans="1:18" ht="13.2">
      <c r="C57" s="559"/>
      <c r="D57" s="559"/>
      <c r="E57" s="559"/>
      <c r="F57" s="559"/>
      <c r="G57" s="559"/>
      <c r="H57" s="559"/>
      <c r="I57" s="559"/>
      <c r="J57" s="559"/>
      <c r="K57" s="559"/>
      <c r="L57" s="559"/>
      <c r="M57" s="559"/>
      <c r="N57" s="559"/>
      <c r="O57" s="559"/>
      <c r="P57" s="559"/>
      <c r="Q57" s="559"/>
      <c r="R57" s="559"/>
    </row>
    <row r="58" spans="1:18" s="250" customFormat="1" ht="57" customHeight="1">
      <c r="A58" s="249"/>
      <c r="B58" s="249"/>
      <c r="C58" s="559"/>
      <c r="D58" s="559"/>
      <c r="E58" s="559"/>
      <c r="F58" s="559"/>
      <c r="G58" s="559"/>
      <c r="H58" s="559"/>
      <c r="I58" s="559"/>
      <c r="J58" s="559"/>
      <c r="K58" s="559"/>
      <c r="L58" s="559"/>
      <c r="M58" s="559"/>
      <c r="N58" s="559"/>
      <c r="O58" s="559"/>
      <c r="P58" s="559"/>
      <c r="Q58" s="559"/>
      <c r="R58" s="559"/>
    </row>
    <row r="59" spans="1:18" ht="42.75" customHeight="1">
      <c r="C59" s="556" t="s">
        <v>85</v>
      </c>
      <c r="D59" s="556"/>
      <c r="E59" s="556" t="s">
        <v>86</v>
      </c>
      <c r="F59" s="556"/>
      <c r="G59" s="556" t="s">
        <v>87</v>
      </c>
      <c r="H59" s="556"/>
      <c r="I59" s="557" t="s">
        <v>88</v>
      </c>
      <c r="J59" s="557"/>
      <c r="K59" s="558" t="s">
        <v>90</v>
      </c>
      <c r="L59" s="556"/>
      <c r="M59" s="556"/>
      <c r="N59" s="556"/>
      <c r="O59" s="556"/>
      <c r="P59" s="556" t="s">
        <v>89</v>
      </c>
      <c r="Q59" s="556"/>
      <c r="R59" s="556"/>
    </row>
    <row r="60" spans="1:18" ht="13.2">
      <c r="C60" s="555"/>
      <c r="D60" s="555"/>
      <c r="E60" s="555"/>
      <c r="F60" s="555"/>
      <c r="G60" s="555"/>
      <c r="H60" s="555"/>
      <c r="I60" s="555"/>
      <c r="J60" s="555"/>
      <c r="K60" s="555"/>
      <c r="L60" s="555"/>
      <c r="M60" s="555"/>
      <c r="N60" s="555"/>
      <c r="O60" s="555"/>
      <c r="P60" s="555"/>
      <c r="Q60" s="555"/>
      <c r="R60" s="555"/>
    </row>
    <row r="61" spans="1:18" ht="13.2">
      <c r="C61" s="555"/>
      <c r="D61" s="555"/>
      <c r="E61" s="555"/>
      <c r="F61" s="555"/>
      <c r="G61" s="555"/>
      <c r="H61" s="555"/>
      <c r="I61" s="555"/>
      <c r="J61" s="555"/>
      <c r="K61" s="555"/>
      <c r="L61" s="555"/>
      <c r="M61" s="555"/>
      <c r="N61" s="555"/>
      <c r="O61" s="555"/>
      <c r="P61" s="555"/>
      <c r="Q61" s="555"/>
      <c r="R61" s="555"/>
    </row>
    <row r="62" spans="1:18" ht="62.25" customHeight="1">
      <c r="C62" s="555"/>
      <c r="D62" s="555"/>
      <c r="E62" s="555"/>
      <c r="F62" s="555"/>
      <c r="G62" s="555"/>
      <c r="H62" s="555"/>
      <c r="I62" s="555"/>
      <c r="J62" s="555"/>
      <c r="K62" s="555"/>
      <c r="L62" s="555"/>
      <c r="M62" s="555"/>
      <c r="N62" s="555"/>
      <c r="O62" s="555"/>
      <c r="P62" s="555"/>
      <c r="Q62" s="555"/>
      <c r="R62" s="555"/>
    </row>
  </sheetData>
  <autoFilter ref="A9:R47">
    <filterColumn colId="7" showButton="0"/>
    <filterColumn colId="10" showButton="0"/>
  </autoFilter>
  <mergeCells count="145">
    <mergeCell ref="I2:R2"/>
    <mergeCell ref="D3:G3"/>
    <mergeCell ref="K3:O3"/>
    <mergeCell ref="D4:G4"/>
    <mergeCell ref="K4:O4"/>
    <mergeCell ref="D5:G5"/>
    <mergeCell ref="K5:O5"/>
    <mergeCell ref="N7:N9"/>
    <mergeCell ref="O7:O9"/>
    <mergeCell ref="P7:P9"/>
    <mergeCell ref="Q7:Q9"/>
    <mergeCell ref="R7:R9"/>
    <mergeCell ref="H10:I10"/>
    <mergeCell ref="D6:G6"/>
    <mergeCell ref="K6:O6"/>
    <mergeCell ref="C7:C9"/>
    <mergeCell ref="D7:D9"/>
    <mergeCell ref="E7:E9"/>
    <mergeCell ref="F7:G8"/>
    <mergeCell ref="H7:I9"/>
    <mergeCell ref="J7:J9"/>
    <mergeCell ref="K7:L9"/>
    <mergeCell ref="M7:M9"/>
    <mergeCell ref="R11:R12"/>
    <mergeCell ref="H12:I12"/>
    <mergeCell ref="D13:D14"/>
    <mergeCell ref="H13:I13"/>
    <mergeCell ref="N13:N14"/>
    <mergeCell ref="O13:O14"/>
    <mergeCell ref="P13:P14"/>
    <mergeCell ref="Q13:Q14"/>
    <mergeCell ref="R13:R14"/>
    <mergeCell ref="H14:I14"/>
    <mergeCell ref="D11:D12"/>
    <mergeCell ref="H11:I11"/>
    <mergeCell ref="N11:N12"/>
    <mergeCell ref="O11:O12"/>
    <mergeCell ref="P11:P12"/>
    <mergeCell ref="Q11:Q12"/>
    <mergeCell ref="O15:O16"/>
    <mergeCell ref="P15:P16"/>
    <mergeCell ref="Q15:Q16"/>
    <mergeCell ref="R15:R16"/>
    <mergeCell ref="H16:I16"/>
    <mergeCell ref="D17:D18"/>
    <mergeCell ref="H17:I17"/>
    <mergeCell ref="N17:N18"/>
    <mergeCell ref="O17:O18"/>
    <mergeCell ref="P17:P18"/>
    <mergeCell ref="D15:D16"/>
    <mergeCell ref="F15:F16"/>
    <mergeCell ref="G15:G16"/>
    <mergeCell ref="H15:I15"/>
    <mergeCell ref="M15:M16"/>
    <mergeCell ref="N15:N16"/>
    <mergeCell ref="H24:I24"/>
    <mergeCell ref="H25:I25"/>
    <mergeCell ref="H26:I26"/>
    <mergeCell ref="H27:I27"/>
    <mergeCell ref="Q17:Q18"/>
    <mergeCell ref="R17:R18"/>
    <mergeCell ref="H18:I18"/>
    <mergeCell ref="H19:I19"/>
    <mergeCell ref="H22:I22"/>
    <mergeCell ref="H23:I23"/>
    <mergeCell ref="R20:R21"/>
    <mergeCell ref="P28:P29"/>
    <mergeCell ref="Q28:Q29"/>
    <mergeCell ref="H47:P47"/>
    <mergeCell ref="H51:P51"/>
    <mergeCell ref="Q42:Q43"/>
    <mergeCell ref="H46:I46"/>
    <mergeCell ref="R38:R39"/>
    <mergeCell ref="Q38:Q39"/>
    <mergeCell ref="P38:P39"/>
    <mergeCell ref="O38:O39"/>
    <mergeCell ref="R28:R29"/>
    <mergeCell ref="H29:I29"/>
    <mergeCell ref="H30:I30"/>
    <mergeCell ref="H31:I31"/>
    <mergeCell ref="H32:I32"/>
    <mergeCell ref="H33:I33"/>
    <mergeCell ref="R42:R43"/>
    <mergeCell ref="H43:I43"/>
    <mergeCell ref="P42:P43"/>
    <mergeCell ref="R44:R45"/>
    <mergeCell ref="D44:D45"/>
    <mergeCell ref="F44:F45"/>
    <mergeCell ref="G44:G45"/>
    <mergeCell ref="H44:I44"/>
    <mergeCell ref="M44:M45"/>
    <mergeCell ref="N44:N45"/>
    <mergeCell ref="O44:O45"/>
    <mergeCell ref="D42:D43"/>
    <mergeCell ref="H42:I42"/>
    <mergeCell ref="N42:N43"/>
    <mergeCell ref="O42:O43"/>
    <mergeCell ref="C56:D58"/>
    <mergeCell ref="E56:F58"/>
    <mergeCell ref="G56:H58"/>
    <mergeCell ref="I56:J58"/>
    <mergeCell ref="K56:O58"/>
    <mergeCell ref="P56:R58"/>
    <mergeCell ref="C55:D55"/>
    <mergeCell ref="E55:F55"/>
    <mergeCell ref="G55:H55"/>
    <mergeCell ref="I55:J55"/>
    <mergeCell ref="K55:O55"/>
    <mergeCell ref="P55:R55"/>
    <mergeCell ref="C60:D62"/>
    <mergeCell ref="E60:F62"/>
    <mergeCell ref="G60:H62"/>
    <mergeCell ref="I60:J62"/>
    <mergeCell ref="K60:O62"/>
    <mergeCell ref="P60:R62"/>
    <mergeCell ref="C59:D59"/>
    <mergeCell ref="E59:F59"/>
    <mergeCell ref="G59:H59"/>
    <mergeCell ref="I59:J59"/>
    <mergeCell ref="K59:O59"/>
    <mergeCell ref="P59:R59"/>
    <mergeCell ref="D20:D21"/>
    <mergeCell ref="H20:I20"/>
    <mergeCell ref="N20:N21"/>
    <mergeCell ref="O20:O21"/>
    <mergeCell ref="P20:P21"/>
    <mergeCell ref="Q20:Q21"/>
    <mergeCell ref="H21:I21"/>
    <mergeCell ref="E20:E21"/>
    <mergeCell ref="P44:P45"/>
    <mergeCell ref="Q44:Q45"/>
    <mergeCell ref="H45:I45"/>
    <mergeCell ref="H41:I41"/>
    <mergeCell ref="H34:I34"/>
    <mergeCell ref="H35:I35"/>
    <mergeCell ref="H36:I36"/>
    <mergeCell ref="H38:I38"/>
    <mergeCell ref="H39:I39"/>
    <mergeCell ref="H40:I40"/>
    <mergeCell ref="H37:I37"/>
    <mergeCell ref="N38:N39"/>
    <mergeCell ref="D28:D29"/>
    <mergeCell ref="H28:I28"/>
    <mergeCell ref="N28:N29"/>
    <mergeCell ref="O28:O29"/>
  </mergeCells>
  <pageMargins left="0" right="0" top="0" bottom="0" header="0.31496062992126" footer="0.31496062992126"/>
  <pageSetup paperSize="9" scale="46" fitToHeight="0" orientation="portrait" r:id="rId1"/>
  <headerFooter alignWithMargins="0"/>
  <rowBreaks count="1" manualBreakCount="1">
    <brk id="32" min="2" max="17"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S63"/>
  <sheetViews>
    <sheetView zoomScale="85" zoomScaleNormal="85" zoomScaleSheetLayoutView="89" workbookViewId="0">
      <selection activeCell="P7" sqref="P7:P9"/>
    </sheetView>
  </sheetViews>
  <sheetFormatPr defaultColWidth="9.109375" defaultRowHeight="17.399999999999999"/>
  <cols>
    <col min="1" max="1" width="1.6640625" style="211" customWidth="1"/>
    <col min="2" max="2" width="3" style="211" customWidth="1"/>
    <col min="3" max="3" width="14.33203125" style="212" customWidth="1"/>
    <col min="4" max="4" width="21.88671875" style="212" customWidth="1"/>
    <col min="5" max="5" width="16.33203125" style="212" customWidth="1"/>
    <col min="6" max="6" width="8.33203125" style="212" customWidth="1"/>
    <col min="7" max="7" width="13.109375" style="212" customWidth="1"/>
    <col min="8" max="9" width="28.33203125" style="212" customWidth="1"/>
    <col min="10" max="10" width="14.5546875" style="212" hidden="1" customWidth="1"/>
    <col min="11" max="11" width="8.88671875" style="212" customWidth="1"/>
    <col min="12" max="14" width="10.5546875" style="213" customWidth="1"/>
    <col min="15" max="15" width="16.109375" style="212" customWidth="1"/>
    <col min="16" max="16" width="16.33203125" style="212" customWidth="1"/>
    <col min="17" max="17" width="12.109375" style="212" customWidth="1"/>
    <col min="18" max="18" width="15.44140625" style="212" customWidth="1"/>
    <col min="19" max="16384" width="9.109375" style="212"/>
  </cols>
  <sheetData>
    <row r="1" spans="1:18" ht="14.25" customHeight="1" thickBot="1"/>
    <row r="2" spans="1:18" ht="42.75" customHeight="1" thickBot="1">
      <c r="C2" s="214"/>
      <c r="D2" s="215"/>
      <c r="E2" s="215"/>
      <c r="F2" s="215"/>
      <c r="G2" s="215"/>
      <c r="H2" s="317"/>
      <c r="I2" s="511" t="s">
        <v>25</v>
      </c>
      <c r="J2" s="511"/>
      <c r="K2" s="511"/>
      <c r="L2" s="511"/>
      <c r="M2" s="511"/>
      <c r="N2" s="511"/>
      <c r="O2" s="511"/>
      <c r="P2" s="511"/>
      <c r="Q2" s="511"/>
      <c r="R2" s="512"/>
    </row>
    <row r="3" spans="1:18" s="224" customFormat="1" ht="13.8">
      <c r="A3" s="217"/>
      <c r="B3" s="217"/>
      <c r="C3" s="218" t="s">
        <v>0</v>
      </c>
      <c r="D3" s="513">
        <v>44341</v>
      </c>
      <c r="E3" s="514"/>
      <c r="F3" s="514"/>
      <c r="G3" s="515"/>
      <c r="H3" s="219" t="s">
        <v>1</v>
      </c>
      <c r="I3" s="220">
        <v>40</v>
      </c>
      <c r="J3" s="221"/>
      <c r="K3" s="516" t="s">
        <v>2</v>
      </c>
      <c r="L3" s="517"/>
      <c r="M3" s="517"/>
      <c r="N3" s="517"/>
      <c r="O3" s="518"/>
      <c r="P3" s="222">
        <f>3600/I3</f>
        <v>90</v>
      </c>
      <c r="Q3" s="219" t="s">
        <v>3</v>
      </c>
      <c r="R3" s="223">
        <f>MAX(N10:N47)</f>
        <v>151</v>
      </c>
    </row>
    <row r="4" spans="1:18" s="224" customFormat="1" ht="13.8">
      <c r="A4" s="217"/>
      <c r="B4" s="217"/>
      <c r="C4" s="225" t="s">
        <v>4</v>
      </c>
      <c r="D4" s="519">
        <v>221433</v>
      </c>
      <c r="E4" s="520"/>
      <c r="F4" s="520"/>
      <c r="G4" s="521"/>
      <c r="H4" s="30" t="s">
        <v>5</v>
      </c>
      <c r="I4" s="226">
        <f>3600/R3</f>
        <v>23.841059602649008</v>
      </c>
      <c r="J4" s="227"/>
      <c r="K4" s="522" t="s">
        <v>6</v>
      </c>
      <c r="L4" s="523"/>
      <c r="M4" s="523"/>
      <c r="N4" s="523"/>
      <c r="O4" s="524"/>
      <c r="P4" s="1">
        <f>I4/D6</f>
        <v>0.43150993377483454</v>
      </c>
      <c r="Q4" s="228" t="s">
        <v>7</v>
      </c>
      <c r="R4" s="2">
        <f>P5/P6</f>
        <v>0.53225410841304877</v>
      </c>
    </row>
    <row r="5" spans="1:18" s="224" customFormat="1" ht="13.8">
      <c r="A5" s="217"/>
      <c r="B5" s="217"/>
      <c r="C5" s="225" t="s">
        <v>8</v>
      </c>
      <c r="D5" s="519"/>
      <c r="E5" s="520"/>
      <c r="F5" s="520"/>
      <c r="G5" s="521"/>
      <c r="H5" s="31" t="s">
        <v>9</v>
      </c>
      <c r="I5" s="229" t="s">
        <v>280</v>
      </c>
      <c r="J5" s="230">
        <f>+I5/60</f>
        <v>0.48868500000000004</v>
      </c>
      <c r="K5" s="519" t="s">
        <v>10</v>
      </c>
      <c r="L5" s="520"/>
      <c r="M5" s="520"/>
      <c r="N5" s="520"/>
      <c r="O5" s="520"/>
      <c r="P5" s="228">
        <f>SUM(N10:N47)</f>
        <v>2170</v>
      </c>
      <c r="Q5" s="228" t="s">
        <v>11</v>
      </c>
      <c r="R5" s="231">
        <f>I4/I6</f>
        <v>0.88300220750551883</v>
      </c>
    </row>
    <row r="6" spans="1:18" s="224" customFormat="1" ht="13.8">
      <c r="A6" s="217"/>
      <c r="B6" s="217"/>
      <c r="C6" s="225" t="s">
        <v>12</v>
      </c>
      <c r="D6" s="525">
        <f>(60/I5)*I6</f>
        <v>55.250314619847131</v>
      </c>
      <c r="E6" s="526"/>
      <c r="F6" s="526"/>
      <c r="G6" s="527"/>
      <c r="H6" s="31" t="s">
        <v>13</v>
      </c>
      <c r="I6" s="232">
        <f>D48</f>
        <v>27</v>
      </c>
      <c r="J6" s="226">
        <f>60/J5*I6*0.65</f>
        <v>2154.7622701740383</v>
      </c>
      <c r="K6" s="519" t="s">
        <v>14</v>
      </c>
      <c r="L6" s="520"/>
      <c r="M6" s="520"/>
      <c r="N6" s="520"/>
      <c r="O6" s="521"/>
      <c r="P6" s="228">
        <f>R3*I6</f>
        <v>4077</v>
      </c>
      <c r="Q6" s="228"/>
      <c r="R6" s="231"/>
    </row>
    <row r="7" spans="1:18" ht="12.75" customHeight="1">
      <c r="C7" s="642" t="s">
        <v>15</v>
      </c>
      <c r="D7" s="644" t="s">
        <v>16</v>
      </c>
      <c r="E7" s="644" t="s">
        <v>24</v>
      </c>
      <c r="F7" s="645" t="s">
        <v>31</v>
      </c>
      <c r="G7" s="646"/>
      <c r="H7" s="644" t="s">
        <v>17</v>
      </c>
      <c r="I7" s="644"/>
      <c r="J7" s="659" t="s">
        <v>18</v>
      </c>
      <c r="K7" s="644" t="s">
        <v>19</v>
      </c>
      <c r="L7" s="644"/>
      <c r="M7" s="649" t="s">
        <v>364</v>
      </c>
      <c r="N7" s="649" t="s">
        <v>365</v>
      </c>
      <c r="O7" s="644" t="s">
        <v>20</v>
      </c>
      <c r="P7" s="644" t="s">
        <v>11</v>
      </c>
      <c r="Q7" s="655" t="s">
        <v>21</v>
      </c>
      <c r="R7" s="657" t="s">
        <v>22</v>
      </c>
    </row>
    <row r="8" spans="1:18" ht="13.2">
      <c r="C8" s="642"/>
      <c r="D8" s="644"/>
      <c r="E8" s="644"/>
      <c r="F8" s="647"/>
      <c r="G8" s="648"/>
      <c r="H8" s="644"/>
      <c r="I8" s="644"/>
      <c r="J8" s="659"/>
      <c r="K8" s="644"/>
      <c r="L8" s="644"/>
      <c r="M8" s="653"/>
      <c r="N8" s="653"/>
      <c r="O8" s="644"/>
      <c r="P8" s="644"/>
      <c r="Q8" s="656"/>
      <c r="R8" s="658"/>
    </row>
    <row r="9" spans="1:18" ht="14.7" customHeight="1">
      <c r="C9" s="643"/>
      <c r="D9" s="644"/>
      <c r="E9" s="644"/>
      <c r="F9" s="329" t="s">
        <v>32</v>
      </c>
      <c r="G9" s="329" t="s">
        <v>28</v>
      </c>
      <c r="H9" s="649"/>
      <c r="I9" s="649"/>
      <c r="J9" s="660"/>
      <c r="K9" s="644"/>
      <c r="L9" s="644"/>
      <c r="M9" s="654"/>
      <c r="N9" s="654"/>
      <c r="O9" s="649"/>
      <c r="P9" s="649"/>
      <c r="Q9" s="656"/>
      <c r="R9" s="658"/>
    </row>
    <row r="10" spans="1:18" s="240" customFormat="1" ht="107.25" customHeight="1" thickBot="1">
      <c r="A10" s="234">
        <f t="shared" ref="A10:A20" si="0">$R$3</f>
        <v>151</v>
      </c>
      <c r="B10" s="235">
        <f t="shared" ref="B10:B20" si="1">$P$3</f>
        <v>90</v>
      </c>
      <c r="C10" s="323">
        <v>24</v>
      </c>
      <c r="D10" s="563" t="s">
        <v>375</v>
      </c>
      <c r="E10" s="326"/>
      <c r="F10" s="327"/>
      <c r="G10" s="327"/>
      <c r="H10" s="540" t="s">
        <v>237</v>
      </c>
      <c r="I10" s="541"/>
      <c r="J10" s="236"/>
      <c r="K10" s="304">
        <v>0.27260000000000001</v>
      </c>
      <c r="L10" s="302"/>
      <c r="M10" s="321">
        <v>20</v>
      </c>
      <c r="N10" s="552">
        <f>M10+M11+M12</f>
        <v>85</v>
      </c>
      <c r="O10" s="635">
        <f>IF(N10=0,"",N10/$R$3)</f>
        <v>0.5629139072847682</v>
      </c>
      <c r="P10" s="633">
        <f t="shared" ref="P10" si="2">IF(N10=0,"",3600/N10)</f>
        <v>42.352941176470587</v>
      </c>
      <c r="Q10" s="631">
        <f t="shared" ref="Q10:Q43" si="3">3600/$P$3</f>
        <v>40</v>
      </c>
      <c r="R10" s="631">
        <f t="shared" ref="R10" si="4">+Q10</f>
        <v>40</v>
      </c>
    </row>
    <row r="11" spans="1:18" s="240" customFormat="1" ht="68.25" customHeight="1" thickBot="1">
      <c r="A11" s="234">
        <f t="shared" si="0"/>
        <v>151</v>
      </c>
      <c r="B11" s="235">
        <f t="shared" si="1"/>
        <v>90</v>
      </c>
      <c r="C11" s="323">
        <v>6</v>
      </c>
      <c r="D11" s="563"/>
      <c r="E11" s="323"/>
      <c r="F11" s="328" t="s">
        <v>52</v>
      </c>
      <c r="G11" s="328" t="s">
        <v>275</v>
      </c>
      <c r="H11" s="540" t="s">
        <v>232</v>
      </c>
      <c r="I11" s="541"/>
      <c r="J11" s="236"/>
      <c r="K11" s="236">
        <v>0.31369999999999998</v>
      </c>
      <c r="L11" s="305"/>
      <c r="M11" s="237">
        <v>45</v>
      </c>
      <c r="N11" s="613"/>
      <c r="O11" s="639"/>
      <c r="P11" s="638"/>
      <c r="Q11" s="637"/>
      <c r="R11" s="637"/>
    </row>
    <row r="12" spans="1:18" s="240" customFormat="1" ht="58.5" customHeight="1" thickBot="1">
      <c r="A12" s="234">
        <f t="shared" si="0"/>
        <v>151</v>
      </c>
      <c r="B12" s="235">
        <f t="shared" si="1"/>
        <v>90</v>
      </c>
      <c r="C12" s="323" t="s">
        <v>320</v>
      </c>
      <c r="D12" s="543"/>
      <c r="E12" s="323"/>
      <c r="F12" s="327"/>
      <c r="G12" s="327"/>
      <c r="H12" s="540" t="s">
        <v>305</v>
      </c>
      <c r="I12" s="541"/>
      <c r="J12" s="236"/>
      <c r="K12" s="236">
        <f>0.7923*1/3</f>
        <v>0.2641</v>
      </c>
      <c r="L12" s="302"/>
      <c r="M12" s="321">
        <v>20</v>
      </c>
      <c r="N12" s="553"/>
      <c r="O12" s="636"/>
      <c r="P12" s="634"/>
      <c r="Q12" s="632"/>
      <c r="R12" s="632"/>
    </row>
    <row r="13" spans="1:18" s="240" customFormat="1" ht="66" customHeight="1" thickBot="1">
      <c r="A13" s="234">
        <f t="shared" si="0"/>
        <v>151</v>
      </c>
      <c r="B13" s="235">
        <f t="shared" si="1"/>
        <v>90</v>
      </c>
      <c r="C13" s="323">
        <v>2</v>
      </c>
      <c r="D13" s="542" t="s">
        <v>352</v>
      </c>
      <c r="E13" s="323"/>
      <c r="F13" s="61" t="s">
        <v>142</v>
      </c>
      <c r="G13" s="61" t="s">
        <v>274</v>
      </c>
      <c r="H13" s="540" t="s">
        <v>322</v>
      </c>
      <c r="I13" s="541"/>
      <c r="J13" s="236"/>
      <c r="K13" s="236">
        <v>0.3548</v>
      </c>
      <c r="L13" s="305">
        <f>((K13*60)/0.75)+((K14*60)/0.75)</f>
        <v>69.096000000000004</v>
      </c>
      <c r="M13" s="237">
        <v>45</v>
      </c>
      <c r="N13" s="552">
        <f>M13+M14</f>
        <v>80</v>
      </c>
      <c r="O13" s="635">
        <f t="shared" ref="O13:O43" si="5">IF(N13=0,"",N13/$R$3)</f>
        <v>0.5298013245033113</v>
      </c>
      <c r="P13" s="633">
        <f t="shared" ref="P13:P43" si="6">IF(N13=0,"",3600/N13)</f>
        <v>45</v>
      </c>
      <c r="Q13" s="631">
        <f t="shared" si="3"/>
        <v>40</v>
      </c>
      <c r="R13" s="631">
        <f t="shared" ref="R13:R43" si="7">+Q13</f>
        <v>40</v>
      </c>
    </row>
    <row r="14" spans="1:18" s="240" customFormat="1" ht="77.25" customHeight="1" thickBot="1">
      <c r="A14" s="234">
        <f t="shared" si="0"/>
        <v>151</v>
      </c>
      <c r="B14" s="235">
        <f t="shared" si="1"/>
        <v>90</v>
      </c>
      <c r="C14" s="323">
        <v>5</v>
      </c>
      <c r="D14" s="543"/>
      <c r="E14" s="323"/>
      <c r="F14" s="61" t="s">
        <v>148</v>
      </c>
      <c r="G14" s="61" t="s">
        <v>274</v>
      </c>
      <c r="H14" s="540" t="s">
        <v>323</v>
      </c>
      <c r="I14" s="541"/>
      <c r="J14" s="236"/>
      <c r="K14" s="236">
        <v>0.50890000000000002</v>
      </c>
      <c r="L14" s="302"/>
      <c r="M14" s="321">
        <v>35</v>
      </c>
      <c r="N14" s="553"/>
      <c r="O14" s="636"/>
      <c r="P14" s="634"/>
      <c r="Q14" s="632"/>
      <c r="R14" s="632"/>
    </row>
    <row r="15" spans="1:18" s="240" customFormat="1" ht="50.25" customHeight="1" thickBot="1">
      <c r="A15" s="234">
        <f t="shared" si="0"/>
        <v>151</v>
      </c>
      <c r="B15" s="235">
        <f t="shared" si="1"/>
        <v>90</v>
      </c>
      <c r="C15" s="323" t="s">
        <v>306</v>
      </c>
      <c r="D15" s="318" t="s">
        <v>376</v>
      </c>
      <c r="E15" s="323"/>
      <c r="F15" s="61" t="s">
        <v>142</v>
      </c>
      <c r="G15" s="61" t="s">
        <v>274</v>
      </c>
      <c r="H15" s="540" t="s">
        <v>299</v>
      </c>
      <c r="I15" s="541"/>
      <c r="J15" s="236"/>
      <c r="K15" s="236"/>
      <c r="L15" s="237">
        <f t="shared" ref="L15:L40" si="8">((K15*60)/0.75)</f>
        <v>0</v>
      </c>
      <c r="M15" s="237">
        <v>84</v>
      </c>
      <c r="N15" s="237">
        <f>M15</f>
        <v>84</v>
      </c>
      <c r="O15" s="330">
        <f t="shared" si="5"/>
        <v>0.55629139072847678</v>
      </c>
      <c r="P15" s="331">
        <f t="shared" si="6"/>
        <v>42.857142857142854</v>
      </c>
      <c r="Q15" s="332">
        <f t="shared" si="3"/>
        <v>40</v>
      </c>
      <c r="R15" s="332">
        <f t="shared" si="7"/>
        <v>40</v>
      </c>
    </row>
    <row r="16" spans="1:18" s="240" customFormat="1" ht="50.25" customHeight="1" thickBot="1">
      <c r="A16" s="234">
        <f t="shared" si="0"/>
        <v>151</v>
      </c>
      <c r="B16" s="235">
        <f t="shared" si="1"/>
        <v>90</v>
      </c>
      <c r="C16" s="323" t="s">
        <v>306</v>
      </c>
      <c r="D16" s="542" t="s">
        <v>377</v>
      </c>
      <c r="E16" s="323"/>
      <c r="F16" s="325" t="s">
        <v>317</v>
      </c>
      <c r="G16" s="325" t="s">
        <v>276</v>
      </c>
      <c r="H16" s="540" t="s">
        <v>300</v>
      </c>
      <c r="I16" s="541"/>
      <c r="J16" s="236"/>
      <c r="K16" s="236"/>
      <c r="L16" s="237">
        <f t="shared" si="8"/>
        <v>0</v>
      </c>
      <c r="M16" s="237">
        <v>25</v>
      </c>
      <c r="N16" s="552">
        <f>M16+M17</f>
        <v>50</v>
      </c>
      <c r="O16" s="635">
        <f t="shared" si="5"/>
        <v>0.33112582781456956</v>
      </c>
      <c r="P16" s="633">
        <f t="shared" si="6"/>
        <v>72</v>
      </c>
      <c r="Q16" s="631">
        <f t="shared" si="3"/>
        <v>40</v>
      </c>
      <c r="R16" s="631">
        <f t="shared" si="7"/>
        <v>40</v>
      </c>
    </row>
    <row r="17" spans="1:18" s="240" customFormat="1" ht="66" customHeight="1" thickBot="1">
      <c r="A17" s="234">
        <f t="shared" si="0"/>
        <v>151</v>
      </c>
      <c r="B17" s="235">
        <f t="shared" si="1"/>
        <v>90</v>
      </c>
      <c r="C17" s="323">
        <v>3</v>
      </c>
      <c r="D17" s="543"/>
      <c r="E17" s="323"/>
      <c r="F17" s="327"/>
      <c r="G17" s="327"/>
      <c r="H17" s="540" t="s">
        <v>229</v>
      </c>
      <c r="I17" s="541"/>
      <c r="J17" s="236"/>
      <c r="K17" s="236">
        <v>0.28799999999999998</v>
      </c>
      <c r="L17" s="237">
        <f t="shared" si="8"/>
        <v>23.039999999999996</v>
      </c>
      <c r="M17" s="237">
        <v>25</v>
      </c>
      <c r="N17" s="553"/>
      <c r="O17" s="636"/>
      <c r="P17" s="634"/>
      <c r="Q17" s="632"/>
      <c r="R17" s="632"/>
    </row>
    <row r="18" spans="1:18" s="240" customFormat="1" ht="50.25" customHeight="1" thickBot="1">
      <c r="A18" s="234">
        <f t="shared" si="0"/>
        <v>151</v>
      </c>
      <c r="B18" s="235">
        <f t="shared" si="1"/>
        <v>90</v>
      </c>
      <c r="C18" s="323" t="s">
        <v>306</v>
      </c>
      <c r="D18" s="318" t="s">
        <v>378</v>
      </c>
      <c r="E18" s="323"/>
      <c r="F18" s="61" t="s">
        <v>301</v>
      </c>
      <c r="G18" s="61" t="s">
        <v>275</v>
      </c>
      <c r="H18" s="540" t="s">
        <v>302</v>
      </c>
      <c r="I18" s="541"/>
      <c r="J18" s="236"/>
      <c r="K18" s="236"/>
      <c r="L18" s="237">
        <f t="shared" si="8"/>
        <v>0</v>
      </c>
      <c r="M18" s="237">
        <v>75</v>
      </c>
      <c r="N18" s="237">
        <f t="shared" ref="N18:N40" si="9">M18</f>
        <v>75</v>
      </c>
      <c r="O18" s="330">
        <f t="shared" si="5"/>
        <v>0.49668874172185429</v>
      </c>
      <c r="P18" s="331">
        <f t="shared" si="6"/>
        <v>48</v>
      </c>
      <c r="Q18" s="332">
        <f t="shared" si="3"/>
        <v>40</v>
      </c>
      <c r="R18" s="332">
        <f t="shared" si="7"/>
        <v>40</v>
      </c>
    </row>
    <row r="19" spans="1:18" s="240" customFormat="1" ht="53.25" customHeight="1" thickBot="1">
      <c r="A19" s="234">
        <f t="shared" si="0"/>
        <v>151</v>
      </c>
      <c r="B19" s="235">
        <f t="shared" si="1"/>
        <v>90</v>
      </c>
      <c r="C19" s="323" t="s">
        <v>306</v>
      </c>
      <c r="D19" s="318" t="s">
        <v>379</v>
      </c>
      <c r="E19" s="323"/>
      <c r="F19" s="61" t="s">
        <v>301</v>
      </c>
      <c r="G19" s="61" t="s">
        <v>275</v>
      </c>
      <c r="H19" s="540" t="s">
        <v>303</v>
      </c>
      <c r="I19" s="541"/>
      <c r="J19" s="236"/>
      <c r="K19" s="236"/>
      <c r="L19" s="237">
        <f t="shared" si="8"/>
        <v>0</v>
      </c>
      <c r="M19" s="237">
        <v>120</v>
      </c>
      <c r="N19" s="237">
        <f t="shared" si="9"/>
        <v>120</v>
      </c>
      <c r="O19" s="330">
        <f t="shared" si="5"/>
        <v>0.79470198675496684</v>
      </c>
      <c r="P19" s="331">
        <f t="shared" si="6"/>
        <v>30</v>
      </c>
      <c r="Q19" s="332">
        <f t="shared" si="3"/>
        <v>40</v>
      </c>
      <c r="R19" s="332">
        <f t="shared" si="7"/>
        <v>40</v>
      </c>
    </row>
    <row r="20" spans="1:18" s="240" customFormat="1" ht="53.25" customHeight="1" thickBot="1">
      <c r="A20" s="234">
        <f t="shared" si="0"/>
        <v>151</v>
      </c>
      <c r="B20" s="235">
        <f t="shared" si="1"/>
        <v>90</v>
      </c>
      <c r="C20" s="323" t="s">
        <v>306</v>
      </c>
      <c r="D20" s="323" t="s">
        <v>352</v>
      </c>
      <c r="E20" s="323"/>
      <c r="F20" s="61" t="s">
        <v>142</v>
      </c>
      <c r="G20" s="61" t="s">
        <v>274</v>
      </c>
      <c r="H20" s="540" t="s">
        <v>304</v>
      </c>
      <c r="I20" s="541"/>
      <c r="J20" s="236"/>
      <c r="K20" s="236"/>
      <c r="L20" s="237">
        <f t="shared" si="8"/>
        <v>0</v>
      </c>
      <c r="M20" s="237">
        <v>80</v>
      </c>
      <c r="N20" s="237">
        <f t="shared" si="9"/>
        <v>80</v>
      </c>
      <c r="O20" s="330">
        <f t="shared" si="5"/>
        <v>0.5298013245033113</v>
      </c>
      <c r="P20" s="331">
        <f t="shared" si="6"/>
        <v>45</v>
      </c>
      <c r="Q20" s="332">
        <f t="shared" si="3"/>
        <v>40</v>
      </c>
      <c r="R20" s="332">
        <f t="shared" si="7"/>
        <v>40</v>
      </c>
    </row>
    <row r="21" spans="1:18" s="240" customFormat="1" ht="73.5" customHeight="1" thickBot="1">
      <c r="A21" s="234"/>
      <c r="B21" s="235"/>
      <c r="C21" s="323" t="s">
        <v>306</v>
      </c>
      <c r="D21" s="318" t="s">
        <v>380</v>
      </c>
      <c r="E21" s="323"/>
      <c r="F21" s="319" t="s">
        <v>52</v>
      </c>
      <c r="G21" s="319" t="s">
        <v>297</v>
      </c>
      <c r="H21" s="540" t="s">
        <v>324</v>
      </c>
      <c r="I21" s="541"/>
      <c r="J21" s="236"/>
      <c r="K21" s="257"/>
      <c r="L21" s="237">
        <f t="shared" si="8"/>
        <v>0</v>
      </c>
      <c r="M21" s="237">
        <v>151</v>
      </c>
      <c r="N21" s="237">
        <f t="shared" si="9"/>
        <v>151</v>
      </c>
      <c r="O21" s="330">
        <f t="shared" si="5"/>
        <v>1</v>
      </c>
      <c r="P21" s="331">
        <f t="shared" si="6"/>
        <v>23.841059602649008</v>
      </c>
      <c r="Q21" s="332">
        <f t="shared" si="3"/>
        <v>40</v>
      </c>
      <c r="R21" s="332">
        <f t="shared" si="7"/>
        <v>40</v>
      </c>
    </row>
    <row r="22" spans="1:18" s="240" customFormat="1" ht="68.25" customHeight="1" thickBot="1">
      <c r="A22" s="234">
        <f t="shared" ref="A22:A46" si="10">$R$3</f>
        <v>151</v>
      </c>
      <c r="B22" s="235">
        <f t="shared" ref="B22:B46" si="11">$P$3</f>
        <v>90</v>
      </c>
      <c r="C22" s="323">
        <v>27</v>
      </c>
      <c r="D22" s="542" t="s">
        <v>358</v>
      </c>
      <c r="E22" s="323"/>
      <c r="F22" s="61" t="s">
        <v>142</v>
      </c>
      <c r="G22" s="61" t="s">
        <v>274</v>
      </c>
      <c r="H22" s="540" t="s">
        <v>240</v>
      </c>
      <c r="I22" s="541"/>
      <c r="J22" s="236"/>
      <c r="K22" s="236">
        <v>0.51839999999999997</v>
      </c>
      <c r="L22" s="237">
        <f>((K22*60)/0.75)+((K23*60)/0.75)</f>
        <v>72.75200000000001</v>
      </c>
      <c r="M22" s="237">
        <v>30</v>
      </c>
      <c r="N22" s="552">
        <f>M22+M23</f>
        <v>60</v>
      </c>
      <c r="O22" s="635">
        <f t="shared" si="5"/>
        <v>0.39735099337748342</v>
      </c>
      <c r="P22" s="633">
        <f t="shared" si="6"/>
        <v>60</v>
      </c>
      <c r="Q22" s="631">
        <f t="shared" si="3"/>
        <v>40</v>
      </c>
      <c r="R22" s="631">
        <f t="shared" si="7"/>
        <v>40</v>
      </c>
    </row>
    <row r="23" spans="1:18" s="240" customFormat="1" ht="60" customHeight="1" thickBot="1">
      <c r="A23" s="234">
        <f t="shared" si="10"/>
        <v>151</v>
      </c>
      <c r="B23" s="235">
        <f t="shared" si="11"/>
        <v>90</v>
      </c>
      <c r="C23" s="323">
        <v>28</v>
      </c>
      <c r="D23" s="543"/>
      <c r="E23" s="323"/>
      <c r="F23" s="61" t="s">
        <v>166</v>
      </c>
      <c r="G23" s="61" t="s">
        <v>277</v>
      </c>
      <c r="H23" s="540" t="s">
        <v>241</v>
      </c>
      <c r="I23" s="541"/>
      <c r="J23" s="236"/>
      <c r="K23" s="236">
        <v>0.39100000000000001</v>
      </c>
      <c r="L23" s="305"/>
      <c r="M23" s="237">
        <v>30</v>
      </c>
      <c r="N23" s="553"/>
      <c r="O23" s="636"/>
      <c r="P23" s="634"/>
      <c r="Q23" s="632"/>
      <c r="R23" s="632"/>
    </row>
    <row r="24" spans="1:18" s="240" customFormat="1" ht="93.75" customHeight="1" thickBot="1">
      <c r="A24" s="234">
        <f t="shared" si="10"/>
        <v>151</v>
      </c>
      <c r="B24" s="235">
        <f t="shared" si="11"/>
        <v>90</v>
      </c>
      <c r="C24" s="323">
        <v>29</v>
      </c>
      <c r="D24" s="323" t="s">
        <v>381</v>
      </c>
      <c r="E24" s="323"/>
      <c r="F24" s="61" t="s">
        <v>142</v>
      </c>
      <c r="G24" s="61" t="s">
        <v>274</v>
      </c>
      <c r="H24" s="540" t="s">
        <v>242</v>
      </c>
      <c r="I24" s="541"/>
      <c r="J24" s="236"/>
      <c r="K24" s="236">
        <v>0.69330000000000003</v>
      </c>
      <c r="L24" s="237">
        <f t="shared" si="8"/>
        <v>55.463999999999999</v>
      </c>
      <c r="M24" s="237">
        <v>60</v>
      </c>
      <c r="N24" s="237">
        <f t="shared" si="9"/>
        <v>60</v>
      </c>
      <c r="O24" s="330">
        <f t="shared" si="5"/>
        <v>0.39735099337748342</v>
      </c>
      <c r="P24" s="331">
        <f t="shared" si="6"/>
        <v>60</v>
      </c>
      <c r="Q24" s="332">
        <f t="shared" si="3"/>
        <v>40</v>
      </c>
      <c r="R24" s="332">
        <f t="shared" si="7"/>
        <v>40</v>
      </c>
    </row>
    <row r="25" spans="1:18" s="240" customFormat="1" ht="103.5" customHeight="1" thickBot="1">
      <c r="A25" s="234">
        <f t="shared" si="10"/>
        <v>151</v>
      </c>
      <c r="B25" s="235">
        <f t="shared" si="11"/>
        <v>90</v>
      </c>
      <c r="C25" s="323">
        <v>30</v>
      </c>
      <c r="D25" s="323" t="s">
        <v>382</v>
      </c>
      <c r="E25" s="323"/>
      <c r="F25" s="61" t="s">
        <v>52</v>
      </c>
      <c r="G25" s="61" t="s">
        <v>275</v>
      </c>
      <c r="H25" s="540" t="s">
        <v>327</v>
      </c>
      <c r="I25" s="541"/>
      <c r="J25" s="236"/>
      <c r="K25" s="236">
        <v>0.50029999999999997</v>
      </c>
      <c r="L25" s="237">
        <f t="shared" si="8"/>
        <v>40.023999999999994</v>
      </c>
      <c r="M25" s="237">
        <v>65</v>
      </c>
      <c r="N25" s="237">
        <f t="shared" si="9"/>
        <v>65</v>
      </c>
      <c r="O25" s="330">
        <f t="shared" si="5"/>
        <v>0.43046357615894038</v>
      </c>
      <c r="P25" s="331">
        <f t="shared" si="6"/>
        <v>55.384615384615387</v>
      </c>
      <c r="Q25" s="332">
        <f t="shared" si="3"/>
        <v>40</v>
      </c>
      <c r="R25" s="332">
        <f t="shared" si="7"/>
        <v>40</v>
      </c>
    </row>
    <row r="26" spans="1:18" s="240" customFormat="1" ht="117" customHeight="1" thickBot="1">
      <c r="A26" s="234">
        <f t="shared" si="10"/>
        <v>151</v>
      </c>
      <c r="B26" s="235">
        <f t="shared" si="11"/>
        <v>90</v>
      </c>
      <c r="C26" s="323" t="s">
        <v>290</v>
      </c>
      <c r="D26" s="323" t="s">
        <v>383</v>
      </c>
      <c r="E26" s="323"/>
      <c r="F26" s="61" t="s">
        <v>52</v>
      </c>
      <c r="G26" s="61" t="s">
        <v>275</v>
      </c>
      <c r="H26" s="540" t="s">
        <v>394</v>
      </c>
      <c r="I26" s="541"/>
      <c r="J26" s="236"/>
      <c r="K26" s="257">
        <f>1.9469/2</f>
        <v>0.97345000000000004</v>
      </c>
      <c r="L26" s="237">
        <f t="shared" si="8"/>
        <v>77.876000000000005</v>
      </c>
      <c r="M26" s="237">
        <v>78</v>
      </c>
      <c r="N26" s="237">
        <f t="shared" si="9"/>
        <v>78</v>
      </c>
      <c r="O26" s="330">
        <f t="shared" si="5"/>
        <v>0.51655629139072845</v>
      </c>
      <c r="P26" s="331">
        <f t="shared" si="6"/>
        <v>46.153846153846153</v>
      </c>
      <c r="Q26" s="332">
        <f t="shared" si="3"/>
        <v>40</v>
      </c>
      <c r="R26" s="332">
        <f t="shared" si="7"/>
        <v>40</v>
      </c>
    </row>
    <row r="27" spans="1:18" s="240" customFormat="1" ht="71.25" customHeight="1" thickBot="1">
      <c r="A27" s="234">
        <f t="shared" si="10"/>
        <v>151</v>
      </c>
      <c r="B27" s="235">
        <f t="shared" si="11"/>
        <v>90</v>
      </c>
      <c r="C27" s="323">
        <v>32</v>
      </c>
      <c r="D27" s="323" t="s">
        <v>384</v>
      </c>
      <c r="E27" s="323"/>
      <c r="F27" s="61" t="s">
        <v>52</v>
      </c>
      <c r="G27" s="61" t="s">
        <v>275</v>
      </c>
      <c r="H27" s="540" t="s">
        <v>245</v>
      </c>
      <c r="I27" s="541"/>
      <c r="J27" s="236"/>
      <c r="K27" s="236">
        <v>0.57050000000000001</v>
      </c>
      <c r="L27" s="237">
        <f t="shared" si="8"/>
        <v>45.640000000000008</v>
      </c>
      <c r="M27" s="237">
        <v>90</v>
      </c>
      <c r="N27" s="237">
        <f t="shared" si="9"/>
        <v>90</v>
      </c>
      <c r="O27" s="330">
        <f t="shared" si="5"/>
        <v>0.59602649006622521</v>
      </c>
      <c r="P27" s="331">
        <f t="shared" si="6"/>
        <v>40</v>
      </c>
      <c r="Q27" s="332">
        <f t="shared" si="3"/>
        <v>40</v>
      </c>
      <c r="R27" s="332">
        <f t="shared" si="7"/>
        <v>40</v>
      </c>
    </row>
    <row r="28" spans="1:18" s="240" customFormat="1" ht="160.5" customHeight="1" thickBot="1">
      <c r="A28" s="234">
        <f t="shared" si="10"/>
        <v>151</v>
      </c>
      <c r="B28" s="235">
        <f t="shared" si="11"/>
        <v>90</v>
      </c>
      <c r="C28" s="323">
        <v>33</v>
      </c>
      <c r="D28" s="323" t="s">
        <v>377</v>
      </c>
      <c r="E28" s="323"/>
      <c r="F28" s="61" t="s">
        <v>57</v>
      </c>
      <c r="G28" s="61" t="s">
        <v>285</v>
      </c>
      <c r="H28" s="540" t="s">
        <v>339</v>
      </c>
      <c r="I28" s="541"/>
      <c r="J28" s="236"/>
      <c r="K28" s="236">
        <v>0.83320000000000005</v>
      </c>
      <c r="L28" s="237">
        <f t="shared" si="8"/>
        <v>66.656000000000006</v>
      </c>
      <c r="M28" s="237">
        <v>92</v>
      </c>
      <c r="N28" s="237">
        <f t="shared" si="9"/>
        <v>92</v>
      </c>
      <c r="O28" s="330">
        <f t="shared" si="5"/>
        <v>0.60927152317880795</v>
      </c>
      <c r="P28" s="331">
        <f t="shared" si="6"/>
        <v>39.130434782608695</v>
      </c>
      <c r="Q28" s="332">
        <f t="shared" si="3"/>
        <v>40</v>
      </c>
      <c r="R28" s="332">
        <f t="shared" si="7"/>
        <v>40</v>
      </c>
    </row>
    <row r="29" spans="1:18" s="240" customFormat="1" ht="68.25" customHeight="1" thickBot="1">
      <c r="A29" s="234">
        <f t="shared" si="10"/>
        <v>151</v>
      </c>
      <c r="B29" s="235">
        <f t="shared" si="11"/>
        <v>90</v>
      </c>
      <c r="C29" s="323">
        <v>35</v>
      </c>
      <c r="D29" s="323" t="s">
        <v>385</v>
      </c>
      <c r="E29" s="323"/>
      <c r="F29" s="61" t="s">
        <v>52</v>
      </c>
      <c r="G29" s="61" t="s">
        <v>275</v>
      </c>
      <c r="H29" s="540" t="s">
        <v>248</v>
      </c>
      <c r="I29" s="541"/>
      <c r="J29" s="236"/>
      <c r="K29" s="236">
        <v>0.34639999999999999</v>
      </c>
      <c r="L29" s="237">
        <f t="shared" si="8"/>
        <v>27.712</v>
      </c>
      <c r="M29" s="237">
        <v>92</v>
      </c>
      <c r="N29" s="237">
        <f t="shared" si="9"/>
        <v>92</v>
      </c>
      <c r="O29" s="330">
        <f t="shared" si="5"/>
        <v>0.60927152317880795</v>
      </c>
      <c r="P29" s="331">
        <f t="shared" si="6"/>
        <v>39.130434782608695</v>
      </c>
      <c r="Q29" s="332">
        <f t="shared" si="3"/>
        <v>40</v>
      </c>
      <c r="R29" s="332">
        <f t="shared" si="7"/>
        <v>40</v>
      </c>
    </row>
    <row r="30" spans="1:18" s="240" customFormat="1" ht="80.25" customHeight="1" thickBot="1">
      <c r="A30" s="234">
        <f t="shared" si="10"/>
        <v>151</v>
      </c>
      <c r="B30" s="235">
        <f t="shared" si="11"/>
        <v>90</v>
      </c>
      <c r="C30" s="323">
        <v>36</v>
      </c>
      <c r="D30" s="323" t="s">
        <v>386</v>
      </c>
      <c r="E30" s="323"/>
      <c r="F30" s="61" t="s">
        <v>52</v>
      </c>
      <c r="G30" s="61" t="s">
        <v>275</v>
      </c>
      <c r="H30" s="540" t="s">
        <v>249</v>
      </c>
      <c r="I30" s="541"/>
      <c r="J30" s="236"/>
      <c r="K30" s="236">
        <v>0.68920000000000003</v>
      </c>
      <c r="L30" s="237">
        <f t="shared" si="8"/>
        <v>55.136000000000003</v>
      </c>
      <c r="M30" s="237">
        <v>75</v>
      </c>
      <c r="N30" s="237">
        <f t="shared" si="9"/>
        <v>75</v>
      </c>
      <c r="O30" s="330">
        <f t="shared" si="5"/>
        <v>0.49668874172185429</v>
      </c>
      <c r="P30" s="331">
        <f t="shared" si="6"/>
        <v>48</v>
      </c>
      <c r="Q30" s="332">
        <f t="shared" si="3"/>
        <v>40</v>
      </c>
      <c r="R30" s="332">
        <f t="shared" si="7"/>
        <v>40</v>
      </c>
    </row>
    <row r="31" spans="1:18" s="240" customFormat="1" ht="69" customHeight="1" thickBot="1">
      <c r="A31" s="234">
        <f t="shared" si="10"/>
        <v>151</v>
      </c>
      <c r="B31" s="235">
        <f t="shared" si="11"/>
        <v>90</v>
      </c>
      <c r="C31" s="323">
        <v>34</v>
      </c>
      <c r="D31" s="542" t="s">
        <v>387</v>
      </c>
      <c r="E31" s="323"/>
      <c r="F31" s="325" t="s">
        <v>52</v>
      </c>
      <c r="G31" s="325" t="s">
        <v>275</v>
      </c>
      <c r="H31" s="540" t="s">
        <v>321</v>
      </c>
      <c r="I31" s="541"/>
      <c r="J31" s="236"/>
      <c r="K31" s="236">
        <v>0.35410000000000003</v>
      </c>
      <c r="L31" s="301">
        <f>((K31*60)/0.75)+((K32*60)/0.75)</f>
        <v>86.632000000000005</v>
      </c>
      <c r="M31" s="320">
        <v>20</v>
      </c>
      <c r="N31" s="552">
        <f>M31+M32</f>
        <v>82</v>
      </c>
      <c r="O31" s="635">
        <f t="shared" si="5"/>
        <v>0.54304635761589404</v>
      </c>
      <c r="P31" s="633">
        <f t="shared" si="6"/>
        <v>43.902439024390247</v>
      </c>
      <c r="Q31" s="631">
        <f t="shared" si="3"/>
        <v>40</v>
      </c>
      <c r="R31" s="631">
        <f t="shared" si="7"/>
        <v>40</v>
      </c>
    </row>
    <row r="32" spans="1:18" s="240" customFormat="1" ht="69" customHeight="1" thickBot="1">
      <c r="A32" s="234">
        <f t="shared" si="10"/>
        <v>151</v>
      </c>
      <c r="B32" s="235">
        <f t="shared" si="11"/>
        <v>90</v>
      </c>
      <c r="C32" s="323">
        <v>37</v>
      </c>
      <c r="D32" s="543"/>
      <c r="E32" s="323"/>
      <c r="F32" s="327"/>
      <c r="G32" s="327"/>
      <c r="H32" s="540" t="s">
        <v>250</v>
      </c>
      <c r="I32" s="541"/>
      <c r="J32" s="236"/>
      <c r="K32" s="236">
        <v>0.7288</v>
      </c>
      <c r="L32" s="302"/>
      <c r="M32" s="321">
        <v>62</v>
      </c>
      <c r="N32" s="553"/>
      <c r="O32" s="636"/>
      <c r="P32" s="634"/>
      <c r="Q32" s="632"/>
      <c r="R32" s="632"/>
    </row>
    <row r="33" spans="1:19" s="240" customFormat="1" ht="79.5" customHeight="1" thickBot="1">
      <c r="A33" s="234">
        <f t="shared" si="10"/>
        <v>151</v>
      </c>
      <c r="B33" s="235">
        <f t="shared" si="11"/>
        <v>90</v>
      </c>
      <c r="C33" s="323">
        <v>22</v>
      </c>
      <c r="D33" s="323" t="s">
        <v>340</v>
      </c>
      <c r="E33" s="323"/>
      <c r="F33" s="61" t="s">
        <v>166</v>
      </c>
      <c r="G33" s="61" t="s">
        <v>277</v>
      </c>
      <c r="H33" s="540" t="s">
        <v>262</v>
      </c>
      <c r="I33" s="541"/>
      <c r="J33" s="236"/>
      <c r="K33" s="236">
        <v>0.78939999999999999</v>
      </c>
      <c r="L33" s="237">
        <f t="shared" si="8"/>
        <v>63.151999999999994</v>
      </c>
      <c r="M33" s="237">
        <v>77</v>
      </c>
      <c r="N33" s="237">
        <f t="shared" si="9"/>
        <v>77</v>
      </c>
      <c r="O33" s="330">
        <f t="shared" si="5"/>
        <v>0.50993377483443714</v>
      </c>
      <c r="P33" s="331">
        <f t="shared" si="6"/>
        <v>46.753246753246756</v>
      </c>
      <c r="Q33" s="332">
        <f t="shared" si="3"/>
        <v>40</v>
      </c>
      <c r="R33" s="332">
        <f t="shared" si="7"/>
        <v>40</v>
      </c>
    </row>
    <row r="34" spans="1:19" s="240" customFormat="1" ht="78" customHeight="1" thickBot="1">
      <c r="A34" s="234">
        <f t="shared" si="10"/>
        <v>151</v>
      </c>
      <c r="B34" s="235">
        <f t="shared" si="11"/>
        <v>90</v>
      </c>
      <c r="C34" s="323">
        <v>25</v>
      </c>
      <c r="D34" s="323" t="s">
        <v>388</v>
      </c>
      <c r="E34" s="323"/>
      <c r="F34" s="61" t="s">
        <v>166</v>
      </c>
      <c r="G34" s="61" t="s">
        <v>277</v>
      </c>
      <c r="H34" s="540" t="s">
        <v>263</v>
      </c>
      <c r="I34" s="541"/>
      <c r="J34" s="236"/>
      <c r="K34" s="236">
        <v>0.72440000000000004</v>
      </c>
      <c r="L34" s="237">
        <f t="shared" si="8"/>
        <v>57.952000000000005</v>
      </c>
      <c r="M34" s="237">
        <v>57</v>
      </c>
      <c r="N34" s="237">
        <f t="shared" si="9"/>
        <v>57</v>
      </c>
      <c r="O34" s="330">
        <f t="shared" si="5"/>
        <v>0.37748344370860926</v>
      </c>
      <c r="P34" s="331">
        <f t="shared" si="6"/>
        <v>63.157894736842103</v>
      </c>
      <c r="Q34" s="332">
        <f t="shared" si="3"/>
        <v>40</v>
      </c>
      <c r="R34" s="332">
        <f t="shared" si="7"/>
        <v>40</v>
      </c>
    </row>
    <row r="35" spans="1:19" s="240" customFormat="1" ht="69" customHeight="1" thickBot="1">
      <c r="A35" s="234">
        <f t="shared" si="10"/>
        <v>151</v>
      </c>
      <c r="B35" s="235">
        <f t="shared" si="11"/>
        <v>90</v>
      </c>
      <c r="C35" s="323">
        <v>26</v>
      </c>
      <c r="D35" s="323" t="s">
        <v>389</v>
      </c>
      <c r="E35" s="323"/>
      <c r="F35" s="61" t="s">
        <v>166</v>
      </c>
      <c r="G35" s="61" t="s">
        <v>277</v>
      </c>
      <c r="H35" s="540" t="s">
        <v>239</v>
      </c>
      <c r="I35" s="541"/>
      <c r="J35" s="236"/>
      <c r="K35" s="236">
        <v>0.9002</v>
      </c>
      <c r="L35" s="237">
        <f t="shared" si="8"/>
        <v>72.016000000000005</v>
      </c>
      <c r="M35" s="237">
        <v>84</v>
      </c>
      <c r="N35" s="237">
        <f t="shared" si="9"/>
        <v>84</v>
      </c>
      <c r="O35" s="330">
        <f t="shared" si="5"/>
        <v>0.55629139072847678</v>
      </c>
      <c r="P35" s="331">
        <f t="shared" si="6"/>
        <v>42.857142857142854</v>
      </c>
      <c r="Q35" s="332">
        <f t="shared" si="3"/>
        <v>40</v>
      </c>
      <c r="R35" s="332">
        <f t="shared" si="7"/>
        <v>40</v>
      </c>
    </row>
    <row r="36" spans="1:19" s="240" customFormat="1" ht="70.5" customHeight="1" thickBot="1">
      <c r="A36" s="234">
        <f t="shared" si="10"/>
        <v>151</v>
      </c>
      <c r="B36" s="235">
        <f t="shared" si="11"/>
        <v>90</v>
      </c>
      <c r="C36" s="323">
        <v>38</v>
      </c>
      <c r="D36" s="323" t="s">
        <v>390</v>
      </c>
      <c r="E36" s="323"/>
      <c r="F36" s="61" t="s">
        <v>166</v>
      </c>
      <c r="G36" s="61" t="s">
        <v>277</v>
      </c>
      <c r="H36" s="540" t="s">
        <v>252</v>
      </c>
      <c r="I36" s="541"/>
      <c r="J36" s="236"/>
      <c r="K36" s="236">
        <v>1.3359000000000001</v>
      </c>
      <c r="L36" s="237">
        <f t="shared" si="8"/>
        <v>106.87200000000001</v>
      </c>
      <c r="M36" s="237">
        <v>135</v>
      </c>
      <c r="N36" s="237">
        <f t="shared" si="9"/>
        <v>135</v>
      </c>
      <c r="O36" s="330">
        <f t="shared" si="5"/>
        <v>0.89403973509933776</v>
      </c>
      <c r="P36" s="331">
        <f t="shared" si="6"/>
        <v>26.666666666666668</v>
      </c>
      <c r="Q36" s="332">
        <f t="shared" si="3"/>
        <v>40</v>
      </c>
      <c r="R36" s="332">
        <f t="shared" si="7"/>
        <v>40</v>
      </c>
    </row>
    <row r="37" spans="1:19" s="240" customFormat="1" ht="70.5" customHeight="1" thickBot="1">
      <c r="A37" s="234">
        <f t="shared" si="10"/>
        <v>151</v>
      </c>
      <c r="B37" s="235">
        <f t="shared" si="11"/>
        <v>90</v>
      </c>
      <c r="C37" s="275">
        <v>39</v>
      </c>
      <c r="D37" s="323" t="s">
        <v>351</v>
      </c>
      <c r="E37" s="323"/>
      <c r="F37" s="61" t="s">
        <v>166</v>
      </c>
      <c r="G37" s="61" t="s">
        <v>277</v>
      </c>
      <c r="H37" s="540" t="s">
        <v>251</v>
      </c>
      <c r="I37" s="541"/>
      <c r="J37" s="236"/>
      <c r="K37" s="236">
        <v>1.847</v>
      </c>
      <c r="L37" s="237">
        <f>((K37*60)/0.75)/2</f>
        <v>73.88</v>
      </c>
      <c r="M37" s="237">
        <v>130</v>
      </c>
      <c r="N37" s="552">
        <f>AVERAGE($M$37:$M$38)/2</f>
        <v>65</v>
      </c>
      <c r="O37" s="635">
        <f t="shared" si="5"/>
        <v>0.43046357615894038</v>
      </c>
      <c r="P37" s="633">
        <f t="shared" si="6"/>
        <v>55.384615384615387</v>
      </c>
      <c r="Q37" s="631">
        <f t="shared" si="3"/>
        <v>40</v>
      </c>
      <c r="R37" s="631">
        <f t="shared" si="7"/>
        <v>40</v>
      </c>
    </row>
    <row r="38" spans="1:19" s="240" customFormat="1" ht="70.5" customHeight="1" thickBot="1">
      <c r="A38" s="234">
        <f t="shared" si="10"/>
        <v>151</v>
      </c>
      <c r="B38" s="235">
        <f t="shared" si="11"/>
        <v>90</v>
      </c>
      <c r="C38" s="275">
        <v>39</v>
      </c>
      <c r="D38" s="323" t="s">
        <v>391</v>
      </c>
      <c r="E38" s="323"/>
      <c r="F38" s="61" t="s">
        <v>166</v>
      </c>
      <c r="G38" s="61" t="s">
        <v>277</v>
      </c>
      <c r="H38" s="540" t="s">
        <v>251</v>
      </c>
      <c r="I38" s="541"/>
      <c r="J38" s="236"/>
      <c r="K38" s="236">
        <v>1.847</v>
      </c>
      <c r="L38" s="237">
        <f>((K38*60)/0.75)/2</f>
        <v>73.88</v>
      </c>
      <c r="M38" s="237">
        <v>130</v>
      </c>
      <c r="N38" s="553"/>
      <c r="O38" s="636"/>
      <c r="P38" s="634"/>
      <c r="Q38" s="632"/>
      <c r="R38" s="632"/>
    </row>
    <row r="39" spans="1:19" s="240" customFormat="1" ht="57.75" customHeight="1" thickBot="1">
      <c r="A39" s="234">
        <f t="shared" si="10"/>
        <v>151</v>
      </c>
      <c r="B39" s="235">
        <f t="shared" si="11"/>
        <v>90</v>
      </c>
      <c r="C39" s="323">
        <v>40</v>
      </c>
      <c r="D39" s="323" t="s">
        <v>363</v>
      </c>
      <c r="E39" s="323"/>
      <c r="F39" s="61" t="s">
        <v>142</v>
      </c>
      <c r="G39" s="61" t="s">
        <v>276</v>
      </c>
      <c r="H39" s="540" t="s">
        <v>253</v>
      </c>
      <c r="I39" s="541"/>
      <c r="J39" s="236"/>
      <c r="K39" s="236">
        <v>0.79549999999999998</v>
      </c>
      <c r="L39" s="237">
        <f t="shared" si="8"/>
        <v>63.639999999999993</v>
      </c>
      <c r="M39" s="237">
        <v>90</v>
      </c>
      <c r="N39" s="237">
        <f>M39</f>
        <v>90</v>
      </c>
      <c r="O39" s="330">
        <f t="shared" si="5"/>
        <v>0.59602649006622521</v>
      </c>
      <c r="P39" s="331">
        <f t="shared" si="6"/>
        <v>40</v>
      </c>
      <c r="Q39" s="332">
        <f t="shared" si="3"/>
        <v>40</v>
      </c>
      <c r="R39" s="332">
        <f t="shared" si="7"/>
        <v>40</v>
      </c>
    </row>
    <row r="40" spans="1:19" s="240" customFormat="1" ht="81" customHeight="1" thickBot="1">
      <c r="A40" s="234">
        <f t="shared" si="10"/>
        <v>151</v>
      </c>
      <c r="B40" s="235">
        <f t="shared" si="11"/>
        <v>90</v>
      </c>
      <c r="C40" s="323">
        <v>41</v>
      </c>
      <c r="D40" s="323" t="s">
        <v>392</v>
      </c>
      <c r="E40" s="323"/>
      <c r="F40" s="61" t="s">
        <v>189</v>
      </c>
      <c r="G40" s="61" t="s">
        <v>278</v>
      </c>
      <c r="H40" s="540" t="s">
        <v>282</v>
      </c>
      <c r="I40" s="541"/>
      <c r="J40" s="236"/>
      <c r="K40" s="236">
        <v>0.7036</v>
      </c>
      <c r="L40" s="237">
        <f t="shared" si="8"/>
        <v>56.288000000000004</v>
      </c>
      <c r="M40" s="237">
        <v>55</v>
      </c>
      <c r="N40" s="237">
        <f t="shared" si="9"/>
        <v>55</v>
      </c>
      <c r="O40" s="330">
        <f t="shared" si="5"/>
        <v>0.36423841059602646</v>
      </c>
      <c r="P40" s="331">
        <f t="shared" si="6"/>
        <v>65.454545454545453</v>
      </c>
      <c r="Q40" s="332">
        <f t="shared" si="3"/>
        <v>40</v>
      </c>
      <c r="R40" s="332">
        <f t="shared" si="7"/>
        <v>40</v>
      </c>
    </row>
    <row r="41" spans="1:19" s="240" customFormat="1" ht="57.75" customHeight="1" thickBot="1">
      <c r="A41" s="234">
        <f t="shared" si="10"/>
        <v>151</v>
      </c>
      <c r="B41" s="235">
        <f t="shared" si="11"/>
        <v>90</v>
      </c>
      <c r="C41" s="323">
        <v>42</v>
      </c>
      <c r="D41" s="542" t="s">
        <v>356</v>
      </c>
      <c r="E41" s="323"/>
      <c r="F41" s="61" t="s">
        <v>189</v>
      </c>
      <c r="G41" s="61" t="s">
        <v>276</v>
      </c>
      <c r="H41" s="540" t="s">
        <v>255</v>
      </c>
      <c r="I41" s="541"/>
      <c r="J41" s="236"/>
      <c r="K41" s="236">
        <v>0.67479999999999996</v>
      </c>
      <c r="L41" s="237">
        <f>((K41*60)/0.75)+((K42*60)/0.75)</f>
        <v>78.75200000000001</v>
      </c>
      <c r="M41" s="237">
        <v>50</v>
      </c>
      <c r="N41" s="552">
        <f>M41+M42</f>
        <v>68</v>
      </c>
      <c r="O41" s="635">
        <f t="shared" si="5"/>
        <v>0.45033112582781459</v>
      </c>
      <c r="P41" s="633">
        <f t="shared" si="6"/>
        <v>52.941176470588232</v>
      </c>
      <c r="Q41" s="631">
        <f t="shared" si="3"/>
        <v>40</v>
      </c>
      <c r="R41" s="631">
        <f t="shared" si="7"/>
        <v>40</v>
      </c>
    </row>
    <row r="42" spans="1:19" s="240" customFormat="1" ht="69.75" customHeight="1" thickBot="1">
      <c r="A42" s="234">
        <f t="shared" si="10"/>
        <v>151</v>
      </c>
      <c r="B42" s="235">
        <f t="shared" si="11"/>
        <v>90</v>
      </c>
      <c r="C42" s="323">
        <v>43</v>
      </c>
      <c r="D42" s="543"/>
      <c r="E42" s="323"/>
      <c r="F42" s="61" t="s">
        <v>52</v>
      </c>
      <c r="G42" s="61" t="s">
        <v>275</v>
      </c>
      <c r="H42" s="540" t="s">
        <v>256</v>
      </c>
      <c r="I42" s="541"/>
      <c r="J42" s="236"/>
      <c r="K42" s="236">
        <v>0.30959999999999999</v>
      </c>
      <c r="L42" s="302"/>
      <c r="M42" s="321">
        <v>18</v>
      </c>
      <c r="N42" s="553"/>
      <c r="O42" s="636"/>
      <c r="P42" s="634"/>
      <c r="Q42" s="632"/>
      <c r="R42" s="632"/>
    </row>
    <row r="43" spans="1:19" s="240" customFormat="1" ht="56.25" customHeight="1" thickBot="1">
      <c r="A43" s="234">
        <f t="shared" si="10"/>
        <v>151</v>
      </c>
      <c r="B43" s="235">
        <f t="shared" si="11"/>
        <v>90</v>
      </c>
      <c r="C43" s="323">
        <v>44</v>
      </c>
      <c r="D43" s="609" t="s">
        <v>393</v>
      </c>
      <c r="E43" s="323"/>
      <c r="F43" s="328" t="s">
        <v>147</v>
      </c>
      <c r="G43" s="328" t="s">
        <v>279</v>
      </c>
      <c r="H43" s="630" t="s">
        <v>257</v>
      </c>
      <c r="I43" s="630"/>
      <c r="J43" s="236"/>
      <c r="K43" s="236">
        <v>0.2243</v>
      </c>
      <c r="L43" s="305">
        <f>((K43*60)/1.1)+((K44*60)/1.1)</f>
        <v>78.125454545454545</v>
      </c>
      <c r="M43" s="641">
        <v>120</v>
      </c>
      <c r="N43" s="641">
        <f>M43</f>
        <v>120</v>
      </c>
      <c r="O43" s="640">
        <f t="shared" si="5"/>
        <v>0.79470198675496684</v>
      </c>
      <c r="P43" s="652">
        <f t="shared" si="6"/>
        <v>30</v>
      </c>
      <c r="Q43" s="651">
        <f t="shared" si="3"/>
        <v>40</v>
      </c>
      <c r="R43" s="651">
        <f t="shared" si="7"/>
        <v>40</v>
      </c>
    </row>
    <row r="44" spans="1:19" s="240" customFormat="1" ht="105.75" customHeight="1" thickBot="1">
      <c r="A44" s="234">
        <f t="shared" si="10"/>
        <v>151</v>
      </c>
      <c r="B44" s="235">
        <f t="shared" si="11"/>
        <v>90</v>
      </c>
      <c r="C44" s="318">
        <v>45</v>
      </c>
      <c r="D44" s="542"/>
      <c r="E44" s="318"/>
      <c r="F44" s="325"/>
      <c r="G44" s="325"/>
      <c r="H44" s="650" t="s">
        <v>258</v>
      </c>
      <c r="I44" s="650"/>
      <c r="J44" s="336"/>
      <c r="K44" s="336">
        <v>1.208</v>
      </c>
      <c r="L44" s="301"/>
      <c r="M44" s="552"/>
      <c r="N44" s="552"/>
      <c r="O44" s="635"/>
      <c r="P44" s="633"/>
      <c r="Q44" s="631"/>
      <c r="R44" s="631"/>
      <c r="S44" s="315"/>
    </row>
    <row r="45" spans="1:19" s="240" customFormat="1" ht="54.75" customHeight="1" thickBot="1">
      <c r="A45" s="234">
        <f t="shared" si="10"/>
        <v>151</v>
      </c>
      <c r="B45" s="235">
        <f t="shared" si="11"/>
        <v>90</v>
      </c>
      <c r="C45" s="323"/>
      <c r="D45" s="56"/>
      <c r="E45" s="323"/>
      <c r="F45" s="61"/>
      <c r="G45" s="61"/>
      <c r="H45" s="540"/>
      <c r="I45" s="541"/>
      <c r="J45" s="236"/>
      <c r="K45" s="236"/>
      <c r="L45" s="237"/>
      <c r="M45" s="237"/>
      <c r="N45" s="237"/>
      <c r="O45" s="58"/>
      <c r="P45" s="238"/>
      <c r="Q45" s="239"/>
      <c r="R45" s="239"/>
      <c r="S45" s="337"/>
    </row>
    <row r="46" spans="1:19" s="240" customFormat="1" ht="54.75" customHeight="1" thickBot="1">
      <c r="A46" s="234">
        <f t="shared" si="10"/>
        <v>151</v>
      </c>
      <c r="B46" s="235">
        <f t="shared" si="11"/>
        <v>90</v>
      </c>
      <c r="C46" s="323"/>
      <c r="D46" s="56"/>
      <c r="E46" s="323"/>
      <c r="F46" s="61"/>
      <c r="G46" s="61"/>
      <c r="H46" s="540"/>
      <c r="I46" s="541"/>
      <c r="J46" s="236"/>
      <c r="K46" s="236"/>
      <c r="L46" s="237"/>
      <c r="M46" s="237"/>
      <c r="N46" s="237"/>
      <c r="O46" s="58"/>
      <c r="P46" s="238"/>
      <c r="Q46" s="239"/>
      <c r="R46" s="239"/>
    </row>
    <row r="47" spans="1:19" s="240" customFormat="1" ht="63.75" customHeight="1" thickBot="1">
      <c r="A47" s="234"/>
      <c r="B47" s="235"/>
      <c r="C47" s="323"/>
      <c r="D47" s="56"/>
      <c r="E47" s="56"/>
      <c r="F47" s="323"/>
      <c r="G47" s="56"/>
      <c r="H47" s="540"/>
      <c r="I47" s="541"/>
      <c r="J47" s="236"/>
      <c r="K47" s="236"/>
      <c r="L47" s="237"/>
      <c r="M47" s="237"/>
      <c r="N47" s="237"/>
      <c r="O47" s="58"/>
      <c r="P47" s="238"/>
      <c r="Q47" s="239"/>
      <c r="R47" s="239"/>
    </row>
    <row r="48" spans="1:19" ht="28.5" customHeight="1">
      <c r="A48" s="241"/>
      <c r="B48" s="242"/>
      <c r="C48" s="243"/>
      <c r="D48" s="244">
        <f>COUNTA(D10:D47)</f>
        <v>27</v>
      </c>
      <c r="E48" s="244">
        <f>COUNT(E47:E47)</f>
        <v>0</v>
      </c>
      <c r="F48" s="244">
        <f>COUNT(F47:F47)</f>
        <v>0</v>
      </c>
      <c r="G48" s="244">
        <f>SUM(G47:G47)</f>
        <v>0</v>
      </c>
      <c r="H48" s="554"/>
      <c r="I48" s="554"/>
      <c r="J48" s="554"/>
      <c r="K48" s="554"/>
      <c r="L48" s="554"/>
      <c r="M48" s="554"/>
      <c r="N48" s="554"/>
      <c r="O48" s="554"/>
      <c r="P48" s="554"/>
      <c r="Q48" s="322"/>
      <c r="R48" s="246"/>
    </row>
    <row r="49" spans="1:18" ht="50.25" customHeight="1">
      <c r="A49" s="241"/>
      <c r="B49" s="242"/>
      <c r="C49" s="243"/>
      <c r="D49" s="247"/>
      <c r="E49" s="247"/>
      <c r="F49" s="247"/>
      <c r="G49" s="247"/>
      <c r="H49" s="247"/>
      <c r="I49" s="247"/>
      <c r="J49" s="247"/>
      <c r="K49" s="247"/>
      <c r="L49" s="248"/>
      <c r="M49" s="248"/>
      <c r="N49" s="248"/>
      <c r="O49" s="247"/>
      <c r="P49" s="247"/>
      <c r="Q49" s="247"/>
      <c r="R49" s="246"/>
    </row>
    <row r="50" spans="1:18" ht="29.25" customHeight="1">
      <c r="A50" s="241"/>
      <c r="B50" s="242"/>
      <c r="C50" s="243"/>
      <c r="D50" s="247"/>
      <c r="E50" s="247"/>
      <c r="F50" s="247"/>
      <c r="G50" s="247"/>
      <c r="H50" s="247"/>
      <c r="I50" s="247"/>
      <c r="J50" s="247"/>
      <c r="K50" s="247"/>
      <c r="L50" s="248"/>
      <c r="M50" s="248"/>
      <c r="N50" s="248"/>
      <c r="O50" s="247"/>
      <c r="P50" s="247"/>
      <c r="Q50" s="247"/>
      <c r="R50" s="246"/>
    </row>
    <row r="51" spans="1:18" ht="29.25" customHeight="1">
      <c r="A51" s="241"/>
      <c r="B51" s="242"/>
      <c r="C51" s="243"/>
      <c r="D51" s="247"/>
      <c r="E51" s="247"/>
      <c r="F51" s="247"/>
      <c r="G51" s="247"/>
      <c r="H51" s="247"/>
      <c r="I51" s="247"/>
      <c r="J51" s="247"/>
      <c r="K51" s="247"/>
      <c r="L51" s="248"/>
      <c r="M51" s="248"/>
      <c r="N51" s="248"/>
      <c r="O51" s="247"/>
      <c r="P51" s="247"/>
      <c r="Q51" s="247"/>
      <c r="R51" s="246"/>
    </row>
    <row r="52" spans="1:18" ht="29.25" customHeight="1">
      <c r="A52" s="241"/>
      <c r="B52" s="242"/>
      <c r="C52" s="243"/>
      <c r="D52" s="322"/>
      <c r="E52" s="322"/>
      <c r="F52" s="322"/>
      <c r="G52" s="322"/>
      <c r="H52" s="554"/>
      <c r="I52" s="554"/>
      <c r="J52" s="554"/>
      <c r="K52" s="554"/>
      <c r="L52" s="554"/>
      <c r="M52" s="554"/>
      <c r="N52" s="554"/>
      <c r="O52" s="554"/>
      <c r="P52" s="554"/>
      <c r="Q52" s="322"/>
      <c r="R52" s="246"/>
    </row>
    <row r="53" spans="1:18">
      <c r="A53" s="241"/>
      <c r="B53" s="242"/>
      <c r="C53" s="243"/>
      <c r="D53" s="247"/>
      <c r="E53" s="247"/>
      <c r="F53" s="247"/>
      <c r="G53" s="247"/>
      <c r="H53" s="247"/>
      <c r="I53" s="247"/>
      <c r="J53" s="247"/>
      <c r="K53" s="247"/>
      <c r="L53" s="248"/>
      <c r="M53" s="248"/>
      <c r="N53" s="248"/>
      <c r="O53" s="247"/>
      <c r="P53" s="247"/>
      <c r="Q53" s="247"/>
      <c r="R53" s="246"/>
    </row>
    <row r="54" spans="1:18" ht="43.5" customHeight="1">
      <c r="A54" s="241"/>
      <c r="B54" s="242"/>
      <c r="C54" s="243"/>
      <c r="D54" s="247"/>
      <c r="E54" s="247"/>
      <c r="F54" s="247"/>
      <c r="G54" s="247"/>
      <c r="H54" s="247"/>
      <c r="I54" s="247"/>
      <c r="J54" s="247"/>
      <c r="K54" s="247"/>
      <c r="L54" s="248"/>
      <c r="M54" s="248"/>
      <c r="N54" s="248"/>
      <c r="O54" s="247"/>
      <c r="P54" s="247"/>
      <c r="Q54" s="247"/>
      <c r="R54" s="246"/>
    </row>
    <row r="55" spans="1:18">
      <c r="A55" s="241"/>
      <c r="B55" s="242"/>
      <c r="C55" s="243"/>
      <c r="D55" s="247"/>
      <c r="E55" s="247"/>
      <c r="F55" s="247"/>
      <c r="G55" s="247"/>
      <c r="H55" s="247"/>
      <c r="I55" s="247"/>
      <c r="J55" s="247"/>
      <c r="K55" s="247"/>
      <c r="L55" s="248"/>
      <c r="M55" s="248"/>
      <c r="N55" s="248"/>
      <c r="O55" s="247"/>
      <c r="P55" s="247"/>
      <c r="Q55" s="247"/>
      <c r="R55" s="246"/>
    </row>
    <row r="56" spans="1:18" ht="42" customHeight="1">
      <c r="C56" s="556" t="s">
        <v>79</v>
      </c>
      <c r="D56" s="556"/>
      <c r="E56" s="560" t="s">
        <v>80</v>
      </c>
      <c r="F56" s="561"/>
      <c r="G56" s="556" t="s">
        <v>81</v>
      </c>
      <c r="H56" s="556"/>
      <c r="I56" s="556" t="s">
        <v>82</v>
      </c>
      <c r="J56" s="556"/>
      <c r="K56" s="562" t="s">
        <v>83</v>
      </c>
      <c r="L56" s="562"/>
      <c r="M56" s="562"/>
      <c r="N56" s="562"/>
      <c r="O56" s="562"/>
      <c r="P56" s="556" t="s">
        <v>84</v>
      </c>
      <c r="Q56" s="556"/>
      <c r="R56" s="556"/>
    </row>
    <row r="57" spans="1:18" ht="13.2">
      <c r="C57" s="559"/>
      <c r="D57" s="559"/>
      <c r="E57" s="559"/>
      <c r="F57" s="559"/>
      <c r="G57" s="559"/>
      <c r="H57" s="559"/>
      <c r="I57" s="559"/>
      <c r="J57" s="559"/>
      <c r="K57" s="559"/>
      <c r="L57" s="559"/>
      <c r="M57" s="559"/>
      <c r="N57" s="559"/>
      <c r="O57" s="559"/>
      <c r="P57" s="559"/>
      <c r="Q57" s="559"/>
      <c r="R57" s="559"/>
    </row>
    <row r="58" spans="1:18" ht="13.2">
      <c r="C58" s="559"/>
      <c r="D58" s="559"/>
      <c r="E58" s="559"/>
      <c r="F58" s="559"/>
      <c r="G58" s="559"/>
      <c r="H58" s="559"/>
      <c r="I58" s="559"/>
      <c r="J58" s="559"/>
      <c r="K58" s="559"/>
      <c r="L58" s="559"/>
      <c r="M58" s="559"/>
      <c r="N58" s="559"/>
      <c r="O58" s="559"/>
      <c r="P58" s="559"/>
      <c r="Q58" s="559"/>
      <c r="R58" s="559"/>
    </row>
    <row r="59" spans="1:18" s="250" customFormat="1" ht="57" customHeight="1">
      <c r="A59" s="249"/>
      <c r="B59" s="249"/>
      <c r="C59" s="559"/>
      <c r="D59" s="559"/>
      <c r="E59" s="559"/>
      <c r="F59" s="559"/>
      <c r="G59" s="559"/>
      <c r="H59" s="559"/>
      <c r="I59" s="559"/>
      <c r="J59" s="559"/>
      <c r="K59" s="559"/>
      <c r="L59" s="559"/>
      <c r="M59" s="559"/>
      <c r="N59" s="559"/>
      <c r="O59" s="559"/>
      <c r="P59" s="559"/>
      <c r="Q59" s="559"/>
      <c r="R59" s="559"/>
    </row>
    <row r="60" spans="1:18" ht="42.75" customHeight="1">
      <c r="C60" s="556" t="s">
        <v>85</v>
      </c>
      <c r="D60" s="556"/>
      <c r="E60" s="556" t="s">
        <v>86</v>
      </c>
      <c r="F60" s="556"/>
      <c r="G60" s="556" t="s">
        <v>87</v>
      </c>
      <c r="H60" s="556"/>
      <c r="I60" s="557" t="s">
        <v>88</v>
      </c>
      <c r="J60" s="557"/>
      <c r="K60" s="558" t="s">
        <v>90</v>
      </c>
      <c r="L60" s="556"/>
      <c r="M60" s="556"/>
      <c r="N60" s="556"/>
      <c r="O60" s="556"/>
      <c r="P60" s="556" t="s">
        <v>89</v>
      </c>
      <c r="Q60" s="556"/>
      <c r="R60" s="556"/>
    </row>
    <row r="61" spans="1:18" ht="13.2">
      <c r="C61" s="555"/>
      <c r="D61" s="555"/>
      <c r="E61" s="555"/>
      <c r="F61" s="555"/>
      <c r="G61" s="555"/>
      <c r="H61" s="555"/>
      <c r="I61" s="555"/>
      <c r="J61" s="555"/>
      <c r="K61" s="555"/>
      <c r="L61" s="555"/>
      <c r="M61" s="555"/>
      <c r="N61" s="555"/>
      <c r="O61" s="555"/>
      <c r="P61" s="555"/>
      <c r="Q61" s="555"/>
      <c r="R61" s="555"/>
    </row>
    <row r="62" spans="1:18" ht="13.2">
      <c r="C62" s="555"/>
      <c r="D62" s="555"/>
      <c r="E62" s="555"/>
      <c r="F62" s="555"/>
      <c r="G62" s="555"/>
      <c r="H62" s="555"/>
      <c r="I62" s="555"/>
      <c r="J62" s="555"/>
      <c r="K62" s="555"/>
      <c r="L62" s="555"/>
      <c r="M62" s="555"/>
      <c r="N62" s="555"/>
      <c r="O62" s="555"/>
      <c r="P62" s="555"/>
      <c r="Q62" s="555"/>
      <c r="R62" s="555"/>
    </row>
    <row r="63" spans="1:18" ht="62.25" customHeight="1">
      <c r="C63" s="555"/>
      <c r="D63" s="555"/>
      <c r="E63" s="555"/>
      <c r="F63" s="555"/>
      <c r="G63" s="555"/>
      <c r="H63" s="555"/>
      <c r="I63" s="555"/>
      <c r="J63" s="555"/>
      <c r="K63" s="555"/>
      <c r="L63" s="555"/>
      <c r="M63" s="555"/>
      <c r="N63" s="555"/>
      <c r="O63" s="555"/>
      <c r="P63" s="555"/>
      <c r="Q63" s="555"/>
      <c r="R63" s="555"/>
    </row>
  </sheetData>
  <autoFilter ref="A9:R48">
    <filterColumn colId="7" showButton="0"/>
    <filterColumn colId="10" showButton="0"/>
  </autoFilter>
  <mergeCells count="134">
    <mergeCell ref="I2:R2"/>
    <mergeCell ref="D3:G3"/>
    <mergeCell ref="K3:O3"/>
    <mergeCell ref="D4:G4"/>
    <mergeCell ref="K4:O4"/>
    <mergeCell ref="D5:G5"/>
    <mergeCell ref="K5:O5"/>
    <mergeCell ref="P7:P9"/>
    <mergeCell ref="Q7:Q9"/>
    <mergeCell ref="R7:R9"/>
    <mergeCell ref="D6:G6"/>
    <mergeCell ref="K6:O6"/>
    <mergeCell ref="J7:J9"/>
    <mergeCell ref="K7:L9"/>
    <mergeCell ref="O7:O9"/>
    <mergeCell ref="M7:M9"/>
    <mergeCell ref="N10:N12"/>
    <mergeCell ref="N13:N14"/>
    <mergeCell ref="N16:N17"/>
    <mergeCell ref="D10:D12"/>
    <mergeCell ref="H11:I11"/>
    <mergeCell ref="H10:I10"/>
    <mergeCell ref="H12:I12"/>
    <mergeCell ref="D13:D14"/>
    <mergeCell ref="D16:D17"/>
    <mergeCell ref="C7:C9"/>
    <mergeCell ref="D7:D9"/>
    <mergeCell ref="E7:E9"/>
    <mergeCell ref="F7:G8"/>
    <mergeCell ref="H7:I9"/>
    <mergeCell ref="P56:R56"/>
    <mergeCell ref="H45:I45"/>
    <mergeCell ref="H46:I46"/>
    <mergeCell ref="H47:I47"/>
    <mergeCell ref="H48:P48"/>
    <mergeCell ref="H52:P52"/>
    <mergeCell ref="H42:I42"/>
    <mergeCell ref="H43:I43"/>
    <mergeCell ref="H44:I44"/>
    <mergeCell ref="R41:R42"/>
    <mergeCell ref="Q41:Q42"/>
    <mergeCell ref="P41:P42"/>
    <mergeCell ref="R43:R44"/>
    <mergeCell ref="Q43:Q44"/>
    <mergeCell ref="P43:P44"/>
    <mergeCell ref="C56:D56"/>
    <mergeCell ref="E56:F56"/>
    <mergeCell ref="H20:I20"/>
    <mergeCell ref="N7:N9"/>
    <mergeCell ref="P61:R63"/>
    <mergeCell ref="C60:D60"/>
    <mergeCell ref="E60:F60"/>
    <mergeCell ref="G60:H60"/>
    <mergeCell ref="I60:J60"/>
    <mergeCell ref="K60:O60"/>
    <mergeCell ref="P60:R60"/>
    <mergeCell ref="C57:D59"/>
    <mergeCell ref="E57:F59"/>
    <mergeCell ref="G57:H59"/>
    <mergeCell ref="I57:J59"/>
    <mergeCell ref="K57:O59"/>
    <mergeCell ref="P57:R59"/>
    <mergeCell ref="C61:D63"/>
    <mergeCell ref="E61:F63"/>
    <mergeCell ref="G61:H63"/>
    <mergeCell ref="I61:J63"/>
    <mergeCell ref="K61:O63"/>
    <mergeCell ref="G56:H56"/>
    <mergeCell ref="I56:J56"/>
    <mergeCell ref="K56:O56"/>
    <mergeCell ref="D43:D44"/>
    <mergeCell ref="D41:D42"/>
    <mergeCell ref="H37:I37"/>
    <mergeCell ref="H38:I38"/>
    <mergeCell ref="H39:I39"/>
    <mergeCell ref="H40:I40"/>
    <mergeCell ref="H41:I41"/>
    <mergeCell ref="O41:O42"/>
    <mergeCell ref="O43:O44"/>
    <mergeCell ref="N37:N38"/>
    <mergeCell ref="N41:N42"/>
    <mergeCell ref="M43:M44"/>
    <mergeCell ref="N43:N44"/>
    <mergeCell ref="H18:I18"/>
    <mergeCell ref="H21:I21"/>
    <mergeCell ref="H22:I22"/>
    <mergeCell ref="H15:I15"/>
    <mergeCell ref="D31:D32"/>
    <mergeCell ref="H33:I33"/>
    <mergeCell ref="H34:I34"/>
    <mergeCell ref="H35:I35"/>
    <mergeCell ref="H36:I36"/>
    <mergeCell ref="H28:I28"/>
    <mergeCell ref="H29:I29"/>
    <mergeCell ref="H30:I30"/>
    <mergeCell ref="H31:I31"/>
    <mergeCell ref="D22:D23"/>
    <mergeCell ref="H19:I19"/>
    <mergeCell ref="R10:R12"/>
    <mergeCell ref="Q10:Q12"/>
    <mergeCell ref="P10:P12"/>
    <mergeCell ref="O10:O12"/>
    <mergeCell ref="R13:R14"/>
    <mergeCell ref="Q13:Q14"/>
    <mergeCell ref="P13:P14"/>
    <mergeCell ref="O13:O14"/>
    <mergeCell ref="H32:I32"/>
    <mergeCell ref="N22:N23"/>
    <mergeCell ref="N31:N32"/>
    <mergeCell ref="H16:I16"/>
    <mergeCell ref="H17:I17"/>
    <mergeCell ref="H13:I13"/>
    <mergeCell ref="H14:I14"/>
    <mergeCell ref="R31:R32"/>
    <mergeCell ref="Q31:Q32"/>
    <mergeCell ref="P31:P32"/>
    <mergeCell ref="O31:O32"/>
    <mergeCell ref="H23:I23"/>
    <mergeCell ref="H24:I24"/>
    <mergeCell ref="H25:I25"/>
    <mergeCell ref="H26:I26"/>
    <mergeCell ref="H27:I27"/>
    <mergeCell ref="R37:R38"/>
    <mergeCell ref="Q37:Q38"/>
    <mergeCell ref="P37:P38"/>
    <mergeCell ref="O37:O38"/>
    <mergeCell ref="Q16:Q17"/>
    <mergeCell ref="R16:R17"/>
    <mergeCell ref="P16:P17"/>
    <mergeCell ref="O16:O17"/>
    <mergeCell ref="R22:R23"/>
    <mergeCell ref="Q22:Q23"/>
    <mergeCell ref="P22:P23"/>
    <mergeCell ref="O22:O23"/>
  </mergeCells>
  <pageMargins left="0" right="0" top="0" bottom="0" header="0.31496062992126" footer="0.31496062992126"/>
  <pageSetup paperSize="9" scale="44" fitToHeight="0" orientation="portrait" r:id="rId1"/>
  <headerFooter alignWithMargins="0"/>
  <rowBreaks count="2" manualBreakCount="2">
    <brk id="26" min="2" max="15" man="1"/>
    <brk id="44" min="2" max="1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S66"/>
  <sheetViews>
    <sheetView view="pageBreakPreview" topLeftCell="A46" zoomScale="89" zoomScaleNormal="85" zoomScaleSheetLayoutView="89" workbookViewId="0">
      <selection activeCell="P46" sqref="P46:P48"/>
    </sheetView>
  </sheetViews>
  <sheetFormatPr defaultColWidth="9.109375" defaultRowHeight="17.399999999999999"/>
  <cols>
    <col min="1" max="1" width="1.6640625" style="211" customWidth="1"/>
    <col min="2" max="2" width="3" style="211" customWidth="1"/>
    <col min="3" max="3" width="14.33203125" style="212" customWidth="1"/>
    <col min="4" max="4" width="21.88671875" style="212" customWidth="1"/>
    <col min="5" max="5" width="16.33203125" style="212" customWidth="1"/>
    <col min="6" max="6" width="8.33203125" style="212" customWidth="1"/>
    <col min="7" max="7" width="13.109375" style="212" customWidth="1"/>
    <col min="8" max="9" width="28.33203125" style="212" customWidth="1"/>
    <col min="10" max="10" width="14.5546875" style="212" hidden="1" customWidth="1"/>
    <col min="11" max="11" width="8.88671875" style="212" customWidth="1"/>
    <col min="12" max="14" width="10.5546875" style="213" customWidth="1"/>
    <col min="15" max="15" width="16.109375" style="212" customWidth="1"/>
    <col min="16" max="16" width="16.33203125" style="212" customWidth="1"/>
    <col min="17" max="17" width="12.109375" style="212" customWidth="1"/>
    <col min="18" max="18" width="15.44140625" style="212" customWidth="1"/>
    <col min="19" max="16384" width="9.109375" style="212"/>
  </cols>
  <sheetData>
    <row r="1" spans="1:18" ht="14.25" customHeight="1" thickBot="1"/>
    <row r="2" spans="1:18" ht="42.75" customHeight="1" thickBot="1">
      <c r="C2" s="214"/>
      <c r="D2" s="215"/>
      <c r="E2" s="215"/>
      <c r="F2" s="215"/>
      <c r="G2" s="215"/>
      <c r="H2" s="317"/>
      <c r="I2" s="511" t="s">
        <v>25</v>
      </c>
      <c r="J2" s="511"/>
      <c r="K2" s="511"/>
      <c r="L2" s="511"/>
      <c r="M2" s="511"/>
      <c r="N2" s="511"/>
      <c r="O2" s="511"/>
      <c r="P2" s="511"/>
      <c r="Q2" s="511"/>
      <c r="R2" s="512"/>
    </row>
    <row r="3" spans="1:18" s="224" customFormat="1" ht="13.8">
      <c r="A3" s="217"/>
      <c r="B3" s="217"/>
      <c r="C3" s="218" t="s">
        <v>0</v>
      </c>
      <c r="D3" s="513">
        <v>44341</v>
      </c>
      <c r="E3" s="514"/>
      <c r="F3" s="514"/>
      <c r="G3" s="515"/>
      <c r="H3" s="219" t="s">
        <v>1</v>
      </c>
      <c r="I3" s="220">
        <v>40</v>
      </c>
      <c r="J3" s="221"/>
      <c r="K3" s="516" t="s">
        <v>2</v>
      </c>
      <c r="L3" s="517"/>
      <c r="M3" s="517"/>
      <c r="N3" s="517"/>
      <c r="O3" s="518"/>
      <c r="P3" s="222">
        <f>3600/I3</f>
        <v>90</v>
      </c>
      <c r="Q3" s="219" t="s">
        <v>3</v>
      </c>
      <c r="R3" s="223">
        <f>MAX(N10:N50)</f>
        <v>90</v>
      </c>
    </row>
    <row r="4" spans="1:18" s="224" customFormat="1" ht="13.8">
      <c r="A4" s="217"/>
      <c r="B4" s="217"/>
      <c r="C4" s="225" t="s">
        <v>4</v>
      </c>
      <c r="D4" s="519">
        <v>221433</v>
      </c>
      <c r="E4" s="520"/>
      <c r="F4" s="520"/>
      <c r="G4" s="521"/>
      <c r="H4" s="30" t="s">
        <v>5</v>
      </c>
      <c r="I4" s="226">
        <f>3600/R3</f>
        <v>40</v>
      </c>
      <c r="J4" s="227"/>
      <c r="K4" s="522" t="s">
        <v>6</v>
      </c>
      <c r="L4" s="523"/>
      <c r="M4" s="523"/>
      <c r="N4" s="523"/>
      <c r="O4" s="524"/>
      <c r="P4" s="1">
        <f>I4/D6</f>
        <v>0.63056129032258068</v>
      </c>
      <c r="Q4" s="228" t="s">
        <v>7</v>
      </c>
      <c r="R4" s="2">
        <f>P5/P6</f>
        <v>0.70645161290322578</v>
      </c>
    </row>
    <row r="5" spans="1:18" s="224" customFormat="1" ht="13.8">
      <c r="A5" s="217"/>
      <c r="B5" s="217"/>
      <c r="C5" s="225" t="s">
        <v>8</v>
      </c>
      <c r="D5" s="519"/>
      <c r="E5" s="520"/>
      <c r="F5" s="520"/>
      <c r="G5" s="521"/>
      <c r="H5" s="31" t="s">
        <v>9</v>
      </c>
      <c r="I5" s="229" t="s">
        <v>280</v>
      </c>
      <c r="J5" s="230">
        <f>+I5/60</f>
        <v>0.48868500000000004</v>
      </c>
      <c r="K5" s="519" t="s">
        <v>10</v>
      </c>
      <c r="L5" s="520"/>
      <c r="M5" s="520"/>
      <c r="N5" s="520"/>
      <c r="O5" s="520"/>
      <c r="P5" s="228">
        <f>SUM(N10:N50)</f>
        <v>1971</v>
      </c>
      <c r="Q5" s="228" t="s">
        <v>11</v>
      </c>
      <c r="R5" s="231">
        <f>I4/I6</f>
        <v>1.2903225806451613</v>
      </c>
    </row>
    <row r="6" spans="1:18" s="224" customFormat="1" ht="13.8">
      <c r="A6" s="217"/>
      <c r="B6" s="217"/>
      <c r="C6" s="225" t="s">
        <v>12</v>
      </c>
      <c r="D6" s="525">
        <f>(60/I5)*I6</f>
        <v>63.435546415380045</v>
      </c>
      <c r="E6" s="526"/>
      <c r="F6" s="526"/>
      <c r="G6" s="527"/>
      <c r="H6" s="31" t="s">
        <v>13</v>
      </c>
      <c r="I6" s="232">
        <f>D51</f>
        <v>31</v>
      </c>
      <c r="J6" s="226">
        <f>60/J5*I6*0.65</f>
        <v>2473.9863101998217</v>
      </c>
      <c r="K6" s="519" t="s">
        <v>14</v>
      </c>
      <c r="L6" s="520"/>
      <c r="M6" s="520"/>
      <c r="N6" s="520"/>
      <c r="O6" s="521"/>
      <c r="P6" s="228">
        <f>R3*I6</f>
        <v>2790</v>
      </c>
      <c r="Q6" s="228"/>
      <c r="R6" s="231"/>
    </row>
    <row r="7" spans="1:18" ht="12.75" customHeight="1">
      <c r="C7" s="642" t="s">
        <v>15</v>
      </c>
      <c r="D7" s="644" t="s">
        <v>16</v>
      </c>
      <c r="E7" s="644" t="s">
        <v>24</v>
      </c>
      <c r="F7" s="645" t="s">
        <v>31</v>
      </c>
      <c r="G7" s="646"/>
      <c r="H7" s="644" t="s">
        <v>17</v>
      </c>
      <c r="I7" s="644"/>
      <c r="J7" s="659" t="s">
        <v>18</v>
      </c>
      <c r="K7" s="644" t="s">
        <v>19</v>
      </c>
      <c r="L7" s="644"/>
      <c r="M7" s="649" t="s">
        <v>364</v>
      </c>
      <c r="N7" s="649" t="s">
        <v>365</v>
      </c>
      <c r="O7" s="644" t="s">
        <v>20</v>
      </c>
      <c r="P7" s="644" t="s">
        <v>11</v>
      </c>
      <c r="Q7" s="655" t="s">
        <v>21</v>
      </c>
      <c r="R7" s="657" t="s">
        <v>22</v>
      </c>
    </row>
    <row r="8" spans="1:18" ht="13.2">
      <c r="C8" s="642"/>
      <c r="D8" s="644"/>
      <c r="E8" s="644"/>
      <c r="F8" s="647"/>
      <c r="G8" s="648"/>
      <c r="H8" s="644"/>
      <c r="I8" s="644"/>
      <c r="J8" s="659"/>
      <c r="K8" s="644"/>
      <c r="L8" s="644"/>
      <c r="M8" s="653"/>
      <c r="N8" s="653"/>
      <c r="O8" s="644"/>
      <c r="P8" s="644"/>
      <c r="Q8" s="656"/>
      <c r="R8" s="658"/>
    </row>
    <row r="9" spans="1:18" ht="14.7" customHeight="1">
      <c r="C9" s="643"/>
      <c r="D9" s="644"/>
      <c r="E9" s="644"/>
      <c r="F9" s="329" t="s">
        <v>32</v>
      </c>
      <c r="G9" s="329" t="s">
        <v>28</v>
      </c>
      <c r="H9" s="649"/>
      <c r="I9" s="649"/>
      <c r="J9" s="660"/>
      <c r="K9" s="644"/>
      <c r="L9" s="644"/>
      <c r="M9" s="654"/>
      <c r="N9" s="654"/>
      <c r="O9" s="649"/>
      <c r="P9" s="649"/>
      <c r="Q9" s="656"/>
      <c r="R9" s="658"/>
    </row>
    <row r="10" spans="1:18" s="240" customFormat="1" ht="107.25" customHeight="1" thickBot="1">
      <c r="A10" s="234">
        <f t="shared" ref="A10:A19" si="0">$R$3</f>
        <v>90</v>
      </c>
      <c r="B10" s="235">
        <f t="shared" ref="B10:B19" si="1">$P$3</f>
        <v>90</v>
      </c>
      <c r="C10" s="323">
        <v>24</v>
      </c>
      <c r="D10" s="563" t="s">
        <v>375</v>
      </c>
      <c r="E10" s="326"/>
      <c r="F10" s="327"/>
      <c r="G10" s="327"/>
      <c r="H10" s="540" t="s">
        <v>237</v>
      </c>
      <c r="I10" s="541"/>
      <c r="J10" s="236"/>
      <c r="K10" s="304">
        <v>0.27260000000000001</v>
      </c>
      <c r="L10" s="302"/>
      <c r="M10" s="321">
        <v>20</v>
      </c>
      <c r="N10" s="552">
        <f>M10+M11+M12</f>
        <v>85</v>
      </c>
      <c r="O10" s="635">
        <f>IF(N10=0,"",N10/$R$3)</f>
        <v>0.94444444444444442</v>
      </c>
      <c r="P10" s="633">
        <f t="shared" ref="P10" si="2">IF(N10=0,"",3600/N10)</f>
        <v>42.352941176470587</v>
      </c>
      <c r="Q10" s="631">
        <f t="shared" ref="Q10:Q46" si="3">3600/$P$3</f>
        <v>40</v>
      </c>
      <c r="R10" s="631">
        <f>+Q10</f>
        <v>40</v>
      </c>
    </row>
    <row r="11" spans="1:18" s="240" customFormat="1" ht="68.25" customHeight="1" thickBot="1">
      <c r="A11" s="234">
        <f t="shared" si="0"/>
        <v>90</v>
      </c>
      <c r="B11" s="235">
        <f t="shared" si="1"/>
        <v>90</v>
      </c>
      <c r="C11" s="323">
        <v>6</v>
      </c>
      <c r="D11" s="563"/>
      <c r="E11" s="323"/>
      <c r="F11" s="328" t="s">
        <v>52</v>
      </c>
      <c r="G11" s="328" t="s">
        <v>275</v>
      </c>
      <c r="H11" s="540" t="s">
        <v>232</v>
      </c>
      <c r="I11" s="541"/>
      <c r="J11" s="236"/>
      <c r="K11" s="236">
        <v>0.31369999999999998</v>
      </c>
      <c r="L11" s="305"/>
      <c r="M11" s="237">
        <v>45</v>
      </c>
      <c r="N11" s="613"/>
      <c r="O11" s="639"/>
      <c r="P11" s="638"/>
      <c r="Q11" s="637"/>
      <c r="R11" s="637"/>
    </row>
    <row r="12" spans="1:18" s="240" customFormat="1" ht="58.5" customHeight="1" thickBot="1">
      <c r="A12" s="234">
        <f t="shared" si="0"/>
        <v>90</v>
      </c>
      <c r="B12" s="235">
        <f t="shared" si="1"/>
        <v>90</v>
      </c>
      <c r="C12" s="323" t="s">
        <v>320</v>
      </c>
      <c r="D12" s="543"/>
      <c r="E12" s="323"/>
      <c r="F12" s="327"/>
      <c r="G12" s="327"/>
      <c r="H12" s="540" t="s">
        <v>305</v>
      </c>
      <c r="I12" s="541"/>
      <c r="J12" s="236"/>
      <c r="K12" s="236">
        <f>0.7923*1/3</f>
        <v>0.2641</v>
      </c>
      <c r="L12" s="302"/>
      <c r="M12" s="321">
        <v>20</v>
      </c>
      <c r="N12" s="553"/>
      <c r="O12" s="636"/>
      <c r="P12" s="634"/>
      <c r="Q12" s="632"/>
      <c r="R12" s="632"/>
    </row>
    <row r="13" spans="1:18" s="240" customFormat="1" ht="66" customHeight="1" thickBot="1">
      <c r="A13" s="234">
        <f t="shared" si="0"/>
        <v>90</v>
      </c>
      <c r="B13" s="235">
        <f t="shared" si="1"/>
        <v>90</v>
      </c>
      <c r="C13" s="323">
        <v>2</v>
      </c>
      <c r="D13" s="542" t="s">
        <v>352</v>
      </c>
      <c r="E13" s="323"/>
      <c r="F13" s="61" t="s">
        <v>142</v>
      </c>
      <c r="G13" s="61" t="s">
        <v>274</v>
      </c>
      <c r="H13" s="540" t="s">
        <v>322</v>
      </c>
      <c r="I13" s="541"/>
      <c r="J13" s="236"/>
      <c r="K13" s="236">
        <v>0.3548</v>
      </c>
      <c r="L13" s="305">
        <f>((K13*60)/0.75)+((K14*60)/0.75)</f>
        <v>69.096000000000004</v>
      </c>
      <c r="M13" s="237">
        <v>45</v>
      </c>
      <c r="N13" s="552">
        <f>M13+M14</f>
        <v>80</v>
      </c>
      <c r="O13" s="635">
        <f>IF(N13=0,"",N13/$R$3)</f>
        <v>0.88888888888888884</v>
      </c>
      <c r="P13" s="633">
        <f t="shared" ref="P13:P46" si="4">IF(N13=0,"",3600/N13)</f>
        <v>45</v>
      </c>
      <c r="Q13" s="631">
        <f t="shared" si="3"/>
        <v>40</v>
      </c>
      <c r="R13" s="631">
        <f t="shared" ref="R13:R46" si="5">+Q13</f>
        <v>40</v>
      </c>
    </row>
    <row r="14" spans="1:18" s="240" customFormat="1" ht="77.25" customHeight="1" thickBot="1">
      <c r="A14" s="234">
        <f t="shared" si="0"/>
        <v>90</v>
      </c>
      <c r="B14" s="235">
        <f t="shared" si="1"/>
        <v>90</v>
      </c>
      <c r="C14" s="323">
        <v>5</v>
      </c>
      <c r="D14" s="543"/>
      <c r="E14" s="323"/>
      <c r="F14" s="61" t="s">
        <v>148</v>
      </c>
      <c r="G14" s="61" t="s">
        <v>274</v>
      </c>
      <c r="H14" s="540" t="s">
        <v>323</v>
      </c>
      <c r="I14" s="541"/>
      <c r="J14" s="236"/>
      <c r="K14" s="236">
        <v>0.50890000000000002</v>
      </c>
      <c r="L14" s="302"/>
      <c r="M14" s="321">
        <v>35</v>
      </c>
      <c r="N14" s="553"/>
      <c r="O14" s="636"/>
      <c r="P14" s="634"/>
      <c r="Q14" s="632"/>
      <c r="R14" s="632"/>
    </row>
    <row r="15" spans="1:18" s="240" customFormat="1" ht="50.25" customHeight="1" thickBot="1">
      <c r="A15" s="234">
        <f t="shared" si="0"/>
        <v>90</v>
      </c>
      <c r="B15" s="235">
        <f t="shared" si="1"/>
        <v>90</v>
      </c>
      <c r="C15" s="323" t="s">
        <v>306</v>
      </c>
      <c r="D15" s="318" t="s">
        <v>376</v>
      </c>
      <c r="E15" s="323"/>
      <c r="F15" s="61" t="s">
        <v>142</v>
      </c>
      <c r="G15" s="61" t="s">
        <v>274</v>
      </c>
      <c r="H15" s="540" t="s">
        <v>299</v>
      </c>
      <c r="I15" s="541"/>
      <c r="J15" s="236"/>
      <c r="K15" s="236"/>
      <c r="L15" s="237">
        <f t="shared" ref="L15:L43" si="6">((K15*60)/0.75)</f>
        <v>0</v>
      </c>
      <c r="M15" s="237">
        <v>84</v>
      </c>
      <c r="N15" s="237">
        <f>M15</f>
        <v>84</v>
      </c>
      <c r="O15" s="333">
        <f t="shared" ref="O15:O46" si="7">IF(N15=0,"",N15/$R$3)</f>
        <v>0.93333333333333335</v>
      </c>
      <c r="P15" s="334">
        <f t="shared" si="4"/>
        <v>42.857142857142854</v>
      </c>
      <c r="Q15" s="335">
        <f t="shared" si="3"/>
        <v>40</v>
      </c>
      <c r="R15" s="335">
        <f t="shared" si="5"/>
        <v>40</v>
      </c>
    </row>
    <row r="16" spans="1:18" s="240" customFormat="1" ht="50.25" customHeight="1" thickBot="1">
      <c r="A16" s="234">
        <f t="shared" si="0"/>
        <v>90</v>
      </c>
      <c r="B16" s="235">
        <f t="shared" si="1"/>
        <v>90</v>
      </c>
      <c r="C16" s="323" t="s">
        <v>306</v>
      </c>
      <c r="D16" s="542" t="s">
        <v>377</v>
      </c>
      <c r="E16" s="323"/>
      <c r="F16" s="325" t="s">
        <v>317</v>
      </c>
      <c r="G16" s="325" t="s">
        <v>276</v>
      </c>
      <c r="H16" s="540" t="s">
        <v>300</v>
      </c>
      <c r="I16" s="541"/>
      <c r="J16" s="236"/>
      <c r="K16" s="236"/>
      <c r="L16" s="237">
        <f t="shared" si="6"/>
        <v>0</v>
      </c>
      <c r="M16" s="237">
        <v>25</v>
      </c>
      <c r="N16" s="552">
        <f>M16+M17</f>
        <v>50</v>
      </c>
      <c r="O16" s="635">
        <f t="shared" si="7"/>
        <v>0.55555555555555558</v>
      </c>
      <c r="P16" s="633">
        <f t="shared" si="4"/>
        <v>72</v>
      </c>
      <c r="Q16" s="631">
        <f t="shared" si="3"/>
        <v>40</v>
      </c>
      <c r="R16" s="631">
        <f t="shared" si="5"/>
        <v>40</v>
      </c>
    </row>
    <row r="17" spans="1:18" s="240" customFormat="1" ht="66" customHeight="1" thickBot="1">
      <c r="A17" s="234">
        <f t="shared" si="0"/>
        <v>90</v>
      </c>
      <c r="B17" s="235">
        <f t="shared" si="1"/>
        <v>90</v>
      </c>
      <c r="C17" s="323">
        <v>3</v>
      </c>
      <c r="D17" s="543"/>
      <c r="E17" s="323"/>
      <c r="F17" s="327"/>
      <c r="G17" s="327"/>
      <c r="H17" s="540" t="s">
        <v>229</v>
      </c>
      <c r="I17" s="541"/>
      <c r="J17" s="236"/>
      <c r="K17" s="236">
        <v>0.28799999999999998</v>
      </c>
      <c r="L17" s="237">
        <f t="shared" si="6"/>
        <v>23.039999999999996</v>
      </c>
      <c r="M17" s="237">
        <v>25</v>
      </c>
      <c r="N17" s="553"/>
      <c r="O17" s="636"/>
      <c r="P17" s="634"/>
      <c r="Q17" s="632"/>
      <c r="R17" s="632"/>
    </row>
    <row r="18" spans="1:18" s="240" customFormat="1" ht="50.25" customHeight="1" thickBot="1">
      <c r="A18" s="234">
        <f t="shared" si="0"/>
        <v>90</v>
      </c>
      <c r="B18" s="235">
        <f t="shared" si="1"/>
        <v>90</v>
      </c>
      <c r="C18" s="323">
        <v>12</v>
      </c>
      <c r="D18" s="318" t="s">
        <v>378</v>
      </c>
      <c r="E18" s="323"/>
      <c r="F18" s="61" t="s">
        <v>301</v>
      </c>
      <c r="G18" s="61" t="s">
        <v>275</v>
      </c>
      <c r="H18" s="540" t="s">
        <v>302</v>
      </c>
      <c r="I18" s="541"/>
      <c r="J18" s="236"/>
      <c r="K18" s="236"/>
      <c r="L18" s="237">
        <f t="shared" si="6"/>
        <v>0</v>
      </c>
      <c r="M18" s="237">
        <v>80</v>
      </c>
      <c r="N18" s="237">
        <f>M18*0.7</f>
        <v>56</v>
      </c>
      <c r="O18" s="330">
        <f t="shared" si="7"/>
        <v>0.62222222222222223</v>
      </c>
      <c r="P18" s="331">
        <f t="shared" si="4"/>
        <v>64.285714285714292</v>
      </c>
      <c r="Q18" s="332">
        <f t="shared" si="3"/>
        <v>40</v>
      </c>
      <c r="R18" s="332">
        <f t="shared" si="5"/>
        <v>40</v>
      </c>
    </row>
    <row r="19" spans="1:18" s="240" customFormat="1" ht="53.25" customHeight="1" thickBot="1">
      <c r="A19" s="234">
        <f t="shared" si="0"/>
        <v>90</v>
      </c>
      <c r="B19" s="235">
        <f t="shared" si="1"/>
        <v>90</v>
      </c>
      <c r="C19" s="323">
        <v>13</v>
      </c>
      <c r="D19" s="318" t="s">
        <v>379</v>
      </c>
      <c r="E19" s="323"/>
      <c r="F19" s="61" t="s">
        <v>301</v>
      </c>
      <c r="G19" s="61" t="s">
        <v>275</v>
      </c>
      <c r="H19" s="540" t="s">
        <v>303</v>
      </c>
      <c r="I19" s="541"/>
      <c r="J19" s="236"/>
      <c r="K19" s="236"/>
      <c r="L19" s="237">
        <f t="shared" si="6"/>
        <v>0</v>
      </c>
      <c r="M19" s="237">
        <v>120</v>
      </c>
      <c r="N19" s="237">
        <f>M19*0.5</f>
        <v>60</v>
      </c>
      <c r="O19" s="330">
        <f t="shared" si="7"/>
        <v>0.66666666666666663</v>
      </c>
      <c r="P19" s="331">
        <f>IF(N19=0,"",3600/N19)</f>
        <v>60</v>
      </c>
      <c r="Q19" s="332">
        <f t="shared" si="3"/>
        <v>40</v>
      </c>
      <c r="R19" s="332">
        <f t="shared" si="5"/>
        <v>40</v>
      </c>
    </row>
    <row r="20" spans="1:18" s="240" customFormat="1" ht="53.25" customHeight="1" thickBot="1">
      <c r="A20" s="234"/>
      <c r="B20" s="235"/>
      <c r="C20" s="323"/>
      <c r="D20" s="324" t="s">
        <v>398</v>
      </c>
      <c r="E20" s="309" t="s">
        <v>400</v>
      </c>
      <c r="F20" s="61"/>
      <c r="G20" s="61"/>
      <c r="H20" s="540" t="s">
        <v>399</v>
      </c>
      <c r="I20" s="541"/>
      <c r="J20" s="236"/>
      <c r="K20" s="236"/>
      <c r="L20" s="237"/>
      <c r="M20" s="237">
        <f>M19*0.5+M18*0.3</f>
        <v>84</v>
      </c>
      <c r="N20" s="237">
        <f>M20</f>
        <v>84</v>
      </c>
      <c r="O20" s="330">
        <f>IF(N20=0,"",N20/$R$3)</f>
        <v>0.93333333333333335</v>
      </c>
      <c r="P20" s="331"/>
      <c r="Q20" s="332">
        <f t="shared" si="3"/>
        <v>40</v>
      </c>
      <c r="R20" s="332">
        <f t="shared" ref="R20" si="8">+Q20</f>
        <v>40</v>
      </c>
    </row>
    <row r="21" spans="1:18" s="240" customFormat="1" ht="53.25" customHeight="1" thickBot="1">
      <c r="A21" s="234">
        <f>$R$3</f>
        <v>90</v>
      </c>
      <c r="B21" s="235">
        <f>$P$3</f>
        <v>90</v>
      </c>
      <c r="C21" s="323" t="s">
        <v>306</v>
      </c>
      <c r="D21" s="323" t="s">
        <v>352</v>
      </c>
      <c r="E21" s="323"/>
      <c r="F21" s="61" t="s">
        <v>142</v>
      </c>
      <c r="G21" s="61" t="s">
        <v>274</v>
      </c>
      <c r="H21" s="540" t="s">
        <v>304</v>
      </c>
      <c r="I21" s="541"/>
      <c r="J21" s="236"/>
      <c r="K21" s="236"/>
      <c r="L21" s="237">
        <f t="shared" si="6"/>
        <v>0</v>
      </c>
      <c r="M21" s="237">
        <v>80</v>
      </c>
      <c r="N21" s="237">
        <f t="shared" ref="N21:N43" si="9">M21</f>
        <v>80</v>
      </c>
      <c r="O21" s="330">
        <f t="shared" si="7"/>
        <v>0.88888888888888884</v>
      </c>
      <c r="P21" s="331">
        <f t="shared" si="4"/>
        <v>45</v>
      </c>
      <c r="Q21" s="332">
        <f t="shared" si="3"/>
        <v>40</v>
      </c>
      <c r="R21" s="332">
        <f t="shared" si="5"/>
        <v>40</v>
      </c>
    </row>
    <row r="22" spans="1:18" s="240" customFormat="1" ht="73.5" customHeight="1" thickBot="1">
      <c r="A22" s="234"/>
      <c r="B22" s="235"/>
      <c r="C22" s="323">
        <v>26</v>
      </c>
      <c r="D22" s="318" t="s">
        <v>380</v>
      </c>
      <c r="E22" s="323"/>
      <c r="F22" s="319" t="s">
        <v>52</v>
      </c>
      <c r="G22" s="319" t="s">
        <v>297</v>
      </c>
      <c r="H22" s="540" t="s">
        <v>324</v>
      </c>
      <c r="I22" s="541"/>
      <c r="J22" s="236"/>
      <c r="K22" s="257"/>
      <c r="L22" s="237">
        <f t="shared" si="6"/>
        <v>0</v>
      </c>
      <c r="M22" s="237">
        <v>151</v>
      </c>
      <c r="N22" s="552">
        <f>AVERAGE($M$22:$M$23)/2</f>
        <v>75.5</v>
      </c>
      <c r="O22" s="635">
        <f t="shared" si="7"/>
        <v>0.83888888888888891</v>
      </c>
      <c r="P22" s="633">
        <f t="shared" si="4"/>
        <v>47.682119205298015</v>
      </c>
      <c r="Q22" s="631">
        <f t="shared" si="3"/>
        <v>40</v>
      </c>
      <c r="R22" s="631">
        <f t="shared" si="5"/>
        <v>40</v>
      </c>
    </row>
    <row r="23" spans="1:18" s="240" customFormat="1" ht="73.5" customHeight="1" thickBot="1">
      <c r="A23" s="234"/>
      <c r="B23" s="235"/>
      <c r="C23" s="323"/>
      <c r="D23" s="324" t="s">
        <v>395</v>
      </c>
      <c r="E23" s="309">
        <v>26</v>
      </c>
      <c r="F23" s="319"/>
      <c r="G23" s="319"/>
      <c r="H23" s="540" t="s">
        <v>324</v>
      </c>
      <c r="I23" s="541"/>
      <c r="J23" s="236"/>
      <c r="K23" s="257"/>
      <c r="L23" s="237">
        <f t="shared" si="6"/>
        <v>0</v>
      </c>
      <c r="M23" s="237">
        <v>151</v>
      </c>
      <c r="N23" s="553"/>
      <c r="O23" s="636"/>
      <c r="P23" s="634"/>
      <c r="Q23" s="632"/>
      <c r="R23" s="632"/>
    </row>
    <row r="24" spans="1:18" s="240" customFormat="1" ht="68.25" customHeight="1" thickBot="1">
      <c r="A24" s="234">
        <f t="shared" ref="A24:A38" si="10">$R$3</f>
        <v>90</v>
      </c>
      <c r="B24" s="235">
        <f t="shared" ref="B24:B38" si="11">$P$3</f>
        <v>90</v>
      </c>
      <c r="C24" s="323">
        <v>27</v>
      </c>
      <c r="D24" s="542" t="s">
        <v>358</v>
      </c>
      <c r="E24" s="323"/>
      <c r="F24" s="61" t="s">
        <v>142</v>
      </c>
      <c r="G24" s="61" t="s">
        <v>274</v>
      </c>
      <c r="H24" s="540" t="s">
        <v>240</v>
      </c>
      <c r="I24" s="541"/>
      <c r="J24" s="236"/>
      <c r="K24" s="236">
        <v>0.51839999999999997</v>
      </c>
      <c r="L24" s="237">
        <f>((K24*60)/0.75)+((K25*60)/0.75)</f>
        <v>72.75200000000001</v>
      </c>
      <c r="M24" s="237">
        <v>30</v>
      </c>
      <c r="N24" s="552">
        <f>M24+M25</f>
        <v>60</v>
      </c>
      <c r="O24" s="635">
        <f t="shared" si="7"/>
        <v>0.66666666666666663</v>
      </c>
      <c r="P24" s="633">
        <f t="shared" si="4"/>
        <v>60</v>
      </c>
      <c r="Q24" s="631">
        <f t="shared" si="3"/>
        <v>40</v>
      </c>
      <c r="R24" s="631">
        <f t="shared" si="5"/>
        <v>40</v>
      </c>
    </row>
    <row r="25" spans="1:18" s="240" customFormat="1" ht="60" customHeight="1" thickBot="1">
      <c r="A25" s="234">
        <f t="shared" si="10"/>
        <v>90</v>
      </c>
      <c r="B25" s="235">
        <f t="shared" si="11"/>
        <v>90</v>
      </c>
      <c r="C25" s="323">
        <v>28</v>
      </c>
      <c r="D25" s="543"/>
      <c r="E25" s="323"/>
      <c r="F25" s="61" t="s">
        <v>166</v>
      </c>
      <c r="G25" s="61" t="s">
        <v>277</v>
      </c>
      <c r="H25" s="540" t="s">
        <v>241</v>
      </c>
      <c r="I25" s="541"/>
      <c r="J25" s="236"/>
      <c r="K25" s="236">
        <v>0.39100000000000001</v>
      </c>
      <c r="L25" s="305"/>
      <c r="M25" s="237">
        <v>30</v>
      </c>
      <c r="N25" s="553"/>
      <c r="O25" s="636"/>
      <c r="P25" s="634"/>
      <c r="Q25" s="632"/>
      <c r="R25" s="632"/>
    </row>
    <row r="26" spans="1:18" s="240" customFormat="1" ht="93.75" customHeight="1" thickBot="1">
      <c r="A26" s="234">
        <f t="shared" si="10"/>
        <v>90</v>
      </c>
      <c r="B26" s="235">
        <f t="shared" si="11"/>
        <v>90</v>
      </c>
      <c r="C26" s="323">
        <v>29</v>
      </c>
      <c r="D26" s="323" t="s">
        <v>381</v>
      </c>
      <c r="E26" s="323"/>
      <c r="F26" s="61" t="s">
        <v>142</v>
      </c>
      <c r="G26" s="61" t="s">
        <v>274</v>
      </c>
      <c r="H26" s="540" t="s">
        <v>242</v>
      </c>
      <c r="I26" s="541"/>
      <c r="J26" s="236"/>
      <c r="K26" s="236">
        <v>0.69330000000000003</v>
      </c>
      <c r="L26" s="237">
        <f t="shared" si="6"/>
        <v>55.463999999999999</v>
      </c>
      <c r="M26" s="237">
        <v>60</v>
      </c>
      <c r="N26" s="237">
        <f t="shared" si="9"/>
        <v>60</v>
      </c>
      <c r="O26" s="330">
        <f t="shared" si="7"/>
        <v>0.66666666666666663</v>
      </c>
      <c r="P26" s="331">
        <f t="shared" si="4"/>
        <v>60</v>
      </c>
      <c r="Q26" s="332">
        <f t="shared" si="3"/>
        <v>40</v>
      </c>
      <c r="R26" s="332">
        <f t="shared" si="5"/>
        <v>40</v>
      </c>
    </row>
    <row r="27" spans="1:18" s="240" customFormat="1" ht="103.5" customHeight="1" thickBot="1">
      <c r="A27" s="234">
        <f t="shared" si="10"/>
        <v>90</v>
      </c>
      <c r="B27" s="235">
        <f t="shared" si="11"/>
        <v>90</v>
      </c>
      <c r="C27" s="323">
        <v>30</v>
      </c>
      <c r="D27" s="323" t="s">
        <v>382</v>
      </c>
      <c r="E27" s="323"/>
      <c r="F27" s="61" t="s">
        <v>52</v>
      </c>
      <c r="G27" s="61" t="s">
        <v>275</v>
      </c>
      <c r="H27" s="540" t="s">
        <v>327</v>
      </c>
      <c r="I27" s="541"/>
      <c r="J27" s="236"/>
      <c r="K27" s="236">
        <v>0.50029999999999997</v>
      </c>
      <c r="L27" s="237">
        <f t="shared" si="6"/>
        <v>40.023999999999994</v>
      </c>
      <c r="M27" s="237">
        <v>65</v>
      </c>
      <c r="N27" s="237">
        <f t="shared" si="9"/>
        <v>65</v>
      </c>
      <c r="O27" s="330">
        <f t="shared" si="7"/>
        <v>0.72222222222222221</v>
      </c>
      <c r="P27" s="331">
        <f t="shared" si="4"/>
        <v>55.384615384615387</v>
      </c>
      <c r="Q27" s="332">
        <f t="shared" si="3"/>
        <v>40</v>
      </c>
      <c r="R27" s="332">
        <f t="shared" si="5"/>
        <v>40</v>
      </c>
    </row>
    <row r="28" spans="1:18" s="240" customFormat="1" ht="117" customHeight="1" thickBot="1">
      <c r="A28" s="234">
        <f t="shared" si="10"/>
        <v>90</v>
      </c>
      <c r="B28" s="235">
        <f t="shared" si="11"/>
        <v>90</v>
      </c>
      <c r="C28" s="323" t="s">
        <v>290</v>
      </c>
      <c r="D28" s="323" t="s">
        <v>383</v>
      </c>
      <c r="E28" s="323"/>
      <c r="F28" s="61" t="s">
        <v>52</v>
      </c>
      <c r="G28" s="61" t="s">
        <v>275</v>
      </c>
      <c r="H28" s="540" t="s">
        <v>394</v>
      </c>
      <c r="I28" s="541"/>
      <c r="J28" s="236"/>
      <c r="K28" s="257">
        <f>1.9469/2</f>
        <v>0.97345000000000004</v>
      </c>
      <c r="L28" s="237">
        <f t="shared" si="6"/>
        <v>77.876000000000005</v>
      </c>
      <c r="M28" s="237">
        <v>78</v>
      </c>
      <c r="N28" s="237">
        <f t="shared" si="9"/>
        <v>78</v>
      </c>
      <c r="O28" s="330">
        <f t="shared" si="7"/>
        <v>0.8666666666666667</v>
      </c>
      <c r="P28" s="331">
        <f t="shared" si="4"/>
        <v>46.153846153846153</v>
      </c>
      <c r="Q28" s="332">
        <f t="shared" si="3"/>
        <v>40</v>
      </c>
      <c r="R28" s="332">
        <f t="shared" si="5"/>
        <v>40</v>
      </c>
    </row>
    <row r="29" spans="1:18" s="240" customFormat="1" ht="71.25" customHeight="1" thickBot="1">
      <c r="A29" s="234">
        <f t="shared" si="10"/>
        <v>90</v>
      </c>
      <c r="B29" s="235">
        <f t="shared" si="11"/>
        <v>90</v>
      </c>
      <c r="C29" s="323">
        <v>32</v>
      </c>
      <c r="D29" s="323" t="s">
        <v>384</v>
      </c>
      <c r="E29" s="323"/>
      <c r="F29" s="61" t="s">
        <v>52</v>
      </c>
      <c r="G29" s="61" t="s">
        <v>275</v>
      </c>
      <c r="H29" s="540" t="s">
        <v>245</v>
      </c>
      <c r="I29" s="541"/>
      <c r="J29" s="236"/>
      <c r="K29" s="236">
        <v>0.57050000000000001</v>
      </c>
      <c r="L29" s="237">
        <f t="shared" si="6"/>
        <v>45.640000000000008</v>
      </c>
      <c r="M29" s="237">
        <v>90</v>
      </c>
      <c r="N29" s="237">
        <f t="shared" si="9"/>
        <v>90</v>
      </c>
      <c r="O29" s="330">
        <f t="shared" si="7"/>
        <v>1</v>
      </c>
      <c r="P29" s="331">
        <f t="shared" si="4"/>
        <v>40</v>
      </c>
      <c r="Q29" s="332">
        <f t="shared" si="3"/>
        <v>40</v>
      </c>
      <c r="R29" s="332">
        <f t="shared" si="5"/>
        <v>40</v>
      </c>
    </row>
    <row r="30" spans="1:18" s="240" customFormat="1" ht="160.5" customHeight="1" thickBot="1">
      <c r="A30" s="234">
        <f t="shared" si="10"/>
        <v>90</v>
      </c>
      <c r="B30" s="235">
        <f t="shared" si="11"/>
        <v>90</v>
      </c>
      <c r="C30" s="323">
        <v>33</v>
      </c>
      <c r="D30" s="323" t="s">
        <v>377</v>
      </c>
      <c r="E30" s="323"/>
      <c r="F30" s="61" t="s">
        <v>57</v>
      </c>
      <c r="G30" s="61" t="s">
        <v>285</v>
      </c>
      <c r="H30" s="540" t="s">
        <v>339</v>
      </c>
      <c r="I30" s="541"/>
      <c r="J30" s="236"/>
      <c r="K30" s="236">
        <v>0.83320000000000005</v>
      </c>
      <c r="L30" s="237">
        <f t="shared" si="6"/>
        <v>66.656000000000006</v>
      </c>
      <c r="M30" s="237">
        <v>92</v>
      </c>
      <c r="N30" s="237">
        <v>90</v>
      </c>
      <c r="O30" s="330">
        <f t="shared" si="7"/>
        <v>1</v>
      </c>
      <c r="P30" s="331">
        <f t="shared" si="4"/>
        <v>40</v>
      </c>
      <c r="Q30" s="332">
        <f t="shared" si="3"/>
        <v>40</v>
      </c>
      <c r="R30" s="332">
        <f t="shared" si="5"/>
        <v>40</v>
      </c>
    </row>
    <row r="31" spans="1:18" s="240" customFormat="1" ht="68.25" customHeight="1" thickBot="1">
      <c r="A31" s="234">
        <f t="shared" si="10"/>
        <v>90</v>
      </c>
      <c r="B31" s="235">
        <f t="shared" si="11"/>
        <v>90</v>
      </c>
      <c r="C31" s="323">
        <v>35</v>
      </c>
      <c r="D31" s="323" t="s">
        <v>385</v>
      </c>
      <c r="E31" s="323"/>
      <c r="F31" s="61" t="s">
        <v>52</v>
      </c>
      <c r="G31" s="61" t="s">
        <v>275</v>
      </c>
      <c r="H31" s="540" t="s">
        <v>248</v>
      </c>
      <c r="I31" s="541"/>
      <c r="J31" s="236"/>
      <c r="K31" s="236">
        <v>0.34639999999999999</v>
      </c>
      <c r="L31" s="237">
        <f t="shared" si="6"/>
        <v>27.712</v>
      </c>
      <c r="M31" s="237">
        <v>92</v>
      </c>
      <c r="N31" s="237">
        <v>90</v>
      </c>
      <c r="O31" s="330">
        <f t="shared" si="7"/>
        <v>1</v>
      </c>
      <c r="P31" s="331">
        <f t="shared" si="4"/>
        <v>40</v>
      </c>
      <c r="Q31" s="332">
        <f t="shared" si="3"/>
        <v>40</v>
      </c>
      <c r="R31" s="332">
        <f t="shared" si="5"/>
        <v>40</v>
      </c>
    </row>
    <row r="32" spans="1:18" s="240" customFormat="1" ht="80.25" customHeight="1" thickBot="1">
      <c r="A32" s="234">
        <f t="shared" si="10"/>
        <v>90</v>
      </c>
      <c r="B32" s="235">
        <f t="shared" si="11"/>
        <v>90</v>
      </c>
      <c r="C32" s="323">
        <v>36</v>
      </c>
      <c r="D32" s="323" t="s">
        <v>386</v>
      </c>
      <c r="E32" s="323"/>
      <c r="F32" s="61" t="s">
        <v>52</v>
      </c>
      <c r="G32" s="61" t="s">
        <v>275</v>
      </c>
      <c r="H32" s="540" t="s">
        <v>249</v>
      </c>
      <c r="I32" s="541"/>
      <c r="J32" s="236"/>
      <c r="K32" s="236">
        <v>0.68920000000000003</v>
      </c>
      <c r="L32" s="237">
        <f t="shared" si="6"/>
        <v>55.136000000000003</v>
      </c>
      <c r="M32" s="237">
        <v>75</v>
      </c>
      <c r="N32" s="237">
        <f t="shared" si="9"/>
        <v>75</v>
      </c>
      <c r="O32" s="330">
        <f t="shared" si="7"/>
        <v>0.83333333333333337</v>
      </c>
      <c r="P32" s="331">
        <f t="shared" si="4"/>
        <v>48</v>
      </c>
      <c r="Q32" s="332">
        <f t="shared" si="3"/>
        <v>40</v>
      </c>
      <c r="R32" s="332">
        <f t="shared" si="5"/>
        <v>40</v>
      </c>
    </row>
    <row r="33" spans="1:19" s="240" customFormat="1" ht="69" customHeight="1" thickBot="1">
      <c r="A33" s="234">
        <f t="shared" si="10"/>
        <v>90</v>
      </c>
      <c r="B33" s="235">
        <f t="shared" si="11"/>
        <v>90</v>
      </c>
      <c r="C33" s="323">
        <v>34</v>
      </c>
      <c r="D33" s="542" t="s">
        <v>387</v>
      </c>
      <c r="E33" s="323"/>
      <c r="F33" s="325" t="s">
        <v>52</v>
      </c>
      <c r="G33" s="325" t="s">
        <v>275</v>
      </c>
      <c r="H33" s="540" t="s">
        <v>321</v>
      </c>
      <c r="I33" s="541"/>
      <c r="J33" s="236"/>
      <c r="K33" s="236">
        <v>0.35410000000000003</v>
      </c>
      <c r="L33" s="301">
        <f>((K33*60)/0.75)+((K34*60)/0.75)</f>
        <v>86.632000000000005</v>
      </c>
      <c r="M33" s="320">
        <v>20</v>
      </c>
      <c r="N33" s="552">
        <f>M33+M34</f>
        <v>82</v>
      </c>
      <c r="O33" s="635">
        <f t="shared" si="7"/>
        <v>0.91111111111111109</v>
      </c>
      <c r="P33" s="633">
        <f t="shared" si="4"/>
        <v>43.902439024390247</v>
      </c>
      <c r="Q33" s="631">
        <f t="shared" si="3"/>
        <v>40</v>
      </c>
      <c r="R33" s="631">
        <f t="shared" si="5"/>
        <v>40</v>
      </c>
    </row>
    <row r="34" spans="1:19" s="240" customFormat="1" ht="69" customHeight="1" thickBot="1">
      <c r="A34" s="234">
        <f t="shared" si="10"/>
        <v>90</v>
      </c>
      <c r="B34" s="235">
        <f t="shared" si="11"/>
        <v>90</v>
      </c>
      <c r="C34" s="323">
        <v>37</v>
      </c>
      <c r="D34" s="543"/>
      <c r="E34" s="323"/>
      <c r="F34" s="327"/>
      <c r="G34" s="327"/>
      <c r="H34" s="540" t="s">
        <v>250</v>
      </c>
      <c r="I34" s="541"/>
      <c r="J34" s="236"/>
      <c r="K34" s="236">
        <v>0.7288</v>
      </c>
      <c r="L34" s="302"/>
      <c r="M34" s="321">
        <v>62</v>
      </c>
      <c r="N34" s="553"/>
      <c r="O34" s="636"/>
      <c r="P34" s="634"/>
      <c r="Q34" s="632"/>
      <c r="R34" s="632"/>
    </row>
    <row r="35" spans="1:19" s="240" customFormat="1" ht="79.5" customHeight="1" thickBot="1">
      <c r="A35" s="234">
        <f t="shared" si="10"/>
        <v>90</v>
      </c>
      <c r="B35" s="235">
        <f t="shared" si="11"/>
        <v>90</v>
      </c>
      <c r="C35" s="323">
        <v>22</v>
      </c>
      <c r="D35" s="323" t="s">
        <v>340</v>
      </c>
      <c r="E35" s="323"/>
      <c r="F35" s="61" t="s">
        <v>166</v>
      </c>
      <c r="G35" s="61" t="s">
        <v>277</v>
      </c>
      <c r="H35" s="540" t="s">
        <v>262</v>
      </c>
      <c r="I35" s="541"/>
      <c r="J35" s="236"/>
      <c r="K35" s="236">
        <v>0.78939999999999999</v>
      </c>
      <c r="L35" s="237">
        <f t="shared" si="6"/>
        <v>63.151999999999994</v>
      </c>
      <c r="M35" s="237">
        <v>77</v>
      </c>
      <c r="N35" s="237">
        <f t="shared" si="9"/>
        <v>77</v>
      </c>
      <c r="O35" s="330">
        <f t="shared" si="7"/>
        <v>0.85555555555555551</v>
      </c>
      <c r="P35" s="331">
        <f t="shared" si="4"/>
        <v>46.753246753246756</v>
      </c>
      <c r="Q35" s="332">
        <f t="shared" si="3"/>
        <v>40</v>
      </c>
      <c r="R35" s="332">
        <f t="shared" si="5"/>
        <v>40</v>
      </c>
    </row>
    <row r="36" spans="1:19" s="240" customFormat="1" ht="78" customHeight="1" thickBot="1">
      <c r="A36" s="234">
        <f t="shared" si="10"/>
        <v>90</v>
      </c>
      <c r="B36" s="235">
        <f t="shared" si="11"/>
        <v>90</v>
      </c>
      <c r="C36" s="323">
        <v>25</v>
      </c>
      <c r="D36" s="323" t="s">
        <v>388</v>
      </c>
      <c r="E36" s="323"/>
      <c r="F36" s="61" t="s">
        <v>166</v>
      </c>
      <c r="G36" s="61" t="s">
        <v>277</v>
      </c>
      <c r="H36" s="540" t="s">
        <v>263</v>
      </c>
      <c r="I36" s="541"/>
      <c r="J36" s="236"/>
      <c r="K36" s="236">
        <v>0.72440000000000004</v>
      </c>
      <c r="L36" s="237">
        <f t="shared" si="6"/>
        <v>57.952000000000005</v>
      </c>
      <c r="M36" s="237">
        <v>60</v>
      </c>
      <c r="N36" s="237">
        <f t="shared" si="9"/>
        <v>60</v>
      </c>
      <c r="O36" s="330">
        <f t="shared" si="7"/>
        <v>0.66666666666666663</v>
      </c>
      <c r="P36" s="331">
        <f t="shared" si="4"/>
        <v>60</v>
      </c>
      <c r="Q36" s="332">
        <f t="shared" si="3"/>
        <v>40</v>
      </c>
      <c r="R36" s="332">
        <f t="shared" si="5"/>
        <v>40</v>
      </c>
    </row>
    <row r="37" spans="1:19" s="240" customFormat="1" ht="69" customHeight="1" thickBot="1">
      <c r="A37" s="234">
        <f t="shared" si="10"/>
        <v>90</v>
      </c>
      <c r="B37" s="235">
        <f t="shared" si="11"/>
        <v>90</v>
      </c>
      <c r="C37" s="323">
        <v>26</v>
      </c>
      <c r="D37" s="323" t="s">
        <v>389</v>
      </c>
      <c r="E37" s="323"/>
      <c r="F37" s="61" t="s">
        <v>166</v>
      </c>
      <c r="G37" s="61" t="s">
        <v>277</v>
      </c>
      <c r="H37" s="540" t="s">
        <v>239</v>
      </c>
      <c r="I37" s="541"/>
      <c r="J37" s="236"/>
      <c r="K37" s="236">
        <v>0.9002</v>
      </c>
      <c r="L37" s="237">
        <f t="shared" si="6"/>
        <v>72.016000000000005</v>
      </c>
      <c r="M37" s="237">
        <v>84</v>
      </c>
      <c r="N37" s="237">
        <f t="shared" si="9"/>
        <v>84</v>
      </c>
      <c r="O37" s="330">
        <f t="shared" si="7"/>
        <v>0.93333333333333335</v>
      </c>
      <c r="P37" s="331">
        <f t="shared" si="4"/>
        <v>42.857142857142854</v>
      </c>
      <c r="Q37" s="332">
        <f t="shared" si="3"/>
        <v>40</v>
      </c>
      <c r="R37" s="332">
        <f t="shared" si="5"/>
        <v>40</v>
      </c>
    </row>
    <row r="38" spans="1:19" s="240" customFormat="1" ht="70.5" customHeight="1" thickBot="1">
      <c r="A38" s="234">
        <f t="shared" si="10"/>
        <v>90</v>
      </c>
      <c r="B38" s="235">
        <f t="shared" si="11"/>
        <v>90</v>
      </c>
      <c r="C38" s="323">
        <v>38</v>
      </c>
      <c r="D38" s="323" t="s">
        <v>390</v>
      </c>
      <c r="E38" s="323"/>
      <c r="F38" s="61" t="s">
        <v>166</v>
      </c>
      <c r="G38" s="61" t="s">
        <v>277</v>
      </c>
      <c r="H38" s="540" t="s">
        <v>252</v>
      </c>
      <c r="I38" s="541"/>
      <c r="J38" s="236"/>
      <c r="K38" s="236">
        <v>1.3359000000000001</v>
      </c>
      <c r="L38" s="237">
        <f t="shared" si="6"/>
        <v>106.87200000000001</v>
      </c>
      <c r="M38" s="237">
        <v>135</v>
      </c>
      <c r="N38" s="552">
        <f>AVERAGE($M$38:$M$39)/2</f>
        <v>67.5</v>
      </c>
      <c r="O38" s="635">
        <f t="shared" si="7"/>
        <v>0.75</v>
      </c>
      <c r="P38" s="633">
        <f t="shared" si="4"/>
        <v>53.333333333333336</v>
      </c>
      <c r="Q38" s="631">
        <f t="shared" si="3"/>
        <v>40</v>
      </c>
      <c r="R38" s="631">
        <f t="shared" si="5"/>
        <v>40</v>
      </c>
    </row>
    <row r="39" spans="1:19" s="240" customFormat="1" ht="70.5" customHeight="1" thickBot="1">
      <c r="A39" s="234"/>
      <c r="B39" s="235"/>
      <c r="C39" s="323"/>
      <c r="D39" s="309" t="s">
        <v>396</v>
      </c>
      <c r="E39" s="309">
        <v>38</v>
      </c>
      <c r="F39" s="61"/>
      <c r="G39" s="61"/>
      <c r="H39" s="540" t="s">
        <v>252</v>
      </c>
      <c r="I39" s="541"/>
      <c r="J39" s="236"/>
      <c r="K39" s="236">
        <v>1.3359000000000001</v>
      </c>
      <c r="L39" s="237">
        <f t="shared" si="6"/>
        <v>106.87200000000001</v>
      </c>
      <c r="M39" s="237">
        <v>135</v>
      </c>
      <c r="N39" s="553"/>
      <c r="O39" s="636"/>
      <c r="P39" s="634"/>
      <c r="Q39" s="632"/>
      <c r="R39" s="632"/>
    </row>
    <row r="40" spans="1:19" s="240" customFormat="1" ht="70.5" customHeight="1" thickBot="1">
      <c r="A40" s="234">
        <f t="shared" ref="A40:A49" si="12">$R$3</f>
        <v>90</v>
      </c>
      <c r="B40" s="235">
        <f t="shared" ref="B40:B49" si="13">$P$3</f>
        <v>90</v>
      </c>
      <c r="C40" s="275">
        <v>39</v>
      </c>
      <c r="D40" s="323" t="s">
        <v>351</v>
      </c>
      <c r="E40" s="323"/>
      <c r="F40" s="61" t="s">
        <v>166</v>
      </c>
      <c r="G40" s="61" t="s">
        <v>277</v>
      </c>
      <c r="H40" s="540" t="s">
        <v>251</v>
      </c>
      <c r="I40" s="541"/>
      <c r="J40" s="236"/>
      <c r="K40" s="236">
        <v>1.847</v>
      </c>
      <c r="L40" s="237">
        <f>((K40*60)/0.75)/2</f>
        <v>73.88</v>
      </c>
      <c r="M40" s="237">
        <v>130</v>
      </c>
      <c r="N40" s="552">
        <f>AVERAGE($M$40:$M$41)/2</f>
        <v>65</v>
      </c>
      <c r="O40" s="635">
        <f t="shared" si="7"/>
        <v>0.72222222222222221</v>
      </c>
      <c r="P40" s="633">
        <f t="shared" si="4"/>
        <v>55.384615384615387</v>
      </c>
      <c r="Q40" s="631">
        <f t="shared" si="3"/>
        <v>40</v>
      </c>
      <c r="R40" s="631">
        <f t="shared" si="5"/>
        <v>40</v>
      </c>
    </row>
    <row r="41" spans="1:19" s="240" customFormat="1" ht="70.5" customHeight="1" thickBot="1">
      <c r="A41" s="234">
        <f t="shared" si="12"/>
        <v>90</v>
      </c>
      <c r="B41" s="235">
        <f t="shared" si="13"/>
        <v>90</v>
      </c>
      <c r="C41" s="275">
        <v>39</v>
      </c>
      <c r="D41" s="323" t="s">
        <v>391</v>
      </c>
      <c r="E41" s="323"/>
      <c r="F41" s="61" t="s">
        <v>166</v>
      </c>
      <c r="G41" s="61" t="s">
        <v>277</v>
      </c>
      <c r="H41" s="540" t="s">
        <v>251</v>
      </c>
      <c r="I41" s="541"/>
      <c r="J41" s="236"/>
      <c r="K41" s="236">
        <v>1.847</v>
      </c>
      <c r="L41" s="237">
        <f>((K41*60)/0.75)/2</f>
        <v>73.88</v>
      </c>
      <c r="M41" s="237">
        <v>130</v>
      </c>
      <c r="N41" s="553"/>
      <c r="O41" s="636"/>
      <c r="P41" s="634"/>
      <c r="Q41" s="632"/>
      <c r="R41" s="632"/>
    </row>
    <row r="42" spans="1:19" s="240" customFormat="1" ht="57.75" customHeight="1" thickBot="1">
      <c r="A42" s="234">
        <f t="shared" si="12"/>
        <v>90</v>
      </c>
      <c r="B42" s="235">
        <f t="shared" si="13"/>
        <v>90</v>
      </c>
      <c r="C42" s="323">
        <v>40</v>
      </c>
      <c r="D42" s="323" t="s">
        <v>363</v>
      </c>
      <c r="E42" s="323"/>
      <c r="F42" s="61" t="s">
        <v>142</v>
      </c>
      <c r="G42" s="61" t="s">
        <v>276</v>
      </c>
      <c r="H42" s="540" t="s">
        <v>253</v>
      </c>
      <c r="I42" s="541"/>
      <c r="J42" s="236"/>
      <c r="K42" s="236">
        <v>0.79549999999999998</v>
      </c>
      <c r="L42" s="237">
        <f t="shared" si="6"/>
        <v>63.639999999999993</v>
      </c>
      <c r="M42" s="237">
        <v>90</v>
      </c>
      <c r="N42" s="237">
        <f>M42</f>
        <v>90</v>
      </c>
      <c r="O42" s="330">
        <f t="shared" si="7"/>
        <v>1</v>
      </c>
      <c r="P42" s="331">
        <f t="shared" si="4"/>
        <v>40</v>
      </c>
      <c r="Q42" s="332">
        <f t="shared" si="3"/>
        <v>40</v>
      </c>
      <c r="R42" s="332">
        <f t="shared" si="5"/>
        <v>40</v>
      </c>
    </row>
    <row r="43" spans="1:19" s="240" customFormat="1" ht="81" customHeight="1" thickBot="1">
      <c r="A43" s="234">
        <f t="shared" si="12"/>
        <v>90</v>
      </c>
      <c r="B43" s="235">
        <f t="shared" si="13"/>
        <v>90</v>
      </c>
      <c r="C43" s="323">
        <v>41</v>
      </c>
      <c r="D43" s="323" t="s">
        <v>392</v>
      </c>
      <c r="E43" s="323"/>
      <c r="F43" s="61" t="s">
        <v>189</v>
      </c>
      <c r="G43" s="61" t="s">
        <v>278</v>
      </c>
      <c r="H43" s="540" t="s">
        <v>282</v>
      </c>
      <c r="I43" s="541"/>
      <c r="J43" s="236"/>
      <c r="K43" s="236">
        <v>0.7036</v>
      </c>
      <c r="L43" s="237">
        <f t="shared" si="6"/>
        <v>56.288000000000004</v>
      </c>
      <c r="M43" s="237">
        <v>55</v>
      </c>
      <c r="N43" s="237">
        <f t="shared" si="9"/>
        <v>55</v>
      </c>
      <c r="O43" s="330">
        <f t="shared" si="7"/>
        <v>0.61111111111111116</v>
      </c>
      <c r="P43" s="331">
        <f t="shared" si="4"/>
        <v>65.454545454545453</v>
      </c>
      <c r="Q43" s="332">
        <f t="shared" si="3"/>
        <v>40</v>
      </c>
      <c r="R43" s="332">
        <f t="shared" si="5"/>
        <v>40</v>
      </c>
    </row>
    <row r="44" spans="1:19" s="240" customFormat="1" ht="57.75" customHeight="1" thickBot="1">
      <c r="A44" s="234">
        <f t="shared" si="12"/>
        <v>90</v>
      </c>
      <c r="B44" s="235">
        <f t="shared" si="13"/>
        <v>90</v>
      </c>
      <c r="C44" s="323">
        <v>42</v>
      </c>
      <c r="D44" s="542" t="s">
        <v>356</v>
      </c>
      <c r="E44" s="323"/>
      <c r="F44" s="61" t="s">
        <v>189</v>
      </c>
      <c r="G44" s="61" t="s">
        <v>276</v>
      </c>
      <c r="H44" s="540" t="s">
        <v>255</v>
      </c>
      <c r="I44" s="541"/>
      <c r="J44" s="236"/>
      <c r="K44" s="236">
        <v>0.67479999999999996</v>
      </c>
      <c r="L44" s="237">
        <f>((K44*60)/0.75)+((K45*60)/0.75)</f>
        <v>78.75200000000001</v>
      </c>
      <c r="M44" s="237">
        <v>50</v>
      </c>
      <c r="N44" s="552">
        <f>M44+M45</f>
        <v>68</v>
      </c>
      <c r="O44" s="635">
        <f t="shared" si="7"/>
        <v>0.75555555555555554</v>
      </c>
      <c r="P44" s="633">
        <f t="shared" si="4"/>
        <v>52.941176470588232</v>
      </c>
      <c r="Q44" s="631">
        <f t="shared" si="3"/>
        <v>40</v>
      </c>
      <c r="R44" s="631">
        <f t="shared" si="5"/>
        <v>40</v>
      </c>
    </row>
    <row r="45" spans="1:19" s="240" customFormat="1" ht="69.75" customHeight="1" thickBot="1">
      <c r="A45" s="234">
        <f t="shared" si="12"/>
        <v>90</v>
      </c>
      <c r="B45" s="235">
        <f t="shared" si="13"/>
        <v>90</v>
      </c>
      <c r="C45" s="323">
        <v>43</v>
      </c>
      <c r="D45" s="543"/>
      <c r="E45" s="323"/>
      <c r="F45" s="61" t="s">
        <v>52</v>
      </c>
      <c r="G45" s="61" t="s">
        <v>275</v>
      </c>
      <c r="H45" s="540" t="s">
        <v>256</v>
      </c>
      <c r="I45" s="541"/>
      <c r="J45" s="236"/>
      <c r="K45" s="236">
        <v>0.30959999999999999</v>
      </c>
      <c r="L45" s="302"/>
      <c r="M45" s="321">
        <v>18</v>
      </c>
      <c r="N45" s="553"/>
      <c r="O45" s="636"/>
      <c r="P45" s="634"/>
      <c r="Q45" s="632"/>
      <c r="R45" s="632"/>
    </row>
    <row r="46" spans="1:19" s="240" customFormat="1" ht="56.25" customHeight="1" thickBot="1">
      <c r="A46" s="234">
        <f t="shared" si="12"/>
        <v>90</v>
      </c>
      <c r="B46" s="235">
        <f t="shared" si="13"/>
        <v>90</v>
      </c>
      <c r="C46" s="323">
        <v>44</v>
      </c>
      <c r="D46" s="609" t="s">
        <v>393</v>
      </c>
      <c r="E46" s="323"/>
      <c r="F46" s="328" t="s">
        <v>147</v>
      </c>
      <c r="G46" s="328" t="s">
        <v>279</v>
      </c>
      <c r="H46" s="630" t="s">
        <v>257</v>
      </c>
      <c r="I46" s="630"/>
      <c r="J46" s="236"/>
      <c r="K46" s="236">
        <v>0.2243</v>
      </c>
      <c r="L46" s="305">
        <f>((K46*60)/1.1)+((K47*60)/1.1)</f>
        <v>78.125454545454545</v>
      </c>
      <c r="M46" s="641">
        <v>120</v>
      </c>
      <c r="N46" s="552">
        <f>AVERAGE($M$46:$M$48)/2</f>
        <v>60</v>
      </c>
      <c r="O46" s="635">
        <f t="shared" si="7"/>
        <v>0.66666666666666663</v>
      </c>
      <c r="P46" s="633">
        <f t="shared" si="4"/>
        <v>60</v>
      </c>
      <c r="Q46" s="631">
        <f t="shared" si="3"/>
        <v>40</v>
      </c>
      <c r="R46" s="631">
        <f t="shared" si="5"/>
        <v>40</v>
      </c>
    </row>
    <row r="47" spans="1:19" s="240" customFormat="1" ht="105.75" customHeight="1" thickBot="1">
      <c r="A47" s="234">
        <f t="shared" si="12"/>
        <v>90</v>
      </c>
      <c r="B47" s="235">
        <f t="shared" si="13"/>
        <v>90</v>
      </c>
      <c r="C47" s="318">
        <v>45</v>
      </c>
      <c r="D47" s="542"/>
      <c r="E47" s="318"/>
      <c r="F47" s="325"/>
      <c r="G47" s="325"/>
      <c r="H47" s="650" t="s">
        <v>258</v>
      </c>
      <c r="I47" s="650"/>
      <c r="J47" s="336"/>
      <c r="K47" s="336">
        <v>1.208</v>
      </c>
      <c r="L47" s="301"/>
      <c r="M47" s="552"/>
      <c r="N47" s="613"/>
      <c r="O47" s="639"/>
      <c r="P47" s="638"/>
      <c r="Q47" s="637"/>
      <c r="R47" s="637"/>
      <c r="S47" s="315"/>
    </row>
    <row r="48" spans="1:19" s="240" customFormat="1" ht="123" customHeight="1" thickBot="1">
      <c r="A48" s="234">
        <f t="shared" si="12"/>
        <v>90</v>
      </c>
      <c r="B48" s="235">
        <f t="shared" si="13"/>
        <v>90</v>
      </c>
      <c r="C48" s="323"/>
      <c r="D48" s="309" t="s">
        <v>397</v>
      </c>
      <c r="E48" s="309">
        <v>45</v>
      </c>
      <c r="F48" s="61"/>
      <c r="G48" s="61"/>
      <c r="H48" s="650" t="s">
        <v>258</v>
      </c>
      <c r="I48" s="650"/>
      <c r="J48" s="236"/>
      <c r="K48" s="236"/>
      <c r="L48" s="237"/>
      <c r="M48" s="237">
        <v>120</v>
      </c>
      <c r="N48" s="553"/>
      <c r="O48" s="636"/>
      <c r="P48" s="634"/>
      <c r="Q48" s="632"/>
      <c r="R48" s="632"/>
      <c r="S48" s="337"/>
    </row>
    <row r="49" spans="1:18" s="240" customFormat="1" ht="54.75" customHeight="1" thickBot="1">
      <c r="A49" s="234">
        <f t="shared" si="12"/>
        <v>90</v>
      </c>
      <c r="B49" s="235">
        <f t="shared" si="13"/>
        <v>90</v>
      </c>
      <c r="C49" s="323"/>
      <c r="D49" s="56"/>
      <c r="E49" s="323"/>
      <c r="F49" s="61"/>
      <c r="G49" s="61"/>
      <c r="H49" s="540"/>
      <c r="I49" s="541"/>
      <c r="J49" s="236"/>
      <c r="K49" s="236"/>
      <c r="L49" s="237"/>
      <c r="M49" s="301"/>
      <c r="N49" s="237"/>
      <c r="O49" s="58"/>
      <c r="P49" s="238"/>
      <c r="Q49" s="239"/>
      <c r="R49" s="239"/>
    </row>
    <row r="50" spans="1:18" s="240" customFormat="1" ht="63.75" customHeight="1" thickBot="1">
      <c r="A50" s="234"/>
      <c r="B50" s="235"/>
      <c r="C50" s="323"/>
      <c r="D50" s="56"/>
      <c r="E50" s="56"/>
      <c r="F50" s="323"/>
      <c r="G50" s="56"/>
      <c r="H50" s="540"/>
      <c r="I50" s="541"/>
      <c r="J50" s="236"/>
      <c r="K50" s="236"/>
      <c r="L50" s="237"/>
      <c r="M50" s="237"/>
      <c r="N50" s="237"/>
      <c r="O50" s="58"/>
      <c r="P50" s="238"/>
      <c r="Q50" s="239"/>
      <c r="R50" s="239"/>
    </row>
    <row r="51" spans="1:18" ht="28.5" customHeight="1">
      <c r="A51" s="241"/>
      <c r="B51" s="242"/>
      <c r="C51" s="243"/>
      <c r="D51" s="244">
        <f>COUNTA(D10:D50)</f>
        <v>31</v>
      </c>
      <c r="E51" s="244">
        <f>COUNT(E50:E50)</f>
        <v>0</v>
      </c>
      <c r="F51" s="244">
        <f>COUNT(F50:F50)</f>
        <v>0</v>
      </c>
      <c r="G51" s="244">
        <f>SUM(G50:G50)</f>
        <v>0</v>
      </c>
      <c r="H51" s="554"/>
      <c r="I51" s="554"/>
      <c r="J51" s="554"/>
      <c r="K51" s="554"/>
      <c r="L51" s="554"/>
      <c r="M51" s="554"/>
      <c r="N51" s="554"/>
      <c r="O51" s="554"/>
      <c r="P51" s="554"/>
      <c r="Q51" s="322"/>
      <c r="R51" s="246"/>
    </row>
    <row r="52" spans="1:18" ht="50.25" customHeight="1">
      <c r="A52" s="241"/>
      <c r="B52" s="242"/>
      <c r="C52" s="243"/>
      <c r="D52" s="247"/>
      <c r="E52" s="247"/>
      <c r="F52" s="247"/>
      <c r="G52" s="247"/>
      <c r="H52" s="247"/>
      <c r="I52" s="247"/>
      <c r="J52" s="247"/>
      <c r="K52" s="247"/>
      <c r="L52" s="248"/>
      <c r="M52" s="248"/>
      <c r="N52" s="248"/>
      <c r="O52" s="247"/>
      <c r="P52" s="247"/>
      <c r="Q52" s="247"/>
      <c r="R52" s="246"/>
    </row>
    <row r="53" spans="1:18" ht="29.25" customHeight="1">
      <c r="A53" s="241"/>
      <c r="B53" s="242"/>
      <c r="C53" s="243"/>
      <c r="D53" s="247"/>
      <c r="E53" s="247"/>
      <c r="F53" s="247"/>
      <c r="G53" s="247"/>
      <c r="H53" s="247"/>
      <c r="I53" s="247"/>
      <c r="J53" s="247"/>
      <c r="K53" s="247"/>
      <c r="L53" s="248"/>
      <c r="M53" s="248"/>
      <c r="N53" s="248"/>
      <c r="O53" s="247"/>
      <c r="P53" s="247"/>
      <c r="Q53" s="247"/>
      <c r="R53" s="246"/>
    </row>
    <row r="54" spans="1:18" ht="29.25" customHeight="1">
      <c r="A54" s="241"/>
      <c r="B54" s="242"/>
      <c r="C54" s="243"/>
      <c r="D54" s="247"/>
      <c r="E54" s="247"/>
      <c r="F54" s="247"/>
      <c r="G54" s="247"/>
      <c r="H54" s="247"/>
      <c r="I54" s="247"/>
      <c r="J54" s="247"/>
      <c r="K54" s="247"/>
      <c r="L54" s="248"/>
      <c r="M54" s="248"/>
      <c r="N54" s="248"/>
      <c r="O54" s="247"/>
      <c r="P54" s="247"/>
      <c r="Q54" s="247"/>
      <c r="R54" s="246"/>
    </row>
    <row r="55" spans="1:18" ht="29.25" customHeight="1">
      <c r="A55" s="241"/>
      <c r="B55" s="242"/>
      <c r="C55" s="243"/>
      <c r="D55" s="322"/>
      <c r="E55" s="322"/>
      <c r="F55" s="322"/>
      <c r="G55" s="322"/>
      <c r="H55" s="554"/>
      <c r="I55" s="554"/>
      <c r="J55" s="554"/>
      <c r="K55" s="554"/>
      <c r="L55" s="554"/>
      <c r="M55" s="554"/>
      <c r="N55" s="554"/>
      <c r="O55" s="554"/>
      <c r="P55" s="554"/>
      <c r="Q55" s="322"/>
      <c r="R55" s="246"/>
    </row>
    <row r="56" spans="1:18">
      <c r="A56" s="241"/>
      <c r="B56" s="242"/>
      <c r="C56" s="243"/>
      <c r="D56" s="247"/>
      <c r="E56" s="247"/>
      <c r="F56" s="247"/>
      <c r="G56" s="247"/>
      <c r="H56" s="247"/>
      <c r="I56" s="247"/>
      <c r="J56" s="247"/>
      <c r="K56" s="247"/>
      <c r="L56" s="248"/>
      <c r="M56" s="248"/>
      <c r="N56" s="248"/>
      <c r="O56" s="247"/>
      <c r="P56" s="247"/>
      <c r="Q56" s="247"/>
      <c r="R56" s="246"/>
    </row>
    <row r="57" spans="1:18" ht="43.5" customHeight="1">
      <c r="A57" s="241"/>
      <c r="B57" s="242"/>
      <c r="C57" s="243"/>
      <c r="D57" s="247"/>
      <c r="E57" s="247"/>
      <c r="F57" s="247"/>
      <c r="G57" s="247"/>
      <c r="H57" s="247"/>
      <c r="I57" s="247"/>
      <c r="J57" s="247"/>
      <c r="K57" s="247"/>
      <c r="L57" s="248"/>
      <c r="M57" s="248"/>
      <c r="N57" s="248"/>
      <c r="O57" s="247"/>
      <c r="P57" s="247"/>
      <c r="Q57" s="247"/>
      <c r="R57" s="246"/>
    </row>
    <row r="58" spans="1:18">
      <c r="A58" s="241"/>
      <c r="B58" s="242"/>
      <c r="C58" s="243"/>
      <c r="D58" s="247"/>
      <c r="E58" s="247"/>
      <c r="F58" s="247"/>
      <c r="G58" s="247"/>
      <c r="H58" s="247"/>
      <c r="I58" s="247"/>
      <c r="J58" s="247"/>
      <c r="K58" s="247"/>
      <c r="L58" s="248"/>
      <c r="M58" s="248"/>
      <c r="N58" s="248"/>
      <c r="O58" s="247"/>
      <c r="P58" s="247"/>
      <c r="Q58" s="247"/>
      <c r="R58" s="246"/>
    </row>
    <row r="59" spans="1:18" ht="42" customHeight="1">
      <c r="C59" s="556" t="s">
        <v>79</v>
      </c>
      <c r="D59" s="556"/>
      <c r="E59" s="560" t="s">
        <v>80</v>
      </c>
      <c r="F59" s="561"/>
      <c r="G59" s="556" t="s">
        <v>81</v>
      </c>
      <c r="H59" s="556"/>
      <c r="I59" s="556" t="s">
        <v>82</v>
      </c>
      <c r="J59" s="556"/>
      <c r="K59" s="562" t="s">
        <v>83</v>
      </c>
      <c r="L59" s="562"/>
      <c r="M59" s="562"/>
      <c r="N59" s="562"/>
      <c r="O59" s="562"/>
      <c r="P59" s="556" t="s">
        <v>84</v>
      </c>
      <c r="Q59" s="556"/>
      <c r="R59" s="556"/>
    </row>
    <row r="60" spans="1:18" ht="13.2">
      <c r="C60" s="559"/>
      <c r="D60" s="559"/>
      <c r="E60" s="559"/>
      <c r="F60" s="559"/>
      <c r="G60" s="559"/>
      <c r="H60" s="559"/>
      <c r="I60" s="559"/>
      <c r="J60" s="559"/>
      <c r="K60" s="559"/>
      <c r="L60" s="559"/>
      <c r="M60" s="559"/>
      <c r="N60" s="559"/>
      <c r="O60" s="559"/>
      <c r="P60" s="559"/>
      <c r="Q60" s="559"/>
      <c r="R60" s="559"/>
    </row>
    <row r="61" spans="1:18" ht="13.2">
      <c r="C61" s="559"/>
      <c r="D61" s="559"/>
      <c r="E61" s="559"/>
      <c r="F61" s="559"/>
      <c r="G61" s="559"/>
      <c r="H61" s="559"/>
      <c r="I61" s="559"/>
      <c r="J61" s="559"/>
      <c r="K61" s="559"/>
      <c r="L61" s="559"/>
      <c r="M61" s="559"/>
      <c r="N61" s="559"/>
      <c r="O61" s="559"/>
      <c r="P61" s="559"/>
      <c r="Q61" s="559"/>
      <c r="R61" s="559"/>
    </row>
    <row r="62" spans="1:18" s="250" customFormat="1" ht="57" customHeight="1">
      <c r="A62" s="249"/>
      <c r="B62" s="249"/>
      <c r="C62" s="559"/>
      <c r="D62" s="559"/>
      <c r="E62" s="559"/>
      <c r="F62" s="559"/>
      <c r="G62" s="559"/>
      <c r="H62" s="559"/>
      <c r="I62" s="559"/>
      <c r="J62" s="559"/>
      <c r="K62" s="559"/>
      <c r="L62" s="559"/>
      <c r="M62" s="559"/>
      <c r="N62" s="559"/>
      <c r="O62" s="559"/>
      <c r="P62" s="559"/>
      <c r="Q62" s="559"/>
      <c r="R62" s="559"/>
    </row>
    <row r="63" spans="1:18" ht="42.75" customHeight="1">
      <c r="C63" s="556" t="s">
        <v>85</v>
      </c>
      <c r="D63" s="556"/>
      <c r="E63" s="556" t="s">
        <v>86</v>
      </c>
      <c r="F63" s="556"/>
      <c r="G63" s="556" t="s">
        <v>87</v>
      </c>
      <c r="H63" s="556"/>
      <c r="I63" s="557" t="s">
        <v>88</v>
      </c>
      <c r="J63" s="557"/>
      <c r="K63" s="558" t="s">
        <v>90</v>
      </c>
      <c r="L63" s="556"/>
      <c r="M63" s="556"/>
      <c r="N63" s="556"/>
      <c r="O63" s="556"/>
      <c r="P63" s="556" t="s">
        <v>89</v>
      </c>
      <c r="Q63" s="556"/>
      <c r="R63" s="556"/>
    </row>
    <row r="64" spans="1:18" ht="13.2">
      <c r="C64" s="555"/>
      <c r="D64" s="555"/>
      <c r="E64" s="555"/>
      <c r="F64" s="555"/>
      <c r="G64" s="555"/>
      <c r="H64" s="555"/>
      <c r="I64" s="555"/>
      <c r="J64" s="555"/>
      <c r="K64" s="555"/>
      <c r="L64" s="555"/>
      <c r="M64" s="555"/>
      <c r="N64" s="555"/>
      <c r="O64" s="555"/>
      <c r="P64" s="555"/>
      <c r="Q64" s="555"/>
      <c r="R64" s="555"/>
    </row>
    <row r="65" spans="3:18" ht="13.2">
      <c r="C65" s="555"/>
      <c r="D65" s="555"/>
      <c r="E65" s="555"/>
      <c r="F65" s="555"/>
      <c r="G65" s="555"/>
      <c r="H65" s="555"/>
      <c r="I65" s="555"/>
      <c r="J65" s="555"/>
      <c r="K65" s="555"/>
      <c r="L65" s="555"/>
      <c r="M65" s="555"/>
      <c r="N65" s="555"/>
      <c r="O65" s="555"/>
      <c r="P65" s="555"/>
      <c r="Q65" s="555"/>
      <c r="R65" s="555"/>
    </row>
    <row r="66" spans="3:18" ht="62.25" customHeight="1">
      <c r="C66" s="555"/>
      <c r="D66" s="555"/>
      <c r="E66" s="555"/>
      <c r="F66" s="555"/>
      <c r="G66" s="555"/>
      <c r="H66" s="555"/>
      <c r="I66" s="555"/>
      <c r="J66" s="555"/>
      <c r="K66" s="555"/>
      <c r="L66" s="555"/>
      <c r="M66" s="555"/>
      <c r="N66" s="555"/>
      <c r="O66" s="555"/>
      <c r="P66" s="555"/>
      <c r="Q66" s="555"/>
      <c r="R66" s="555"/>
    </row>
  </sheetData>
  <autoFilter ref="A9:R51">
    <filterColumn colId="7" showButton="0"/>
    <filterColumn colId="10" showButton="0"/>
  </autoFilter>
  <mergeCells count="147">
    <mergeCell ref="I2:R2"/>
    <mergeCell ref="D3:G3"/>
    <mergeCell ref="K3:O3"/>
    <mergeCell ref="D4:G4"/>
    <mergeCell ref="K4:O4"/>
    <mergeCell ref="D5:G5"/>
    <mergeCell ref="K5:O5"/>
    <mergeCell ref="D6:G6"/>
    <mergeCell ref="K6:O6"/>
    <mergeCell ref="C7:C9"/>
    <mergeCell ref="D7:D9"/>
    <mergeCell ref="E7:E9"/>
    <mergeCell ref="F7:G8"/>
    <mergeCell ref="H7:I9"/>
    <mergeCell ref="J7:J9"/>
    <mergeCell ref="K7:L9"/>
    <mergeCell ref="M7:M9"/>
    <mergeCell ref="N7:N9"/>
    <mergeCell ref="R7:R9"/>
    <mergeCell ref="D10:D12"/>
    <mergeCell ref="H10:I10"/>
    <mergeCell ref="N10:N12"/>
    <mergeCell ref="O10:O12"/>
    <mergeCell ref="P10:P12"/>
    <mergeCell ref="Q10:Q12"/>
    <mergeCell ref="R10:R12"/>
    <mergeCell ref="H11:I11"/>
    <mergeCell ref="H12:I12"/>
    <mergeCell ref="D24:D25"/>
    <mergeCell ref="H24:I24"/>
    <mergeCell ref="H23:I23"/>
    <mergeCell ref="N24:N25"/>
    <mergeCell ref="O24:O25"/>
    <mergeCell ref="P24:P25"/>
    <mergeCell ref="Q24:Q25"/>
    <mergeCell ref="O22:O23"/>
    <mergeCell ref="O7:O9"/>
    <mergeCell ref="P7:P9"/>
    <mergeCell ref="Q7:Q9"/>
    <mergeCell ref="R13:R14"/>
    <mergeCell ref="H14:I14"/>
    <mergeCell ref="H15:I15"/>
    <mergeCell ref="D16:D17"/>
    <mergeCell ref="H16:I16"/>
    <mergeCell ref="N16:N17"/>
    <mergeCell ref="O16:O17"/>
    <mergeCell ref="P16:P17"/>
    <mergeCell ref="Q16:Q17"/>
    <mergeCell ref="R16:R17"/>
    <mergeCell ref="D13:D14"/>
    <mergeCell ref="H13:I13"/>
    <mergeCell ref="N13:N14"/>
    <mergeCell ref="O13:O14"/>
    <mergeCell ref="P13:P14"/>
    <mergeCell ref="Q13:Q14"/>
    <mergeCell ref="R24:R25"/>
    <mergeCell ref="H25:I25"/>
    <mergeCell ref="H17:I17"/>
    <mergeCell ref="H18:I18"/>
    <mergeCell ref="H19:I19"/>
    <mergeCell ref="H21:I21"/>
    <mergeCell ref="H22:I22"/>
    <mergeCell ref="H32:I32"/>
    <mergeCell ref="D33:D34"/>
    <mergeCell ref="H33:I33"/>
    <mergeCell ref="N33:N34"/>
    <mergeCell ref="O33:O34"/>
    <mergeCell ref="P33:P34"/>
    <mergeCell ref="H26:I26"/>
    <mergeCell ref="H27:I27"/>
    <mergeCell ref="H28:I28"/>
    <mergeCell ref="H29:I29"/>
    <mergeCell ref="H30:I30"/>
    <mergeCell ref="H31:I31"/>
    <mergeCell ref="H20:I20"/>
    <mergeCell ref="N22:N23"/>
    <mergeCell ref="R22:R23"/>
    <mergeCell ref="Q22:Q23"/>
    <mergeCell ref="P22:P23"/>
    <mergeCell ref="P40:P41"/>
    <mergeCell ref="Q40:Q41"/>
    <mergeCell ref="O38:O39"/>
    <mergeCell ref="Q33:Q34"/>
    <mergeCell ref="R33:R34"/>
    <mergeCell ref="H34:I34"/>
    <mergeCell ref="H35:I35"/>
    <mergeCell ref="H36:I36"/>
    <mergeCell ref="H37:I37"/>
    <mergeCell ref="H39:I39"/>
    <mergeCell ref="N38:N39"/>
    <mergeCell ref="R38:R39"/>
    <mergeCell ref="Q38:Q39"/>
    <mergeCell ref="P38:P39"/>
    <mergeCell ref="R40:R41"/>
    <mergeCell ref="H41:I41"/>
    <mergeCell ref="P59:R59"/>
    <mergeCell ref="H49:I49"/>
    <mergeCell ref="H50:I50"/>
    <mergeCell ref="H51:P51"/>
    <mergeCell ref="H55:P55"/>
    <mergeCell ref="N46:N48"/>
    <mergeCell ref="R44:R45"/>
    <mergeCell ref="H45:I45"/>
    <mergeCell ref="D46:D47"/>
    <mergeCell ref="H46:I46"/>
    <mergeCell ref="M46:M47"/>
    <mergeCell ref="D44:D45"/>
    <mergeCell ref="H44:I44"/>
    <mergeCell ref="N44:N45"/>
    <mergeCell ref="O44:O45"/>
    <mergeCell ref="P44:P45"/>
    <mergeCell ref="Q44:Q45"/>
    <mergeCell ref="R46:R48"/>
    <mergeCell ref="Q46:Q48"/>
    <mergeCell ref="P46:P48"/>
    <mergeCell ref="O46:O48"/>
    <mergeCell ref="H47:I47"/>
    <mergeCell ref="H48:I48"/>
    <mergeCell ref="P64:R66"/>
    <mergeCell ref="C63:D63"/>
    <mergeCell ref="E63:F63"/>
    <mergeCell ref="G63:H63"/>
    <mergeCell ref="I63:J63"/>
    <mergeCell ref="K63:O63"/>
    <mergeCell ref="P63:R63"/>
    <mergeCell ref="C60:D62"/>
    <mergeCell ref="E60:F62"/>
    <mergeCell ref="G60:H62"/>
    <mergeCell ref="I60:J62"/>
    <mergeCell ref="K60:O62"/>
    <mergeCell ref="P60:R62"/>
    <mergeCell ref="H42:I42"/>
    <mergeCell ref="H43:I43"/>
    <mergeCell ref="H38:I38"/>
    <mergeCell ref="H40:I40"/>
    <mergeCell ref="N40:N41"/>
    <mergeCell ref="C64:D66"/>
    <mergeCell ref="E64:F66"/>
    <mergeCell ref="G64:H66"/>
    <mergeCell ref="I64:J66"/>
    <mergeCell ref="K64:O66"/>
    <mergeCell ref="C59:D59"/>
    <mergeCell ref="E59:F59"/>
    <mergeCell ref="G59:H59"/>
    <mergeCell ref="I59:J59"/>
    <mergeCell ref="K59:O59"/>
    <mergeCell ref="O40:O41"/>
  </mergeCells>
  <pageMargins left="0" right="0" top="0" bottom="0" header="0.31496062992126" footer="0.31496062992126"/>
  <pageSetup paperSize="9" scale="46" fitToHeight="0" orientation="portrait" r:id="rId1"/>
  <headerFooter alignWithMargins="0"/>
  <rowBreaks count="2" manualBreakCount="2">
    <brk id="30" min="2" max="17" man="1"/>
    <brk id="48" min="2" max="17"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N223"/>
  <sheetViews>
    <sheetView view="pageBreakPreview" topLeftCell="A133" zoomScale="86" zoomScaleNormal="80" zoomScaleSheetLayoutView="86" workbookViewId="0">
      <selection activeCell="C4" sqref="C4:D4"/>
    </sheetView>
  </sheetViews>
  <sheetFormatPr defaultColWidth="9.109375" defaultRowHeight="13.2"/>
  <cols>
    <col min="1" max="1" width="6.6640625" style="55" customWidth="1"/>
    <col min="2" max="2" width="13" style="55" customWidth="1"/>
    <col min="3" max="3" width="10.33203125" style="55" customWidth="1"/>
    <col min="4" max="4" width="6.44140625" style="55" customWidth="1"/>
    <col min="5" max="5" width="20.44140625" style="55" customWidth="1"/>
    <col min="6" max="6" width="29.33203125" style="55" customWidth="1"/>
    <col min="7" max="7" width="14.44140625" style="55" customWidth="1"/>
    <col min="8" max="8" width="22.5546875" style="55" customWidth="1"/>
    <col min="9" max="9" width="13.88671875" style="55" customWidth="1"/>
    <col min="10" max="10" width="13" style="55" customWidth="1"/>
    <col min="11" max="11" width="9.44140625" style="55" customWidth="1"/>
    <col min="12" max="12" width="10.44140625" style="55" customWidth="1"/>
    <col min="13" max="16384" width="9.109375" style="55"/>
  </cols>
  <sheetData>
    <row r="1" spans="1:14" ht="7.5" customHeight="1" thickBot="1"/>
    <row r="2" spans="1:14" ht="42.75" customHeight="1" thickBot="1">
      <c r="B2" s="566"/>
      <c r="C2" s="567"/>
      <c r="D2" s="567"/>
      <c r="E2" s="567"/>
      <c r="F2" s="567"/>
      <c r="G2" s="567"/>
      <c r="H2" s="568"/>
      <c r="I2" s="567" t="s">
        <v>26</v>
      </c>
      <c r="J2" s="567"/>
      <c r="K2" s="567"/>
      <c r="L2" s="568"/>
    </row>
    <row r="3" spans="1:14" ht="32.25" customHeight="1">
      <c r="B3" s="349" t="s">
        <v>0</v>
      </c>
      <c r="C3" s="661" t="s">
        <v>406</v>
      </c>
      <c r="D3" s="661"/>
      <c r="E3" s="350" t="s">
        <v>98</v>
      </c>
      <c r="F3" s="351"/>
      <c r="G3" s="662" t="s">
        <v>2</v>
      </c>
      <c r="H3" s="663"/>
      <c r="I3" s="664"/>
      <c r="J3" s="352"/>
      <c r="K3" s="353" t="s">
        <v>3</v>
      </c>
      <c r="L3" s="354"/>
    </row>
    <row r="4" spans="1:14" ht="32.25" customHeight="1">
      <c r="B4" s="355" t="s">
        <v>4</v>
      </c>
      <c r="C4" s="665">
        <v>221433</v>
      </c>
      <c r="D4" s="665"/>
      <c r="E4" s="356"/>
      <c r="F4" s="357"/>
      <c r="G4" s="666" t="s">
        <v>6</v>
      </c>
      <c r="H4" s="667"/>
      <c r="I4" s="668"/>
      <c r="J4" s="358"/>
      <c r="K4" s="359" t="s">
        <v>7</v>
      </c>
      <c r="L4" s="360"/>
    </row>
    <row r="5" spans="1:14" ht="32.25" customHeight="1">
      <c r="B5" s="355" t="s">
        <v>8</v>
      </c>
      <c r="C5" s="669">
        <v>13</v>
      </c>
      <c r="D5" s="665"/>
      <c r="E5" s="361" t="s">
        <v>9</v>
      </c>
      <c r="F5" s="362" t="s">
        <v>280</v>
      </c>
      <c r="G5" s="670" t="s">
        <v>10</v>
      </c>
      <c r="H5" s="671"/>
      <c r="I5" s="671"/>
      <c r="J5" s="359"/>
      <c r="K5" s="359" t="s">
        <v>11</v>
      </c>
      <c r="L5" s="363"/>
    </row>
    <row r="6" spans="1:14" ht="32.25" customHeight="1" thickBot="1">
      <c r="B6" s="364" t="s">
        <v>12</v>
      </c>
      <c r="C6" s="672"/>
      <c r="D6" s="673"/>
      <c r="E6" s="361" t="s">
        <v>13</v>
      </c>
      <c r="F6" s="365">
        <v>19</v>
      </c>
      <c r="G6" s="670" t="s">
        <v>14</v>
      </c>
      <c r="H6" s="671"/>
      <c r="I6" s="674"/>
      <c r="J6" s="359"/>
      <c r="K6" s="359"/>
      <c r="L6" s="363"/>
    </row>
    <row r="7" spans="1:14" ht="18.75" customHeight="1">
      <c r="A7" s="7"/>
      <c r="B7" s="27"/>
      <c r="C7" s="32"/>
      <c r="D7" s="32"/>
      <c r="E7" s="342"/>
      <c r="F7" s="342"/>
      <c r="G7" s="34"/>
      <c r="H7" s="35"/>
      <c r="I7" s="23"/>
      <c r="J7" s="23"/>
      <c r="K7" s="23"/>
      <c r="L7" s="24"/>
    </row>
    <row r="8" spans="1:14" ht="99.75" customHeight="1">
      <c r="A8" s="7"/>
      <c r="B8" s="32"/>
      <c r="C8" s="32"/>
      <c r="D8" s="32"/>
      <c r="E8" s="342"/>
      <c r="F8" s="342"/>
      <c r="G8" s="34"/>
      <c r="H8" s="35"/>
      <c r="I8" s="18"/>
      <c r="J8" s="340"/>
      <c r="K8" s="340"/>
      <c r="L8" s="341"/>
      <c r="N8" s="8"/>
    </row>
    <row r="9" spans="1:14" ht="19.5" customHeight="1">
      <c r="A9" s="7"/>
      <c r="B9" s="32"/>
      <c r="C9" s="32"/>
      <c r="D9" s="32"/>
      <c r="E9" s="342"/>
      <c r="F9" s="342"/>
      <c r="G9" s="34"/>
      <c r="H9" s="35"/>
      <c r="I9" s="18"/>
      <c r="J9" s="340"/>
      <c r="K9" s="340"/>
      <c r="L9" s="341"/>
      <c r="N9" s="8"/>
    </row>
    <row r="10" spans="1:14" ht="18.75" customHeight="1">
      <c r="A10" s="7"/>
      <c r="B10" s="32"/>
      <c r="C10" s="32"/>
      <c r="D10" s="32"/>
      <c r="E10" s="342"/>
      <c r="F10" s="342"/>
      <c r="G10" s="34"/>
      <c r="H10" s="35"/>
      <c r="I10" s="18"/>
      <c r="J10" s="340"/>
      <c r="K10" s="340"/>
      <c r="L10" s="341"/>
      <c r="N10" s="8"/>
    </row>
    <row r="11" spans="1:14" ht="18.75" customHeight="1">
      <c r="A11" s="7"/>
      <c r="B11" s="32"/>
      <c r="C11" s="32"/>
      <c r="D11" s="32"/>
      <c r="E11" s="342"/>
      <c r="F11" s="342"/>
      <c r="G11" s="34"/>
      <c r="H11" s="35"/>
      <c r="I11" s="18"/>
      <c r="J11" s="340"/>
      <c r="K11" s="340"/>
      <c r="L11" s="341"/>
      <c r="N11" s="8"/>
    </row>
    <row r="12" spans="1:14" ht="15.75" customHeight="1">
      <c r="A12" s="7"/>
      <c r="B12" s="32"/>
      <c r="C12" s="32"/>
      <c r="D12" s="32"/>
      <c r="E12" s="342"/>
      <c r="F12" s="342"/>
      <c r="G12" s="34"/>
      <c r="H12" s="35"/>
      <c r="I12" s="18"/>
      <c r="J12" s="340"/>
      <c r="K12" s="340"/>
      <c r="L12" s="341"/>
      <c r="N12" s="8"/>
    </row>
    <row r="13" spans="1:14" ht="18.75" customHeight="1">
      <c r="A13" s="7"/>
      <c r="B13" s="32"/>
      <c r="C13" s="32"/>
      <c r="D13" s="32"/>
      <c r="E13" s="342"/>
      <c r="F13" s="342"/>
      <c r="G13" s="34"/>
      <c r="H13" s="35"/>
      <c r="I13" s="18"/>
      <c r="J13" s="340"/>
      <c r="K13" s="340"/>
      <c r="L13" s="341"/>
      <c r="N13" s="8"/>
    </row>
    <row r="14" spans="1:14" ht="18.75" customHeight="1">
      <c r="A14" s="7"/>
      <c r="B14" s="32"/>
      <c r="C14" s="32"/>
      <c r="D14" s="32"/>
      <c r="E14" s="342"/>
      <c r="F14" s="342"/>
      <c r="G14" s="34"/>
      <c r="H14" s="35"/>
      <c r="I14" s="18"/>
      <c r="J14" s="340"/>
      <c r="K14" s="340"/>
      <c r="L14" s="341"/>
      <c r="N14" s="8"/>
    </row>
    <row r="15" spans="1:14" ht="15.75" customHeight="1">
      <c r="A15" s="7"/>
      <c r="B15" s="32"/>
      <c r="C15" s="32"/>
      <c r="D15" s="32"/>
      <c r="E15" s="342"/>
      <c r="F15" s="342"/>
      <c r="G15" s="34"/>
      <c r="H15" s="35"/>
      <c r="I15" s="18"/>
      <c r="J15" s="340"/>
      <c r="K15" s="340"/>
      <c r="L15" s="341"/>
      <c r="N15" s="8"/>
    </row>
    <row r="16" spans="1:14" ht="18.75" customHeight="1">
      <c r="A16" s="7"/>
      <c r="B16" s="32"/>
      <c r="C16" s="32"/>
      <c r="D16" s="32"/>
      <c r="E16" s="342"/>
      <c r="F16" s="342"/>
      <c r="G16" s="34"/>
      <c r="H16" s="35"/>
      <c r="I16" s="18"/>
      <c r="J16" s="340"/>
      <c r="K16" s="340"/>
      <c r="L16" s="341"/>
      <c r="N16" s="8"/>
    </row>
    <row r="17" spans="1:14" ht="15.75" customHeight="1">
      <c r="A17" s="7"/>
      <c r="B17" s="32"/>
      <c r="C17" s="32"/>
      <c r="D17" s="32"/>
      <c r="E17" s="342"/>
      <c r="F17" s="342"/>
      <c r="G17" s="34"/>
      <c r="H17" s="35"/>
      <c r="I17" s="18"/>
      <c r="J17" s="340"/>
      <c r="K17" s="340"/>
      <c r="L17" s="341"/>
      <c r="N17" s="8"/>
    </row>
    <row r="18" spans="1:14" ht="18.75" customHeight="1">
      <c r="A18" s="7"/>
      <c r="B18" s="32"/>
      <c r="C18" s="32"/>
      <c r="D18" s="32"/>
      <c r="E18" s="342"/>
      <c r="F18" s="342"/>
      <c r="G18" s="34"/>
      <c r="H18" s="35"/>
      <c r="I18" s="18"/>
      <c r="J18" s="340"/>
      <c r="K18" s="340"/>
      <c r="L18" s="341"/>
      <c r="N18" s="8"/>
    </row>
    <row r="19" spans="1:14" ht="15.75" customHeight="1">
      <c r="A19" s="7"/>
      <c r="B19" s="32"/>
      <c r="C19" s="32"/>
      <c r="D19" s="32"/>
      <c r="E19" s="342"/>
      <c r="F19" s="342"/>
      <c r="G19" s="34"/>
      <c r="H19" s="35"/>
      <c r="I19" s="18"/>
      <c r="J19" s="340"/>
      <c r="K19" s="340"/>
      <c r="L19" s="341"/>
      <c r="N19" s="8"/>
    </row>
    <row r="20" spans="1:14" ht="18.75" customHeight="1">
      <c r="A20" s="7"/>
      <c r="B20" s="32"/>
      <c r="C20" s="32"/>
      <c r="D20" s="32"/>
      <c r="E20" s="342"/>
      <c r="F20" s="342"/>
      <c r="G20" s="34"/>
      <c r="H20" s="35"/>
      <c r="I20" s="18"/>
      <c r="J20" s="340"/>
      <c r="K20" s="340"/>
      <c r="L20" s="341"/>
      <c r="N20" s="8"/>
    </row>
    <row r="21" spans="1:14" ht="18.75" customHeight="1">
      <c r="A21" s="7"/>
      <c r="B21" s="32"/>
      <c r="C21" s="32"/>
      <c r="D21" s="32"/>
      <c r="E21" s="342"/>
      <c r="F21" s="342"/>
      <c r="G21" s="34"/>
      <c r="H21" s="35"/>
      <c r="I21" s="18"/>
      <c r="J21" s="340"/>
      <c r="K21" s="340"/>
      <c r="L21" s="341"/>
      <c r="N21" s="8"/>
    </row>
    <row r="22" spans="1:14" ht="15.75" customHeight="1">
      <c r="A22" s="7"/>
      <c r="B22" s="32"/>
      <c r="C22" s="32"/>
      <c r="D22" s="32"/>
      <c r="E22" s="342"/>
      <c r="F22" s="342"/>
      <c r="G22" s="34"/>
      <c r="H22" s="35"/>
      <c r="I22" s="18"/>
      <c r="J22" s="340"/>
      <c r="K22" s="340"/>
      <c r="L22" s="341"/>
      <c r="N22" s="8"/>
    </row>
    <row r="23" spans="1:14" ht="18.75" customHeight="1">
      <c r="A23" s="7"/>
      <c r="B23" s="32"/>
      <c r="C23" s="32"/>
      <c r="D23" s="32"/>
      <c r="E23" s="342"/>
      <c r="F23" s="342"/>
      <c r="G23" s="34"/>
      <c r="H23" s="35"/>
      <c r="I23" s="18"/>
      <c r="J23" s="340"/>
      <c r="K23" s="340"/>
      <c r="L23" s="341"/>
      <c r="N23" s="8"/>
    </row>
    <row r="24" spans="1:14" ht="15.75" customHeight="1">
      <c r="A24" s="7"/>
      <c r="B24" s="32"/>
      <c r="C24" s="32"/>
      <c r="D24" s="32"/>
      <c r="E24" s="342"/>
      <c r="F24" s="342"/>
      <c r="G24" s="34"/>
      <c r="H24" s="35"/>
      <c r="I24" s="18"/>
      <c r="J24" s="340"/>
      <c r="K24" s="340"/>
      <c r="L24" s="341"/>
      <c r="N24" s="8"/>
    </row>
    <row r="25" spans="1:14" ht="18.75" customHeight="1">
      <c r="A25" s="7"/>
      <c r="B25" s="32"/>
      <c r="C25" s="32"/>
      <c r="D25" s="32"/>
      <c r="E25" s="342"/>
      <c r="F25" s="342"/>
      <c r="G25" s="34"/>
      <c r="H25" s="35"/>
      <c r="I25" s="18"/>
      <c r="J25" s="340"/>
      <c r="K25" s="340"/>
      <c r="L25" s="341"/>
      <c r="N25" s="8"/>
    </row>
    <row r="26" spans="1:14" ht="15.75" customHeight="1">
      <c r="A26" s="7"/>
      <c r="B26" s="32"/>
      <c r="C26" s="32"/>
      <c r="D26" s="32"/>
      <c r="E26" s="342"/>
      <c r="F26" s="342"/>
      <c r="G26" s="34"/>
      <c r="H26" s="35"/>
      <c r="I26" s="18"/>
      <c r="J26" s="340"/>
      <c r="K26" s="340"/>
      <c r="L26" s="341"/>
      <c r="N26" s="8"/>
    </row>
    <row r="27" spans="1:14" ht="18.75" customHeight="1">
      <c r="A27" s="7"/>
      <c r="B27" s="32"/>
      <c r="C27" s="32"/>
      <c r="D27" s="32"/>
      <c r="E27" s="342"/>
      <c r="F27" s="342"/>
      <c r="G27" s="34"/>
      <c r="H27" s="35"/>
      <c r="I27" s="18"/>
      <c r="J27" s="340"/>
      <c r="K27" s="340"/>
      <c r="L27" s="341"/>
      <c r="N27" s="8"/>
    </row>
    <row r="28" spans="1:14" ht="18.75" customHeight="1">
      <c r="A28" s="7"/>
      <c r="B28" s="32"/>
      <c r="C28" s="32"/>
      <c r="D28" s="32"/>
      <c r="E28" s="342"/>
      <c r="F28" s="342"/>
      <c r="G28" s="34"/>
      <c r="H28" s="35"/>
      <c r="I28" s="18"/>
      <c r="J28" s="340"/>
      <c r="K28" s="340"/>
      <c r="L28" s="341"/>
      <c r="N28" s="8"/>
    </row>
    <row r="29" spans="1:14" ht="15.75" customHeight="1">
      <c r="A29" s="7"/>
      <c r="B29" s="32"/>
      <c r="C29" s="32"/>
      <c r="D29" s="32"/>
      <c r="E29" s="342"/>
      <c r="F29" s="342"/>
      <c r="G29" s="34"/>
      <c r="H29" s="35"/>
      <c r="I29" s="18"/>
      <c r="J29" s="340"/>
      <c r="K29" s="340"/>
      <c r="L29" s="341"/>
      <c r="N29" s="8"/>
    </row>
    <row r="30" spans="1:14" ht="18.75" customHeight="1">
      <c r="A30" s="7"/>
      <c r="B30" s="32"/>
      <c r="C30" s="32"/>
      <c r="D30" s="32"/>
      <c r="E30" s="342"/>
      <c r="F30" s="342"/>
      <c r="G30" s="34"/>
      <c r="H30" s="35"/>
      <c r="I30" s="18"/>
      <c r="J30" s="340"/>
      <c r="K30" s="340"/>
      <c r="L30" s="341"/>
      <c r="N30" s="8"/>
    </row>
    <row r="31" spans="1:14" ht="15.75" customHeight="1">
      <c r="A31" s="7"/>
      <c r="B31" s="32"/>
      <c r="C31" s="32"/>
      <c r="D31" s="32"/>
      <c r="E31" s="342"/>
      <c r="F31" s="342"/>
      <c r="G31" s="34"/>
      <c r="H31" s="35"/>
      <c r="I31" s="18"/>
      <c r="J31" s="340"/>
      <c r="K31" s="340"/>
      <c r="L31" s="341"/>
      <c r="N31" s="8"/>
    </row>
    <row r="32" spans="1:14" ht="15.75" customHeight="1">
      <c r="A32" s="7"/>
      <c r="B32" s="32"/>
      <c r="C32" s="32"/>
      <c r="D32" s="32"/>
      <c r="E32" s="342"/>
      <c r="F32" s="342"/>
      <c r="G32" s="34"/>
      <c r="H32" s="35"/>
      <c r="I32" s="18"/>
      <c r="J32" s="340"/>
      <c r="K32" s="340"/>
      <c r="L32" s="341"/>
      <c r="N32" s="8"/>
    </row>
    <row r="33" spans="1:14" ht="18.75" customHeight="1">
      <c r="A33" s="7"/>
      <c r="B33" s="32"/>
      <c r="C33" s="32"/>
      <c r="D33" s="32"/>
      <c r="E33" s="342"/>
      <c r="F33" s="342"/>
      <c r="G33" s="34"/>
      <c r="H33" s="35"/>
      <c r="I33" s="18"/>
      <c r="J33" s="340"/>
      <c r="K33" s="340"/>
      <c r="L33" s="341"/>
      <c r="N33" s="8"/>
    </row>
    <row r="34" spans="1:14" ht="18.75" customHeight="1">
      <c r="A34" s="7"/>
      <c r="B34" s="32"/>
      <c r="C34" s="32"/>
      <c r="D34" s="32"/>
      <c r="E34" s="342"/>
      <c r="F34" s="342"/>
      <c r="G34" s="34"/>
      <c r="H34" s="35"/>
      <c r="I34" s="18"/>
      <c r="J34" s="340"/>
      <c r="K34" s="340"/>
      <c r="L34" s="341"/>
      <c r="N34" s="8"/>
    </row>
    <row r="35" spans="1:14" ht="15.75" customHeight="1">
      <c r="A35" s="7"/>
      <c r="B35" s="32"/>
      <c r="C35" s="32"/>
      <c r="D35" s="32"/>
      <c r="E35" s="342"/>
      <c r="F35" s="342"/>
      <c r="G35" s="34"/>
      <c r="H35" s="35"/>
      <c r="I35" s="18"/>
      <c r="J35" s="340"/>
      <c r="K35" s="340"/>
      <c r="L35" s="341"/>
      <c r="N35" s="8"/>
    </row>
    <row r="36" spans="1:14" ht="18.75" customHeight="1">
      <c r="A36" s="7"/>
      <c r="B36" s="32"/>
      <c r="C36" s="32"/>
      <c r="D36" s="32"/>
      <c r="E36" s="342"/>
      <c r="F36" s="342"/>
      <c r="G36" s="34"/>
      <c r="H36" s="35"/>
      <c r="I36" s="18"/>
      <c r="J36" s="340"/>
      <c r="K36" s="340"/>
      <c r="L36" s="341"/>
      <c r="N36" s="8"/>
    </row>
    <row r="37" spans="1:14" ht="15.75" customHeight="1">
      <c r="A37" s="7"/>
      <c r="B37" s="32"/>
      <c r="C37" s="32"/>
      <c r="D37" s="32"/>
      <c r="E37" s="342"/>
      <c r="F37" s="342"/>
      <c r="G37" s="34"/>
      <c r="H37" s="35"/>
      <c r="I37" s="18"/>
      <c r="J37" s="340"/>
      <c r="K37" s="340"/>
      <c r="L37" s="341"/>
      <c r="N37" s="8"/>
    </row>
    <row r="38" spans="1:14" ht="18.75" customHeight="1">
      <c r="A38" s="7"/>
      <c r="B38" s="32"/>
      <c r="C38" s="32"/>
      <c r="D38" s="32"/>
      <c r="E38" s="342"/>
      <c r="F38" s="342"/>
      <c r="G38" s="34"/>
      <c r="H38" s="35"/>
      <c r="I38" s="18"/>
      <c r="J38" s="340"/>
      <c r="K38" s="340"/>
      <c r="L38" s="341"/>
      <c r="N38" s="8"/>
    </row>
    <row r="39" spans="1:14" ht="18.75" customHeight="1">
      <c r="A39" s="7"/>
      <c r="B39" s="32"/>
      <c r="C39" s="32"/>
      <c r="D39" s="32"/>
      <c r="E39" s="342"/>
      <c r="F39" s="342"/>
      <c r="G39" s="34"/>
      <c r="H39" s="35"/>
      <c r="I39" s="18"/>
      <c r="J39" s="340"/>
      <c r="K39" s="340"/>
      <c r="L39" s="341"/>
      <c r="N39" s="8"/>
    </row>
    <row r="40" spans="1:14" ht="15.75" customHeight="1">
      <c r="A40" s="7"/>
      <c r="B40" s="32"/>
      <c r="C40" s="32"/>
      <c r="D40" s="32"/>
      <c r="E40" s="342"/>
      <c r="F40" s="342"/>
      <c r="G40" s="34"/>
      <c r="H40" s="35"/>
      <c r="I40" s="18"/>
      <c r="J40" s="340"/>
      <c r="K40" s="340"/>
      <c r="L40" s="341"/>
      <c r="N40" s="8"/>
    </row>
    <row r="41" spans="1:14" ht="18.75" customHeight="1">
      <c r="A41" s="7"/>
      <c r="B41" s="32"/>
      <c r="C41" s="32"/>
      <c r="D41" s="32"/>
      <c r="E41" s="342"/>
      <c r="F41" s="342"/>
      <c r="G41" s="34"/>
      <c r="H41" s="35"/>
      <c r="I41" s="18"/>
      <c r="J41" s="340"/>
      <c r="K41" s="340"/>
      <c r="L41" s="341"/>
      <c r="N41" s="8"/>
    </row>
    <row r="42" spans="1:14" ht="18.75" customHeight="1">
      <c r="A42" s="7"/>
      <c r="B42" s="32"/>
      <c r="C42" s="32"/>
      <c r="D42" s="32"/>
      <c r="E42" s="342"/>
      <c r="F42" s="342"/>
      <c r="G42" s="34"/>
      <c r="H42" s="35"/>
      <c r="I42" s="18"/>
      <c r="J42" s="340"/>
      <c r="K42" s="340"/>
      <c r="L42" s="341"/>
      <c r="N42" s="8"/>
    </row>
    <row r="43" spans="1:14" ht="15.75" customHeight="1">
      <c r="A43" s="7"/>
      <c r="B43" s="32"/>
      <c r="C43" s="32"/>
      <c r="D43" s="32"/>
      <c r="E43" s="342"/>
      <c r="F43" s="342"/>
      <c r="G43" s="34"/>
      <c r="H43" s="35"/>
      <c r="I43" s="18"/>
      <c r="J43" s="340"/>
      <c r="K43" s="340"/>
      <c r="L43" s="341"/>
      <c r="N43" s="8"/>
    </row>
    <row r="44" spans="1:14" ht="18.75" customHeight="1">
      <c r="A44" s="7"/>
      <c r="B44" s="32"/>
      <c r="C44" s="32"/>
      <c r="D44" s="32"/>
      <c r="E44" s="342"/>
      <c r="F44" s="342"/>
      <c r="G44" s="34"/>
      <c r="H44" s="35"/>
      <c r="I44" s="18"/>
      <c r="J44" s="340"/>
      <c r="K44" s="340"/>
      <c r="L44" s="341"/>
      <c r="N44" s="8"/>
    </row>
    <row r="45" spans="1:14" ht="15.75" customHeight="1">
      <c r="A45" s="7"/>
      <c r="B45" s="32"/>
      <c r="C45" s="32"/>
      <c r="D45" s="32"/>
      <c r="E45" s="342"/>
      <c r="F45" s="342"/>
      <c r="G45" s="34"/>
      <c r="H45" s="35"/>
      <c r="I45" s="18"/>
      <c r="J45" s="340"/>
      <c r="K45" s="340"/>
      <c r="L45" s="341"/>
      <c r="N45" s="8"/>
    </row>
    <row r="46" spans="1:14" ht="18.75" customHeight="1">
      <c r="A46" s="7"/>
      <c r="B46" s="32"/>
      <c r="C46" s="32"/>
      <c r="D46" s="32"/>
      <c r="E46" s="342"/>
      <c r="F46" s="342"/>
      <c r="G46" s="34"/>
      <c r="H46" s="35"/>
      <c r="I46" s="18"/>
      <c r="J46" s="340"/>
      <c r="K46" s="340"/>
      <c r="L46" s="341"/>
      <c r="N46" s="8"/>
    </row>
    <row r="47" spans="1:14" ht="18.75" customHeight="1">
      <c r="A47" s="7"/>
      <c r="B47" s="32"/>
      <c r="C47" s="32"/>
      <c r="D47" s="32"/>
      <c r="E47" s="342"/>
      <c r="F47" s="342"/>
      <c r="G47" s="34"/>
      <c r="H47" s="35"/>
      <c r="I47" s="18"/>
      <c r="J47" s="340"/>
      <c r="K47" s="340"/>
      <c r="L47" s="341"/>
      <c r="N47" s="8"/>
    </row>
    <row r="48" spans="1:14" ht="15.75" customHeight="1">
      <c r="A48" s="7"/>
      <c r="B48" s="32"/>
      <c r="C48" s="32"/>
      <c r="D48" s="32"/>
      <c r="E48" s="342"/>
      <c r="F48" s="342"/>
      <c r="G48" s="34"/>
      <c r="H48" s="35"/>
      <c r="I48" s="18"/>
      <c r="J48" s="340"/>
      <c r="K48" s="340"/>
      <c r="L48" s="341"/>
      <c r="N48" s="8"/>
    </row>
    <row r="49" spans="1:14" ht="18.75" customHeight="1">
      <c r="A49" s="7"/>
      <c r="B49" s="32"/>
      <c r="C49" s="32"/>
      <c r="D49" s="32"/>
      <c r="E49" s="342"/>
      <c r="F49" s="342"/>
      <c r="G49" s="34"/>
      <c r="H49" s="35"/>
      <c r="I49" s="18"/>
      <c r="J49" s="340"/>
      <c r="K49" s="340"/>
      <c r="L49" s="341"/>
      <c r="N49" s="8"/>
    </row>
    <row r="50" spans="1:14" ht="15.75" customHeight="1">
      <c r="A50" s="7"/>
      <c r="B50" s="32"/>
      <c r="C50" s="32"/>
      <c r="D50" s="32"/>
      <c r="E50" s="342"/>
      <c r="F50" s="342"/>
      <c r="G50" s="34"/>
      <c r="H50" s="35"/>
      <c r="I50" s="18"/>
      <c r="J50" s="340"/>
      <c r="K50" s="340"/>
      <c r="L50" s="341"/>
      <c r="N50" s="8"/>
    </row>
    <row r="51" spans="1:14" ht="18.75" customHeight="1">
      <c r="A51" s="7"/>
      <c r="B51" s="32"/>
      <c r="C51" s="32"/>
      <c r="D51" s="32"/>
      <c r="E51" s="342"/>
      <c r="F51" s="342"/>
      <c r="G51" s="34"/>
      <c r="H51" s="35"/>
      <c r="I51" s="18"/>
      <c r="J51" s="340"/>
      <c r="K51" s="340"/>
      <c r="L51" s="341"/>
      <c r="N51" s="8"/>
    </row>
    <row r="52" spans="1:14" ht="15.75" customHeight="1">
      <c r="A52" s="7"/>
      <c r="B52" s="32"/>
      <c r="C52" s="32"/>
      <c r="D52" s="32"/>
      <c r="E52" s="342"/>
      <c r="F52" s="342"/>
      <c r="G52" s="34"/>
      <c r="H52" s="35"/>
      <c r="I52" s="18"/>
      <c r="J52" s="340"/>
      <c r="K52" s="340"/>
      <c r="L52" s="341"/>
      <c r="N52" s="8"/>
    </row>
    <row r="53" spans="1:14" ht="18.75" customHeight="1">
      <c r="A53" s="7"/>
      <c r="B53" s="32"/>
      <c r="C53" s="32"/>
      <c r="D53" s="32"/>
      <c r="E53" s="342"/>
      <c r="F53" s="342"/>
      <c r="G53" s="34"/>
      <c r="H53" s="35"/>
      <c r="I53" s="18"/>
      <c r="J53" s="340"/>
      <c r="K53" s="340"/>
      <c r="L53" s="341"/>
      <c r="N53" s="8"/>
    </row>
    <row r="54" spans="1:14" ht="18.75" customHeight="1">
      <c r="A54" s="7"/>
      <c r="B54" s="32"/>
      <c r="C54" s="32"/>
      <c r="D54" s="32"/>
      <c r="E54" s="342"/>
      <c r="F54" s="342"/>
      <c r="G54" s="34"/>
      <c r="H54" s="35"/>
      <c r="I54" s="18"/>
      <c r="J54" s="340"/>
      <c r="K54" s="340"/>
      <c r="L54" s="341"/>
      <c r="N54" s="8"/>
    </row>
    <row r="55" spans="1:14" ht="15.75" customHeight="1">
      <c r="A55" s="7"/>
      <c r="B55" s="32"/>
      <c r="C55" s="32"/>
      <c r="D55" s="32"/>
      <c r="E55" s="342"/>
      <c r="F55" s="342"/>
      <c r="G55" s="34"/>
      <c r="H55" s="35"/>
      <c r="I55" s="18"/>
      <c r="J55" s="340"/>
      <c r="K55" s="340"/>
      <c r="L55" s="341"/>
      <c r="N55" s="8"/>
    </row>
    <row r="56" spans="1:14" ht="18.75" customHeight="1">
      <c r="A56" s="7"/>
      <c r="B56" s="32"/>
      <c r="C56" s="32"/>
      <c r="D56" s="32"/>
      <c r="E56" s="342"/>
      <c r="F56" s="342"/>
      <c r="G56" s="34"/>
      <c r="H56" s="35"/>
      <c r="I56" s="18"/>
      <c r="J56" s="340"/>
      <c r="K56" s="340"/>
      <c r="L56" s="341"/>
      <c r="N56" s="8"/>
    </row>
    <row r="57" spans="1:14" ht="15.75" customHeight="1">
      <c r="A57" s="7"/>
      <c r="B57" s="32"/>
      <c r="C57" s="32"/>
      <c r="D57" s="32"/>
      <c r="E57" s="342"/>
      <c r="F57" s="342"/>
      <c r="G57" s="34"/>
      <c r="H57" s="35"/>
      <c r="I57" s="18"/>
      <c r="J57" s="340"/>
      <c r="K57" s="340"/>
      <c r="L57" s="341"/>
      <c r="N57" s="8"/>
    </row>
    <row r="58" spans="1:14" ht="18.75" customHeight="1">
      <c r="A58" s="7"/>
      <c r="B58" s="32"/>
      <c r="C58" s="32"/>
      <c r="D58" s="32"/>
      <c r="E58" s="342"/>
      <c r="F58" s="342"/>
      <c r="G58" s="34"/>
      <c r="H58" s="35"/>
      <c r="I58" s="18"/>
      <c r="J58" s="340"/>
      <c r="K58" s="340"/>
      <c r="L58" s="341"/>
      <c r="N58" s="8"/>
    </row>
    <row r="59" spans="1:14" ht="15.75" customHeight="1">
      <c r="A59" s="7"/>
      <c r="B59" s="32"/>
      <c r="C59" s="32"/>
      <c r="D59" s="32"/>
      <c r="E59" s="342"/>
      <c r="F59" s="342"/>
      <c r="G59" s="34"/>
      <c r="H59" s="35"/>
      <c r="I59" s="18"/>
      <c r="J59" s="340"/>
      <c r="K59" s="340"/>
      <c r="L59" s="341"/>
      <c r="N59" s="8"/>
    </row>
    <row r="60" spans="1:14" ht="18.75" customHeight="1">
      <c r="A60" s="7"/>
      <c r="B60" s="32"/>
      <c r="C60" s="32"/>
      <c r="D60" s="32"/>
      <c r="E60" s="342"/>
      <c r="F60" s="342"/>
      <c r="G60" s="34"/>
      <c r="H60" s="35"/>
      <c r="I60" s="18"/>
      <c r="J60" s="340"/>
      <c r="K60" s="340"/>
      <c r="L60" s="341"/>
      <c r="N60" s="8"/>
    </row>
    <row r="61" spans="1:14" ht="15.75" customHeight="1">
      <c r="A61" s="7"/>
      <c r="B61" s="32"/>
      <c r="C61" s="32"/>
      <c r="D61" s="32"/>
      <c r="E61" s="342"/>
      <c r="F61" s="342"/>
      <c r="G61" s="34"/>
      <c r="H61" s="35"/>
      <c r="I61" s="18"/>
      <c r="J61" s="340"/>
      <c r="K61" s="340"/>
      <c r="L61" s="341"/>
      <c r="N61" s="8"/>
    </row>
    <row r="62" spans="1:14" ht="18.75" customHeight="1">
      <c r="A62" s="7"/>
      <c r="B62" s="32"/>
      <c r="C62" s="32"/>
      <c r="D62" s="32"/>
      <c r="E62" s="342"/>
      <c r="F62" s="342"/>
      <c r="G62" s="34"/>
      <c r="H62" s="35"/>
      <c r="I62" s="18"/>
      <c r="J62" s="340"/>
      <c r="K62" s="340"/>
      <c r="L62" s="341"/>
      <c r="N62" s="8"/>
    </row>
    <row r="63" spans="1:14" ht="18.75" customHeight="1">
      <c r="A63" s="7"/>
      <c r="B63" s="32"/>
      <c r="C63" s="32"/>
      <c r="D63" s="32"/>
      <c r="E63" s="342"/>
      <c r="F63" s="342"/>
      <c r="G63" s="34"/>
      <c r="H63" s="35"/>
      <c r="I63" s="18"/>
      <c r="J63" s="340"/>
      <c r="K63" s="340"/>
      <c r="L63" s="341"/>
      <c r="N63" s="8"/>
    </row>
    <row r="64" spans="1:14" ht="15.75" customHeight="1">
      <c r="A64" s="7"/>
      <c r="B64" s="32"/>
      <c r="C64" s="32"/>
      <c r="D64" s="32"/>
      <c r="E64" s="342"/>
      <c r="F64" s="342"/>
      <c r="G64" s="34"/>
      <c r="H64" s="35"/>
      <c r="I64" s="18"/>
      <c r="J64" s="340"/>
      <c r="K64" s="340"/>
      <c r="L64" s="341"/>
      <c r="N64" s="8"/>
    </row>
    <row r="65" spans="1:14" ht="18.75" customHeight="1">
      <c r="A65" s="7"/>
      <c r="B65" s="32"/>
      <c r="C65" s="32"/>
      <c r="D65" s="32"/>
      <c r="E65" s="342"/>
      <c r="F65" s="342"/>
      <c r="G65" s="34"/>
      <c r="H65" s="35"/>
      <c r="I65" s="18"/>
      <c r="J65" s="340"/>
      <c r="K65" s="340"/>
      <c r="L65" s="341"/>
      <c r="N65" s="8"/>
    </row>
    <row r="66" spans="1:14" ht="15.75" customHeight="1">
      <c r="A66" s="7"/>
      <c r="B66" s="32"/>
      <c r="C66" s="32"/>
      <c r="D66" s="32"/>
      <c r="E66" s="342"/>
      <c r="F66" s="342"/>
      <c r="G66" s="34"/>
      <c r="H66" s="35"/>
      <c r="I66" s="18"/>
      <c r="J66" s="340"/>
      <c r="K66" s="340"/>
      <c r="L66" s="341"/>
      <c r="N66" s="8"/>
    </row>
    <row r="67" spans="1:14" ht="18.75" customHeight="1">
      <c r="A67" s="7"/>
      <c r="B67" s="32"/>
      <c r="C67" s="32"/>
      <c r="D67" s="32"/>
      <c r="E67" s="342"/>
      <c r="F67" s="342"/>
      <c r="G67" s="34"/>
      <c r="H67" s="35"/>
      <c r="I67" s="18"/>
      <c r="J67" s="340"/>
      <c r="K67" s="340"/>
      <c r="L67" s="341"/>
      <c r="N67" s="8"/>
    </row>
    <row r="68" spans="1:14" ht="15.75" customHeight="1">
      <c r="A68" s="7"/>
      <c r="B68" s="32"/>
      <c r="C68" s="32"/>
      <c r="D68" s="32"/>
      <c r="E68" s="342"/>
      <c r="F68" s="342"/>
      <c r="G68" s="34"/>
      <c r="H68" s="35"/>
      <c r="I68" s="18"/>
      <c r="J68" s="340"/>
      <c r="K68" s="340"/>
      <c r="L68" s="341"/>
      <c r="N68" s="8"/>
    </row>
    <row r="69" spans="1:14" ht="18.75" customHeight="1">
      <c r="A69" s="7"/>
      <c r="B69" s="32"/>
      <c r="C69" s="32"/>
      <c r="D69" s="32"/>
      <c r="E69" s="342"/>
      <c r="F69" s="342"/>
      <c r="G69" s="34"/>
      <c r="H69" s="35"/>
      <c r="I69" s="18"/>
      <c r="J69" s="340"/>
      <c r="K69" s="340"/>
      <c r="L69" s="341"/>
      <c r="N69" s="8"/>
    </row>
    <row r="70" spans="1:14" ht="15.75" customHeight="1">
      <c r="A70" s="7"/>
      <c r="B70" s="32"/>
      <c r="C70" s="32"/>
      <c r="D70" s="32"/>
      <c r="E70" s="342"/>
      <c r="F70" s="342"/>
      <c r="G70" s="34"/>
      <c r="H70" s="35"/>
      <c r="I70" s="18"/>
      <c r="J70" s="340"/>
      <c r="K70" s="340"/>
      <c r="L70" s="341"/>
      <c r="N70" s="8"/>
    </row>
    <row r="71" spans="1:14" ht="18.75" customHeight="1">
      <c r="A71" s="7"/>
      <c r="B71" s="32"/>
      <c r="C71" s="32"/>
      <c r="D71" s="32"/>
      <c r="E71" s="342"/>
      <c r="F71" s="342"/>
      <c r="G71" s="34"/>
      <c r="H71" s="35"/>
      <c r="I71" s="18"/>
      <c r="J71" s="340"/>
      <c r="K71" s="340"/>
      <c r="L71" s="341"/>
      <c r="N71" s="8"/>
    </row>
    <row r="72" spans="1:14" ht="15.75" customHeight="1">
      <c r="A72" s="7"/>
      <c r="B72" s="32"/>
      <c r="C72" s="32"/>
      <c r="D72" s="32"/>
      <c r="E72" s="342"/>
      <c r="F72" s="342"/>
      <c r="G72" s="34"/>
      <c r="H72" s="35"/>
      <c r="I72" s="18"/>
      <c r="J72" s="340"/>
      <c r="K72" s="340"/>
      <c r="L72" s="341"/>
      <c r="N72" s="8"/>
    </row>
    <row r="73" spans="1:14" ht="18.75" customHeight="1">
      <c r="A73" s="7"/>
      <c r="B73" s="32"/>
      <c r="C73" s="32"/>
      <c r="D73" s="32"/>
      <c r="E73" s="342"/>
      <c r="F73" s="342"/>
      <c r="G73" s="34"/>
      <c r="H73" s="35"/>
      <c r="I73" s="18"/>
      <c r="J73" s="340"/>
      <c r="K73" s="340"/>
      <c r="L73" s="341"/>
      <c r="N73" s="8"/>
    </row>
    <row r="74" spans="1:14" ht="18.75" customHeight="1">
      <c r="A74" s="7"/>
      <c r="B74" s="32"/>
      <c r="C74" s="32"/>
      <c r="D74" s="32"/>
      <c r="E74" s="342"/>
      <c r="F74" s="342"/>
      <c r="G74" s="34"/>
      <c r="H74" s="35"/>
      <c r="I74" s="18"/>
      <c r="J74" s="340"/>
      <c r="K74" s="340"/>
      <c r="L74" s="341"/>
      <c r="N74" s="8"/>
    </row>
    <row r="75" spans="1:14" ht="15.75" customHeight="1">
      <c r="A75" s="7"/>
      <c r="B75" s="32"/>
      <c r="C75" s="32"/>
      <c r="D75" s="32"/>
      <c r="E75" s="342"/>
      <c r="F75" s="342"/>
      <c r="G75" s="34"/>
      <c r="H75" s="35"/>
      <c r="I75" s="18"/>
      <c r="J75" s="340"/>
      <c r="K75" s="340"/>
      <c r="L75" s="341"/>
      <c r="N75" s="8"/>
    </row>
    <row r="76" spans="1:14" ht="18.75" customHeight="1">
      <c r="A76" s="7"/>
      <c r="B76" s="32"/>
      <c r="C76" s="32"/>
      <c r="D76" s="32"/>
      <c r="E76" s="342"/>
      <c r="F76" s="342"/>
      <c r="G76" s="34"/>
      <c r="H76" s="35"/>
      <c r="I76" s="18"/>
      <c r="J76" s="340"/>
      <c r="K76" s="340"/>
      <c r="L76" s="341"/>
      <c r="N76" s="8"/>
    </row>
    <row r="77" spans="1:14" ht="15.75" customHeight="1">
      <c r="A77" s="7"/>
      <c r="B77" s="32"/>
      <c r="C77" s="32"/>
      <c r="D77" s="32"/>
      <c r="E77" s="342"/>
      <c r="F77" s="342"/>
      <c r="G77" s="34"/>
      <c r="H77" s="35"/>
      <c r="I77" s="18"/>
      <c r="J77" s="340"/>
      <c r="K77" s="340"/>
      <c r="L77" s="341"/>
      <c r="N77" s="8"/>
    </row>
    <row r="78" spans="1:14" ht="18.75" customHeight="1">
      <c r="A78" s="7"/>
      <c r="B78" s="32"/>
      <c r="C78" s="32"/>
      <c r="D78" s="32"/>
      <c r="E78" s="342"/>
      <c r="F78" s="342"/>
      <c r="G78" s="34"/>
      <c r="H78" s="35"/>
      <c r="I78" s="18"/>
      <c r="J78" s="340"/>
      <c r="K78" s="340"/>
      <c r="L78" s="341"/>
      <c r="N78" s="8"/>
    </row>
    <row r="79" spans="1:14" ht="15.75" customHeight="1">
      <c r="A79" s="7"/>
      <c r="B79" s="32"/>
      <c r="C79" s="32"/>
      <c r="D79" s="32"/>
      <c r="E79" s="342"/>
      <c r="F79" s="342"/>
      <c r="G79" s="34"/>
      <c r="H79" s="35"/>
      <c r="I79" s="18"/>
      <c r="J79" s="340"/>
      <c r="K79" s="340"/>
      <c r="L79" s="341"/>
      <c r="N79" s="8"/>
    </row>
    <row r="80" spans="1:14" ht="18.75" customHeight="1">
      <c r="A80" s="7"/>
      <c r="B80" s="32"/>
      <c r="C80" s="32"/>
      <c r="D80" s="32"/>
      <c r="E80" s="342"/>
      <c r="F80" s="342"/>
      <c r="G80" s="34"/>
      <c r="H80" s="35"/>
      <c r="I80" s="18"/>
      <c r="J80" s="340"/>
      <c r="K80" s="340"/>
      <c r="L80" s="341"/>
      <c r="N80" s="8"/>
    </row>
    <row r="81" spans="1:14" ht="15.75" customHeight="1">
      <c r="A81" s="7"/>
      <c r="B81" s="32"/>
      <c r="C81" s="32"/>
      <c r="D81" s="32"/>
      <c r="E81" s="342"/>
      <c r="F81" s="342"/>
      <c r="G81" s="34"/>
      <c r="H81" s="35"/>
      <c r="I81" s="18"/>
      <c r="J81" s="340"/>
      <c r="K81" s="340"/>
      <c r="L81" s="341"/>
      <c r="N81" s="8"/>
    </row>
    <row r="82" spans="1:14" ht="18.75" customHeight="1">
      <c r="A82" s="7"/>
      <c r="B82" s="32"/>
      <c r="C82" s="32"/>
      <c r="D82" s="32"/>
      <c r="E82" s="342"/>
      <c r="F82" s="342"/>
      <c r="G82" s="34"/>
      <c r="H82" s="35"/>
      <c r="I82" s="18"/>
      <c r="J82" s="340"/>
      <c r="K82" s="340"/>
      <c r="L82" s="341"/>
      <c r="N82" s="8"/>
    </row>
    <row r="83" spans="1:14" ht="15.75" customHeight="1">
      <c r="A83" s="7"/>
      <c r="B83" s="32"/>
      <c r="C83" s="32"/>
      <c r="D83" s="32"/>
      <c r="E83" s="342"/>
      <c r="F83" s="342"/>
      <c r="G83" s="34"/>
      <c r="H83" s="35"/>
      <c r="I83" s="18"/>
      <c r="J83" s="340"/>
      <c r="K83" s="340"/>
      <c r="L83" s="341"/>
      <c r="N83" s="8"/>
    </row>
    <row r="84" spans="1:14" ht="18.75" customHeight="1">
      <c r="A84" s="7"/>
      <c r="B84" s="32"/>
      <c r="C84" s="32"/>
      <c r="D84" s="32"/>
      <c r="E84" s="342"/>
      <c r="F84" s="342"/>
      <c r="G84" s="34"/>
      <c r="H84" s="35"/>
      <c r="I84" s="18"/>
      <c r="J84" s="340"/>
      <c r="K84" s="340"/>
      <c r="L84" s="341"/>
      <c r="N84" s="8"/>
    </row>
    <row r="85" spans="1:14" ht="15.75" customHeight="1">
      <c r="A85" s="7"/>
      <c r="B85" s="32"/>
      <c r="C85" s="32"/>
      <c r="D85" s="32"/>
      <c r="E85" s="342"/>
      <c r="F85" s="342"/>
      <c r="G85" s="34"/>
      <c r="H85" s="35"/>
      <c r="I85" s="18"/>
      <c r="J85" s="340"/>
      <c r="K85" s="340"/>
      <c r="L85" s="341"/>
      <c r="N85" s="8"/>
    </row>
    <row r="86" spans="1:14" ht="18.75" customHeight="1">
      <c r="A86" s="7"/>
      <c r="B86" s="32"/>
      <c r="C86" s="32"/>
      <c r="D86" s="32"/>
      <c r="E86" s="342"/>
      <c r="F86" s="342"/>
      <c r="G86" s="34"/>
      <c r="H86" s="35"/>
      <c r="I86" s="18"/>
      <c r="J86" s="340"/>
      <c r="K86" s="340"/>
      <c r="L86" s="341"/>
      <c r="N86" s="8"/>
    </row>
    <row r="87" spans="1:14" ht="18.75" customHeight="1">
      <c r="A87" s="7"/>
      <c r="B87" s="32"/>
      <c r="C87" s="32"/>
      <c r="D87" s="32"/>
      <c r="E87" s="342"/>
      <c r="F87" s="342"/>
      <c r="G87" s="34"/>
      <c r="H87" s="35"/>
      <c r="I87" s="18"/>
      <c r="J87" s="340"/>
      <c r="K87" s="340"/>
      <c r="L87" s="341"/>
      <c r="N87" s="8"/>
    </row>
    <row r="88" spans="1:14" ht="15.75" customHeight="1">
      <c r="A88" s="7"/>
      <c r="B88" s="32"/>
      <c r="C88" s="32"/>
      <c r="D88" s="32"/>
      <c r="E88" s="342"/>
      <c r="F88" s="342"/>
      <c r="G88" s="34"/>
      <c r="H88" s="35"/>
      <c r="I88" s="18"/>
      <c r="J88" s="340"/>
      <c r="K88" s="340"/>
      <c r="L88" s="341"/>
      <c r="N88" s="8"/>
    </row>
    <row r="89" spans="1:14" ht="18.75" customHeight="1">
      <c r="A89" s="7"/>
      <c r="B89" s="32"/>
      <c r="C89" s="32"/>
      <c r="D89" s="32"/>
      <c r="E89" s="342"/>
      <c r="F89" s="342"/>
      <c r="G89" s="34"/>
      <c r="H89" s="35"/>
      <c r="I89" s="18"/>
      <c r="J89" s="340"/>
      <c r="K89" s="340"/>
      <c r="L89" s="341"/>
      <c r="N89" s="8"/>
    </row>
    <row r="90" spans="1:14" ht="15.75" customHeight="1">
      <c r="A90" s="7"/>
      <c r="B90" s="32"/>
      <c r="C90" s="32"/>
      <c r="D90" s="32"/>
      <c r="E90" s="342"/>
      <c r="F90" s="342"/>
      <c r="G90" s="34"/>
      <c r="H90" s="35"/>
      <c r="I90" s="18"/>
      <c r="J90" s="340"/>
      <c r="K90" s="340"/>
      <c r="L90" s="341"/>
      <c r="N90" s="8"/>
    </row>
    <row r="91" spans="1:14" ht="18.75" customHeight="1">
      <c r="A91" s="7"/>
      <c r="B91" s="32"/>
      <c r="C91" s="32"/>
      <c r="D91" s="32"/>
      <c r="E91" s="342"/>
      <c r="F91" s="342"/>
      <c r="G91" s="34"/>
      <c r="H91" s="35"/>
      <c r="I91" s="18"/>
      <c r="J91" s="340"/>
      <c r="K91" s="340"/>
      <c r="L91" s="341"/>
      <c r="N91" s="8"/>
    </row>
    <row r="92" spans="1:14" ht="15.75" customHeight="1">
      <c r="A92" s="7"/>
      <c r="B92" s="32"/>
      <c r="C92" s="32"/>
      <c r="D92" s="32"/>
      <c r="E92" s="342"/>
      <c r="F92" s="342"/>
      <c r="G92" s="34"/>
      <c r="H92" s="35"/>
      <c r="I92" s="18"/>
      <c r="J92" s="340"/>
      <c r="K92" s="340"/>
      <c r="L92" s="341"/>
      <c r="N92" s="8"/>
    </row>
    <row r="93" spans="1:14" ht="18.75" customHeight="1">
      <c r="A93" s="7"/>
      <c r="B93" s="32"/>
      <c r="C93" s="32"/>
      <c r="D93" s="32"/>
      <c r="E93" s="342"/>
      <c r="F93" s="342"/>
      <c r="G93" s="34"/>
      <c r="H93" s="35"/>
      <c r="I93" s="18"/>
      <c r="J93" s="340"/>
      <c r="K93" s="340"/>
      <c r="L93" s="341"/>
      <c r="N93" s="8"/>
    </row>
    <row r="94" spans="1:14" ht="15.75" customHeight="1">
      <c r="A94" s="7"/>
      <c r="B94" s="32"/>
      <c r="C94" s="32"/>
      <c r="D94" s="32"/>
      <c r="E94" s="342"/>
      <c r="F94" s="342"/>
      <c r="G94" s="34"/>
      <c r="H94" s="35"/>
      <c r="I94" s="18"/>
      <c r="J94" s="340"/>
      <c r="K94" s="340"/>
      <c r="L94" s="341"/>
      <c r="N94" s="8"/>
    </row>
    <row r="95" spans="1:14" ht="18.75" customHeight="1">
      <c r="A95" s="7"/>
      <c r="B95" s="32"/>
      <c r="C95" s="32"/>
      <c r="D95" s="32"/>
      <c r="E95" s="342"/>
      <c r="F95" s="342"/>
      <c r="G95" s="34"/>
      <c r="H95" s="35"/>
      <c r="I95" s="18"/>
      <c r="J95" s="340"/>
      <c r="K95" s="340"/>
      <c r="L95" s="341"/>
      <c r="N95" s="8"/>
    </row>
    <row r="96" spans="1:14" ht="15.75" customHeight="1">
      <c r="A96" s="7"/>
      <c r="B96" s="32"/>
      <c r="C96" s="32"/>
      <c r="D96" s="32"/>
      <c r="E96" s="342"/>
      <c r="F96" s="342"/>
      <c r="G96" s="34"/>
      <c r="H96" s="35"/>
      <c r="I96" s="18"/>
      <c r="J96" s="340"/>
      <c r="K96" s="340"/>
      <c r="L96" s="341"/>
      <c r="N96" s="8"/>
    </row>
    <row r="97" spans="1:14" ht="18.75" customHeight="1">
      <c r="A97" s="7"/>
      <c r="B97" s="32"/>
      <c r="C97" s="32"/>
      <c r="D97" s="32"/>
      <c r="E97" s="342"/>
      <c r="F97" s="342"/>
      <c r="G97" s="34"/>
      <c r="H97" s="35"/>
      <c r="I97" s="18"/>
      <c r="J97" s="340"/>
      <c r="K97" s="340"/>
      <c r="L97" s="341"/>
      <c r="N97" s="8"/>
    </row>
    <row r="98" spans="1:14" ht="15.75" customHeight="1">
      <c r="A98" s="7"/>
      <c r="B98" s="32"/>
      <c r="C98" s="32"/>
      <c r="D98" s="32"/>
      <c r="E98" s="342"/>
      <c r="F98" s="342"/>
      <c r="G98" s="34"/>
      <c r="H98" s="35"/>
      <c r="I98" s="18"/>
      <c r="J98" s="340"/>
      <c r="K98" s="340"/>
      <c r="L98" s="341"/>
      <c r="N98" s="8"/>
    </row>
    <row r="99" spans="1:14" ht="15.75" customHeight="1">
      <c r="A99" s="7"/>
      <c r="B99" s="32"/>
      <c r="C99" s="32"/>
      <c r="D99" s="32"/>
      <c r="E99" s="342"/>
      <c r="F99" s="342"/>
      <c r="G99" s="34"/>
      <c r="H99" s="35"/>
      <c r="I99" s="18"/>
      <c r="J99" s="340"/>
      <c r="K99" s="340"/>
      <c r="L99" s="341"/>
      <c r="N99" s="8"/>
    </row>
    <row r="100" spans="1:14" ht="18.75" customHeight="1">
      <c r="A100" s="7"/>
      <c r="B100" s="32"/>
      <c r="C100" s="32"/>
      <c r="D100" s="32"/>
      <c r="E100" s="342"/>
      <c r="F100" s="342"/>
      <c r="G100" s="34"/>
      <c r="H100" s="35"/>
      <c r="I100" s="18"/>
      <c r="J100" s="340"/>
      <c r="K100" s="340"/>
      <c r="L100" s="341"/>
      <c r="N100" s="8"/>
    </row>
    <row r="101" spans="1:14" ht="15.75" customHeight="1">
      <c r="A101" s="7"/>
      <c r="B101" s="32"/>
      <c r="C101" s="32"/>
      <c r="D101" s="32"/>
      <c r="E101" s="342"/>
      <c r="F101" s="342"/>
      <c r="G101" s="34"/>
      <c r="H101" s="35"/>
      <c r="I101" s="18"/>
      <c r="J101" s="340"/>
      <c r="K101" s="340"/>
      <c r="L101" s="341"/>
      <c r="N101" s="8"/>
    </row>
    <row r="102" spans="1:14" ht="18.75" customHeight="1">
      <c r="A102" s="7"/>
      <c r="B102" s="32"/>
      <c r="C102" s="32"/>
      <c r="D102" s="32"/>
      <c r="E102" s="342"/>
      <c r="F102" s="342"/>
      <c r="G102" s="34"/>
      <c r="H102" s="35"/>
      <c r="I102" s="18"/>
      <c r="J102" s="340"/>
      <c r="K102" s="340"/>
      <c r="L102" s="341"/>
      <c r="N102" s="8"/>
    </row>
    <row r="103" spans="1:14" ht="15.75" customHeight="1">
      <c r="A103" s="7"/>
      <c r="B103" s="32"/>
      <c r="C103" s="32"/>
      <c r="D103" s="32"/>
      <c r="E103" s="342"/>
      <c r="F103" s="342"/>
      <c r="G103" s="34"/>
      <c r="H103" s="35"/>
      <c r="I103" s="18"/>
      <c r="J103" s="340"/>
      <c r="K103" s="340"/>
      <c r="L103" s="341"/>
      <c r="N103" s="8"/>
    </row>
    <row r="104" spans="1:14" ht="18.75" customHeight="1">
      <c r="A104" s="7"/>
      <c r="B104" s="32"/>
      <c r="C104" s="32"/>
      <c r="D104" s="32"/>
      <c r="E104" s="342"/>
      <c r="F104" s="342"/>
      <c r="G104" s="34"/>
      <c r="H104" s="35"/>
      <c r="I104" s="18"/>
      <c r="J104" s="340"/>
      <c r="K104" s="340"/>
      <c r="L104" s="341"/>
      <c r="N104" s="8"/>
    </row>
    <row r="105" spans="1:14" ht="15.75" customHeight="1">
      <c r="A105" s="7"/>
      <c r="B105" s="32"/>
      <c r="C105" s="32"/>
      <c r="D105" s="32"/>
      <c r="E105" s="342"/>
      <c r="F105" s="342"/>
      <c r="G105" s="34"/>
      <c r="H105" s="35"/>
      <c r="I105" s="18"/>
      <c r="J105" s="340"/>
      <c r="K105" s="340"/>
      <c r="L105" s="341"/>
      <c r="N105" s="8"/>
    </row>
    <row r="106" spans="1:14" ht="15.75" customHeight="1">
      <c r="A106" s="7"/>
      <c r="B106" s="32"/>
      <c r="C106" s="32"/>
      <c r="D106" s="32"/>
      <c r="E106" s="342"/>
      <c r="F106" s="342"/>
      <c r="G106" s="34"/>
      <c r="H106" s="35"/>
      <c r="I106" s="18"/>
      <c r="J106" s="340"/>
      <c r="K106" s="340"/>
      <c r="L106" s="341"/>
      <c r="N106" s="8"/>
    </row>
    <row r="107" spans="1:14" ht="18.75" customHeight="1">
      <c r="A107" s="7"/>
      <c r="B107" s="32"/>
      <c r="C107" s="32"/>
      <c r="D107" s="32"/>
      <c r="E107" s="342"/>
      <c r="F107" s="342"/>
      <c r="G107" s="34"/>
      <c r="H107" s="35"/>
      <c r="I107" s="18"/>
      <c r="J107" s="340"/>
      <c r="K107" s="340"/>
      <c r="L107" s="341"/>
      <c r="N107" s="8"/>
    </row>
    <row r="108" spans="1:14" ht="18.75" customHeight="1">
      <c r="A108" s="7"/>
      <c r="B108" s="32"/>
      <c r="C108" s="32"/>
      <c r="D108" s="32"/>
      <c r="E108" s="342"/>
      <c r="F108" s="342"/>
      <c r="G108" s="34"/>
      <c r="H108" s="35"/>
      <c r="I108" s="18"/>
      <c r="J108" s="340"/>
      <c r="K108" s="340"/>
      <c r="L108" s="341"/>
      <c r="N108" s="8"/>
    </row>
    <row r="109" spans="1:14" ht="15.75" customHeight="1">
      <c r="A109" s="7"/>
      <c r="B109" s="32"/>
      <c r="C109" s="32"/>
      <c r="D109" s="32"/>
      <c r="E109" s="342"/>
      <c r="F109" s="342"/>
      <c r="G109" s="34"/>
      <c r="H109" s="35"/>
      <c r="I109" s="18"/>
      <c r="J109" s="340"/>
      <c r="K109" s="340"/>
      <c r="L109" s="341"/>
      <c r="N109" s="8"/>
    </row>
    <row r="110" spans="1:14" ht="18.75" customHeight="1">
      <c r="A110" s="7"/>
      <c r="B110" s="32"/>
      <c r="C110" s="32"/>
      <c r="D110" s="32"/>
      <c r="E110" s="342"/>
      <c r="F110" s="342"/>
      <c r="G110" s="34"/>
      <c r="H110" s="35"/>
      <c r="I110" s="18"/>
      <c r="J110" s="340"/>
      <c r="K110" s="340"/>
      <c r="L110" s="341"/>
      <c r="N110" s="8"/>
    </row>
    <row r="111" spans="1:14" ht="15.75" customHeight="1">
      <c r="A111" s="7"/>
      <c r="B111" s="32"/>
      <c r="C111" s="32"/>
      <c r="D111" s="32"/>
      <c r="E111" s="342"/>
      <c r="F111" s="342"/>
      <c r="G111" s="34"/>
      <c r="H111" s="35"/>
      <c r="I111" s="18"/>
      <c r="J111" s="340"/>
      <c r="K111" s="340"/>
      <c r="L111" s="341"/>
      <c r="N111" s="8"/>
    </row>
    <row r="112" spans="1:14" ht="18.75" customHeight="1">
      <c r="A112" s="7"/>
      <c r="B112" s="32"/>
      <c r="C112" s="32"/>
      <c r="D112" s="32"/>
      <c r="E112" s="342"/>
      <c r="F112" s="342"/>
      <c r="G112" s="34"/>
      <c r="H112" s="35"/>
      <c r="I112" s="18"/>
      <c r="J112" s="340"/>
      <c r="K112" s="340"/>
      <c r="L112" s="341"/>
      <c r="N112" s="8"/>
    </row>
    <row r="113" spans="1:14" ht="15.75" customHeight="1">
      <c r="A113" s="7"/>
      <c r="B113" s="32"/>
      <c r="C113" s="32"/>
      <c r="D113" s="32"/>
      <c r="E113" s="342"/>
      <c r="F113" s="342"/>
      <c r="G113" s="34"/>
      <c r="H113" s="35"/>
      <c r="I113" s="18"/>
      <c r="J113" s="340"/>
      <c r="K113" s="340"/>
      <c r="L113" s="341"/>
      <c r="N113" s="8"/>
    </row>
    <row r="114" spans="1:14" ht="15.75" customHeight="1">
      <c r="A114" s="7"/>
      <c r="B114" s="32"/>
      <c r="C114" s="32"/>
      <c r="D114" s="32"/>
      <c r="E114" s="342"/>
      <c r="F114" s="342"/>
      <c r="G114" s="34"/>
      <c r="H114" s="35"/>
      <c r="I114" s="18"/>
      <c r="J114" s="340"/>
      <c r="K114" s="340"/>
      <c r="L114" s="341"/>
      <c r="N114" s="8"/>
    </row>
    <row r="115" spans="1:14" ht="18.75" customHeight="1">
      <c r="A115" s="7"/>
      <c r="B115" s="32"/>
      <c r="C115" s="32"/>
      <c r="D115" s="32"/>
      <c r="E115" s="342"/>
      <c r="F115" s="342"/>
      <c r="G115" s="34"/>
      <c r="H115" s="35"/>
      <c r="I115" s="18"/>
      <c r="J115" s="340"/>
      <c r="K115" s="340"/>
      <c r="L115" s="341"/>
      <c r="N115" s="8"/>
    </row>
    <row r="116" spans="1:14" ht="15.75" customHeight="1">
      <c r="A116" s="7"/>
      <c r="B116" s="32"/>
      <c r="C116" s="32"/>
      <c r="D116" s="32"/>
      <c r="E116" s="342"/>
      <c r="F116" s="342"/>
      <c r="G116" s="34"/>
      <c r="H116" s="35"/>
      <c r="I116" s="18"/>
      <c r="J116" s="340"/>
      <c r="K116" s="340"/>
      <c r="L116" s="341"/>
      <c r="N116" s="8"/>
    </row>
    <row r="117" spans="1:14" ht="18.75" customHeight="1">
      <c r="A117" s="7"/>
      <c r="B117" s="32"/>
      <c r="C117" s="32"/>
      <c r="D117" s="32"/>
      <c r="E117" s="342"/>
      <c r="F117" s="342"/>
      <c r="G117" s="34"/>
      <c r="H117" s="35"/>
      <c r="I117" s="18"/>
      <c r="J117" s="340"/>
      <c r="K117" s="340"/>
      <c r="L117" s="341"/>
      <c r="N117" s="8"/>
    </row>
    <row r="118" spans="1:14" ht="15.75" customHeight="1">
      <c r="A118" s="7"/>
      <c r="B118" s="32"/>
      <c r="C118" s="32"/>
      <c r="D118" s="32"/>
      <c r="E118" s="342"/>
      <c r="F118" s="342"/>
      <c r="G118" s="34"/>
      <c r="H118" s="35"/>
      <c r="I118" s="18"/>
      <c r="J118" s="340"/>
      <c r="K118" s="340"/>
      <c r="L118" s="341"/>
      <c r="N118" s="8"/>
    </row>
    <row r="119" spans="1:14" ht="18.75" customHeight="1">
      <c r="A119" s="7"/>
      <c r="B119" s="32"/>
      <c r="C119" s="32"/>
      <c r="D119" s="32"/>
      <c r="E119" s="342"/>
      <c r="F119" s="342"/>
      <c r="G119" s="34"/>
      <c r="H119" s="35"/>
      <c r="I119" s="18"/>
      <c r="J119" s="340"/>
      <c r="K119" s="340"/>
      <c r="L119" s="341"/>
      <c r="N119" s="8"/>
    </row>
    <row r="120" spans="1:14" ht="15.75" customHeight="1">
      <c r="A120" s="7"/>
      <c r="B120" s="32"/>
      <c r="C120" s="32"/>
      <c r="D120" s="32"/>
      <c r="E120" s="342"/>
      <c r="F120" s="342"/>
      <c r="G120" s="34"/>
      <c r="H120" s="35"/>
      <c r="I120" s="18"/>
      <c r="J120" s="340"/>
      <c r="K120" s="340"/>
      <c r="L120" s="341"/>
      <c r="N120" s="8"/>
    </row>
    <row r="121" spans="1:14" ht="18.75" customHeight="1">
      <c r="A121" s="7"/>
      <c r="B121" s="32"/>
      <c r="C121" s="32"/>
      <c r="D121" s="32"/>
      <c r="E121" s="342"/>
      <c r="F121" s="342"/>
      <c r="G121" s="34"/>
      <c r="H121" s="35"/>
      <c r="I121" s="18"/>
      <c r="J121" s="340"/>
      <c r="K121" s="340"/>
      <c r="L121" s="341"/>
      <c r="N121" s="8"/>
    </row>
    <row r="122" spans="1:14" ht="15.75" customHeight="1">
      <c r="A122" s="7"/>
      <c r="B122" s="32"/>
      <c r="C122" s="32"/>
      <c r="D122" s="32"/>
      <c r="E122" s="342"/>
      <c r="F122" s="342"/>
      <c r="G122" s="34"/>
      <c r="H122" s="35"/>
      <c r="I122" s="18"/>
      <c r="J122" s="340"/>
      <c r="K122" s="340"/>
      <c r="L122" s="341"/>
      <c r="N122" s="8"/>
    </row>
    <row r="123" spans="1:14" ht="18.75" customHeight="1">
      <c r="A123" s="7"/>
      <c r="B123" s="32"/>
      <c r="C123" s="32"/>
      <c r="D123" s="32"/>
      <c r="E123" s="342"/>
      <c r="F123" s="342"/>
      <c r="G123" s="34"/>
      <c r="H123" s="35"/>
      <c r="I123" s="18"/>
      <c r="J123" s="340"/>
      <c r="K123" s="340"/>
      <c r="L123" s="341"/>
      <c r="N123" s="8"/>
    </row>
    <row r="124" spans="1:14" ht="15.75" customHeight="1">
      <c r="A124" s="7"/>
      <c r="B124" s="32"/>
      <c r="C124" s="32"/>
      <c r="D124" s="32"/>
      <c r="E124" s="342"/>
      <c r="F124" s="342"/>
      <c r="G124" s="34"/>
      <c r="H124" s="35"/>
      <c r="I124" s="18"/>
      <c r="J124" s="340"/>
      <c r="K124" s="340"/>
      <c r="L124" s="341"/>
      <c r="N124" s="8"/>
    </row>
    <row r="125" spans="1:14" ht="18.75" customHeight="1">
      <c r="A125" s="7"/>
      <c r="B125" s="32"/>
      <c r="C125" s="32"/>
      <c r="D125" s="32"/>
      <c r="E125" s="342"/>
      <c r="F125" s="342"/>
      <c r="G125" s="34"/>
      <c r="H125" s="35"/>
      <c r="I125" s="18"/>
      <c r="J125" s="340"/>
      <c r="K125" s="340"/>
      <c r="L125" s="341"/>
      <c r="N125" s="8"/>
    </row>
    <row r="126" spans="1:14" ht="13.5" hidden="1" customHeight="1">
      <c r="A126" s="7"/>
      <c r="B126" s="32"/>
      <c r="C126" s="32"/>
      <c r="D126" s="32"/>
      <c r="E126" s="342"/>
      <c r="F126" s="342"/>
      <c r="G126" s="34"/>
      <c r="H126" s="35"/>
      <c r="I126" s="18"/>
      <c r="J126" s="340"/>
      <c r="K126" s="340"/>
      <c r="L126" s="341"/>
      <c r="N126" s="8"/>
    </row>
    <row r="127" spans="1:14" ht="19.5" customHeight="1">
      <c r="A127" s="7"/>
      <c r="B127" s="32"/>
      <c r="C127" s="32"/>
      <c r="D127" s="32"/>
      <c r="E127" s="342"/>
      <c r="F127" s="342"/>
      <c r="G127" s="34"/>
      <c r="H127" s="35"/>
      <c r="I127" s="18"/>
      <c r="J127" s="340"/>
      <c r="K127" s="340"/>
      <c r="L127" s="341"/>
      <c r="N127" s="8"/>
    </row>
    <row r="128" spans="1:14" ht="20.100000000000001" customHeight="1">
      <c r="A128" s="7"/>
      <c r="B128" s="32"/>
      <c r="C128" s="32"/>
      <c r="D128" s="32"/>
      <c r="E128" s="342"/>
      <c r="F128" s="342"/>
      <c r="G128" s="34"/>
      <c r="H128" s="35"/>
      <c r="I128" s="18"/>
      <c r="J128" s="340"/>
      <c r="K128" s="340"/>
      <c r="L128" s="341"/>
      <c r="N128" s="8"/>
    </row>
    <row r="129" spans="1:14" ht="27" customHeight="1">
      <c r="A129" s="7"/>
      <c r="B129" s="32"/>
      <c r="C129" s="32"/>
      <c r="D129" s="32"/>
      <c r="E129" s="342"/>
      <c r="F129" s="342"/>
      <c r="G129" s="34"/>
      <c r="H129" s="35"/>
      <c r="I129" s="18"/>
      <c r="J129" s="340"/>
      <c r="K129" s="340"/>
      <c r="L129" s="341"/>
      <c r="N129" s="8"/>
    </row>
    <row r="130" spans="1:14" ht="20.100000000000001" customHeight="1">
      <c r="A130" s="7"/>
      <c r="B130" s="32"/>
      <c r="C130" s="32"/>
      <c r="D130" s="32"/>
      <c r="E130" s="342"/>
      <c r="F130" s="342"/>
      <c r="G130" s="34"/>
      <c r="H130" s="35"/>
      <c r="I130" s="18"/>
      <c r="J130" s="340"/>
      <c r="K130" s="340"/>
      <c r="L130" s="341"/>
      <c r="N130" s="8"/>
    </row>
    <row r="131" spans="1:14" ht="20.100000000000001" customHeight="1">
      <c r="A131" s="7"/>
      <c r="B131" s="32"/>
      <c r="C131" s="32"/>
      <c r="D131" s="32"/>
      <c r="E131" s="342"/>
      <c r="F131" s="342"/>
      <c r="G131" s="34"/>
      <c r="H131" s="35"/>
      <c r="I131" s="18"/>
      <c r="J131" s="340"/>
      <c r="K131" s="340"/>
      <c r="L131" s="341"/>
      <c r="N131" s="8"/>
    </row>
    <row r="132" spans="1:14" ht="20.100000000000001" customHeight="1">
      <c r="A132" s="7"/>
      <c r="B132" s="32"/>
      <c r="C132" s="32"/>
      <c r="D132" s="32"/>
      <c r="E132" s="342"/>
      <c r="F132" s="342"/>
      <c r="G132" s="34"/>
      <c r="H132" s="35"/>
      <c r="I132" s="18"/>
      <c r="J132" s="340"/>
      <c r="K132" s="340"/>
      <c r="L132" s="341"/>
      <c r="N132" s="8"/>
    </row>
    <row r="133" spans="1:14" ht="39.75" customHeight="1">
      <c r="A133" s="7"/>
      <c r="B133" s="32"/>
      <c r="C133" s="32"/>
      <c r="D133" s="32"/>
      <c r="E133" s="342"/>
      <c r="F133" s="342"/>
      <c r="G133" s="34"/>
      <c r="H133" s="35"/>
      <c r="I133" s="18"/>
      <c r="J133" s="340"/>
      <c r="K133" s="340"/>
      <c r="L133" s="341"/>
      <c r="N133" s="8"/>
    </row>
    <row r="134" spans="1:14" ht="28.5" customHeight="1">
      <c r="A134" s="7"/>
      <c r="B134" s="32"/>
      <c r="C134" s="32"/>
      <c r="D134" s="32"/>
      <c r="E134" s="342"/>
      <c r="F134" s="342"/>
      <c r="G134" s="34"/>
      <c r="H134" s="35"/>
      <c r="I134" s="18"/>
      <c r="J134" s="340"/>
      <c r="K134" s="340"/>
      <c r="L134" s="341"/>
      <c r="N134" s="8"/>
    </row>
    <row r="135" spans="1:14" ht="3" customHeight="1">
      <c r="A135" s="7"/>
      <c r="B135" s="32"/>
      <c r="C135" s="32"/>
      <c r="D135" s="32"/>
      <c r="E135" s="342"/>
      <c r="F135" s="342"/>
      <c r="G135" s="34"/>
      <c r="H135" s="35"/>
      <c r="I135" s="18"/>
      <c r="J135" s="340"/>
      <c r="K135" s="340"/>
      <c r="L135" s="341"/>
      <c r="N135" s="8"/>
    </row>
    <row r="136" spans="1:14" ht="19.5" customHeight="1">
      <c r="A136" s="7"/>
      <c r="B136" s="32"/>
      <c r="C136" s="32"/>
      <c r="D136" s="32"/>
      <c r="E136" s="342"/>
      <c r="F136" s="342"/>
      <c r="G136" s="34"/>
      <c r="H136" s="35"/>
      <c r="I136" s="18"/>
      <c r="J136" s="340"/>
      <c r="K136" s="340"/>
      <c r="L136" s="341"/>
      <c r="N136" s="8"/>
    </row>
    <row r="137" spans="1:14" ht="20.100000000000001" customHeight="1">
      <c r="A137" s="7"/>
      <c r="B137" s="32"/>
      <c r="C137" s="32"/>
      <c r="D137" s="32"/>
      <c r="E137" s="342"/>
      <c r="F137" s="342"/>
      <c r="G137" s="34"/>
      <c r="H137" s="35"/>
      <c r="I137" s="18"/>
      <c r="J137" s="340"/>
      <c r="K137" s="340"/>
      <c r="L137" s="341"/>
      <c r="N137" s="8"/>
    </row>
    <row r="138" spans="1:14" ht="20.100000000000001" customHeight="1">
      <c r="A138" s="7"/>
      <c r="B138" s="32"/>
      <c r="C138" s="32"/>
      <c r="D138" s="32"/>
      <c r="E138" s="342"/>
      <c r="F138" s="342"/>
      <c r="G138" s="34"/>
      <c r="H138" s="35"/>
      <c r="I138" s="18"/>
      <c r="J138" s="340"/>
      <c r="K138" s="340"/>
      <c r="L138" s="341"/>
      <c r="N138" s="8"/>
    </row>
    <row r="139" spans="1:14" ht="20.100000000000001" customHeight="1">
      <c r="A139" s="7"/>
      <c r="B139" s="32"/>
      <c r="C139" s="32"/>
      <c r="D139" s="32"/>
      <c r="E139" s="342"/>
      <c r="F139" s="342"/>
      <c r="G139" s="34"/>
      <c r="H139" s="35"/>
      <c r="I139" s="18"/>
      <c r="J139" s="340"/>
      <c r="K139" s="340"/>
      <c r="L139" s="341"/>
      <c r="N139" s="8"/>
    </row>
    <row r="140" spans="1:14" ht="20.100000000000001" customHeight="1">
      <c r="A140" s="7"/>
      <c r="B140" s="32"/>
      <c r="C140" s="32"/>
      <c r="D140" s="32"/>
      <c r="E140" s="342"/>
      <c r="F140" s="342"/>
      <c r="G140" s="34"/>
      <c r="H140" s="35"/>
      <c r="I140" s="18"/>
      <c r="J140" s="340"/>
      <c r="K140" s="340"/>
      <c r="L140" s="341"/>
      <c r="N140" s="8"/>
    </row>
    <row r="141" spans="1:14" ht="19.5" customHeight="1">
      <c r="A141" s="7"/>
      <c r="B141" s="32"/>
      <c r="C141" s="32"/>
      <c r="D141" s="32"/>
      <c r="E141" s="584"/>
      <c r="F141" s="584"/>
      <c r="G141" s="34"/>
      <c r="H141" s="35"/>
      <c r="I141" s="18"/>
      <c r="J141" s="340"/>
      <c r="K141" s="564"/>
      <c r="L141" s="565"/>
      <c r="N141" s="8"/>
    </row>
    <row r="142" spans="1:14" ht="1.5" hidden="1" customHeight="1">
      <c r="A142" s="7"/>
      <c r="B142" s="32"/>
      <c r="C142" s="32"/>
      <c r="D142" s="32"/>
      <c r="E142" s="342"/>
      <c r="F142" s="342"/>
      <c r="G142" s="34"/>
      <c r="H142" s="35"/>
      <c r="I142" s="18"/>
      <c r="J142" s="340"/>
      <c r="K142" s="340"/>
      <c r="L142" s="341"/>
      <c r="N142" s="8"/>
    </row>
    <row r="143" spans="1:14" ht="19.5" hidden="1" customHeight="1">
      <c r="A143" s="7"/>
      <c r="B143" s="32"/>
      <c r="C143" s="32"/>
      <c r="D143" s="32"/>
      <c r="E143" s="342"/>
      <c r="F143" s="342"/>
      <c r="G143" s="34"/>
      <c r="H143" s="35"/>
      <c r="I143" s="18"/>
      <c r="J143" s="340"/>
      <c r="K143" s="340"/>
      <c r="L143" s="341"/>
      <c r="N143" s="8"/>
    </row>
    <row r="144" spans="1:14" ht="22.5" customHeight="1">
      <c r="A144" s="7"/>
      <c r="B144" s="32"/>
      <c r="C144" s="32"/>
      <c r="D144" s="32"/>
      <c r="E144" s="342"/>
      <c r="F144" s="342"/>
      <c r="G144" s="34"/>
      <c r="H144" s="35"/>
      <c r="I144" s="18"/>
      <c r="J144" s="340"/>
      <c r="K144" s="340"/>
      <c r="L144" s="341"/>
      <c r="N144" s="9"/>
    </row>
    <row r="145" spans="1:14" ht="22.5" customHeight="1">
      <c r="A145" s="7"/>
      <c r="B145" s="32"/>
      <c r="C145" s="32"/>
      <c r="D145" s="32"/>
      <c r="E145" s="342"/>
      <c r="F145" s="342"/>
      <c r="G145" s="34"/>
      <c r="H145" s="35"/>
      <c r="I145" s="18"/>
      <c r="J145" s="340"/>
      <c r="K145" s="340"/>
      <c r="L145" s="341"/>
      <c r="N145" s="9"/>
    </row>
    <row r="146" spans="1:14" ht="22.5" customHeight="1">
      <c r="A146" s="7"/>
      <c r="B146" s="32"/>
      <c r="C146" s="32"/>
      <c r="D146" s="32"/>
      <c r="E146" s="342"/>
      <c r="F146" s="342"/>
      <c r="G146" s="34"/>
      <c r="H146" s="35"/>
      <c r="I146" s="18"/>
      <c r="J146" s="340"/>
      <c r="K146" s="340"/>
      <c r="L146" s="341"/>
      <c r="N146" s="9"/>
    </row>
    <row r="147" spans="1:14" ht="22.5" customHeight="1">
      <c r="A147" s="7"/>
      <c r="B147" s="32"/>
      <c r="C147" s="32"/>
      <c r="D147" s="32"/>
      <c r="E147" s="342"/>
      <c r="F147" s="342"/>
      <c r="G147" s="34"/>
      <c r="H147" s="35"/>
      <c r="I147" s="18"/>
      <c r="J147" s="340"/>
      <c r="K147" s="340"/>
      <c r="L147" s="341"/>
      <c r="N147" s="9"/>
    </row>
    <row r="148" spans="1:14" ht="27.75" customHeight="1">
      <c r="A148" s="7"/>
      <c r="B148" s="32"/>
      <c r="C148" s="32"/>
      <c r="D148" s="32"/>
      <c r="E148" s="342"/>
      <c r="F148" s="342"/>
      <c r="G148" s="34"/>
      <c r="H148" s="35"/>
      <c r="I148" s="18"/>
      <c r="J148" s="340"/>
      <c r="K148" s="340"/>
      <c r="L148" s="341"/>
    </row>
    <row r="149" spans="1:14" ht="22.5" customHeight="1">
      <c r="A149" s="7"/>
      <c r="B149" s="32"/>
      <c r="C149" s="32"/>
      <c r="D149" s="32"/>
      <c r="E149" s="342"/>
      <c r="F149" s="342"/>
      <c r="G149" s="34"/>
      <c r="H149" s="35"/>
      <c r="I149" s="18"/>
      <c r="J149" s="340"/>
      <c r="K149" s="340"/>
      <c r="L149" s="340"/>
    </row>
    <row r="150" spans="1:14" ht="22.5" customHeight="1">
      <c r="A150" s="7"/>
      <c r="B150" s="32"/>
      <c r="C150" s="32"/>
      <c r="D150" s="32"/>
      <c r="E150" s="342"/>
      <c r="F150" s="342"/>
      <c r="G150" s="34"/>
      <c r="H150" s="35"/>
      <c r="I150" s="18"/>
      <c r="J150" s="340"/>
      <c r="K150" s="340"/>
      <c r="L150" s="340"/>
    </row>
    <row r="151" spans="1:14" ht="19.5" customHeight="1">
      <c r="A151" s="7"/>
      <c r="B151" s="32"/>
      <c r="C151" s="32"/>
      <c r="D151" s="32"/>
      <c r="E151" s="342"/>
      <c r="F151" s="342"/>
      <c r="G151" s="34"/>
      <c r="H151" s="35"/>
      <c r="I151" s="20"/>
      <c r="J151" s="21"/>
      <c r="K151" s="21"/>
      <c r="L151" s="340"/>
    </row>
    <row r="152" spans="1:14" ht="38.25" customHeight="1">
      <c r="A152" s="7"/>
      <c r="B152" s="32"/>
      <c r="C152" s="32"/>
      <c r="D152" s="32"/>
      <c r="E152" s="342"/>
      <c r="F152" s="342"/>
      <c r="G152" s="34"/>
      <c r="H152" s="35"/>
      <c r="I152" s="21"/>
      <c r="J152" s="21"/>
      <c r="K152" s="21"/>
      <c r="L152" s="340"/>
    </row>
    <row r="153" spans="1:14" ht="18" customHeight="1">
      <c r="A153" s="7"/>
      <c r="B153" s="32"/>
      <c r="C153" s="32"/>
      <c r="D153" s="32"/>
      <c r="E153" s="342"/>
      <c r="F153" s="342"/>
      <c r="G153" s="34"/>
      <c r="H153" s="35"/>
      <c r="I153" s="21"/>
      <c r="J153" s="21"/>
      <c r="K153" s="21"/>
      <c r="L153" s="340"/>
    </row>
    <row r="154" spans="1:14" ht="22.5" customHeight="1">
      <c r="A154" s="7"/>
      <c r="B154" s="32"/>
      <c r="C154" s="32"/>
      <c r="D154" s="32"/>
      <c r="E154" s="342"/>
      <c r="F154" s="342"/>
      <c r="G154" s="34"/>
      <c r="H154" s="35"/>
      <c r="I154" s="18"/>
      <c r="J154" s="340"/>
      <c r="K154" s="340"/>
      <c r="L154" s="340"/>
    </row>
    <row r="155" spans="1:14" ht="22.5" customHeight="1">
      <c r="A155" s="7"/>
      <c r="B155" s="32"/>
      <c r="C155" s="32"/>
      <c r="D155" s="32"/>
      <c r="E155" s="342"/>
      <c r="F155" s="342"/>
      <c r="G155" s="34"/>
      <c r="H155" s="35"/>
      <c r="I155" s="19"/>
      <c r="J155" s="340"/>
      <c r="K155" s="340"/>
      <c r="L155" s="341"/>
    </row>
    <row r="156" spans="1:14" ht="22.5" customHeight="1">
      <c r="A156" s="7"/>
      <c r="B156" s="32"/>
      <c r="C156" s="32"/>
      <c r="D156" s="32"/>
      <c r="E156" s="584"/>
      <c r="F156" s="584"/>
      <c r="G156" s="34"/>
      <c r="H156" s="35"/>
      <c r="I156" s="18"/>
      <c r="J156" s="340"/>
      <c r="K156" s="564"/>
      <c r="L156" s="565"/>
    </row>
    <row r="157" spans="1:14" ht="22.5" customHeight="1">
      <c r="A157" s="7"/>
      <c r="B157" s="32"/>
      <c r="C157" s="32"/>
      <c r="D157" s="32"/>
      <c r="E157" s="584"/>
      <c r="F157" s="584"/>
      <c r="G157" s="34"/>
      <c r="H157" s="35"/>
      <c r="I157" s="18"/>
      <c r="J157" s="340"/>
      <c r="K157" s="564"/>
      <c r="L157" s="565"/>
    </row>
    <row r="158" spans="1:14" ht="34.5" customHeight="1">
      <c r="A158" s="7"/>
      <c r="B158" s="32"/>
      <c r="C158" s="32"/>
      <c r="D158" s="32"/>
      <c r="E158" s="584"/>
      <c r="F158" s="584"/>
      <c r="G158" s="34"/>
      <c r="H158" s="35"/>
      <c r="I158" s="18"/>
      <c r="J158" s="340"/>
      <c r="K158" s="564"/>
      <c r="L158" s="565"/>
    </row>
    <row r="159" spans="1:14" ht="18" customHeight="1">
      <c r="A159" s="7"/>
      <c r="B159" s="32"/>
      <c r="C159" s="32"/>
      <c r="D159" s="32"/>
      <c r="E159" s="342"/>
      <c r="F159" s="342"/>
      <c r="G159" s="34"/>
      <c r="H159" s="35"/>
      <c r="I159" s="21"/>
      <c r="J159" s="21"/>
      <c r="K159" s="21"/>
      <c r="L159" s="340"/>
    </row>
    <row r="160" spans="1:14" ht="22.5" customHeight="1">
      <c r="A160" s="7"/>
      <c r="B160" s="32"/>
      <c r="C160" s="32"/>
      <c r="D160" s="32"/>
      <c r="E160" s="342"/>
      <c r="F160" s="342"/>
      <c r="G160" s="34"/>
      <c r="H160" s="35"/>
      <c r="I160" s="18"/>
      <c r="J160" s="340"/>
      <c r="K160" s="340"/>
      <c r="L160" s="340"/>
    </row>
    <row r="161" spans="1:12" ht="22.5" customHeight="1">
      <c r="A161" s="7"/>
      <c r="B161" s="32"/>
      <c r="C161" s="32"/>
      <c r="D161" s="32"/>
      <c r="E161" s="342"/>
      <c r="F161" s="342"/>
      <c r="G161" s="34"/>
      <c r="H161" s="35"/>
      <c r="I161" s="19"/>
      <c r="J161" s="340"/>
      <c r="K161" s="340"/>
      <c r="L161" s="341"/>
    </row>
    <row r="162" spans="1:12" ht="19.5" hidden="1" customHeight="1">
      <c r="A162" s="7"/>
      <c r="B162" s="32"/>
      <c r="C162" s="32"/>
      <c r="D162" s="32"/>
      <c r="E162" s="584"/>
      <c r="F162" s="584"/>
      <c r="G162" s="34"/>
      <c r="H162" s="35"/>
      <c r="I162" s="18"/>
      <c r="J162" s="340"/>
      <c r="K162" s="564"/>
      <c r="L162" s="565"/>
    </row>
    <row r="163" spans="1:12" ht="35.25" customHeight="1">
      <c r="A163" s="585" t="s">
        <v>29</v>
      </c>
      <c r="B163" s="585"/>
      <c r="C163" s="343" t="s">
        <v>30</v>
      </c>
      <c r="D163" s="585" t="s">
        <v>27</v>
      </c>
      <c r="E163" s="585"/>
      <c r="F163" s="343" t="s">
        <v>23</v>
      </c>
      <c r="G163" s="585" t="s">
        <v>29</v>
      </c>
      <c r="H163" s="585"/>
      <c r="I163" s="343" t="s">
        <v>30</v>
      </c>
      <c r="J163" s="585" t="s">
        <v>27</v>
      </c>
      <c r="K163" s="585"/>
      <c r="L163" s="343" t="s">
        <v>23</v>
      </c>
    </row>
    <row r="164" spans="1:12" ht="35.25" customHeight="1">
      <c r="A164" s="586" t="s">
        <v>33</v>
      </c>
      <c r="B164" s="586"/>
      <c r="C164" s="591" t="s">
        <v>52</v>
      </c>
      <c r="D164" s="587" t="s">
        <v>58</v>
      </c>
      <c r="E164" s="586"/>
      <c r="F164" s="254">
        <v>8</v>
      </c>
      <c r="G164" s="592" t="s">
        <v>39</v>
      </c>
      <c r="H164" s="593"/>
      <c r="I164" s="596" t="s">
        <v>53</v>
      </c>
      <c r="J164" s="344" t="s">
        <v>38</v>
      </c>
      <c r="K164" s="40"/>
      <c r="L164" s="254"/>
    </row>
    <row r="165" spans="1:12" ht="35.25" customHeight="1">
      <c r="A165" s="586"/>
      <c r="B165" s="586"/>
      <c r="C165" s="591"/>
      <c r="D165" s="587" t="s">
        <v>59</v>
      </c>
      <c r="E165" s="586"/>
      <c r="F165" s="255"/>
      <c r="G165" s="594"/>
      <c r="H165" s="595"/>
      <c r="I165" s="597"/>
      <c r="J165" s="347" t="s">
        <v>72</v>
      </c>
      <c r="K165" s="40"/>
      <c r="L165" s="255">
        <v>1</v>
      </c>
    </row>
    <row r="166" spans="1:12" ht="35.25" customHeight="1">
      <c r="A166" s="586"/>
      <c r="B166" s="586"/>
      <c r="C166" s="346" t="s">
        <v>57</v>
      </c>
      <c r="D166" s="587" t="s">
        <v>60</v>
      </c>
      <c r="E166" s="586"/>
      <c r="F166" s="255"/>
      <c r="G166" s="598" t="s">
        <v>42</v>
      </c>
      <c r="H166" s="599"/>
      <c r="I166" s="43" t="s">
        <v>73</v>
      </c>
      <c r="J166" s="44"/>
      <c r="K166" s="40"/>
      <c r="L166" s="255"/>
    </row>
    <row r="167" spans="1:12" ht="35.25" customHeight="1">
      <c r="A167" s="586" t="s">
        <v>34</v>
      </c>
      <c r="B167" s="586"/>
      <c r="C167" s="45" t="s">
        <v>54</v>
      </c>
      <c r="D167" s="587" t="s">
        <v>61</v>
      </c>
      <c r="E167" s="586"/>
      <c r="F167" s="254"/>
      <c r="G167" s="588" t="s">
        <v>43</v>
      </c>
      <c r="H167" s="589"/>
      <c r="I167" s="46" t="s">
        <v>74</v>
      </c>
      <c r="J167" s="44"/>
      <c r="K167" s="40"/>
      <c r="L167" s="254"/>
    </row>
    <row r="168" spans="1:12" ht="35.25" customHeight="1">
      <c r="A168" s="586"/>
      <c r="B168" s="586"/>
      <c r="C168" s="45" t="s">
        <v>55</v>
      </c>
      <c r="D168" s="590" t="s">
        <v>62</v>
      </c>
      <c r="E168" s="591"/>
      <c r="F168" s="255"/>
      <c r="G168" s="588" t="s">
        <v>44</v>
      </c>
      <c r="H168" s="589"/>
      <c r="I168" s="46" t="s">
        <v>75</v>
      </c>
      <c r="J168" s="47"/>
      <c r="K168" s="48"/>
      <c r="L168" s="255"/>
    </row>
    <row r="169" spans="1:12" ht="35.25" customHeight="1">
      <c r="A169" s="586" t="s">
        <v>35</v>
      </c>
      <c r="B169" s="586"/>
      <c r="C169" s="591" t="s">
        <v>36</v>
      </c>
      <c r="D169" s="587" t="s">
        <v>63</v>
      </c>
      <c r="E169" s="586"/>
      <c r="F169" s="256">
        <v>5</v>
      </c>
      <c r="G169" s="600" t="s">
        <v>41</v>
      </c>
      <c r="H169" s="601"/>
      <c r="I169" s="46" t="s">
        <v>76</v>
      </c>
      <c r="J169" s="44"/>
      <c r="K169" s="40"/>
      <c r="L169" s="256"/>
    </row>
    <row r="170" spans="1:12" ht="35.25" customHeight="1">
      <c r="A170" s="586"/>
      <c r="B170" s="586"/>
      <c r="C170" s="591"/>
      <c r="D170" s="590" t="s">
        <v>64</v>
      </c>
      <c r="E170" s="591"/>
      <c r="F170" s="28"/>
      <c r="G170" s="600" t="s">
        <v>45</v>
      </c>
      <c r="H170" s="601"/>
      <c r="I170" s="49" t="s">
        <v>40</v>
      </c>
      <c r="J170" s="47"/>
      <c r="K170" s="48"/>
      <c r="L170" s="28"/>
    </row>
    <row r="171" spans="1:12" ht="35.25" customHeight="1">
      <c r="A171" s="586"/>
      <c r="B171" s="586"/>
      <c r="C171" s="591"/>
      <c r="D171" s="587" t="s">
        <v>65</v>
      </c>
      <c r="E171" s="586"/>
      <c r="F171" s="28"/>
      <c r="G171" s="600" t="s">
        <v>46</v>
      </c>
      <c r="H171" s="601"/>
      <c r="I171" s="49" t="s">
        <v>50</v>
      </c>
      <c r="J171" s="44"/>
      <c r="K171" s="40"/>
      <c r="L171" s="28"/>
    </row>
    <row r="172" spans="1:12" ht="35.25" customHeight="1">
      <c r="A172" s="586"/>
      <c r="B172" s="586"/>
      <c r="C172" s="591"/>
      <c r="D172" s="587" t="s">
        <v>66</v>
      </c>
      <c r="E172" s="586"/>
      <c r="F172" s="28"/>
      <c r="G172" s="588" t="s">
        <v>47</v>
      </c>
      <c r="H172" s="589"/>
      <c r="I172" s="46" t="s">
        <v>99</v>
      </c>
      <c r="J172" s="44"/>
      <c r="K172" s="40"/>
      <c r="L172" s="28"/>
    </row>
    <row r="173" spans="1:12" ht="45" customHeight="1">
      <c r="A173" s="587" t="s">
        <v>37</v>
      </c>
      <c r="B173" s="587"/>
      <c r="C173" s="591" t="s">
        <v>56</v>
      </c>
      <c r="D173" s="587" t="s">
        <v>67</v>
      </c>
      <c r="E173" s="586"/>
      <c r="F173" s="28"/>
      <c r="G173" s="588" t="s">
        <v>47</v>
      </c>
      <c r="H173" s="589"/>
      <c r="I173" s="46" t="s">
        <v>100</v>
      </c>
      <c r="J173" s="44"/>
      <c r="K173" s="40"/>
      <c r="L173" s="28"/>
    </row>
    <row r="174" spans="1:12" ht="35.25" customHeight="1">
      <c r="A174" s="587"/>
      <c r="B174" s="587"/>
      <c r="C174" s="591"/>
      <c r="D174" s="587" t="s">
        <v>68</v>
      </c>
      <c r="E174" s="586"/>
      <c r="F174" s="28">
        <v>3</v>
      </c>
      <c r="G174" s="588" t="s">
        <v>47</v>
      </c>
      <c r="H174" s="589"/>
      <c r="I174" s="345" t="s">
        <v>101</v>
      </c>
      <c r="J174" s="44"/>
      <c r="K174" s="40"/>
      <c r="L174" s="28"/>
    </row>
    <row r="175" spans="1:12" ht="54.75" customHeight="1">
      <c r="A175" s="587"/>
      <c r="B175" s="587"/>
      <c r="C175" s="591"/>
      <c r="D175" s="587" t="s">
        <v>69</v>
      </c>
      <c r="E175" s="586"/>
      <c r="F175" s="28"/>
      <c r="G175" s="588" t="s">
        <v>48</v>
      </c>
      <c r="H175" s="589"/>
      <c r="I175" s="46" t="s">
        <v>77</v>
      </c>
      <c r="J175" s="44"/>
      <c r="K175" s="40"/>
      <c r="L175" s="28"/>
    </row>
    <row r="176" spans="1:12" ht="35.25" customHeight="1">
      <c r="A176" s="587"/>
      <c r="B176" s="587"/>
      <c r="C176" s="591"/>
      <c r="D176" s="587" t="s">
        <v>70</v>
      </c>
      <c r="E176" s="586"/>
      <c r="F176" s="28"/>
      <c r="G176" s="606" t="s">
        <v>49</v>
      </c>
      <c r="H176" s="607"/>
      <c r="I176" s="345" t="s">
        <v>78</v>
      </c>
      <c r="J176" s="44"/>
      <c r="K176" s="40"/>
      <c r="L176" s="28">
        <v>1</v>
      </c>
    </row>
    <row r="177" spans="1:12" ht="35.25" customHeight="1">
      <c r="A177" s="587"/>
      <c r="B177" s="587"/>
      <c r="C177" s="591"/>
      <c r="D177" s="587" t="s">
        <v>71</v>
      </c>
      <c r="E177" s="586"/>
      <c r="F177" s="28">
        <v>1</v>
      </c>
      <c r="G177" s="604"/>
      <c r="H177" s="605"/>
      <c r="I177" s="48"/>
      <c r="J177" s="44"/>
      <c r="K177" s="40"/>
      <c r="L177" s="28"/>
    </row>
    <row r="178" spans="1:12" ht="30" customHeight="1">
      <c r="G178" s="10" t="s">
        <v>51</v>
      </c>
      <c r="H178" s="10"/>
      <c r="I178" s="10"/>
      <c r="J178" s="603">
        <f>SUM(F164:F177)+SUM(L164:L177)</f>
        <v>19</v>
      </c>
      <c r="K178" s="603"/>
    </row>
    <row r="179" spans="1:12" ht="30" customHeight="1">
      <c r="A179" s="602" t="s">
        <v>79</v>
      </c>
      <c r="B179" s="602"/>
      <c r="C179" s="602" t="s">
        <v>91</v>
      </c>
      <c r="D179" s="602"/>
      <c r="E179" s="602"/>
      <c r="F179" s="348" t="s">
        <v>81</v>
      </c>
      <c r="G179" s="602" t="s">
        <v>92</v>
      </c>
      <c r="H179" s="602"/>
      <c r="I179" s="602" t="s">
        <v>84</v>
      </c>
      <c r="J179" s="602"/>
      <c r="K179" s="602"/>
      <c r="L179" s="348"/>
    </row>
    <row r="180" spans="1:12" ht="74.25" customHeight="1">
      <c r="A180" s="348"/>
      <c r="B180" s="348"/>
      <c r="C180" s="348"/>
      <c r="D180" s="348"/>
      <c r="E180" s="348"/>
      <c r="F180" s="348"/>
      <c r="G180" s="348"/>
      <c r="H180" s="348"/>
      <c r="I180" s="348"/>
      <c r="J180" s="348"/>
      <c r="K180" s="348"/>
      <c r="L180" s="348"/>
    </row>
    <row r="181" spans="1:12" ht="30" customHeight="1">
      <c r="A181" s="602" t="s">
        <v>93</v>
      </c>
      <c r="B181" s="602"/>
      <c r="C181" s="602" t="s">
        <v>94</v>
      </c>
      <c r="D181" s="602"/>
      <c r="E181" s="602"/>
      <c r="F181" s="348" t="s">
        <v>95</v>
      </c>
      <c r="G181" s="602" t="s">
        <v>96</v>
      </c>
      <c r="H181" s="602"/>
      <c r="I181" s="602" t="s">
        <v>97</v>
      </c>
      <c r="J181" s="602"/>
      <c r="K181" s="602"/>
      <c r="L181" s="348"/>
    </row>
    <row r="182" spans="1:12" ht="30" customHeight="1"/>
    <row r="183" spans="1:12" ht="30" customHeight="1"/>
    <row r="184" spans="1:12" ht="30" customHeight="1"/>
    <row r="185" spans="1:12" ht="30" customHeight="1"/>
    <row r="186" spans="1:12" ht="30" customHeight="1"/>
    <row r="187" spans="1:12" ht="30" customHeight="1"/>
    <row r="188" spans="1:12" ht="30" customHeight="1"/>
    <row r="189" spans="1:12" ht="30" customHeight="1"/>
    <row r="190" spans="1:12" ht="30" customHeight="1"/>
    <row r="191" spans="1:12" ht="30" customHeight="1"/>
    <row r="192" spans="1:1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sheetData>
  <mergeCells count="68">
    <mergeCell ref="K141:L141"/>
    <mergeCell ref="B2:H2"/>
    <mergeCell ref="I2:L2"/>
    <mergeCell ref="C3:D3"/>
    <mergeCell ref="G3:I3"/>
    <mergeCell ref="C4:D4"/>
    <mergeCell ref="G4:I4"/>
    <mergeCell ref="C5:D5"/>
    <mergeCell ref="G5:I5"/>
    <mergeCell ref="C6:D6"/>
    <mergeCell ref="G6:I6"/>
    <mergeCell ref="E141:F141"/>
    <mergeCell ref="E156:F156"/>
    <mergeCell ref="K156:L156"/>
    <mergeCell ref="E157:F157"/>
    <mergeCell ref="K157:L157"/>
    <mergeCell ref="E158:F158"/>
    <mergeCell ref="K158:L158"/>
    <mergeCell ref="E162:F162"/>
    <mergeCell ref="K162:L162"/>
    <mergeCell ref="A163:B163"/>
    <mergeCell ref="D163:E163"/>
    <mergeCell ref="G163:H163"/>
    <mergeCell ref="J163:K163"/>
    <mergeCell ref="A164:B166"/>
    <mergeCell ref="C164:C165"/>
    <mergeCell ref="D164:E164"/>
    <mergeCell ref="G164:H165"/>
    <mergeCell ref="I164:I165"/>
    <mergeCell ref="D165:E165"/>
    <mergeCell ref="D166:E166"/>
    <mergeCell ref="G166:H166"/>
    <mergeCell ref="A169:B172"/>
    <mergeCell ref="C169:C172"/>
    <mergeCell ref="D169:E169"/>
    <mergeCell ref="G169:H169"/>
    <mergeCell ref="D170:E170"/>
    <mergeCell ref="G170:H170"/>
    <mergeCell ref="D171:E171"/>
    <mergeCell ref="G171:H171"/>
    <mergeCell ref="D172:E172"/>
    <mergeCell ref="G172:H172"/>
    <mergeCell ref="A167:B168"/>
    <mergeCell ref="D167:E167"/>
    <mergeCell ref="G167:H167"/>
    <mergeCell ref="D168:E168"/>
    <mergeCell ref="G168:H168"/>
    <mergeCell ref="A181:B181"/>
    <mergeCell ref="C181:E181"/>
    <mergeCell ref="G181:H181"/>
    <mergeCell ref="I181:K181"/>
    <mergeCell ref="G174:H174"/>
    <mergeCell ref="D175:E175"/>
    <mergeCell ref="G175:H175"/>
    <mergeCell ref="D176:E176"/>
    <mergeCell ref="G176:H176"/>
    <mergeCell ref="D177:E177"/>
    <mergeCell ref="G177:H177"/>
    <mergeCell ref="A173:B177"/>
    <mergeCell ref="C173:C177"/>
    <mergeCell ref="D173:E173"/>
    <mergeCell ref="G173:H173"/>
    <mergeCell ref="D174:E174"/>
    <mergeCell ref="J178:K178"/>
    <mergeCell ref="A179:B179"/>
    <mergeCell ref="C179:E179"/>
    <mergeCell ref="G179:H179"/>
    <mergeCell ref="I179:K179"/>
  </mergeCells>
  <conditionalFormatting sqref="H7 H152 H162 H11 H126:H150 H13">
    <cfRule type="cellIs" dxfId="143" priority="91" stopIfTrue="1" operator="greaterThan">
      <formula>$I$5</formula>
    </cfRule>
  </conditionalFormatting>
  <conditionalFormatting sqref="H161">
    <cfRule type="cellIs" dxfId="142" priority="90" stopIfTrue="1" operator="greaterThan">
      <formula>$I$5</formula>
    </cfRule>
  </conditionalFormatting>
  <conditionalFormatting sqref="H159:H160">
    <cfRule type="cellIs" dxfId="141" priority="89" stopIfTrue="1" operator="greaterThan">
      <formula>$I$5</formula>
    </cfRule>
  </conditionalFormatting>
  <conditionalFormatting sqref="H151">
    <cfRule type="cellIs" dxfId="140" priority="88" stopIfTrue="1" operator="greaterThan">
      <formula>$I$5</formula>
    </cfRule>
  </conditionalFormatting>
  <conditionalFormatting sqref="H124:H125">
    <cfRule type="cellIs" dxfId="139" priority="87" stopIfTrue="1" operator="greaterThan">
      <formula>$I$5</formula>
    </cfRule>
  </conditionalFormatting>
  <conditionalFormatting sqref="H9">
    <cfRule type="cellIs" dxfId="138" priority="86" stopIfTrue="1" operator="greaterThan">
      <formula>$I$5</formula>
    </cfRule>
  </conditionalFormatting>
  <conditionalFormatting sqref="H8">
    <cfRule type="cellIs" dxfId="137" priority="85" stopIfTrue="1" operator="greaterThan">
      <formula>$I$5</formula>
    </cfRule>
  </conditionalFormatting>
  <conditionalFormatting sqref="H122:H123">
    <cfRule type="cellIs" dxfId="136" priority="84" stopIfTrue="1" operator="greaterThan">
      <formula>$I$5</formula>
    </cfRule>
  </conditionalFormatting>
  <conditionalFormatting sqref="H120:H121">
    <cfRule type="cellIs" dxfId="135" priority="83" stopIfTrue="1" operator="greaterThan">
      <formula>$I$5</formula>
    </cfRule>
  </conditionalFormatting>
  <conditionalFormatting sqref="H111:H112">
    <cfRule type="cellIs" dxfId="134" priority="78" stopIfTrue="1" operator="greaterThan">
      <formula>$I$5</formula>
    </cfRule>
  </conditionalFormatting>
  <conditionalFormatting sqref="H109:H110">
    <cfRule type="cellIs" dxfId="133" priority="77" stopIfTrue="1" operator="greaterThan">
      <formula>$I$5</formula>
    </cfRule>
  </conditionalFormatting>
  <conditionalFormatting sqref="H118:H119">
    <cfRule type="cellIs" dxfId="132" priority="82" stopIfTrue="1" operator="greaterThan">
      <formula>$I$5</formula>
    </cfRule>
  </conditionalFormatting>
  <conditionalFormatting sqref="H116:H117">
    <cfRule type="cellIs" dxfId="131" priority="81" stopIfTrue="1" operator="greaterThan">
      <formula>$I$5</formula>
    </cfRule>
  </conditionalFormatting>
  <conditionalFormatting sqref="H114:H115">
    <cfRule type="cellIs" dxfId="130" priority="80" stopIfTrue="1" operator="greaterThan">
      <formula>$I$5</formula>
    </cfRule>
  </conditionalFormatting>
  <conditionalFormatting sqref="H113">
    <cfRule type="cellIs" dxfId="129" priority="79" stopIfTrue="1" operator="greaterThan">
      <formula>$I$5</formula>
    </cfRule>
  </conditionalFormatting>
  <conditionalFormatting sqref="H99 H108">
    <cfRule type="cellIs" dxfId="128" priority="76" stopIfTrue="1" operator="greaterThan">
      <formula>$I$5</formula>
    </cfRule>
  </conditionalFormatting>
  <conditionalFormatting sqref="H106:H107">
    <cfRule type="cellIs" dxfId="127" priority="75" stopIfTrue="1" operator="greaterThan">
      <formula>$I$5</formula>
    </cfRule>
  </conditionalFormatting>
  <conditionalFormatting sqref="H105">
    <cfRule type="cellIs" dxfId="126" priority="74" stopIfTrue="1" operator="greaterThan">
      <formula>$I$5</formula>
    </cfRule>
  </conditionalFormatting>
  <conditionalFormatting sqref="H103:H104">
    <cfRule type="cellIs" dxfId="125" priority="73" stopIfTrue="1" operator="greaterThan">
      <formula>$I$5</formula>
    </cfRule>
  </conditionalFormatting>
  <conditionalFormatting sqref="H101:H102">
    <cfRule type="cellIs" dxfId="124" priority="72" stopIfTrue="1" operator="greaterThan">
      <formula>$I$5</formula>
    </cfRule>
  </conditionalFormatting>
  <conditionalFormatting sqref="H100">
    <cfRule type="cellIs" dxfId="123" priority="71" stopIfTrue="1" operator="greaterThan">
      <formula>$I$5</formula>
    </cfRule>
  </conditionalFormatting>
  <conditionalFormatting sqref="H90:H91">
    <cfRule type="cellIs" dxfId="122" priority="70" stopIfTrue="1" operator="greaterThan">
      <formula>$I$5</formula>
    </cfRule>
  </conditionalFormatting>
  <conditionalFormatting sqref="H88:H89">
    <cfRule type="cellIs" dxfId="121" priority="69" stopIfTrue="1" operator="greaterThan">
      <formula>$I$5</formula>
    </cfRule>
  </conditionalFormatting>
  <conditionalFormatting sqref="H87">
    <cfRule type="cellIs" dxfId="120" priority="68" stopIfTrue="1" operator="greaterThan">
      <formula>$I$5</formula>
    </cfRule>
  </conditionalFormatting>
  <conditionalFormatting sqref="H83">
    <cfRule type="cellIs" dxfId="119" priority="67" stopIfTrue="1" operator="greaterThan">
      <formula>$I$5</formula>
    </cfRule>
  </conditionalFormatting>
  <conditionalFormatting sqref="H85:H86">
    <cfRule type="cellIs" dxfId="118" priority="66" stopIfTrue="1" operator="greaterThan">
      <formula>$I$5</formula>
    </cfRule>
  </conditionalFormatting>
  <conditionalFormatting sqref="H84">
    <cfRule type="cellIs" dxfId="117" priority="65" stopIfTrue="1" operator="greaterThan">
      <formula>$I$5</formula>
    </cfRule>
  </conditionalFormatting>
  <conditionalFormatting sqref="H81:H82">
    <cfRule type="cellIs" dxfId="116" priority="64" stopIfTrue="1" operator="greaterThan">
      <formula>$I$5</formula>
    </cfRule>
  </conditionalFormatting>
  <conditionalFormatting sqref="H79:H80">
    <cfRule type="cellIs" dxfId="115" priority="63" stopIfTrue="1" operator="greaterThan">
      <formula>$I$5</formula>
    </cfRule>
  </conditionalFormatting>
  <conditionalFormatting sqref="H78">
    <cfRule type="cellIs" dxfId="114" priority="62" stopIfTrue="1" operator="greaterThan">
      <formula>$I$5</formula>
    </cfRule>
  </conditionalFormatting>
  <conditionalFormatting sqref="H77">
    <cfRule type="cellIs" dxfId="113" priority="61" stopIfTrue="1" operator="greaterThan">
      <formula>$I$5</formula>
    </cfRule>
  </conditionalFormatting>
  <conditionalFormatting sqref="H75:H76">
    <cfRule type="cellIs" dxfId="112" priority="60" stopIfTrue="1" operator="greaterThan">
      <formula>$I$5</formula>
    </cfRule>
  </conditionalFormatting>
  <conditionalFormatting sqref="H74">
    <cfRule type="cellIs" dxfId="111" priority="59" stopIfTrue="1" operator="greaterThan">
      <formula>$I$5</formula>
    </cfRule>
  </conditionalFormatting>
  <conditionalFormatting sqref="H70">
    <cfRule type="cellIs" dxfId="110" priority="58" stopIfTrue="1" operator="greaterThan">
      <formula>$I$5</formula>
    </cfRule>
  </conditionalFormatting>
  <conditionalFormatting sqref="H72:H73">
    <cfRule type="cellIs" dxfId="109" priority="57" stopIfTrue="1" operator="greaterThan">
      <formula>$I$5</formula>
    </cfRule>
  </conditionalFormatting>
  <conditionalFormatting sqref="H71">
    <cfRule type="cellIs" dxfId="108" priority="56" stopIfTrue="1" operator="greaterThan">
      <formula>$I$5</formula>
    </cfRule>
  </conditionalFormatting>
  <conditionalFormatting sqref="H68:H69">
    <cfRule type="cellIs" dxfId="107" priority="55" stopIfTrue="1" operator="greaterThan">
      <formula>$I$5</formula>
    </cfRule>
  </conditionalFormatting>
  <conditionalFormatting sqref="H66:H67">
    <cfRule type="cellIs" dxfId="106" priority="54" stopIfTrue="1" operator="greaterThan">
      <formula>$I$5</formula>
    </cfRule>
  </conditionalFormatting>
  <conditionalFormatting sqref="H54">
    <cfRule type="cellIs" dxfId="105" priority="53" stopIfTrue="1" operator="greaterThan">
      <formula>$I$5</formula>
    </cfRule>
  </conditionalFormatting>
  <conditionalFormatting sqref="H64:H65">
    <cfRule type="cellIs" dxfId="104" priority="52" stopIfTrue="1" operator="greaterThan">
      <formula>$I$5</formula>
    </cfRule>
  </conditionalFormatting>
  <conditionalFormatting sqref="H63">
    <cfRule type="cellIs" dxfId="103" priority="51" stopIfTrue="1" operator="greaterThan">
      <formula>$I$5</formula>
    </cfRule>
  </conditionalFormatting>
  <conditionalFormatting sqref="H59">
    <cfRule type="cellIs" dxfId="102" priority="50" stopIfTrue="1" operator="greaterThan">
      <formula>$I$5</formula>
    </cfRule>
  </conditionalFormatting>
  <conditionalFormatting sqref="H61:H62">
    <cfRule type="cellIs" dxfId="101" priority="49" stopIfTrue="1" operator="greaterThan">
      <formula>$I$5</formula>
    </cfRule>
  </conditionalFormatting>
  <conditionalFormatting sqref="H60">
    <cfRule type="cellIs" dxfId="100" priority="48" stopIfTrue="1" operator="greaterThan">
      <formula>$I$5</formula>
    </cfRule>
  </conditionalFormatting>
  <conditionalFormatting sqref="H57:H58">
    <cfRule type="cellIs" dxfId="99" priority="47" stopIfTrue="1" operator="greaterThan">
      <formula>$I$5</formula>
    </cfRule>
  </conditionalFormatting>
  <conditionalFormatting sqref="H55:H56">
    <cfRule type="cellIs" dxfId="98" priority="46" stopIfTrue="1" operator="greaterThan">
      <formula>$I$5</formula>
    </cfRule>
  </conditionalFormatting>
  <conditionalFormatting sqref="H47">
    <cfRule type="cellIs" dxfId="97" priority="45" stopIfTrue="1" operator="greaterThan">
      <formula>$I$5</formula>
    </cfRule>
  </conditionalFormatting>
  <conditionalFormatting sqref="H52">
    <cfRule type="cellIs" dxfId="96" priority="44" stopIfTrue="1" operator="greaterThan">
      <formula>$I$5</formula>
    </cfRule>
  </conditionalFormatting>
  <conditionalFormatting sqref="H53">
    <cfRule type="cellIs" dxfId="95" priority="43" stopIfTrue="1" operator="greaterThan">
      <formula>$I$5</formula>
    </cfRule>
  </conditionalFormatting>
  <conditionalFormatting sqref="H50:H51">
    <cfRule type="cellIs" dxfId="94" priority="42" stopIfTrue="1" operator="greaterThan">
      <formula>$I$5</formula>
    </cfRule>
  </conditionalFormatting>
  <conditionalFormatting sqref="H48:H49">
    <cfRule type="cellIs" dxfId="93" priority="41" stopIfTrue="1" operator="greaterThan">
      <formula>$I$5</formula>
    </cfRule>
  </conditionalFormatting>
  <conditionalFormatting sqref="H42">
    <cfRule type="cellIs" dxfId="92" priority="40" stopIfTrue="1" operator="greaterThan">
      <formula>$I$5</formula>
    </cfRule>
  </conditionalFormatting>
  <conditionalFormatting sqref="H45:H46">
    <cfRule type="cellIs" dxfId="91" priority="39" stopIfTrue="1" operator="greaterThan">
      <formula>$I$5</formula>
    </cfRule>
  </conditionalFormatting>
  <conditionalFormatting sqref="H43:H44">
    <cfRule type="cellIs" dxfId="90" priority="38" stopIfTrue="1" operator="greaterThan">
      <formula>$I$5</formula>
    </cfRule>
  </conditionalFormatting>
  <conditionalFormatting sqref="H39">
    <cfRule type="cellIs" dxfId="89" priority="37" stopIfTrue="1" operator="greaterThan">
      <formula>$I$5</formula>
    </cfRule>
  </conditionalFormatting>
  <conditionalFormatting sqref="H40:H41">
    <cfRule type="cellIs" dxfId="88" priority="36" stopIfTrue="1" operator="greaterThan">
      <formula>$I$5</formula>
    </cfRule>
  </conditionalFormatting>
  <conditionalFormatting sqref="H37:H38">
    <cfRule type="cellIs" dxfId="87" priority="35" stopIfTrue="1" operator="greaterThan">
      <formula>$I$5</formula>
    </cfRule>
  </conditionalFormatting>
  <conditionalFormatting sqref="H35:H36">
    <cfRule type="cellIs" dxfId="86" priority="34" stopIfTrue="1" operator="greaterThan">
      <formula>$I$5</formula>
    </cfRule>
  </conditionalFormatting>
  <conditionalFormatting sqref="H34">
    <cfRule type="cellIs" dxfId="85" priority="33" stopIfTrue="1" operator="greaterThan">
      <formula>$I$5</formula>
    </cfRule>
  </conditionalFormatting>
  <conditionalFormatting sqref="H32:H33">
    <cfRule type="cellIs" dxfId="84" priority="32" stopIfTrue="1" operator="greaterThan">
      <formula>$I$5</formula>
    </cfRule>
  </conditionalFormatting>
  <conditionalFormatting sqref="H24:H25">
    <cfRule type="cellIs" dxfId="83" priority="31" stopIfTrue="1" operator="greaterThan">
      <formula>$I$5</formula>
    </cfRule>
  </conditionalFormatting>
  <conditionalFormatting sqref="H31">
    <cfRule type="cellIs" dxfId="82" priority="30" stopIfTrue="1" operator="greaterThan">
      <formula>$I$5</formula>
    </cfRule>
  </conditionalFormatting>
  <conditionalFormatting sqref="H29:H30">
    <cfRule type="cellIs" dxfId="81" priority="29" stopIfTrue="1" operator="greaterThan">
      <formula>$I$5</formula>
    </cfRule>
  </conditionalFormatting>
  <conditionalFormatting sqref="H28">
    <cfRule type="cellIs" dxfId="80" priority="28" stopIfTrue="1" operator="greaterThan">
      <formula>$I$5</formula>
    </cfRule>
  </conditionalFormatting>
  <conditionalFormatting sqref="H26:H27">
    <cfRule type="cellIs" dxfId="79" priority="27" stopIfTrue="1" operator="greaterThan">
      <formula>$I$5</formula>
    </cfRule>
  </conditionalFormatting>
  <conditionalFormatting sqref="H22:H23">
    <cfRule type="cellIs" dxfId="78" priority="26" stopIfTrue="1" operator="greaterThan">
      <formula>$I$5</formula>
    </cfRule>
  </conditionalFormatting>
  <conditionalFormatting sqref="H21">
    <cfRule type="cellIs" dxfId="77" priority="25" stopIfTrue="1" operator="greaterThan">
      <formula>$I$5</formula>
    </cfRule>
  </conditionalFormatting>
  <conditionalFormatting sqref="H19:H20">
    <cfRule type="cellIs" dxfId="76" priority="23" stopIfTrue="1" operator="greaterThan">
      <formula>$I$5</formula>
    </cfRule>
  </conditionalFormatting>
  <conditionalFormatting sqref="H17:H18">
    <cfRule type="cellIs" dxfId="75" priority="22" stopIfTrue="1" operator="greaterThan">
      <formula>$I$5</formula>
    </cfRule>
  </conditionalFormatting>
  <conditionalFormatting sqref="H16">
    <cfRule type="cellIs" dxfId="74" priority="21" stopIfTrue="1" operator="greaterThan">
      <formula>$I$5</formula>
    </cfRule>
  </conditionalFormatting>
  <conditionalFormatting sqref="H15">
    <cfRule type="cellIs" dxfId="73" priority="20" stopIfTrue="1" operator="greaterThan">
      <formula>$I$5</formula>
    </cfRule>
  </conditionalFormatting>
  <conditionalFormatting sqref="H14">
    <cfRule type="cellIs" dxfId="72" priority="19" stopIfTrue="1" operator="greaterThan">
      <formula>$I$5</formula>
    </cfRule>
  </conditionalFormatting>
  <conditionalFormatting sqref="H12">
    <cfRule type="cellIs" dxfId="71" priority="10" stopIfTrue="1" operator="greaterThan">
      <formula>$I$5</formula>
    </cfRule>
  </conditionalFormatting>
  <conditionalFormatting sqref="H10">
    <cfRule type="cellIs" dxfId="70" priority="9" stopIfTrue="1" operator="greaterThan">
      <formula>$I$5</formula>
    </cfRule>
  </conditionalFormatting>
  <conditionalFormatting sqref="H92">
    <cfRule type="cellIs" dxfId="69" priority="8" stopIfTrue="1" operator="greaterThan">
      <formula>$I$5</formula>
    </cfRule>
  </conditionalFormatting>
  <conditionalFormatting sqref="H98">
    <cfRule type="cellIs" dxfId="68" priority="7" stopIfTrue="1" operator="greaterThan">
      <formula>$I$5</formula>
    </cfRule>
  </conditionalFormatting>
  <conditionalFormatting sqref="H96:H97">
    <cfRule type="cellIs" dxfId="67" priority="6" stopIfTrue="1" operator="greaterThan">
      <formula>$I$5</formula>
    </cfRule>
  </conditionalFormatting>
  <conditionalFormatting sqref="H94:H95">
    <cfRule type="cellIs" dxfId="66" priority="5" stopIfTrue="1" operator="greaterThan">
      <formula>$I$5</formula>
    </cfRule>
  </conditionalFormatting>
  <conditionalFormatting sqref="H93">
    <cfRule type="cellIs" dxfId="65" priority="4" stopIfTrue="1" operator="greaterThan">
      <formula>$I$5</formula>
    </cfRule>
  </conditionalFormatting>
  <conditionalFormatting sqref="H156:H158">
    <cfRule type="cellIs" dxfId="64" priority="3" stopIfTrue="1" operator="greaterThan">
      <formula>$I$5</formula>
    </cfRule>
  </conditionalFormatting>
  <conditionalFormatting sqref="H155">
    <cfRule type="cellIs" dxfId="63" priority="2" stopIfTrue="1" operator="greaterThan">
      <formula>$I$5</formula>
    </cfRule>
  </conditionalFormatting>
  <conditionalFormatting sqref="H153:H154">
    <cfRule type="cellIs" dxfId="62" priority="1" stopIfTrue="1" operator="greaterThan">
      <formula>$I$5</formula>
    </cfRule>
  </conditionalFormatting>
  <printOptions horizontalCentered="1"/>
  <pageMargins left="0.24" right="0.25" top="0.17" bottom="0.35" header="0.17" footer="0.17"/>
  <pageSetup paperSize="9" scale="44" orientation="portrait" r:id="rId1"/>
  <rowBreaks count="3" manualBreakCount="3">
    <brk id="74" max="11" man="1"/>
    <brk id="161" max="11" man="1"/>
    <brk id="182" max="11"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N191"/>
  <sheetViews>
    <sheetView view="pageBreakPreview" topLeftCell="A2" zoomScale="70" zoomScaleNormal="80" zoomScaleSheetLayoutView="70" workbookViewId="0">
      <selection activeCell="V9" sqref="V9"/>
    </sheetView>
  </sheetViews>
  <sheetFormatPr defaultColWidth="9.109375" defaultRowHeight="13.2"/>
  <cols>
    <col min="1" max="1" width="6.6640625" style="55" customWidth="1"/>
    <col min="2" max="2" width="13" style="55" customWidth="1"/>
    <col min="3" max="3" width="10.33203125" style="55" customWidth="1"/>
    <col min="4" max="4" width="6.44140625" style="55" customWidth="1"/>
    <col min="5" max="5" width="20.44140625" style="55" customWidth="1"/>
    <col min="6" max="6" width="29.33203125" style="55" customWidth="1"/>
    <col min="7" max="7" width="14.44140625" style="55" customWidth="1"/>
    <col min="8" max="8" width="22.5546875" style="55" customWidth="1"/>
    <col min="9" max="9" width="13.88671875" style="55" customWidth="1"/>
    <col min="10" max="10" width="13" style="55" customWidth="1"/>
    <col min="11" max="11" width="9.44140625" style="55" customWidth="1"/>
    <col min="12" max="12" width="10.44140625" style="55" customWidth="1"/>
    <col min="13" max="16384" width="9.109375" style="55"/>
  </cols>
  <sheetData>
    <row r="1" spans="1:14" ht="7.5" customHeight="1" thickBot="1"/>
    <row r="2" spans="1:14" ht="42.75" customHeight="1" thickBot="1">
      <c r="B2" s="566"/>
      <c r="C2" s="567"/>
      <c r="D2" s="567"/>
      <c r="E2" s="567"/>
      <c r="F2" s="567"/>
      <c r="G2" s="567"/>
      <c r="H2" s="568"/>
      <c r="I2" s="567" t="s">
        <v>26</v>
      </c>
      <c r="J2" s="567"/>
      <c r="K2" s="567"/>
      <c r="L2" s="568"/>
    </row>
    <row r="3" spans="1:14" ht="32.25" customHeight="1">
      <c r="B3" s="349" t="s">
        <v>0</v>
      </c>
      <c r="C3" s="661" t="s">
        <v>406</v>
      </c>
      <c r="D3" s="661"/>
      <c r="E3" s="350" t="s">
        <v>98</v>
      </c>
      <c r="F3" s="351"/>
      <c r="G3" s="662" t="s">
        <v>2</v>
      </c>
      <c r="H3" s="663"/>
      <c r="I3" s="664"/>
      <c r="J3" s="352"/>
      <c r="K3" s="353" t="s">
        <v>3</v>
      </c>
      <c r="L3" s="354"/>
    </row>
    <row r="4" spans="1:14" ht="32.25" customHeight="1">
      <c r="B4" s="355" t="s">
        <v>4</v>
      </c>
      <c r="C4" s="665">
        <v>221433</v>
      </c>
      <c r="D4" s="665"/>
      <c r="E4" s="356"/>
      <c r="F4" s="357"/>
      <c r="G4" s="666" t="s">
        <v>6</v>
      </c>
      <c r="H4" s="667"/>
      <c r="I4" s="668"/>
      <c r="J4" s="358"/>
      <c r="K4" s="359" t="s">
        <v>7</v>
      </c>
      <c r="L4" s="360"/>
    </row>
    <row r="5" spans="1:14" ht="32.25" customHeight="1">
      <c r="B5" s="355" t="s">
        <v>8</v>
      </c>
      <c r="C5" s="669">
        <v>13</v>
      </c>
      <c r="D5" s="665"/>
      <c r="E5" s="361" t="s">
        <v>9</v>
      </c>
      <c r="F5" s="362" t="s">
        <v>280</v>
      </c>
      <c r="G5" s="670" t="s">
        <v>10</v>
      </c>
      <c r="H5" s="671"/>
      <c r="I5" s="671"/>
      <c r="J5" s="359"/>
      <c r="K5" s="359" t="s">
        <v>11</v>
      </c>
      <c r="L5" s="363"/>
    </row>
    <row r="6" spans="1:14" ht="32.25" customHeight="1" thickBot="1">
      <c r="B6" s="364" t="s">
        <v>12</v>
      </c>
      <c r="C6" s="672"/>
      <c r="D6" s="673"/>
      <c r="E6" s="361" t="s">
        <v>13</v>
      </c>
      <c r="F6" s="365">
        <v>14</v>
      </c>
      <c r="G6" s="670" t="s">
        <v>14</v>
      </c>
      <c r="H6" s="671"/>
      <c r="I6" s="674"/>
      <c r="J6" s="359"/>
      <c r="K6" s="359"/>
      <c r="L6" s="363"/>
    </row>
    <row r="7" spans="1:14" ht="18.75" customHeight="1">
      <c r="A7" s="7"/>
      <c r="B7" s="27"/>
      <c r="C7" s="32"/>
      <c r="D7" s="32"/>
      <c r="E7" s="342"/>
      <c r="F7" s="342"/>
      <c r="G7" s="34"/>
      <c r="H7" s="35"/>
      <c r="I7" s="23"/>
      <c r="J7" s="23"/>
      <c r="K7" s="23"/>
      <c r="L7" s="24"/>
    </row>
    <row r="8" spans="1:14" ht="99.75" customHeight="1">
      <c r="A8" s="7"/>
      <c r="B8" s="32"/>
      <c r="C8" s="32"/>
      <c r="D8" s="32"/>
      <c r="E8" s="342"/>
      <c r="F8" s="342"/>
      <c r="G8" s="34"/>
      <c r="H8" s="35"/>
      <c r="I8" s="18"/>
      <c r="J8" s="340"/>
      <c r="K8" s="340"/>
      <c r="L8" s="341"/>
      <c r="N8" s="8"/>
    </row>
    <row r="9" spans="1:14" ht="19.5" customHeight="1">
      <c r="A9" s="7"/>
      <c r="B9" s="32"/>
      <c r="C9" s="32"/>
      <c r="D9" s="32"/>
      <c r="E9" s="342"/>
      <c r="F9" s="342"/>
      <c r="G9" s="34"/>
      <c r="H9" s="35"/>
      <c r="I9" s="18"/>
      <c r="J9" s="340"/>
      <c r="K9" s="340"/>
      <c r="L9" s="341"/>
      <c r="N9" s="8"/>
    </row>
    <row r="10" spans="1:14" ht="18.75" customHeight="1">
      <c r="A10" s="7"/>
      <c r="B10" s="32"/>
      <c r="C10" s="32"/>
      <c r="D10" s="32"/>
      <c r="E10" s="342"/>
      <c r="F10" s="342"/>
      <c r="G10" s="34"/>
      <c r="H10" s="35"/>
      <c r="I10" s="18"/>
      <c r="J10" s="340"/>
      <c r="K10" s="340"/>
      <c r="L10" s="341"/>
      <c r="N10" s="8"/>
    </row>
    <row r="11" spans="1:14" ht="18.75" customHeight="1">
      <c r="A11" s="7"/>
      <c r="B11" s="32"/>
      <c r="C11" s="32"/>
      <c r="D11" s="32"/>
      <c r="E11" s="342"/>
      <c r="F11" s="342"/>
      <c r="G11" s="34"/>
      <c r="H11" s="35"/>
      <c r="I11" s="18"/>
      <c r="J11" s="340"/>
      <c r="K11" s="340"/>
      <c r="L11" s="341"/>
      <c r="N11" s="8"/>
    </row>
    <row r="12" spans="1:14" ht="18.75" customHeight="1">
      <c r="A12" s="7"/>
      <c r="B12" s="32"/>
      <c r="C12" s="32"/>
      <c r="D12" s="32"/>
      <c r="E12" s="342"/>
      <c r="F12" s="342"/>
      <c r="G12" s="34"/>
      <c r="H12" s="35"/>
      <c r="I12" s="18"/>
      <c r="J12" s="340"/>
      <c r="K12" s="340"/>
      <c r="L12" s="341"/>
      <c r="N12" s="8"/>
    </row>
    <row r="13" spans="1:14" ht="15.75" customHeight="1">
      <c r="A13" s="7"/>
      <c r="B13" s="32"/>
      <c r="C13" s="32"/>
      <c r="D13" s="32"/>
      <c r="E13" s="342"/>
      <c r="F13" s="342"/>
      <c r="G13" s="34"/>
      <c r="H13" s="35"/>
      <c r="I13" s="18"/>
      <c r="J13" s="340"/>
      <c r="K13" s="340"/>
      <c r="L13" s="341"/>
      <c r="N13" s="8"/>
    </row>
    <row r="14" spans="1:14" ht="18.75" customHeight="1">
      <c r="A14" s="7"/>
      <c r="B14" s="32"/>
      <c r="C14" s="32"/>
      <c r="D14" s="32"/>
      <c r="E14" s="342"/>
      <c r="F14" s="342"/>
      <c r="G14" s="34"/>
      <c r="H14" s="35"/>
      <c r="I14" s="18"/>
      <c r="J14" s="340"/>
      <c r="K14" s="340"/>
      <c r="L14" s="341"/>
      <c r="N14" s="8"/>
    </row>
    <row r="15" spans="1:14" ht="18.75" customHeight="1">
      <c r="A15" s="7"/>
      <c r="B15" s="32"/>
      <c r="C15" s="32"/>
      <c r="D15" s="32"/>
      <c r="E15" s="342"/>
      <c r="F15" s="342"/>
      <c r="G15" s="34"/>
      <c r="H15" s="35"/>
      <c r="I15" s="18"/>
      <c r="J15" s="340"/>
      <c r="K15" s="340"/>
      <c r="L15" s="341"/>
      <c r="N15" s="8"/>
    </row>
    <row r="16" spans="1:14" ht="15.75" customHeight="1">
      <c r="A16" s="7"/>
      <c r="B16" s="32"/>
      <c r="C16" s="32"/>
      <c r="D16" s="32"/>
      <c r="E16" s="342"/>
      <c r="F16" s="342"/>
      <c r="G16" s="34"/>
      <c r="H16" s="35"/>
      <c r="I16" s="18"/>
      <c r="J16" s="340"/>
      <c r="K16" s="340"/>
      <c r="L16" s="341"/>
      <c r="N16" s="8"/>
    </row>
    <row r="17" spans="1:14" ht="18.75" customHeight="1">
      <c r="A17" s="7"/>
      <c r="B17" s="32"/>
      <c r="C17" s="32"/>
      <c r="D17" s="32"/>
      <c r="E17" s="342"/>
      <c r="F17" s="342"/>
      <c r="G17" s="34"/>
      <c r="H17" s="35"/>
      <c r="I17" s="18"/>
      <c r="J17" s="340"/>
      <c r="K17" s="340"/>
      <c r="L17" s="341"/>
      <c r="N17" s="8"/>
    </row>
    <row r="18" spans="1:14" ht="18.75" customHeight="1">
      <c r="A18" s="7"/>
      <c r="B18" s="32"/>
      <c r="C18" s="32"/>
      <c r="D18" s="32"/>
      <c r="E18" s="342"/>
      <c r="F18" s="342"/>
      <c r="G18" s="34"/>
      <c r="H18" s="35"/>
      <c r="I18" s="18"/>
      <c r="J18" s="340"/>
      <c r="K18" s="340"/>
      <c r="L18" s="341"/>
      <c r="N18" s="8"/>
    </row>
    <row r="19" spans="1:14" ht="15.75" customHeight="1">
      <c r="A19" s="7"/>
      <c r="B19" s="32"/>
      <c r="C19" s="32"/>
      <c r="D19" s="32"/>
      <c r="E19" s="342"/>
      <c r="F19" s="342"/>
      <c r="G19" s="34"/>
      <c r="H19" s="35"/>
      <c r="I19" s="18"/>
      <c r="J19" s="340"/>
      <c r="K19" s="340"/>
      <c r="L19" s="341"/>
      <c r="N19" s="8"/>
    </row>
    <row r="20" spans="1:14" ht="18.75" customHeight="1">
      <c r="A20" s="7"/>
      <c r="B20" s="32"/>
      <c r="C20" s="32"/>
      <c r="D20" s="32"/>
      <c r="E20" s="342"/>
      <c r="F20" s="342"/>
      <c r="G20" s="34"/>
      <c r="H20" s="35"/>
      <c r="I20" s="18"/>
      <c r="J20" s="340"/>
      <c r="K20" s="340"/>
      <c r="L20" s="341"/>
      <c r="N20" s="8"/>
    </row>
    <row r="21" spans="1:14" ht="15.75" customHeight="1">
      <c r="A21" s="7"/>
      <c r="B21" s="32"/>
      <c r="C21" s="32"/>
      <c r="D21" s="32"/>
      <c r="E21" s="342"/>
      <c r="F21" s="342"/>
      <c r="G21" s="34"/>
      <c r="H21" s="35"/>
      <c r="I21" s="18"/>
      <c r="J21" s="340"/>
      <c r="K21" s="340"/>
      <c r="L21" s="341"/>
      <c r="N21" s="8"/>
    </row>
    <row r="22" spans="1:14" ht="18.75" customHeight="1">
      <c r="A22" s="7"/>
      <c r="B22" s="32"/>
      <c r="C22" s="32"/>
      <c r="D22" s="32"/>
      <c r="E22" s="342"/>
      <c r="F22" s="342"/>
      <c r="G22" s="34"/>
      <c r="H22" s="35"/>
      <c r="I22" s="18"/>
      <c r="J22" s="340"/>
      <c r="K22" s="340"/>
      <c r="L22" s="341"/>
      <c r="N22" s="8"/>
    </row>
    <row r="23" spans="1:14" ht="18.75" customHeight="1">
      <c r="A23" s="7"/>
      <c r="B23" s="32"/>
      <c r="C23" s="32"/>
      <c r="D23" s="32"/>
      <c r="E23" s="342"/>
      <c r="F23" s="342"/>
      <c r="G23" s="34"/>
      <c r="H23" s="35"/>
      <c r="I23" s="18"/>
      <c r="J23" s="340"/>
      <c r="K23" s="340"/>
      <c r="L23" s="341"/>
      <c r="N23" s="8"/>
    </row>
    <row r="24" spans="1:14" ht="15.75" customHeight="1">
      <c r="A24" s="7"/>
      <c r="B24" s="32"/>
      <c r="C24" s="32"/>
      <c r="D24" s="32"/>
      <c r="E24" s="342"/>
      <c r="F24" s="342"/>
      <c r="G24" s="34"/>
      <c r="H24" s="35"/>
      <c r="I24" s="18"/>
      <c r="J24" s="340"/>
      <c r="K24" s="340"/>
      <c r="L24" s="341"/>
      <c r="N24" s="8"/>
    </row>
    <row r="25" spans="1:14" ht="18.75" customHeight="1">
      <c r="A25" s="7"/>
      <c r="B25" s="32"/>
      <c r="C25" s="32"/>
      <c r="D25" s="32"/>
      <c r="E25" s="342"/>
      <c r="F25" s="342"/>
      <c r="G25" s="34"/>
      <c r="H25" s="35"/>
      <c r="I25" s="18"/>
      <c r="J25" s="340"/>
      <c r="K25" s="340"/>
      <c r="L25" s="341"/>
      <c r="N25" s="8"/>
    </row>
    <row r="26" spans="1:14" ht="15.75" customHeight="1">
      <c r="A26" s="7"/>
      <c r="B26" s="32"/>
      <c r="C26" s="32"/>
      <c r="D26" s="32"/>
      <c r="E26" s="342"/>
      <c r="F26" s="342"/>
      <c r="G26" s="34"/>
      <c r="H26" s="35"/>
      <c r="I26" s="18"/>
      <c r="J26" s="340"/>
      <c r="K26" s="340"/>
      <c r="L26" s="341"/>
      <c r="N26" s="8"/>
    </row>
    <row r="27" spans="1:14" ht="18.75" customHeight="1">
      <c r="A27" s="7"/>
      <c r="B27" s="32"/>
      <c r="C27" s="32"/>
      <c r="D27" s="32"/>
      <c r="E27" s="342"/>
      <c r="F27" s="342"/>
      <c r="G27" s="34"/>
      <c r="H27" s="35"/>
      <c r="I27" s="18"/>
      <c r="J27" s="340"/>
      <c r="K27" s="340"/>
      <c r="L27" s="341"/>
      <c r="N27" s="8"/>
    </row>
    <row r="28" spans="1:14" ht="15.75" customHeight="1">
      <c r="A28" s="7"/>
      <c r="B28" s="32"/>
      <c r="C28" s="32"/>
      <c r="D28" s="32"/>
      <c r="E28" s="342"/>
      <c r="F28" s="342"/>
      <c r="G28" s="34"/>
      <c r="H28" s="35"/>
      <c r="I28" s="18"/>
      <c r="J28" s="340"/>
      <c r="K28" s="340"/>
      <c r="L28" s="341"/>
      <c r="N28" s="8"/>
    </row>
    <row r="29" spans="1:14" ht="18.75" customHeight="1">
      <c r="A29" s="7"/>
      <c r="B29" s="32"/>
      <c r="C29" s="32"/>
      <c r="D29" s="32"/>
      <c r="E29" s="342"/>
      <c r="F29" s="342"/>
      <c r="G29" s="34"/>
      <c r="H29" s="35"/>
      <c r="I29" s="18"/>
      <c r="J29" s="340"/>
      <c r="K29" s="340"/>
      <c r="L29" s="341"/>
      <c r="N29" s="8"/>
    </row>
    <row r="30" spans="1:14" ht="18.75" customHeight="1">
      <c r="A30" s="7"/>
      <c r="B30" s="32"/>
      <c r="C30" s="32"/>
      <c r="D30" s="32"/>
      <c r="E30" s="342"/>
      <c r="F30" s="342"/>
      <c r="G30" s="34"/>
      <c r="H30" s="35"/>
      <c r="I30" s="18"/>
      <c r="J30" s="340"/>
      <c r="K30" s="340"/>
      <c r="L30" s="341"/>
      <c r="N30" s="8"/>
    </row>
    <row r="31" spans="1:14" ht="15.75" customHeight="1">
      <c r="A31" s="7"/>
      <c r="B31" s="32"/>
      <c r="C31" s="32"/>
      <c r="D31" s="32"/>
      <c r="E31" s="342"/>
      <c r="F31" s="342"/>
      <c r="G31" s="34"/>
      <c r="H31" s="35"/>
      <c r="I31" s="18"/>
      <c r="J31" s="340"/>
      <c r="K31" s="340"/>
      <c r="L31" s="341"/>
      <c r="N31" s="8"/>
    </row>
    <row r="32" spans="1:14" ht="18.75" customHeight="1">
      <c r="A32" s="7"/>
      <c r="B32" s="32"/>
      <c r="C32" s="32"/>
      <c r="D32" s="32"/>
      <c r="E32" s="342"/>
      <c r="F32" s="342"/>
      <c r="G32" s="34"/>
      <c r="H32" s="35"/>
      <c r="I32" s="18"/>
      <c r="J32" s="340"/>
      <c r="K32" s="340"/>
      <c r="L32" s="341"/>
      <c r="N32" s="8"/>
    </row>
    <row r="33" spans="1:14" ht="15.75" customHeight="1">
      <c r="A33" s="7"/>
      <c r="B33" s="32"/>
      <c r="C33" s="32"/>
      <c r="D33" s="32"/>
      <c r="E33" s="342"/>
      <c r="F33" s="342"/>
      <c r="G33" s="34"/>
      <c r="H33" s="35"/>
      <c r="I33" s="18"/>
      <c r="J33" s="340"/>
      <c r="K33" s="340"/>
      <c r="L33" s="341"/>
      <c r="N33" s="8"/>
    </row>
    <row r="34" spans="1:14" ht="18.75" customHeight="1">
      <c r="A34" s="7"/>
      <c r="B34" s="32"/>
      <c r="C34" s="32"/>
      <c r="D34" s="32"/>
      <c r="E34" s="342"/>
      <c r="F34" s="342"/>
      <c r="G34" s="34"/>
      <c r="H34" s="35"/>
      <c r="I34" s="18"/>
      <c r="J34" s="340"/>
      <c r="K34" s="340"/>
      <c r="L34" s="341"/>
      <c r="N34" s="8"/>
    </row>
    <row r="35" spans="1:14" ht="15.75" customHeight="1">
      <c r="A35" s="7"/>
      <c r="B35" s="32"/>
      <c r="C35" s="32"/>
      <c r="D35" s="32"/>
      <c r="E35" s="342"/>
      <c r="F35" s="342"/>
      <c r="G35" s="34"/>
      <c r="H35" s="35"/>
      <c r="I35" s="18"/>
      <c r="J35" s="340"/>
      <c r="K35" s="340"/>
      <c r="L35" s="341"/>
      <c r="N35" s="8"/>
    </row>
    <row r="36" spans="1:14" ht="18.75" customHeight="1">
      <c r="A36" s="7"/>
      <c r="B36" s="32"/>
      <c r="C36" s="32"/>
      <c r="D36" s="32"/>
      <c r="E36" s="342"/>
      <c r="F36" s="342"/>
      <c r="G36" s="34"/>
      <c r="H36" s="35"/>
      <c r="I36" s="18"/>
      <c r="J36" s="340"/>
      <c r="K36" s="340"/>
      <c r="L36" s="341"/>
      <c r="N36" s="8"/>
    </row>
    <row r="37" spans="1:14" ht="15.75" customHeight="1">
      <c r="A37" s="7"/>
      <c r="B37" s="32"/>
      <c r="C37" s="32"/>
      <c r="D37" s="32"/>
      <c r="E37" s="342"/>
      <c r="F37" s="342"/>
      <c r="G37" s="34"/>
      <c r="H37" s="35"/>
      <c r="I37" s="18"/>
      <c r="J37" s="340"/>
      <c r="K37" s="340"/>
      <c r="L37" s="341"/>
      <c r="N37" s="8"/>
    </row>
    <row r="38" spans="1:14" ht="18.75" customHeight="1">
      <c r="A38" s="7"/>
      <c r="B38" s="32"/>
      <c r="C38" s="32"/>
      <c r="D38" s="32"/>
      <c r="E38" s="342"/>
      <c r="F38" s="342"/>
      <c r="G38" s="34"/>
      <c r="H38" s="35"/>
      <c r="I38" s="18"/>
      <c r="J38" s="340"/>
      <c r="K38" s="340"/>
      <c r="L38" s="341"/>
      <c r="N38" s="8"/>
    </row>
    <row r="39" spans="1:14" ht="18.75" customHeight="1">
      <c r="A39" s="7"/>
      <c r="B39" s="32"/>
      <c r="C39" s="32"/>
      <c r="D39" s="32"/>
      <c r="E39" s="342"/>
      <c r="F39" s="342"/>
      <c r="G39" s="34"/>
      <c r="H39" s="35"/>
      <c r="I39" s="18"/>
      <c r="J39" s="340"/>
      <c r="K39" s="340"/>
      <c r="L39" s="341"/>
      <c r="N39" s="8"/>
    </row>
    <row r="40" spans="1:14" ht="15.75" customHeight="1">
      <c r="A40" s="7"/>
      <c r="B40" s="32"/>
      <c r="C40" s="32"/>
      <c r="D40" s="32"/>
      <c r="E40" s="342"/>
      <c r="F40" s="342"/>
      <c r="G40" s="34"/>
      <c r="H40" s="35"/>
      <c r="I40" s="18"/>
      <c r="J40" s="340"/>
      <c r="K40" s="340"/>
      <c r="L40" s="341"/>
      <c r="N40" s="8"/>
    </row>
    <row r="41" spans="1:14" ht="18.75" customHeight="1">
      <c r="A41" s="7"/>
      <c r="B41" s="32"/>
      <c r="C41" s="32"/>
      <c r="D41" s="32"/>
      <c r="E41" s="342"/>
      <c r="F41" s="342"/>
      <c r="G41" s="34"/>
      <c r="H41" s="35"/>
      <c r="I41" s="18"/>
      <c r="J41" s="340"/>
      <c r="K41" s="340"/>
      <c r="L41" s="341"/>
      <c r="N41" s="8"/>
    </row>
    <row r="42" spans="1:14" ht="15.75" customHeight="1">
      <c r="A42" s="7"/>
      <c r="B42" s="32"/>
      <c r="C42" s="32"/>
      <c r="D42" s="32"/>
      <c r="E42" s="342"/>
      <c r="F42" s="342"/>
      <c r="G42" s="34"/>
      <c r="H42" s="35"/>
      <c r="I42" s="18"/>
      <c r="J42" s="340"/>
      <c r="K42" s="340"/>
      <c r="L42" s="341"/>
      <c r="N42" s="8"/>
    </row>
    <row r="43" spans="1:14" ht="18.75" customHeight="1">
      <c r="A43" s="7"/>
      <c r="B43" s="32"/>
      <c r="C43" s="32"/>
      <c r="D43" s="32"/>
      <c r="E43" s="342"/>
      <c r="F43" s="342"/>
      <c r="G43" s="34"/>
      <c r="H43" s="35"/>
      <c r="I43" s="18"/>
      <c r="J43" s="340"/>
      <c r="K43" s="340"/>
      <c r="L43" s="341"/>
      <c r="N43" s="8"/>
    </row>
    <row r="44" spans="1:14" ht="15.75" customHeight="1">
      <c r="A44" s="7"/>
      <c r="B44" s="32"/>
      <c r="C44" s="32"/>
      <c r="D44" s="32"/>
      <c r="E44" s="342"/>
      <c r="F44" s="342"/>
      <c r="G44" s="34"/>
      <c r="H44" s="35"/>
      <c r="I44" s="18"/>
      <c r="J44" s="340"/>
      <c r="K44" s="340"/>
      <c r="L44" s="341"/>
      <c r="N44" s="8"/>
    </row>
    <row r="45" spans="1:14" ht="18.75" customHeight="1">
      <c r="A45" s="7"/>
      <c r="B45" s="32"/>
      <c r="C45" s="32"/>
      <c r="D45" s="32"/>
      <c r="E45" s="342"/>
      <c r="F45" s="342"/>
      <c r="G45" s="34"/>
      <c r="H45" s="35"/>
      <c r="I45" s="18"/>
      <c r="J45" s="340"/>
      <c r="K45" s="340"/>
      <c r="L45" s="341"/>
      <c r="N45" s="8"/>
    </row>
    <row r="46" spans="1:14" ht="15.75" customHeight="1">
      <c r="A46" s="7"/>
      <c r="B46" s="32"/>
      <c r="C46" s="32"/>
      <c r="D46" s="32"/>
      <c r="E46" s="342"/>
      <c r="F46" s="342"/>
      <c r="G46" s="34"/>
      <c r="H46" s="35"/>
      <c r="I46" s="18"/>
      <c r="J46" s="340"/>
      <c r="K46" s="340"/>
      <c r="L46" s="341"/>
      <c r="N46" s="8"/>
    </row>
    <row r="47" spans="1:14" ht="18.75" customHeight="1">
      <c r="A47" s="7"/>
      <c r="B47" s="32"/>
      <c r="C47" s="32"/>
      <c r="D47" s="32"/>
      <c r="E47" s="342"/>
      <c r="F47" s="342"/>
      <c r="G47" s="34"/>
      <c r="H47" s="35"/>
      <c r="I47" s="18"/>
      <c r="J47" s="340"/>
      <c r="K47" s="340"/>
      <c r="L47" s="341"/>
      <c r="N47" s="8"/>
    </row>
    <row r="48" spans="1:14" ht="15.75" customHeight="1">
      <c r="A48" s="7"/>
      <c r="B48" s="32"/>
      <c r="C48" s="32"/>
      <c r="D48" s="32"/>
      <c r="E48" s="342"/>
      <c r="F48" s="342"/>
      <c r="G48" s="34"/>
      <c r="H48" s="35"/>
      <c r="I48" s="18"/>
      <c r="J48" s="340"/>
      <c r="K48" s="340"/>
      <c r="L48" s="341"/>
      <c r="N48" s="8"/>
    </row>
    <row r="49" spans="1:14" ht="18.75" customHeight="1">
      <c r="A49" s="7"/>
      <c r="B49" s="32"/>
      <c r="C49" s="32"/>
      <c r="D49" s="32"/>
      <c r="E49" s="342"/>
      <c r="F49" s="342"/>
      <c r="G49" s="34"/>
      <c r="H49" s="35"/>
      <c r="I49" s="18"/>
      <c r="J49" s="340"/>
      <c r="K49" s="340"/>
      <c r="L49" s="341"/>
      <c r="N49" s="8"/>
    </row>
    <row r="50" spans="1:14" ht="18.75" customHeight="1">
      <c r="A50" s="7"/>
      <c r="B50" s="32"/>
      <c r="C50" s="32"/>
      <c r="D50" s="32"/>
      <c r="E50" s="342"/>
      <c r="F50" s="342"/>
      <c r="G50" s="34"/>
      <c r="H50" s="35"/>
      <c r="I50" s="18"/>
      <c r="J50" s="340"/>
      <c r="K50" s="340"/>
      <c r="L50" s="341"/>
      <c r="N50" s="8"/>
    </row>
    <row r="51" spans="1:14" ht="15.75" customHeight="1">
      <c r="A51" s="7"/>
      <c r="B51" s="32"/>
      <c r="C51" s="32"/>
      <c r="D51" s="32"/>
      <c r="E51" s="342"/>
      <c r="F51" s="342"/>
      <c r="G51" s="34"/>
      <c r="H51" s="35"/>
      <c r="I51" s="18"/>
      <c r="J51" s="340"/>
      <c r="K51" s="340"/>
      <c r="L51" s="341"/>
      <c r="N51" s="8"/>
    </row>
    <row r="52" spans="1:14" ht="18.75" customHeight="1">
      <c r="A52" s="7"/>
      <c r="B52" s="32"/>
      <c r="C52" s="32"/>
      <c r="D52" s="32"/>
      <c r="E52" s="342"/>
      <c r="F52" s="342"/>
      <c r="G52" s="34"/>
      <c r="H52" s="35"/>
      <c r="I52" s="18"/>
      <c r="J52" s="340"/>
      <c r="K52" s="340"/>
      <c r="L52" s="341"/>
      <c r="N52" s="8"/>
    </row>
    <row r="53" spans="1:14" ht="15.75" customHeight="1">
      <c r="A53" s="7"/>
      <c r="B53" s="32"/>
      <c r="C53" s="32"/>
      <c r="D53" s="32"/>
      <c r="E53" s="342"/>
      <c r="F53" s="342"/>
      <c r="G53" s="34"/>
      <c r="H53" s="35"/>
      <c r="I53" s="18"/>
      <c r="J53" s="340"/>
      <c r="K53" s="340"/>
      <c r="L53" s="341"/>
      <c r="N53" s="8"/>
    </row>
    <row r="54" spans="1:14" ht="18.75" customHeight="1">
      <c r="A54" s="7"/>
      <c r="B54" s="32"/>
      <c r="C54" s="32"/>
      <c r="D54" s="32"/>
      <c r="E54" s="342"/>
      <c r="F54" s="342"/>
      <c r="G54" s="34"/>
      <c r="H54" s="35"/>
      <c r="I54" s="18"/>
      <c r="J54" s="340"/>
      <c r="K54" s="340"/>
      <c r="L54" s="341"/>
      <c r="N54" s="8"/>
    </row>
    <row r="55" spans="1:14" ht="15.75" customHeight="1">
      <c r="A55" s="7"/>
      <c r="B55" s="32"/>
      <c r="C55" s="32"/>
      <c r="D55" s="32"/>
      <c r="E55" s="342"/>
      <c r="F55" s="342"/>
      <c r="G55" s="34"/>
      <c r="H55" s="35"/>
      <c r="I55" s="18"/>
      <c r="J55" s="340"/>
      <c r="K55" s="340"/>
      <c r="L55" s="341"/>
      <c r="N55" s="8"/>
    </row>
    <row r="56" spans="1:14" ht="18.75" customHeight="1">
      <c r="A56" s="7"/>
      <c r="B56" s="32"/>
      <c r="C56" s="32"/>
      <c r="D56" s="32"/>
      <c r="E56" s="342"/>
      <c r="F56" s="342"/>
      <c r="G56" s="34"/>
      <c r="H56" s="35"/>
      <c r="I56" s="18"/>
      <c r="J56" s="340"/>
      <c r="K56" s="340"/>
      <c r="L56" s="341"/>
      <c r="N56" s="8"/>
    </row>
    <row r="57" spans="1:14" ht="15.75" customHeight="1">
      <c r="A57" s="7"/>
      <c r="B57" s="32"/>
      <c r="C57" s="32"/>
      <c r="D57" s="32"/>
      <c r="E57" s="342"/>
      <c r="F57" s="342"/>
      <c r="G57" s="34"/>
      <c r="H57" s="35"/>
      <c r="I57" s="18"/>
      <c r="J57" s="340"/>
      <c r="K57" s="340"/>
      <c r="L57" s="341"/>
      <c r="N57" s="8"/>
    </row>
    <row r="58" spans="1:14" ht="18.75" customHeight="1">
      <c r="A58" s="7"/>
      <c r="B58" s="32"/>
      <c r="C58" s="32"/>
      <c r="D58" s="32"/>
      <c r="E58" s="342"/>
      <c r="F58" s="342"/>
      <c r="G58" s="34"/>
      <c r="H58" s="35"/>
      <c r="I58" s="18"/>
      <c r="J58" s="340"/>
      <c r="K58" s="340"/>
      <c r="L58" s="341"/>
      <c r="N58" s="8"/>
    </row>
    <row r="59" spans="1:14" ht="15.75" customHeight="1">
      <c r="A59" s="7"/>
      <c r="B59" s="32"/>
      <c r="C59" s="32"/>
      <c r="D59" s="32"/>
      <c r="E59" s="342"/>
      <c r="F59" s="342"/>
      <c r="G59" s="34"/>
      <c r="H59" s="35"/>
      <c r="I59" s="18"/>
      <c r="J59" s="340"/>
      <c r="K59" s="340"/>
      <c r="L59" s="341"/>
      <c r="N59" s="8"/>
    </row>
    <row r="60" spans="1:14" ht="18.75" customHeight="1">
      <c r="A60" s="7"/>
      <c r="B60" s="32"/>
      <c r="C60" s="32"/>
      <c r="D60" s="32"/>
      <c r="E60" s="342"/>
      <c r="F60" s="342"/>
      <c r="G60" s="34"/>
      <c r="H60" s="35"/>
      <c r="I60" s="18"/>
      <c r="J60" s="340"/>
      <c r="K60" s="340"/>
      <c r="L60" s="341"/>
      <c r="N60" s="8"/>
    </row>
    <row r="61" spans="1:14" ht="15.75" customHeight="1">
      <c r="A61" s="7"/>
      <c r="B61" s="32"/>
      <c r="C61" s="32"/>
      <c r="D61" s="32"/>
      <c r="E61" s="342"/>
      <c r="F61" s="342"/>
      <c r="G61" s="34"/>
      <c r="H61" s="35"/>
      <c r="I61" s="18"/>
      <c r="J61" s="340"/>
      <c r="K61" s="340"/>
      <c r="L61" s="341"/>
      <c r="N61" s="8"/>
    </row>
    <row r="62" spans="1:14" ht="18.75" customHeight="1">
      <c r="A62" s="7"/>
      <c r="B62" s="32"/>
      <c r="C62" s="32"/>
      <c r="D62" s="32"/>
      <c r="E62" s="342"/>
      <c r="F62" s="342"/>
      <c r="G62" s="34"/>
      <c r="H62" s="35"/>
      <c r="I62" s="18"/>
      <c r="J62" s="340"/>
      <c r="K62" s="340"/>
      <c r="L62" s="341"/>
      <c r="N62" s="8"/>
    </row>
    <row r="63" spans="1:14" ht="18.75" customHeight="1">
      <c r="A63" s="7"/>
      <c r="B63" s="32"/>
      <c r="C63" s="32"/>
      <c r="D63" s="32"/>
      <c r="E63" s="342"/>
      <c r="F63" s="342"/>
      <c r="G63" s="34"/>
      <c r="H63" s="35"/>
      <c r="I63" s="18"/>
      <c r="J63" s="340"/>
      <c r="K63" s="340"/>
      <c r="L63" s="341"/>
      <c r="N63" s="8"/>
    </row>
    <row r="64" spans="1:14" ht="15.75" customHeight="1">
      <c r="A64" s="7"/>
      <c r="B64" s="32"/>
      <c r="C64" s="32"/>
      <c r="D64" s="32"/>
      <c r="E64" s="342"/>
      <c r="F64" s="342"/>
      <c r="G64" s="34"/>
      <c r="H64" s="35"/>
      <c r="I64" s="18"/>
      <c r="J64" s="340"/>
      <c r="K64" s="340"/>
      <c r="L64" s="341"/>
      <c r="N64" s="8"/>
    </row>
    <row r="65" spans="1:14" ht="18.75" customHeight="1">
      <c r="A65" s="7"/>
      <c r="B65" s="32"/>
      <c r="C65" s="32"/>
      <c r="D65" s="32"/>
      <c r="E65" s="342"/>
      <c r="F65" s="342"/>
      <c r="G65" s="34"/>
      <c r="H65" s="35"/>
      <c r="I65" s="18"/>
      <c r="J65" s="340"/>
      <c r="K65" s="340"/>
      <c r="L65" s="341"/>
      <c r="N65" s="8"/>
    </row>
    <row r="66" spans="1:14" ht="15.75" customHeight="1">
      <c r="A66" s="7"/>
      <c r="B66" s="32"/>
      <c r="C66" s="32"/>
      <c r="D66" s="32"/>
      <c r="E66" s="342"/>
      <c r="F66" s="342"/>
      <c r="G66" s="34"/>
      <c r="H66" s="35"/>
      <c r="I66" s="18"/>
      <c r="J66" s="340"/>
      <c r="K66" s="340"/>
      <c r="L66" s="341"/>
      <c r="N66" s="8"/>
    </row>
    <row r="67" spans="1:14" ht="18.75" customHeight="1">
      <c r="A67" s="7"/>
      <c r="B67" s="32"/>
      <c r="C67" s="32"/>
      <c r="D67" s="32"/>
      <c r="E67" s="342"/>
      <c r="F67" s="342"/>
      <c r="G67" s="34"/>
      <c r="H67" s="35"/>
      <c r="I67" s="18"/>
      <c r="J67" s="340"/>
      <c r="K67" s="340"/>
      <c r="L67" s="341"/>
      <c r="N67" s="8"/>
    </row>
    <row r="68" spans="1:14" ht="15.75" customHeight="1">
      <c r="A68" s="7"/>
      <c r="B68" s="32"/>
      <c r="C68" s="32"/>
      <c r="D68" s="32"/>
      <c r="E68" s="342"/>
      <c r="F68" s="342"/>
      <c r="G68" s="34"/>
      <c r="H68" s="35"/>
      <c r="I68" s="18"/>
      <c r="J68" s="340"/>
      <c r="K68" s="340"/>
      <c r="L68" s="341"/>
      <c r="N68" s="8"/>
    </row>
    <row r="69" spans="1:14" ht="18.75" customHeight="1">
      <c r="A69" s="7"/>
      <c r="B69" s="32"/>
      <c r="C69" s="32"/>
      <c r="D69" s="32"/>
      <c r="E69" s="342"/>
      <c r="F69" s="342"/>
      <c r="G69" s="34"/>
      <c r="H69" s="35"/>
      <c r="I69" s="18"/>
      <c r="J69" s="340"/>
      <c r="K69" s="340"/>
      <c r="L69" s="341"/>
      <c r="N69" s="8"/>
    </row>
    <row r="70" spans="1:14" ht="15.75" customHeight="1">
      <c r="A70" s="7"/>
      <c r="B70" s="32"/>
      <c r="C70" s="32"/>
      <c r="D70" s="32"/>
      <c r="E70" s="342"/>
      <c r="F70" s="342"/>
      <c r="G70" s="34"/>
      <c r="H70" s="35"/>
      <c r="I70" s="18"/>
      <c r="J70" s="340"/>
      <c r="K70" s="340"/>
      <c r="L70" s="341"/>
      <c r="N70" s="8"/>
    </row>
    <row r="71" spans="1:14" ht="18.75" customHeight="1">
      <c r="A71" s="7"/>
      <c r="B71" s="32"/>
      <c r="C71" s="32"/>
      <c r="D71" s="32"/>
      <c r="E71" s="342"/>
      <c r="F71" s="342"/>
      <c r="G71" s="34"/>
      <c r="H71" s="35"/>
      <c r="I71" s="18"/>
      <c r="J71" s="340"/>
      <c r="K71" s="340"/>
      <c r="L71" s="341"/>
      <c r="N71" s="8"/>
    </row>
    <row r="72" spans="1:14" ht="15.75" customHeight="1">
      <c r="A72" s="7"/>
      <c r="B72" s="32"/>
      <c r="C72" s="32"/>
      <c r="D72" s="32"/>
      <c r="E72" s="342"/>
      <c r="F72" s="342"/>
      <c r="G72" s="34"/>
      <c r="H72" s="35"/>
      <c r="I72" s="18"/>
      <c r="J72" s="340"/>
      <c r="K72" s="340"/>
      <c r="L72" s="341"/>
      <c r="N72" s="8"/>
    </row>
    <row r="73" spans="1:14" ht="18.75" customHeight="1">
      <c r="A73" s="7"/>
      <c r="B73" s="32"/>
      <c r="C73" s="32"/>
      <c r="D73" s="32"/>
      <c r="E73" s="342"/>
      <c r="F73" s="342"/>
      <c r="G73" s="34"/>
      <c r="H73" s="35"/>
      <c r="I73" s="18"/>
      <c r="J73" s="340"/>
      <c r="K73" s="340"/>
      <c r="L73" s="341"/>
      <c r="N73" s="8"/>
    </row>
    <row r="74" spans="1:14" ht="15.75" customHeight="1">
      <c r="A74" s="7"/>
      <c r="B74" s="32"/>
      <c r="C74" s="32"/>
      <c r="D74" s="32"/>
      <c r="E74" s="342"/>
      <c r="F74" s="342"/>
      <c r="G74" s="34"/>
      <c r="H74" s="35"/>
      <c r="I74" s="18"/>
      <c r="J74" s="340"/>
      <c r="K74" s="340"/>
      <c r="L74" s="341"/>
      <c r="N74" s="8"/>
    </row>
    <row r="75" spans="1:14" ht="15.75" customHeight="1">
      <c r="A75" s="7"/>
      <c r="B75" s="32"/>
      <c r="C75" s="32"/>
      <c r="D75" s="32"/>
      <c r="E75" s="342"/>
      <c r="F75" s="342"/>
      <c r="G75" s="34"/>
      <c r="H75" s="35"/>
      <c r="I75" s="18"/>
      <c r="J75" s="340"/>
      <c r="K75" s="340"/>
      <c r="L75" s="341"/>
      <c r="N75" s="8"/>
    </row>
    <row r="76" spans="1:14" ht="18.75" customHeight="1">
      <c r="A76" s="7"/>
      <c r="B76" s="32"/>
      <c r="C76" s="32"/>
      <c r="D76" s="32"/>
      <c r="E76" s="342"/>
      <c r="F76" s="342"/>
      <c r="G76" s="34"/>
      <c r="H76" s="35"/>
      <c r="I76" s="18"/>
      <c r="J76" s="340"/>
      <c r="K76" s="340"/>
      <c r="L76" s="341"/>
      <c r="N76" s="8"/>
    </row>
    <row r="77" spans="1:14" ht="15.75" customHeight="1">
      <c r="A77" s="7"/>
      <c r="B77" s="32"/>
      <c r="C77" s="32"/>
      <c r="D77" s="32"/>
      <c r="E77" s="342"/>
      <c r="F77" s="342"/>
      <c r="G77" s="34"/>
      <c r="H77" s="35"/>
      <c r="I77" s="18"/>
      <c r="J77" s="340"/>
      <c r="K77" s="340"/>
      <c r="L77" s="341"/>
      <c r="N77" s="8"/>
    </row>
    <row r="78" spans="1:14" ht="18.75" customHeight="1">
      <c r="A78" s="7"/>
      <c r="B78" s="32"/>
      <c r="C78" s="32"/>
      <c r="D78" s="32"/>
      <c r="E78" s="342"/>
      <c r="F78" s="342"/>
      <c r="G78" s="34"/>
      <c r="H78" s="35"/>
      <c r="I78" s="18"/>
      <c r="J78" s="340"/>
      <c r="K78" s="340"/>
      <c r="L78" s="341"/>
      <c r="N78" s="8"/>
    </row>
    <row r="79" spans="1:14" ht="15.75" customHeight="1">
      <c r="A79" s="7"/>
      <c r="B79" s="32"/>
      <c r="C79" s="32"/>
      <c r="D79" s="32"/>
      <c r="E79" s="342"/>
      <c r="F79" s="342"/>
      <c r="G79" s="34"/>
      <c r="H79" s="35"/>
      <c r="I79" s="18"/>
      <c r="J79" s="340"/>
      <c r="K79" s="340"/>
      <c r="L79" s="341"/>
      <c r="N79" s="8"/>
    </row>
    <row r="80" spans="1:14" ht="18.75" customHeight="1">
      <c r="A80" s="7"/>
      <c r="B80" s="32"/>
      <c r="C80" s="32"/>
      <c r="D80" s="32"/>
      <c r="E80" s="342"/>
      <c r="F80" s="342"/>
      <c r="G80" s="34"/>
      <c r="H80" s="35"/>
      <c r="I80" s="18"/>
      <c r="J80" s="340"/>
      <c r="K80" s="340"/>
      <c r="L80" s="341"/>
      <c r="N80" s="8"/>
    </row>
    <row r="81" spans="1:14" ht="15.75" customHeight="1">
      <c r="A81" s="7"/>
      <c r="B81" s="32"/>
      <c r="C81" s="32"/>
      <c r="D81" s="32"/>
      <c r="E81" s="342"/>
      <c r="F81" s="342"/>
      <c r="G81" s="34"/>
      <c r="H81" s="35"/>
      <c r="I81" s="18"/>
      <c r="J81" s="340"/>
      <c r="K81" s="340"/>
      <c r="L81" s="341"/>
      <c r="N81" s="8"/>
    </row>
    <row r="82" spans="1:14" ht="15.75" customHeight="1">
      <c r="A82" s="7"/>
      <c r="B82" s="32"/>
      <c r="C82" s="32"/>
      <c r="D82" s="32"/>
      <c r="E82" s="342"/>
      <c r="F82" s="342"/>
      <c r="G82" s="34"/>
      <c r="H82" s="35"/>
      <c r="I82" s="18"/>
      <c r="J82" s="340"/>
      <c r="K82" s="340"/>
      <c r="L82" s="341"/>
      <c r="N82" s="8"/>
    </row>
    <row r="83" spans="1:14" ht="18.75" customHeight="1">
      <c r="A83" s="7"/>
      <c r="B83" s="32"/>
      <c r="C83" s="32"/>
      <c r="D83" s="32"/>
      <c r="E83" s="342"/>
      <c r="F83" s="342"/>
      <c r="G83" s="34"/>
      <c r="H83" s="35"/>
      <c r="I83" s="18"/>
      <c r="J83" s="340"/>
      <c r="K83" s="340"/>
      <c r="L83" s="341"/>
      <c r="N83" s="8"/>
    </row>
    <row r="84" spans="1:14" ht="18.75" customHeight="1">
      <c r="A84" s="7"/>
      <c r="B84" s="32"/>
      <c r="C84" s="32"/>
      <c r="D84" s="32"/>
      <c r="E84" s="342"/>
      <c r="F84" s="342"/>
      <c r="G84" s="34"/>
      <c r="H84" s="35"/>
      <c r="I84" s="18"/>
      <c r="J84" s="340"/>
      <c r="K84" s="340"/>
      <c r="L84" s="341"/>
      <c r="N84" s="8"/>
    </row>
    <row r="85" spans="1:14" ht="15.75" customHeight="1">
      <c r="A85" s="7"/>
      <c r="B85" s="32"/>
      <c r="C85" s="32"/>
      <c r="D85" s="32"/>
      <c r="E85" s="342"/>
      <c r="F85" s="342"/>
      <c r="G85" s="34"/>
      <c r="H85" s="35"/>
      <c r="I85" s="18"/>
      <c r="J85" s="340"/>
      <c r="K85" s="340"/>
      <c r="L85" s="341"/>
      <c r="N85" s="8"/>
    </row>
    <row r="86" spans="1:14" ht="18.75" customHeight="1">
      <c r="A86" s="7"/>
      <c r="B86" s="32"/>
      <c r="C86" s="32"/>
      <c r="D86" s="32"/>
      <c r="E86" s="342"/>
      <c r="F86" s="342"/>
      <c r="G86" s="34"/>
      <c r="H86" s="35"/>
      <c r="I86" s="18"/>
      <c r="J86" s="340"/>
      <c r="K86" s="340"/>
      <c r="L86" s="341"/>
      <c r="N86" s="8"/>
    </row>
    <row r="87" spans="1:14" ht="15.75" customHeight="1">
      <c r="A87" s="7"/>
      <c r="B87" s="32"/>
      <c r="C87" s="32"/>
      <c r="D87" s="32"/>
      <c r="E87" s="342"/>
      <c r="F87" s="342"/>
      <c r="G87" s="34"/>
      <c r="H87" s="35"/>
      <c r="I87" s="18"/>
      <c r="J87" s="340"/>
      <c r="K87" s="340"/>
      <c r="L87" s="341"/>
      <c r="N87" s="8"/>
    </row>
    <row r="88" spans="1:14" ht="18.75" customHeight="1">
      <c r="A88" s="7"/>
      <c r="B88" s="32"/>
      <c r="C88" s="32"/>
      <c r="D88" s="32"/>
      <c r="E88" s="342"/>
      <c r="F88" s="342"/>
      <c r="G88" s="34"/>
      <c r="H88" s="35"/>
      <c r="I88" s="18"/>
      <c r="J88" s="340"/>
      <c r="K88" s="340"/>
      <c r="L88" s="341"/>
      <c r="N88" s="8"/>
    </row>
    <row r="89" spans="1:14" ht="15.75" customHeight="1">
      <c r="A89" s="7"/>
      <c r="B89" s="32"/>
      <c r="C89" s="32"/>
      <c r="D89" s="32"/>
      <c r="E89" s="342"/>
      <c r="F89" s="342"/>
      <c r="G89" s="34"/>
      <c r="H89" s="35"/>
      <c r="I89" s="18"/>
      <c r="J89" s="340"/>
      <c r="K89" s="340"/>
      <c r="L89" s="341"/>
      <c r="N89" s="8"/>
    </row>
    <row r="90" spans="1:14" ht="15.75" customHeight="1">
      <c r="A90" s="7"/>
      <c r="B90" s="32"/>
      <c r="C90" s="32"/>
      <c r="D90" s="32"/>
      <c r="E90" s="342"/>
      <c r="F90" s="342"/>
      <c r="G90" s="34"/>
      <c r="H90" s="35"/>
      <c r="I90" s="18"/>
      <c r="J90" s="340"/>
      <c r="K90" s="340"/>
      <c r="L90" s="341"/>
      <c r="N90" s="8"/>
    </row>
    <row r="91" spans="1:14" ht="18.75" customHeight="1">
      <c r="A91" s="7"/>
      <c r="B91" s="32"/>
      <c r="C91" s="32"/>
      <c r="D91" s="32"/>
      <c r="E91" s="342"/>
      <c r="F91" s="342"/>
      <c r="G91" s="34"/>
      <c r="H91" s="35"/>
      <c r="I91" s="18"/>
      <c r="J91" s="340"/>
      <c r="K91" s="340"/>
      <c r="L91" s="341"/>
      <c r="N91" s="8"/>
    </row>
    <row r="92" spans="1:14" ht="15.75" customHeight="1">
      <c r="A92" s="7"/>
      <c r="B92" s="32"/>
      <c r="C92" s="32"/>
      <c r="D92" s="32"/>
      <c r="E92" s="342"/>
      <c r="F92" s="342"/>
      <c r="G92" s="34"/>
      <c r="H92" s="35"/>
      <c r="I92" s="18"/>
      <c r="J92" s="340"/>
      <c r="K92" s="340"/>
      <c r="L92" s="341"/>
      <c r="N92" s="8"/>
    </row>
    <row r="93" spans="1:14" ht="18.75" customHeight="1">
      <c r="A93" s="7"/>
      <c r="B93" s="32"/>
      <c r="C93" s="32"/>
      <c r="D93" s="32"/>
      <c r="E93" s="342"/>
      <c r="F93" s="342"/>
      <c r="G93" s="34"/>
      <c r="H93" s="35"/>
      <c r="I93" s="18"/>
      <c r="J93" s="340"/>
      <c r="K93" s="340"/>
      <c r="L93" s="341"/>
      <c r="N93" s="8"/>
    </row>
    <row r="94" spans="1:14" ht="15.75" customHeight="1">
      <c r="A94" s="7"/>
      <c r="B94" s="32"/>
      <c r="C94" s="32"/>
      <c r="D94" s="32"/>
      <c r="E94" s="342"/>
      <c r="F94" s="342"/>
      <c r="G94" s="34"/>
      <c r="H94" s="35"/>
      <c r="I94" s="18"/>
      <c r="J94" s="340"/>
      <c r="K94" s="340"/>
      <c r="L94" s="341"/>
      <c r="N94" s="8"/>
    </row>
    <row r="95" spans="1:14" ht="18.75" customHeight="1">
      <c r="A95" s="7"/>
      <c r="B95" s="32"/>
      <c r="C95" s="32"/>
      <c r="D95" s="32"/>
      <c r="E95" s="342"/>
      <c r="F95" s="342"/>
      <c r="G95" s="34"/>
      <c r="H95" s="35"/>
      <c r="I95" s="18"/>
      <c r="J95" s="340"/>
      <c r="K95" s="340"/>
      <c r="L95" s="341"/>
      <c r="N95" s="8"/>
    </row>
    <row r="96" spans="1:14" ht="15.75" customHeight="1">
      <c r="A96" s="7"/>
      <c r="B96" s="32"/>
      <c r="C96" s="32"/>
      <c r="D96" s="32"/>
      <c r="E96" s="342"/>
      <c r="F96" s="342"/>
      <c r="G96" s="34"/>
      <c r="H96" s="35"/>
      <c r="I96" s="18"/>
      <c r="J96" s="340"/>
      <c r="K96" s="340"/>
      <c r="L96" s="341"/>
      <c r="N96" s="8"/>
    </row>
    <row r="97" spans="1:14" ht="18.75" customHeight="1">
      <c r="A97" s="7"/>
      <c r="B97" s="32"/>
      <c r="C97" s="32"/>
      <c r="D97" s="32"/>
      <c r="E97" s="342"/>
      <c r="F97" s="342"/>
      <c r="G97" s="34"/>
      <c r="H97" s="35"/>
      <c r="I97" s="18"/>
      <c r="J97" s="340"/>
      <c r="K97" s="340"/>
      <c r="L97" s="341"/>
      <c r="N97" s="8"/>
    </row>
    <row r="98" spans="1:14" ht="15.75" customHeight="1">
      <c r="A98" s="7"/>
      <c r="B98" s="32"/>
      <c r="C98" s="32"/>
      <c r="D98" s="32"/>
      <c r="E98" s="342"/>
      <c r="F98" s="342"/>
      <c r="G98" s="34"/>
      <c r="H98" s="35"/>
      <c r="I98" s="18"/>
      <c r="J98" s="340"/>
      <c r="K98" s="340"/>
      <c r="L98" s="341"/>
      <c r="N98" s="8"/>
    </row>
    <row r="99" spans="1:14" ht="18.75" customHeight="1">
      <c r="A99" s="7"/>
      <c r="B99" s="32"/>
      <c r="C99" s="32"/>
      <c r="D99" s="32"/>
      <c r="E99" s="342"/>
      <c r="F99" s="342"/>
      <c r="G99" s="34"/>
      <c r="H99" s="35"/>
      <c r="I99" s="18"/>
      <c r="J99" s="340"/>
      <c r="K99" s="340"/>
      <c r="L99" s="341"/>
      <c r="N99" s="8"/>
    </row>
    <row r="100" spans="1:14" ht="15.75" customHeight="1">
      <c r="A100" s="7"/>
      <c r="B100" s="32"/>
      <c r="C100" s="32"/>
      <c r="D100" s="32"/>
      <c r="E100" s="342"/>
      <c r="F100" s="342"/>
      <c r="G100" s="34"/>
      <c r="H100" s="35"/>
      <c r="I100" s="18"/>
      <c r="J100" s="340"/>
      <c r="K100" s="340"/>
      <c r="L100" s="341"/>
      <c r="N100" s="8"/>
    </row>
    <row r="101" spans="1:14" ht="18.75" customHeight="1">
      <c r="A101" s="7"/>
      <c r="B101" s="32"/>
      <c r="C101" s="32"/>
      <c r="D101" s="32"/>
      <c r="E101" s="342"/>
      <c r="F101" s="342"/>
      <c r="G101" s="34"/>
      <c r="H101" s="35"/>
      <c r="I101" s="18"/>
      <c r="J101" s="340"/>
      <c r="K101" s="340"/>
      <c r="L101" s="341"/>
      <c r="N101" s="8"/>
    </row>
    <row r="102" spans="1:14" ht="13.5" hidden="1" customHeight="1">
      <c r="A102" s="7"/>
      <c r="B102" s="32"/>
      <c r="C102" s="32"/>
      <c r="D102" s="32"/>
      <c r="E102" s="342"/>
      <c r="F102" s="342"/>
      <c r="G102" s="34"/>
      <c r="H102" s="35"/>
      <c r="I102" s="18"/>
      <c r="J102" s="340"/>
      <c r="K102" s="340"/>
      <c r="L102" s="341"/>
      <c r="N102" s="8"/>
    </row>
    <row r="103" spans="1:14" ht="19.5" customHeight="1">
      <c r="A103" s="7"/>
      <c r="B103" s="32"/>
      <c r="C103" s="32"/>
      <c r="D103" s="32"/>
      <c r="E103" s="342"/>
      <c r="F103" s="342"/>
      <c r="G103" s="34"/>
      <c r="H103" s="35"/>
      <c r="I103" s="18"/>
      <c r="J103" s="340"/>
      <c r="K103" s="340"/>
      <c r="L103" s="341"/>
      <c r="N103" s="8"/>
    </row>
    <row r="104" spans="1:14" ht="20.100000000000001" customHeight="1">
      <c r="A104" s="7"/>
      <c r="B104" s="32"/>
      <c r="C104" s="32"/>
      <c r="D104" s="32"/>
      <c r="E104" s="342"/>
      <c r="F104" s="342"/>
      <c r="G104" s="34"/>
      <c r="H104" s="35"/>
      <c r="I104" s="18"/>
      <c r="J104" s="340"/>
      <c r="K104" s="340"/>
      <c r="L104" s="341"/>
      <c r="N104" s="8"/>
    </row>
    <row r="105" spans="1:14" ht="27" customHeight="1">
      <c r="A105" s="7"/>
      <c r="B105" s="32"/>
      <c r="C105" s="32"/>
      <c r="D105" s="32"/>
      <c r="E105" s="342"/>
      <c r="F105" s="342"/>
      <c r="G105" s="34"/>
      <c r="H105" s="35"/>
      <c r="I105" s="18"/>
      <c r="J105" s="340"/>
      <c r="K105" s="340"/>
      <c r="L105" s="341"/>
      <c r="N105" s="8"/>
    </row>
    <row r="106" spans="1:14" ht="20.100000000000001" customHeight="1">
      <c r="A106" s="7"/>
      <c r="B106" s="32"/>
      <c r="C106" s="32"/>
      <c r="D106" s="32"/>
      <c r="E106" s="342"/>
      <c r="F106" s="342"/>
      <c r="G106" s="34"/>
      <c r="H106" s="35"/>
      <c r="I106" s="18"/>
      <c r="J106" s="340"/>
      <c r="K106" s="340"/>
      <c r="L106" s="341"/>
      <c r="N106" s="8"/>
    </row>
    <row r="107" spans="1:14" ht="20.100000000000001" customHeight="1">
      <c r="A107" s="7"/>
      <c r="B107" s="32"/>
      <c r="C107" s="32"/>
      <c r="D107" s="32"/>
      <c r="E107" s="342"/>
      <c r="F107" s="342"/>
      <c r="G107" s="34"/>
      <c r="H107" s="35"/>
      <c r="I107" s="18"/>
      <c r="J107" s="340"/>
      <c r="K107" s="340"/>
      <c r="L107" s="341"/>
      <c r="N107" s="8"/>
    </row>
    <row r="108" spans="1:14" ht="20.100000000000001" customHeight="1">
      <c r="A108" s="7"/>
      <c r="B108" s="32"/>
      <c r="C108" s="32"/>
      <c r="D108" s="32"/>
      <c r="E108" s="342"/>
      <c r="F108" s="342"/>
      <c r="G108" s="34"/>
      <c r="H108" s="35"/>
      <c r="I108" s="18"/>
      <c r="J108" s="340"/>
      <c r="K108" s="340"/>
      <c r="L108" s="341"/>
      <c r="N108" s="8"/>
    </row>
    <row r="109" spans="1:14" ht="39.75" customHeight="1">
      <c r="A109" s="7"/>
      <c r="B109" s="32"/>
      <c r="C109" s="32"/>
      <c r="D109" s="32"/>
      <c r="E109" s="342"/>
      <c r="F109" s="342"/>
      <c r="G109" s="34"/>
      <c r="H109" s="35"/>
      <c r="I109" s="18"/>
      <c r="J109" s="340"/>
      <c r="K109" s="340"/>
      <c r="L109" s="341"/>
      <c r="N109" s="8"/>
    </row>
    <row r="110" spans="1:14" ht="28.5" customHeight="1">
      <c r="A110" s="7"/>
      <c r="B110" s="32"/>
      <c r="C110" s="32"/>
      <c r="D110" s="32"/>
      <c r="E110" s="342"/>
      <c r="F110" s="342"/>
      <c r="G110" s="34"/>
      <c r="H110" s="35"/>
      <c r="I110" s="18"/>
      <c r="J110" s="340"/>
      <c r="K110" s="340"/>
      <c r="L110" s="341"/>
      <c r="N110" s="8"/>
    </row>
    <row r="111" spans="1:14" ht="3" customHeight="1">
      <c r="A111" s="7"/>
      <c r="B111" s="32"/>
      <c r="C111" s="32"/>
      <c r="D111" s="32"/>
      <c r="E111" s="342"/>
      <c r="F111" s="342"/>
      <c r="G111" s="34"/>
      <c r="H111" s="35"/>
      <c r="I111" s="18"/>
      <c r="J111" s="340"/>
      <c r="K111" s="340"/>
      <c r="L111" s="341"/>
      <c r="N111" s="8"/>
    </row>
    <row r="112" spans="1:14" ht="19.5" customHeight="1">
      <c r="A112" s="7"/>
      <c r="B112" s="32"/>
      <c r="C112" s="32"/>
      <c r="D112" s="32"/>
      <c r="E112" s="342"/>
      <c r="F112" s="342"/>
      <c r="G112" s="34"/>
      <c r="H112" s="35"/>
      <c r="I112" s="18"/>
      <c r="J112" s="340"/>
      <c r="K112" s="340"/>
      <c r="L112" s="341"/>
      <c r="N112" s="8"/>
    </row>
    <row r="113" spans="1:14" ht="20.100000000000001" customHeight="1">
      <c r="A113" s="7"/>
      <c r="B113" s="32"/>
      <c r="C113" s="32"/>
      <c r="D113" s="32"/>
      <c r="E113" s="342"/>
      <c r="F113" s="342"/>
      <c r="G113" s="34"/>
      <c r="H113" s="35"/>
      <c r="I113" s="18"/>
      <c r="J113" s="340"/>
      <c r="K113" s="340"/>
      <c r="L113" s="341"/>
      <c r="N113" s="8"/>
    </row>
    <row r="114" spans="1:14" ht="20.100000000000001" customHeight="1">
      <c r="A114" s="7"/>
      <c r="B114" s="32"/>
      <c r="C114" s="32"/>
      <c r="D114" s="32"/>
      <c r="E114" s="342"/>
      <c r="F114" s="342"/>
      <c r="G114" s="34"/>
      <c r="H114" s="35"/>
      <c r="I114" s="18"/>
      <c r="J114" s="340"/>
      <c r="K114" s="340"/>
      <c r="L114" s="341"/>
      <c r="N114" s="8"/>
    </row>
    <row r="115" spans="1:14" ht="20.100000000000001" customHeight="1">
      <c r="A115" s="7"/>
      <c r="B115" s="32"/>
      <c r="C115" s="32"/>
      <c r="D115" s="32"/>
      <c r="E115" s="342"/>
      <c r="F115" s="342"/>
      <c r="G115" s="34"/>
      <c r="H115" s="35"/>
      <c r="I115" s="18"/>
      <c r="J115" s="340"/>
      <c r="K115" s="340"/>
      <c r="L115" s="341"/>
      <c r="N115" s="8"/>
    </row>
    <row r="116" spans="1:14" ht="20.100000000000001" customHeight="1">
      <c r="A116" s="7"/>
      <c r="B116" s="32"/>
      <c r="C116" s="32"/>
      <c r="D116" s="32"/>
      <c r="E116" s="342"/>
      <c r="F116" s="342"/>
      <c r="G116" s="34"/>
      <c r="H116" s="35"/>
      <c r="I116" s="18"/>
      <c r="J116" s="340"/>
      <c r="K116" s="340"/>
      <c r="L116" s="341"/>
      <c r="N116" s="8"/>
    </row>
    <row r="117" spans="1:14" ht="19.5" customHeight="1">
      <c r="A117" s="7"/>
      <c r="B117" s="32"/>
      <c r="C117" s="32"/>
      <c r="D117" s="32"/>
      <c r="E117" s="584"/>
      <c r="F117" s="584"/>
      <c r="G117" s="34"/>
      <c r="H117" s="35"/>
      <c r="I117" s="18"/>
      <c r="J117" s="340"/>
      <c r="K117" s="564"/>
      <c r="L117" s="565"/>
      <c r="N117" s="8"/>
    </row>
    <row r="118" spans="1:14" ht="1.5" hidden="1" customHeight="1">
      <c r="A118" s="7"/>
      <c r="B118" s="32"/>
      <c r="C118" s="32"/>
      <c r="D118" s="32"/>
      <c r="E118" s="342"/>
      <c r="F118" s="342"/>
      <c r="G118" s="34"/>
      <c r="H118" s="35"/>
      <c r="I118" s="18"/>
      <c r="J118" s="340"/>
      <c r="K118" s="340"/>
      <c r="L118" s="341"/>
      <c r="N118" s="8"/>
    </row>
    <row r="119" spans="1:14" ht="19.5" hidden="1" customHeight="1">
      <c r="A119" s="7"/>
      <c r="B119" s="32"/>
      <c r="C119" s="32"/>
      <c r="D119" s="32"/>
      <c r="E119" s="342"/>
      <c r="F119" s="342"/>
      <c r="G119" s="34"/>
      <c r="H119" s="35"/>
      <c r="I119" s="18"/>
      <c r="J119" s="340"/>
      <c r="K119" s="340"/>
      <c r="L119" s="341"/>
      <c r="N119" s="8"/>
    </row>
    <row r="120" spans="1:14" ht="22.5" customHeight="1">
      <c r="A120" s="7"/>
      <c r="B120" s="32"/>
      <c r="C120" s="32"/>
      <c r="D120" s="32"/>
      <c r="E120" s="342"/>
      <c r="F120" s="342"/>
      <c r="G120" s="34"/>
      <c r="H120" s="35"/>
      <c r="I120" s="18"/>
      <c r="J120" s="340"/>
      <c r="K120" s="340"/>
      <c r="L120" s="341"/>
      <c r="N120" s="9"/>
    </row>
    <row r="121" spans="1:14" ht="22.5" customHeight="1">
      <c r="A121" s="7"/>
      <c r="B121" s="32"/>
      <c r="C121" s="32"/>
      <c r="D121" s="32"/>
      <c r="E121" s="342"/>
      <c r="F121" s="342"/>
      <c r="G121" s="34"/>
      <c r="H121" s="35"/>
      <c r="I121" s="18"/>
      <c r="J121" s="340"/>
      <c r="K121" s="340"/>
      <c r="L121" s="341"/>
      <c r="N121" s="9"/>
    </row>
    <row r="122" spans="1:14" ht="22.5" customHeight="1">
      <c r="A122" s="7"/>
      <c r="B122" s="32"/>
      <c r="C122" s="32"/>
      <c r="D122" s="32"/>
      <c r="E122" s="342"/>
      <c r="F122" s="342"/>
      <c r="G122" s="34"/>
      <c r="H122" s="35"/>
      <c r="I122" s="18"/>
      <c r="J122" s="340"/>
      <c r="K122" s="340"/>
      <c r="L122" s="341"/>
      <c r="N122" s="9"/>
    </row>
    <row r="123" spans="1:14" ht="22.5" customHeight="1">
      <c r="A123" s="7"/>
      <c r="B123" s="32"/>
      <c r="C123" s="32"/>
      <c r="D123" s="32"/>
      <c r="E123" s="342"/>
      <c r="F123" s="342"/>
      <c r="G123" s="34"/>
      <c r="H123" s="35"/>
      <c r="I123" s="18"/>
      <c r="J123" s="340"/>
      <c r="K123" s="340"/>
      <c r="L123" s="341"/>
      <c r="N123" s="9"/>
    </row>
    <row r="124" spans="1:14" ht="27.75" customHeight="1">
      <c r="A124" s="7"/>
      <c r="B124" s="32"/>
      <c r="C124" s="32"/>
      <c r="D124" s="32"/>
      <c r="E124" s="342"/>
      <c r="F124" s="342"/>
      <c r="G124" s="34"/>
      <c r="H124" s="35"/>
      <c r="I124" s="18"/>
      <c r="J124" s="340"/>
      <c r="K124" s="340"/>
      <c r="L124" s="341"/>
    </row>
    <row r="125" spans="1:14" ht="22.5" customHeight="1">
      <c r="A125" s="7"/>
      <c r="B125" s="32"/>
      <c r="C125" s="32"/>
      <c r="D125" s="32"/>
      <c r="E125" s="342"/>
      <c r="F125" s="342"/>
      <c r="G125" s="34"/>
      <c r="H125" s="35"/>
      <c r="I125" s="18"/>
      <c r="J125" s="340"/>
      <c r="K125" s="340"/>
      <c r="L125" s="340"/>
    </row>
    <row r="126" spans="1:14" ht="22.5" customHeight="1">
      <c r="A126" s="7"/>
      <c r="B126" s="32"/>
      <c r="C126" s="32"/>
      <c r="D126" s="32"/>
      <c r="E126" s="342"/>
      <c r="F126" s="342"/>
      <c r="G126" s="34"/>
      <c r="H126" s="35"/>
      <c r="I126" s="18"/>
      <c r="J126" s="340"/>
      <c r="K126" s="340"/>
      <c r="L126" s="340"/>
    </row>
    <row r="127" spans="1:14" ht="19.5" customHeight="1">
      <c r="A127" s="7"/>
      <c r="B127" s="32"/>
      <c r="C127" s="32"/>
      <c r="D127" s="32"/>
      <c r="E127" s="342"/>
      <c r="F127" s="342"/>
      <c r="G127" s="34"/>
      <c r="H127" s="35"/>
      <c r="I127" s="20"/>
      <c r="J127" s="21"/>
      <c r="K127" s="21"/>
      <c r="L127" s="340"/>
    </row>
    <row r="128" spans="1:14" ht="22.5" customHeight="1">
      <c r="A128" s="7"/>
      <c r="B128" s="32"/>
      <c r="C128" s="32"/>
      <c r="D128" s="32"/>
      <c r="E128" s="342"/>
      <c r="F128" s="342"/>
      <c r="G128" s="34"/>
      <c r="H128" s="35"/>
      <c r="I128" s="18"/>
      <c r="J128" s="340"/>
      <c r="K128" s="340"/>
      <c r="L128" s="340"/>
    </row>
    <row r="129" spans="1:12" ht="22.5" customHeight="1">
      <c r="A129" s="7"/>
      <c r="B129" s="32"/>
      <c r="C129" s="32"/>
      <c r="D129" s="32"/>
      <c r="E129" s="342"/>
      <c r="F129" s="342"/>
      <c r="G129" s="34"/>
      <c r="H129" s="35"/>
      <c r="I129" s="19"/>
      <c r="J129" s="340"/>
      <c r="K129" s="340"/>
      <c r="L129" s="341"/>
    </row>
    <row r="130" spans="1:12" ht="19.5" hidden="1" customHeight="1">
      <c r="A130" s="7"/>
      <c r="B130" s="32"/>
      <c r="C130" s="32"/>
      <c r="D130" s="32"/>
      <c r="E130" s="584"/>
      <c r="F130" s="584"/>
      <c r="G130" s="34"/>
      <c r="H130" s="35"/>
      <c r="I130" s="18"/>
      <c r="J130" s="340"/>
      <c r="K130" s="564"/>
      <c r="L130" s="565"/>
    </row>
    <row r="131" spans="1:12" ht="35.25" customHeight="1">
      <c r="A131" s="585" t="s">
        <v>29</v>
      </c>
      <c r="B131" s="585"/>
      <c r="C131" s="343" t="s">
        <v>30</v>
      </c>
      <c r="D131" s="585" t="s">
        <v>27</v>
      </c>
      <c r="E131" s="585"/>
      <c r="F131" s="343" t="s">
        <v>23</v>
      </c>
      <c r="G131" s="585" t="s">
        <v>29</v>
      </c>
      <c r="H131" s="585"/>
      <c r="I131" s="343" t="s">
        <v>30</v>
      </c>
      <c r="J131" s="585" t="s">
        <v>27</v>
      </c>
      <c r="K131" s="585"/>
      <c r="L131" s="343" t="s">
        <v>23</v>
      </c>
    </row>
    <row r="132" spans="1:12" ht="35.25" customHeight="1">
      <c r="A132" s="586" t="s">
        <v>33</v>
      </c>
      <c r="B132" s="586"/>
      <c r="C132" s="591" t="s">
        <v>52</v>
      </c>
      <c r="D132" s="587" t="s">
        <v>58</v>
      </c>
      <c r="E132" s="586"/>
      <c r="F132" s="254">
        <v>4</v>
      </c>
      <c r="G132" s="592" t="s">
        <v>39</v>
      </c>
      <c r="H132" s="593"/>
      <c r="I132" s="596" t="s">
        <v>53</v>
      </c>
      <c r="J132" s="344" t="s">
        <v>38</v>
      </c>
      <c r="K132" s="40"/>
      <c r="L132" s="254"/>
    </row>
    <row r="133" spans="1:12" ht="35.25" customHeight="1">
      <c r="A133" s="586"/>
      <c r="B133" s="586"/>
      <c r="C133" s="591"/>
      <c r="D133" s="587" t="s">
        <v>59</v>
      </c>
      <c r="E133" s="586"/>
      <c r="F133" s="255"/>
      <c r="G133" s="594"/>
      <c r="H133" s="595"/>
      <c r="I133" s="597"/>
      <c r="J133" s="347" t="s">
        <v>72</v>
      </c>
      <c r="K133" s="40"/>
      <c r="L133" s="255">
        <v>6</v>
      </c>
    </row>
    <row r="134" spans="1:12" ht="35.25" customHeight="1">
      <c r="A134" s="586"/>
      <c r="B134" s="586"/>
      <c r="C134" s="346" t="s">
        <v>57</v>
      </c>
      <c r="D134" s="587" t="s">
        <v>60</v>
      </c>
      <c r="E134" s="586"/>
      <c r="F134" s="255"/>
      <c r="G134" s="598" t="s">
        <v>42</v>
      </c>
      <c r="H134" s="599"/>
      <c r="I134" s="43" t="s">
        <v>73</v>
      </c>
      <c r="J134" s="44"/>
      <c r="K134" s="40"/>
      <c r="L134" s="255">
        <v>1</v>
      </c>
    </row>
    <row r="135" spans="1:12" ht="35.25" customHeight="1">
      <c r="A135" s="586" t="s">
        <v>34</v>
      </c>
      <c r="B135" s="586"/>
      <c r="C135" s="45" t="s">
        <v>54</v>
      </c>
      <c r="D135" s="587" t="s">
        <v>61</v>
      </c>
      <c r="E135" s="586"/>
      <c r="F135" s="254"/>
      <c r="G135" s="588" t="s">
        <v>43</v>
      </c>
      <c r="H135" s="589"/>
      <c r="I135" s="46" t="s">
        <v>74</v>
      </c>
      <c r="J135" s="44"/>
      <c r="K135" s="40"/>
      <c r="L135" s="254"/>
    </row>
    <row r="136" spans="1:12" ht="35.25" customHeight="1">
      <c r="A136" s="586"/>
      <c r="B136" s="586"/>
      <c r="C136" s="45" t="s">
        <v>55</v>
      </c>
      <c r="D136" s="590" t="s">
        <v>62</v>
      </c>
      <c r="E136" s="591"/>
      <c r="F136" s="255"/>
      <c r="G136" s="588" t="s">
        <v>44</v>
      </c>
      <c r="H136" s="589"/>
      <c r="I136" s="46" t="s">
        <v>75</v>
      </c>
      <c r="J136" s="47"/>
      <c r="K136" s="48"/>
      <c r="L136" s="255"/>
    </row>
    <row r="137" spans="1:12" ht="35.25" customHeight="1">
      <c r="A137" s="586" t="s">
        <v>35</v>
      </c>
      <c r="B137" s="586"/>
      <c r="C137" s="591" t="s">
        <v>36</v>
      </c>
      <c r="D137" s="587" t="s">
        <v>63</v>
      </c>
      <c r="E137" s="586"/>
      <c r="F137" s="256"/>
      <c r="G137" s="600" t="s">
        <v>41</v>
      </c>
      <c r="H137" s="601"/>
      <c r="I137" s="46" t="s">
        <v>76</v>
      </c>
      <c r="J137" s="44"/>
      <c r="K137" s="40"/>
      <c r="L137" s="256"/>
    </row>
    <row r="138" spans="1:12" ht="35.25" customHeight="1">
      <c r="A138" s="586"/>
      <c r="B138" s="586"/>
      <c r="C138" s="591"/>
      <c r="D138" s="590" t="s">
        <v>64</v>
      </c>
      <c r="E138" s="591"/>
      <c r="F138" s="28">
        <v>1</v>
      </c>
      <c r="G138" s="600" t="s">
        <v>45</v>
      </c>
      <c r="H138" s="601"/>
      <c r="I138" s="49" t="s">
        <v>40</v>
      </c>
      <c r="J138" s="47"/>
      <c r="K138" s="48"/>
      <c r="L138" s="28"/>
    </row>
    <row r="139" spans="1:12" ht="35.25" customHeight="1">
      <c r="A139" s="586"/>
      <c r="B139" s="586"/>
      <c r="C139" s="591"/>
      <c r="D139" s="587" t="s">
        <v>65</v>
      </c>
      <c r="E139" s="586"/>
      <c r="F139" s="28"/>
      <c r="G139" s="600" t="s">
        <v>46</v>
      </c>
      <c r="H139" s="601"/>
      <c r="I139" s="49" t="s">
        <v>50</v>
      </c>
      <c r="J139" s="44"/>
      <c r="K139" s="40"/>
      <c r="L139" s="28"/>
    </row>
    <row r="140" spans="1:12" ht="35.25" customHeight="1">
      <c r="A140" s="586"/>
      <c r="B140" s="586"/>
      <c r="C140" s="591"/>
      <c r="D140" s="587" t="s">
        <v>66</v>
      </c>
      <c r="E140" s="586"/>
      <c r="F140" s="28"/>
      <c r="G140" s="588" t="s">
        <v>47</v>
      </c>
      <c r="H140" s="589"/>
      <c r="I140" s="46" t="s">
        <v>99</v>
      </c>
      <c r="J140" s="44"/>
      <c r="K140" s="40"/>
      <c r="L140" s="28"/>
    </row>
    <row r="141" spans="1:12" ht="45" customHeight="1">
      <c r="A141" s="587" t="s">
        <v>37</v>
      </c>
      <c r="B141" s="587"/>
      <c r="C141" s="591" t="s">
        <v>56</v>
      </c>
      <c r="D141" s="587" t="s">
        <v>67</v>
      </c>
      <c r="E141" s="586"/>
      <c r="F141" s="28"/>
      <c r="G141" s="588" t="s">
        <v>47</v>
      </c>
      <c r="H141" s="589"/>
      <c r="I141" s="46" t="s">
        <v>100</v>
      </c>
      <c r="J141" s="44"/>
      <c r="K141" s="40"/>
      <c r="L141" s="28"/>
    </row>
    <row r="142" spans="1:12" ht="35.25" customHeight="1">
      <c r="A142" s="587"/>
      <c r="B142" s="587"/>
      <c r="C142" s="591"/>
      <c r="D142" s="587" t="s">
        <v>68</v>
      </c>
      <c r="E142" s="586"/>
      <c r="F142" s="28"/>
      <c r="G142" s="588" t="s">
        <v>47</v>
      </c>
      <c r="H142" s="589"/>
      <c r="I142" s="345" t="s">
        <v>101</v>
      </c>
      <c r="J142" s="44"/>
      <c r="K142" s="40"/>
      <c r="L142" s="28"/>
    </row>
    <row r="143" spans="1:12" ht="54.75" customHeight="1">
      <c r="A143" s="587"/>
      <c r="B143" s="587"/>
      <c r="C143" s="591"/>
      <c r="D143" s="587" t="s">
        <v>69</v>
      </c>
      <c r="E143" s="586"/>
      <c r="F143" s="28">
        <v>2</v>
      </c>
      <c r="G143" s="588" t="s">
        <v>48</v>
      </c>
      <c r="H143" s="589"/>
      <c r="I143" s="46" t="s">
        <v>77</v>
      </c>
      <c r="J143" s="44"/>
      <c r="K143" s="40"/>
      <c r="L143" s="28"/>
    </row>
    <row r="144" spans="1:12" ht="35.25" customHeight="1">
      <c r="A144" s="587"/>
      <c r="B144" s="587"/>
      <c r="C144" s="591"/>
      <c r="D144" s="587" t="s">
        <v>70</v>
      </c>
      <c r="E144" s="586"/>
      <c r="F144" s="28"/>
      <c r="G144" s="606" t="s">
        <v>49</v>
      </c>
      <c r="H144" s="607"/>
      <c r="I144" s="345" t="s">
        <v>78</v>
      </c>
      <c r="J144" s="44"/>
      <c r="K144" s="40"/>
      <c r="L144" s="28">
        <v>1</v>
      </c>
    </row>
    <row r="145" spans="1:12" ht="35.25" customHeight="1">
      <c r="A145" s="587"/>
      <c r="B145" s="587"/>
      <c r="C145" s="591"/>
      <c r="D145" s="587" t="s">
        <v>71</v>
      </c>
      <c r="E145" s="586"/>
      <c r="F145" s="28"/>
      <c r="G145" s="604"/>
      <c r="H145" s="605"/>
      <c r="I145" s="48"/>
      <c r="J145" s="44"/>
      <c r="K145" s="40"/>
      <c r="L145" s="28"/>
    </row>
    <row r="146" spans="1:12" ht="30" customHeight="1">
      <c r="G146" s="10" t="s">
        <v>51</v>
      </c>
      <c r="H146" s="10"/>
      <c r="I146" s="10"/>
      <c r="J146" s="603">
        <f>SUM(F132:F145)+SUM(L132:L145)</f>
        <v>15</v>
      </c>
      <c r="K146" s="603"/>
    </row>
    <row r="147" spans="1:12" ht="30" customHeight="1">
      <c r="A147" s="602" t="s">
        <v>79</v>
      </c>
      <c r="B147" s="602"/>
      <c r="C147" s="602" t="s">
        <v>91</v>
      </c>
      <c r="D147" s="602"/>
      <c r="E147" s="602"/>
      <c r="F147" s="348" t="s">
        <v>81</v>
      </c>
      <c r="G147" s="602" t="s">
        <v>92</v>
      </c>
      <c r="H147" s="602"/>
      <c r="I147" s="602" t="s">
        <v>84</v>
      </c>
      <c r="J147" s="602"/>
      <c r="K147" s="602"/>
      <c r="L147" s="348"/>
    </row>
    <row r="148" spans="1:12" ht="74.25" customHeight="1">
      <c r="A148" s="348"/>
      <c r="B148" s="348"/>
      <c r="C148" s="348"/>
      <c r="D148" s="348"/>
      <c r="E148" s="348"/>
      <c r="F148" s="348"/>
      <c r="G148" s="348"/>
      <c r="H148" s="348"/>
      <c r="I148" s="348"/>
      <c r="J148" s="348"/>
      <c r="K148" s="348"/>
      <c r="L148" s="348"/>
    </row>
    <row r="149" spans="1:12" ht="30" customHeight="1">
      <c r="A149" s="602" t="s">
        <v>93</v>
      </c>
      <c r="B149" s="602"/>
      <c r="C149" s="602" t="s">
        <v>94</v>
      </c>
      <c r="D149" s="602"/>
      <c r="E149" s="602"/>
      <c r="F149" s="348" t="s">
        <v>95</v>
      </c>
      <c r="G149" s="602" t="s">
        <v>96</v>
      </c>
      <c r="H149" s="602"/>
      <c r="I149" s="602" t="s">
        <v>97</v>
      </c>
      <c r="J149" s="602"/>
      <c r="K149" s="602"/>
      <c r="L149" s="348"/>
    </row>
    <row r="150" spans="1:12" ht="30" customHeight="1"/>
    <row r="151" spans="1:12" ht="30" customHeight="1"/>
    <row r="152" spans="1:12" ht="30" customHeight="1"/>
    <row r="153" spans="1:12" ht="30" customHeight="1"/>
    <row r="154" spans="1:12" ht="30" customHeight="1"/>
    <row r="155" spans="1:12" ht="30" customHeight="1"/>
    <row r="156" spans="1:12" ht="30" customHeight="1"/>
    <row r="157" spans="1:12" ht="30" customHeight="1"/>
    <row r="158" spans="1:12" ht="30" customHeight="1"/>
    <row r="159" spans="1:12" ht="30" customHeight="1"/>
    <row r="160" spans="1:12"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sheetData>
  <mergeCells count="62">
    <mergeCell ref="K117:L117"/>
    <mergeCell ref="B2:H2"/>
    <mergeCell ref="I2:L2"/>
    <mergeCell ref="C3:D3"/>
    <mergeCell ref="G3:I3"/>
    <mergeCell ref="C4:D4"/>
    <mergeCell ref="G4:I4"/>
    <mergeCell ref="C5:D5"/>
    <mergeCell ref="G5:I5"/>
    <mergeCell ref="C6:D6"/>
    <mergeCell ref="G6:I6"/>
    <mergeCell ref="E117:F117"/>
    <mergeCell ref="E130:F130"/>
    <mergeCell ref="K130:L130"/>
    <mergeCell ref="A131:B131"/>
    <mergeCell ref="D131:E131"/>
    <mergeCell ref="G131:H131"/>
    <mergeCell ref="J131:K131"/>
    <mergeCell ref="A132:B134"/>
    <mergeCell ref="C132:C133"/>
    <mergeCell ref="D132:E132"/>
    <mergeCell ref="G132:H133"/>
    <mergeCell ref="I132:I133"/>
    <mergeCell ref="D133:E133"/>
    <mergeCell ref="D134:E134"/>
    <mergeCell ref="G134:H134"/>
    <mergeCell ref="A137:B140"/>
    <mergeCell ref="C137:C140"/>
    <mergeCell ref="D137:E137"/>
    <mergeCell ref="G137:H137"/>
    <mergeCell ref="D138:E138"/>
    <mergeCell ref="G138:H138"/>
    <mergeCell ref="D139:E139"/>
    <mergeCell ref="G139:H139"/>
    <mergeCell ref="D140:E140"/>
    <mergeCell ref="G140:H140"/>
    <mergeCell ref="A135:B136"/>
    <mergeCell ref="D135:E135"/>
    <mergeCell ref="G135:H135"/>
    <mergeCell ref="D136:E136"/>
    <mergeCell ref="G136:H136"/>
    <mergeCell ref="A149:B149"/>
    <mergeCell ref="C149:E149"/>
    <mergeCell ref="G149:H149"/>
    <mergeCell ref="I149:K149"/>
    <mergeCell ref="G142:H142"/>
    <mergeCell ref="D143:E143"/>
    <mergeCell ref="G143:H143"/>
    <mergeCell ref="D144:E144"/>
    <mergeCell ref="G144:H144"/>
    <mergeCell ref="D145:E145"/>
    <mergeCell ref="G145:H145"/>
    <mergeCell ref="A141:B145"/>
    <mergeCell ref="C141:C145"/>
    <mergeCell ref="D141:E141"/>
    <mergeCell ref="G141:H141"/>
    <mergeCell ref="D142:E142"/>
    <mergeCell ref="J146:K146"/>
    <mergeCell ref="A147:B147"/>
    <mergeCell ref="C147:E147"/>
    <mergeCell ref="G147:H147"/>
    <mergeCell ref="I147:K147"/>
  </mergeCells>
  <conditionalFormatting sqref="H7 H130 H102:H126 H128 H11:H12">
    <cfRule type="cellIs" dxfId="61" priority="91" stopIfTrue="1" operator="greaterThan">
      <formula>$I$5</formula>
    </cfRule>
  </conditionalFormatting>
  <conditionalFormatting sqref="H129">
    <cfRule type="cellIs" dxfId="60" priority="90" stopIfTrue="1" operator="greaterThan">
      <formula>$I$5</formula>
    </cfRule>
  </conditionalFormatting>
  <conditionalFormatting sqref="H127">
    <cfRule type="cellIs" dxfId="59" priority="88" stopIfTrue="1" operator="greaterThan">
      <formula>$I$5</formula>
    </cfRule>
  </conditionalFormatting>
  <conditionalFormatting sqref="H100:H101">
    <cfRule type="cellIs" dxfId="58" priority="87" stopIfTrue="1" operator="greaterThan">
      <formula>$I$5</formula>
    </cfRule>
  </conditionalFormatting>
  <conditionalFormatting sqref="H9">
    <cfRule type="cellIs" dxfId="57" priority="86" stopIfTrue="1" operator="greaterThan">
      <formula>$I$5</formula>
    </cfRule>
  </conditionalFormatting>
  <conditionalFormatting sqref="H8">
    <cfRule type="cellIs" dxfId="56" priority="85" stopIfTrue="1" operator="greaterThan">
      <formula>$I$5</formula>
    </cfRule>
  </conditionalFormatting>
  <conditionalFormatting sqref="H98:H99">
    <cfRule type="cellIs" dxfId="55" priority="84" stopIfTrue="1" operator="greaterThan">
      <formula>$I$5</formula>
    </cfRule>
  </conditionalFormatting>
  <conditionalFormatting sqref="H96:H97">
    <cfRule type="cellIs" dxfId="54" priority="83" stopIfTrue="1" operator="greaterThan">
      <formula>$I$5</formula>
    </cfRule>
  </conditionalFormatting>
  <conditionalFormatting sqref="H87:H88">
    <cfRule type="cellIs" dxfId="53" priority="78" stopIfTrue="1" operator="greaterThan">
      <formula>$I$5</formula>
    </cfRule>
  </conditionalFormatting>
  <conditionalFormatting sqref="H85:H86">
    <cfRule type="cellIs" dxfId="52" priority="77" stopIfTrue="1" operator="greaterThan">
      <formula>$I$5</formula>
    </cfRule>
  </conditionalFormatting>
  <conditionalFormatting sqref="H94:H95">
    <cfRule type="cellIs" dxfId="51" priority="82" stopIfTrue="1" operator="greaterThan">
      <formula>$I$5</formula>
    </cfRule>
  </conditionalFormatting>
  <conditionalFormatting sqref="H92:H93">
    <cfRule type="cellIs" dxfId="50" priority="81" stopIfTrue="1" operator="greaterThan">
      <formula>$I$5</formula>
    </cfRule>
  </conditionalFormatting>
  <conditionalFormatting sqref="H90:H91">
    <cfRule type="cellIs" dxfId="49" priority="80" stopIfTrue="1" operator="greaterThan">
      <formula>$I$5</formula>
    </cfRule>
  </conditionalFormatting>
  <conditionalFormatting sqref="H89">
    <cfRule type="cellIs" dxfId="48" priority="79" stopIfTrue="1" operator="greaterThan">
      <formula>$I$5</formula>
    </cfRule>
  </conditionalFormatting>
  <conditionalFormatting sqref="H75 H84">
    <cfRule type="cellIs" dxfId="47" priority="76" stopIfTrue="1" operator="greaterThan">
      <formula>$I$5</formula>
    </cfRule>
  </conditionalFormatting>
  <conditionalFormatting sqref="H82:H83">
    <cfRule type="cellIs" dxfId="46" priority="75" stopIfTrue="1" operator="greaterThan">
      <formula>$I$5</formula>
    </cfRule>
  </conditionalFormatting>
  <conditionalFormatting sqref="H81">
    <cfRule type="cellIs" dxfId="45" priority="74" stopIfTrue="1" operator="greaterThan">
      <formula>$I$5</formula>
    </cfRule>
  </conditionalFormatting>
  <conditionalFormatting sqref="H79:H80">
    <cfRule type="cellIs" dxfId="44" priority="73" stopIfTrue="1" operator="greaterThan">
      <formula>$I$5</formula>
    </cfRule>
  </conditionalFormatting>
  <conditionalFormatting sqref="H77:H78">
    <cfRule type="cellIs" dxfId="43" priority="72" stopIfTrue="1" operator="greaterThan">
      <formula>$I$5</formula>
    </cfRule>
  </conditionalFormatting>
  <conditionalFormatting sqref="H76">
    <cfRule type="cellIs" dxfId="42" priority="71" stopIfTrue="1" operator="greaterThan">
      <formula>$I$5</formula>
    </cfRule>
  </conditionalFormatting>
  <conditionalFormatting sqref="H66:H67">
    <cfRule type="cellIs" dxfId="41" priority="70" stopIfTrue="1" operator="greaterThan">
      <formula>$I$5</formula>
    </cfRule>
  </conditionalFormatting>
  <conditionalFormatting sqref="H64:H65">
    <cfRule type="cellIs" dxfId="40" priority="69" stopIfTrue="1" operator="greaterThan">
      <formula>$I$5</formula>
    </cfRule>
  </conditionalFormatting>
  <conditionalFormatting sqref="H63">
    <cfRule type="cellIs" dxfId="39" priority="68" stopIfTrue="1" operator="greaterThan">
      <formula>$I$5</formula>
    </cfRule>
  </conditionalFormatting>
  <conditionalFormatting sqref="H59">
    <cfRule type="cellIs" dxfId="38" priority="67" stopIfTrue="1" operator="greaterThan">
      <formula>$I$5</formula>
    </cfRule>
  </conditionalFormatting>
  <conditionalFormatting sqref="H61:H62">
    <cfRule type="cellIs" dxfId="37" priority="66" stopIfTrue="1" operator="greaterThan">
      <formula>$I$5</formula>
    </cfRule>
  </conditionalFormatting>
  <conditionalFormatting sqref="H60">
    <cfRule type="cellIs" dxfId="36" priority="65" stopIfTrue="1" operator="greaterThan">
      <formula>$I$5</formula>
    </cfRule>
  </conditionalFormatting>
  <conditionalFormatting sqref="H57:H58">
    <cfRule type="cellIs" dxfId="35" priority="64" stopIfTrue="1" operator="greaterThan">
      <formula>$I$5</formula>
    </cfRule>
  </conditionalFormatting>
  <conditionalFormatting sqref="H55:H56">
    <cfRule type="cellIs" dxfId="34" priority="63" stopIfTrue="1" operator="greaterThan">
      <formula>$I$5</formula>
    </cfRule>
  </conditionalFormatting>
  <conditionalFormatting sqref="H54">
    <cfRule type="cellIs" dxfId="33" priority="62" stopIfTrue="1" operator="greaterThan">
      <formula>$I$5</formula>
    </cfRule>
  </conditionalFormatting>
  <conditionalFormatting sqref="H53">
    <cfRule type="cellIs" dxfId="32" priority="61" stopIfTrue="1" operator="greaterThan">
      <formula>$I$5</formula>
    </cfRule>
  </conditionalFormatting>
  <conditionalFormatting sqref="H51:H52">
    <cfRule type="cellIs" dxfId="31" priority="60" stopIfTrue="1" operator="greaterThan">
      <formula>$I$5</formula>
    </cfRule>
  </conditionalFormatting>
  <conditionalFormatting sqref="H50">
    <cfRule type="cellIs" dxfId="30" priority="59" stopIfTrue="1" operator="greaterThan">
      <formula>$I$5</formula>
    </cfRule>
  </conditionalFormatting>
  <conditionalFormatting sqref="H46">
    <cfRule type="cellIs" dxfId="29" priority="58" stopIfTrue="1" operator="greaterThan">
      <formula>$I$5</formula>
    </cfRule>
  </conditionalFormatting>
  <conditionalFormatting sqref="H48:H49">
    <cfRule type="cellIs" dxfId="28" priority="57" stopIfTrue="1" operator="greaterThan">
      <formula>$I$5</formula>
    </cfRule>
  </conditionalFormatting>
  <conditionalFormatting sqref="H47">
    <cfRule type="cellIs" dxfId="27" priority="56" stopIfTrue="1" operator="greaterThan">
      <formula>$I$5</formula>
    </cfRule>
  </conditionalFormatting>
  <conditionalFormatting sqref="H44:H45">
    <cfRule type="cellIs" dxfId="26" priority="55" stopIfTrue="1" operator="greaterThan">
      <formula>$I$5</formula>
    </cfRule>
  </conditionalFormatting>
  <conditionalFormatting sqref="H42:H43">
    <cfRule type="cellIs" dxfId="25" priority="54" stopIfTrue="1" operator="greaterThan">
      <formula>$I$5</formula>
    </cfRule>
  </conditionalFormatting>
  <conditionalFormatting sqref="H30">
    <cfRule type="cellIs" dxfId="24" priority="53" stopIfTrue="1" operator="greaterThan">
      <formula>$I$5</formula>
    </cfRule>
  </conditionalFormatting>
  <conditionalFormatting sqref="H40:H41">
    <cfRule type="cellIs" dxfId="23" priority="52" stopIfTrue="1" operator="greaterThan">
      <formula>$I$5</formula>
    </cfRule>
  </conditionalFormatting>
  <conditionalFormatting sqref="H39">
    <cfRule type="cellIs" dxfId="22" priority="51" stopIfTrue="1" operator="greaterThan">
      <formula>$I$5</formula>
    </cfRule>
  </conditionalFormatting>
  <conditionalFormatting sqref="H35">
    <cfRule type="cellIs" dxfId="21" priority="50" stopIfTrue="1" operator="greaterThan">
      <formula>$I$5</formula>
    </cfRule>
  </conditionalFormatting>
  <conditionalFormatting sqref="H37:H38">
    <cfRule type="cellIs" dxfId="20" priority="49" stopIfTrue="1" operator="greaterThan">
      <formula>$I$5</formula>
    </cfRule>
  </conditionalFormatting>
  <conditionalFormatting sqref="H36">
    <cfRule type="cellIs" dxfId="19" priority="48" stopIfTrue="1" operator="greaterThan">
      <formula>$I$5</formula>
    </cfRule>
  </conditionalFormatting>
  <conditionalFormatting sqref="H33:H34">
    <cfRule type="cellIs" dxfId="18" priority="47" stopIfTrue="1" operator="greaterThan">
      <formula>$I$5</formula>
    </cfRule>
  </conditionalFormatting>
  <conditionalFormatting sqref="H31:H32">
    <cfRule type="cellIs" dxfId="17" priority="46" stopIfTrue="1" operator="greaterThan">
      <formula>$I$5</formula>
    </cfRule>
  </conditionalFormatting>
  <conditionalFormatting sqref="H23">
    <cfRule type="cellIs" dxfId="16" priority="45" stopIfTrue="1" operator="greaterThan">
      <formula>$I$5</formula>
    </cfRule>
  </conditionalFormatting>
  <conditionalFormatting sqref="H28">
    <cfRule type="cellIs" dxfId="15" priority="44" stopIfTrue="1" operator="greaterThan">
      <formula>$I$5</formula>
    </cfRule>
  </conditionalFormatting>
  <conditionalFormatting sqref="H29">
    <cfRule type="cellIs" dxfId="14" priority="43" stopIfTrue="1" operator="greaterThan">
      <formula>$I$5</formula>
    </cfRule>
  </conditionalFormatting>
  <conditionalFormatting sqref="H26:H27">
    <cfRule type="cellIs" dxfId="13" priority="42" stopIfTrue="1" operator="greaterThan">
      <formula>$I$5</formula>
    </cfRule>
  </conditionalFormatting>
  <conditionalFormatting sqref="H24:H25">
    <cfRule type="cellIs" dxfId="12" priority="41" stopIfTrue="1" operator="greaterThan">
      <formula>$I$5</formula>
    </cfRule>
  </conditionalFormatting>
  <conditionalFormatting sqref="H18">
    <cfRule type="cellIs" dxfId="11" priority="40" stopIfTrue="1" operator="greaterThan">
      <formula>$I$5</formula>
    </cfRule>
  </conditionalFormatting>
  <conditionalFormatting sqref="H21:H22">
    <cfRule type="cellIs" dxfId="10" priority="39" stopIfTrue="1" operator="greaterThan">
      <formula>$I$5</formula>
    </cfRule>
  </conditionalFormatting>
  <conditionalFormatting sqref="H19:H20">
    <cfRule type="cellIs" dxfId="9" priority="38" stopIfTrue="1" operator="greaterThan">
      <formula>$I$5</formula>
    </cfRule>
  </conditionalFormatting>
  <conditionalFormatting sqref="H15">
    <cfRule type="cellIs" dxfId="8" priority="37" stopIfTrue="1" operator="greaterThan">
      <formula>$I$5</formula>
    </cfRule>
  </conditionalFormatting>
  <conditionalFormatting sqref="H16:H17">
    <cfRule type="cellIs" dxfId="7" priority="36" stopIfTrue="1" operator="greaterThan">
      <formula>$I$5</formula>
    </cfRule>
  </conditionalFormatting>
  <conditionalFormatting sqref="H13:H14">
    <cfRule type="cellIs" dxfId="6" priority="35" stopIfTrue="1" operator="greaterThan">
      <formula>$I$5</formula>
    </cfRule>
  </conditionalFormatting>
  <conditionalFormatting sqref="H10">
    <cfRule type="cellIs" dxfId="5" priority="9" stopIfTrue="1" operator="greaterThan">
      <formula>$I$5</formula>
    </cfRule>
  </conditionalFormatting>
  <conditionalFormatting sqref="H68">
    <cfRule type="cellIs" dxfId="4" priority="8" stopIfTrue="1" operator="greaterThan">
      <formula>$I$5</formula>
    </cfRule>
  </conditionalFormatting>
  <conditionalFormatting sqref="H74">
    <cfRule type="cellIs" dxfId="3" priority="7" stopIfTrue="1" operator="greaterThan">
      <formula>$I$5</formula>
    </cfRule>
  </conditionalFormatting>
  <conditionalFormatting sqref="H72:H73">
    <cfRule type="cellIs" dxfId="2" priority="6" stopIfTrue="1" operator="greaterThan">
      <formula>$I$5</formula>
    </cfRule>
  </conditionalFormatting>
  <conditionalFormatting sqref="H70:H71">
    <cfRule type="cellIs" dxfId="1" priority="5" stopIfTrue="1" operator="greaterThan">
      <formula>$I$5</formula>
    </cfRule>
  </conditionalFormatting>
  <conditionalFormatting sqref="H69">
    <cfRule type="cellIs" dxfId="0" priority="4" stopIfTrue="1" operator="greaterThan">
      <formula>$I$5</formula>
    </cfRule>
  </conditionalFormatting>
  <printOptions horizontalCentered="1"/>
  <pageMargins left="0.24" right="0.25" top="0.17" bottom="0.35" header="0.17" footer="0.17"/>
  <pageSetup paperSize="9" scale="42" orientation="portrait" r:id="rId1"/>
  <rowBreaks count="3" manualBreakCount="3">
    <brk id="64" max="11" man="1"/>
    <brk id="129" max="11" man="1"/>
    <brk id="150"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13" workbookViewId="0">
      <selection activeCell="C3" sqref="C3"/>
    </sheetView>
  </sheetViews>
  <sheetFormatPr defaultColWidth="9.109375" defaultRowHeight="13.2"/>
  <cols>
    <col min="1" max="1" width="14.6640625" style="64" customWidth="1"/>
    <col min="2" max="2" width="13" style="64" customWidth="1"/>
    <col min="3" max="3" width="14.6640625" style="64" customWidth="1"/>
    <col min="4" max="4" width="78.33203125" style="64" customWidth="1"/>
    <col min="5" max="16384" width="9.109375" style="64"/>
  </cols>
  <sheetData>
    <row r="1" spans="1:11" ht="27.75" customHeight="1">
      <c r="A1" s="62" t="s">
        <v>102</v>
      </c>
      <c r="B1" s="62" t="s">
        <v>103</v>
      </c>
      <c r="C1" s="63" t="s">
        <v>104</v>
      </c>
      <c r="D1" s="63" t="s">
        <v>105</v>
      </c>
    </row>
    <row r="2" spans="1:11" ht="123.6" customHeight="1">
      <c r="A2" s="61" t="s">
        <v>402</v>
      </c>
      <c r="B2" s="67" t="s">
        <v>294</v>
      </c>
      <c r="C2" s="66" t="s">
        <v>296</v>
      </c>
      <c r="D2" s="68" t="s">
        <v>308</v>
      </c>
    </row>
    <row r="3" spans="1:11" ht="115.2" customHeight="1">
      <c r="A3" s="338" t="s">
        <v>309</v>
      </c>
      <c r="B3" s="66" t="s">
        <v>52</v>
      </c>
      <c r="C3" s="66" t="s">
        <v>275</v>
      </c>
      <c r="D3" s="65" t="s">
        <v>310</v>
      </c>
      <c r="F3" s="339" t="s">
        <v>106</v>
      </c>
      <c r="K3" s="69"/>
    </row>
    <row r="4" spans="1:11" ht="54" customHeight="1">
      <c r="A4" s="338">
        <v>2</v>
      </c>
      <c r="B4" s="66" t="s">
        <v>142</v>
      </c>
      <c r="C4" s="66" t="s">
        <v>274</v>
      </c>
      <c r="D4" s="65" t="s">
        <v>228</v>
      </c>
    </row>
    <row r="5" spans="1:11" ht="54" customHeight="1">
      <c r="A5" s="338">
        <v>5</v>
      </c>
      <c r="B5" s="66" t="s">
        <v>148</v>
      </c>
      <c r="C5" s="66" t="s">
        <v>274</v>
      </c>
      <c r="D5" s="65" t="s">
        <v>231</v>
      </c>
    </row>
    <row r="6" spans="1:11" ht="54" customHeight="1">
      <c r="A6" s="338">
        <v>3</v>
      </c>
      <c r="B6" s="66" t="s">
        <v>57</v>
      </c>
      <c r="C6" s="66" t="s">
        <v>288</v>
      </c>
      <c r="D6" s="65" t="s">
        <v>229</v>
      </c>
    </row>
    <row r="7" spans="1:11" ht="87" customHeight="1">
      <c r="A7" s="338" t="s">
        <v>333</v>
      </c>
      <c r="B7" s="66" t="s">
        <v>52</v>
      </c>
      <c r="C7" s="66" t="s">
        <v>275</v>
      </c>
      <c r="D7" s="65" t="s">
        <v>312</v>
      </c>
    </row>
    <row r="8" spans="1:11" ht="40.950000000000003" customHeight="1">
      <c r="A8" s="338" t="s">
        <v>306</v>
      </c>
      <c r="B8" s="66" t="s">
        <v>142</v>
      </c>
      <c r="C8" s="66" t="s">
        <v>274</v>
      </c>
      <c r="D8" s="65" t="s">
        <v>403</v>
      </c>
    </row>
    <row r="9" spans="1:11" ht="40.950000000000003" customHeight="1">
      <c r="A9" s="338" t="s">
        <v>306</v>
      </c>
      <c r="B9" s="66" t="s">
        <v>317</v>
      </c>
      <c r="C9" s="66" t="s">
        <v>276</v>
      </c>
      <c r="D9" s="65" t="s">
        <v>300</v>
      </c>
    </row>
    <row r="10" spans="1:11" ht="40.950000000000003" customHeight="1">
      <c r="A10" s="338" t="s">
        <v>306</v>
      </c>
      <c r="B10" s="66" t="s">
        <v>301</v>
      </c>
      <c r="C10" s="66" t="s">
        <v>275</v>
      </c>
      <c r="D10" s="65" t="s">
        <v>302</v>
      </c>
    </row>
    <row r="11" spans="1:11" ht="40.950000000000003" customHeight="1">
      <c r="A11" s="338" t="s">
        <v>306</v>
      </c>
      <c r="B11" s="66" t="s">
        <v>301</v>
      </c>
      <c r="C11" s="66" t="s">
        <v>275</v>
      </c>
      <c r="D11" s="65" t="s">
        <v>303</v>
      </c>
    </row>
    <row r="12" spans="1:11" ht="40.950000000000003" customHeight="1">
      <c r="A12" s="338" t="s">
        <v>306</v>
      </c>
      <c r="B12" s="66" t="s">
        <v>142</v>
      </c>
      <c r="C12" s="66" t="s">
        <v>274</v>
      </c>
      <c r="D12" s="65" t="s">
        <v>304</v>
      </c>
    </row>
    <row r="13" spans="1:11" ht="40.950000000000003" customHeight="1">
      <c r="A13" s="338" t="s">
        <v>306</v>
      </c>
      <c r="B13" s="66" t="s">
        <v>52</v>
      </c>
      <c r="C13" s="66" t="s">
        <v>297</v>
      </c>
      <c r="D13" s="65" t="s">
        <v>298</v>
      </c>
    </row>
    <row r="14" spans="1:11" ht="54" customHeight="1">
      <c r="A14" s="338">
        <v>27</v>
      </c>
      <c r="B14" s="66" t="s">
        <v>142</v>
      </c>
      <c r="C14" s="66" t="s">
        <v>274</v>
      </c>
      <c r="D14" s="65" t="s">
        <v>240</v>
      </c>
    </row>
    <row r="15" spans="1:11" ht="54" customHeight="1">
      <c r="A15" s="338">
        <v>28</v>
      </c>
      <c r="B15" s="66" t="s">
        <v>166</v>
      </c>
      <c r="C15" s="66" t="s">
        <v>287</v>
      </c>
      <c r="D15" s="65" t="s">
        <v>241</v>
      </c>
    </row>
    <row r="16" spans="1:11" ht="54" customHeight="1">
      <c r="A16" s="338">
        <v>29</v>
      </c>
      <c r="B16" s="66" t="s">
        <v>142</v>
      </c>
      <c r="C16" s="66" t="s">
        <v>274</v>
      </c>
      <c r="D16" s="65" t="s">
        <v>242</v>
      </c>
    </row>
    <row r="17" spans="1:4" ht="54" customHeight="1">
      <c r="A17" s="338">
        <v>30</v>
      </c>
      <c r="B17" s="66" t="s">
        <v>52</v>
      </c>
      <c r="C17" s="66" t="s">
        <v>275</v>
      </c>
      <c r="D17" s="65" t="s">
        <v>243</v>
      </c>
    </row>
    <row r="18" spans="1:4" ht="54" customHeight="1">
      <c r="A18" s="338" t="s">
        <v>290</v>
      </c>
      <c r="B18" s="66" t="s">
        <v>52</v>
      </c>
      <c r="C18" s="66" t="s">
        <v>275</v>
      </c>
      <c r="D18" s="65" t="s">
        <v>292</v>
      </c>
    </row>
    <row r="19" spans="1:4" ht="54" customHeight="1">
      <c r="A19" s="338">
        <v>32</v>
      </c>
      <c r="B19" s="66" t="s">
        <v>52</v>
      </c>
      <c r="C19" s="66" t="s">
        <v>275</v>
      </c>
      <c r="D19" s="65" t="s">
        <v>245</v>
      </c>
    </row>
    <row r="20" spans="1:4" ht="73.2" customHeight="1">
      <c r="A20" s="338">
        <v>33</v>
      </c>
      <c r="B20" s="66" t="s">
        <v>57</v>
      </c>
      <c r="C20" s="66" t="s">
        <v>316</v>
      </c>
      <c r="D20" s="65" t="s">
        <v>401</v>
      </c>
    </row>
    <row r="21" spans="1:4" ht="54" customHeight="1">
      <c r="A21" s="338">
        <v>35</v>
      </c>
      <c r="B21" s="66" t="s">
        <v>52</v>
      </c>
      <c r="C21" s="66" t="s">
        <v>275</v>
      </c>
      <c r="D21" s="65" t="s">
        <v>248</v>
      </c>
    </row>
    <row r="22" spans="1:4" ht="54" customHeight="1">
      <c r="A22" s="338">
        <v>36</v>
      </c>
      <c r="B22" s="66" t="s">
        <v>52</v>
      </c>
      <c r="C22" s="66" t="s">
        <v>275</v>
      </c>
      <c r="D22" s="65" t="s">
        <v>249</v>
      </c>
    </row>
    <row r="23" spans="1:4" ht="100.2" customHeight="1">
      <c r="A23" s="338" t="s">
        <v>313</v>
      </c>
      <c r="B23" s="66" t="s">
        <v>52</v>
      </c>
      <c r="C23" s="66" t="s">
        <v>275</v>
      </c>
      <c r="D23" s="65" t="s">
        <v>337</v>
      </c>
    </row>
    <row r="24" spans="1:4" ht="54" customHeight="1">
      <c r="A24" s="338">
        <v>22</v>
      </c>
      <c r="B24" s="66" t="s">
        <v>166</v>
      </c>
      <c r="C24" s="66" t="s">
        <v>287</v>
      </c>
      <c r="D24" s="65" t="s">
        <v>262</v>
      </c>
    </row>
    <row r="25" spans="1:4" ht="54" customHeight="1">
      <c r="A25" s="338">
        <v>25</v>
      </c>
      <c r="B25" s="66" t="s">
        <v>166</v>
      </c>
      <c r="C25" s="66" t="s">
        <v>287</v>
      </c>
      <c r="D25" s="65" t="s">
        <v>263</v>
      </c>
    </row>
    <row r="26" spans="1:4" ht="54" customHeight="1">
      <c r="A26" s="338">
        <v>26</v>
      </c>
      <c r="B26" s="66" t="s">
        <v>166</v>
      </c>
      <c r="C26" s="66" t="s">
        <v>287</v>
      </c>
      <c r="D26" s="65" t="s">
        <v>239</v>
      </c>
    </row>
    <row r="27" spans="1:4" ht="54" customHeight="1">
      <c r="A27" s="338">
        <v>38</v>
      </c>
      <c r="B27" s="66" t="s">
        <v>166</v>
      </c>
      <c r="C27" s="66" t="s">
        <v>287</v>
      </c>
      <c r="D27" s="65" t="s">
        <v>252</v>
      </c>
    </row>
    <row r="28" spans="1:4" ht="54" customHeight="1">
      <c r="A28" s="338">
        <v>39</v>
      </c>
      <c r="B28" s="66" t="s">
        <v>166</v>
      </c>
      <c r="C28" s="66" t="s">
        <v>287</v>
      </c>
      <c r="D28" s="65" t="s">
        <v>251</v>
      </c>
    </row>
    <row r="29" spans="1:4" ht="42.6" customHeight="1">
      <c r="A29" s="338">
        <v>39</v>
      </c>
      <c r="B29" s="66" t="s">
        <v>166</v>
      </c>
      <c r="C29" s="66" t="s">
        <v>277</v>
      </c>
      <c r="D29" s="65" t="s">
        <v>251</v>
      </c>
    </row>
    <row r="30" spans="1:4" ht="42.6" customHeight="1">
      <c r="A30" s="338">
        <v>40</v>
      </c>
      <c r="B30" s="66" t="s">
        <v>142</v>
      </c>
      <c r="C30" s="66" t="s">
        <v>288</v>
      </c>
      <c r="D30" s="65" t="s">
        <v>253</v>
      </c>
    </row>
    <row r="31" spans="1:4" ht="42.6" customHeight="1">
      <c r="A31" s="338">
        <v>41</v>
      </c>
      <c r="B31" s="66" t="s">
        <v>189</v>
      </c>
      <c r="C31" s="66" t="s">
        <v>404</v>
      </c>
      <c r="D31" s="65" t="s">
        <v>281</v>
      </c>
    </row>
    <row r="32" spans="1:4" ht="42.6" customHeight="1">
      <c r="A32" s="338">
        <v>42</v>
      </c>
      <c r="B32" s="66" t="s">
        <v>189</v>
      </c>
      <c r="C32" s="66" t="s">
        <v>288</v>
      </c>
      <c r="D32" s="65" t="s">
        <v>255</v>
      </c>
    </row>
    <row r="33" spans="1:4" ht="42.6" customHeight="1">
      <c r="A33" s="338">
        <v>43</v>
      </c>
      <c r="B33" s="66" t="s">
        <v>52</v>
      </c>
      <c r="C33" s="66" t="s">
        <v>275</v>
      </c>
      <c r="D33" s="65" t="s">
        <v>256</v>
      </c>
    </row>
    <row r="34" spans="1:4" ht="125.4" customHeight="1">
      <c r="A34" s="338" t="s">
        <v>338</v>
      </c>
      <c r="B34" s="66" t="s">
        <v>147</v>
      </c>
      <c r="C34" s="66" t="s">
        <v>279</v>
      </c>
      <c r="D34" s="65" t="s">
        <v>286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D7" sqref="D7:D10"/>
    </sheetView>
  </sheetViews>
  <sheetFormatPr defaultColWidth="9.109375" defaultRowHeight="13.2"/>
  <cols>
    <col min="1" max="1" width="14.6640625" style="64" customWidth="1"/>
    <col min="2" max="2" width="13" style="64" customWidth="1"/>
    <col min="3" max="3" width="14.6640625" style="64" customWidth="1"/>
    <col min="4" max="4" width="78.33203125" style="64" customWidth="1"/>
    <col min="5" max="16384" width="9.109375" style="64"/>
  </cols>
  <sheetData>
    <row r="1" spans="1:11" ht="27.75" customHeight="1">
      <c r="A1" s="62" t="s">
        <v>102</v>
      </c>
      <c r="B1" s="62" t="s">
        <v>103</v>
      </c>
      <c r="C1" s="63" t="s">
        <v>104</v>
      </c>
      <c r="D1" s="63" t="s">
        <v>105</v>
      </c>
    </row>
    <row r="2" spans="1:11" ht="100.5" customHeight="1">
      <c r="A2" s="61" t="s">
        <v>331</v>
      </c>
      <c r="B2" s="67" t="s">
        <v>294</v>
      </c>
      <c r="C2" s="66" t="s">
        <v>296</v>
      </c>
      <c r="D2" s="68" t="s">
        <v>308</v>
      </c>
    </row>
    <row r="3" spans="1:11" ht="129" customHeight="1">
      <c r="A3" s="291" t="s">
        <v>309</v>
      </c>
      <c r="B3" s="66" t="s">
        <v>52</v>
      </c>
      <c r="C3" s="66" t="s">
        <v>275</v>
      </c>
      <c r="D3" s="65" t="s">
        <v>332</v>
      </c>
    </row>
    <row r="4" spans="1:11" ht="49.5" customHeight="1">
      <c r="A4" s="291">
        <v>2</v>
      </c>
      <c r="B4" s="66" t="s">
        <v>142</v>
      </c>
      <c r="C4" s="66" t="s">
        <v>274</v>
      </c>
      <c r="D4" s="65" t="s">
        <v>328</v>
      </c>
      <c r="K4" s="69" t="s">
        <v>106</v>
      </c>
    </row>
    <row r="5" spans="1:11" ht="51" customHeight="1">
      <c r="A5" s="291">
        <v>5</v>
      </c>
      <c r="B5" s="66" t="s">
        <v>148</v>
      </c>
      <c r="C5" s="66" t="s">
        <v>274</v>
      </c>
      <c r="D5" s="65" t="s">
        <v>329</v>
      </c>
    </row>
    <row r="6" spans="1:11" ht="71.25" customHeight="1">
      <c r="A6" s="291" t="s">
        <v>333</v>
      </c>
      <c r="B6" s="66" t="s">
        <v>52</v>
      </c>
      <c r="C6" s="66" t="s">
        <v>275</v>
      </c>
      <c r="D6" s="65" t="s">
        <v>312</v>
      </c>
    </row>
    <row r="7" spans="1:11" ht="49.5" customHeight="1">
      <c r="A7" s="291" t="s">
        <v>306</v>
      </c>
      <c r="B7" s="66" t="s">
        <v>142</v>
      </c>
      <c r="C7" s="66" t="s">
        <v>274</v>
      </c>
      <c r="D7" s="65" t="s">
        <v>299</v>
      </c>
    </row>
    <row r="8" spans="1:11" ht="49.5" customHeight="1">
      <c r="A8" s="291" t="s">
        <v>334</v>
      </c>
      <c r="B8" s="66" t="s">
        <v>317</v>
      </c>
      <c r="C8" s="66" t="s">
        <v>276</v>
      </c>
      <c r="D8" s="65" t="s">
        <v>335</v>
      </c>
    </row>
    <row r="9" spans="1:11" ht="49.5" customHeight="1">
      <c r="A9" s="291" t="s">
        <v>306</v>
      </c>
      <c r="B9" s="66" t="s">
        <v>301</v>
      </c>
      <c r="C9" s="66" t="s">
        <v>275</v>
      </c>
      <c r="D9" s="65" t="s">
        <v>302</v>
      </c>
    </row>
    <row r="10" spans="1:11" ht="49.5" customHeight="1">
      <c r="A10" s="291" t="s">
        <v>306</v>
      </c>
      <c r="B10" s="66" t="s">
        <v>301</v>
      </c>
      <c r="C10" s="66" t="s">
        <v>275</v>
      </c>
      <c r="D10" s="65" t="s">
        <v>303</v>
      </c>
    </row>
    <row r="11" spans="1:11" ht="49.5" customHeight="1">
      <c r="A11" s="291" t="s">
        <v>306</v>
      </c>
      <c r="B11" s="66" t="s">
        <v>142</v>
      </c>
      <c r="C11" s="66" t="s">
        <v>274</v>
      </c>
      <c r="D11" s="65" t="s">
        <v>304</v>
      </c>
    </row>
    <row r="12" spans="1:11" ht="49.5" customHeight="1">
      <c r="A12" s="291" t="s">
        <v>306</v>
      </c>
      <c r="B12" s="66" t="s">
        <v>52</v>
      </c>
      <c r="C12" s="66" t="s">
        <v>297</v>
      </c>
      <c r="D12" s="65" t="s">
        <v>324</v>
      </c>
    </row>
    <row r="13" spans="1:11" ht="49.5" customHeight="1">
      <c r="A13" s="291">
        <v>27</v>
      </c>
      <c r="B13" s="66" t="s">
        <v>142</v>
      </c>
      <c r="C13" s="66" t="s">
        <v>274</v>
      </c>
      <c r="D13" s="65" t="s">
        <v>240</v>
      </c>
    </row>
    <row r="14" spans="1:11" ht="49.5" customHeight="1">
      <c r="A14" s="291">
        <v>28</v>
      </c>
      <c r="B14" s="66" t="s">
        <v>166</v>
      </c>
      <c r="C14" s="66" t="s">
        <v>277</v>
      </c>
      <c r="D14" s="65" t="s">
        <v>241</v>
      </c>
    </row>
    <row r="15" spans="1:11" ht="49.5" customHeight="1">
      <c r="A15" s="291">
        <v>29</v>
      </c>
      <c r="B15" s="66" t="s">
        <v>142</v>
      </c>
      <c r="C15" s="66" t="s">
        <v>274</v>
      </c>
      <c r="D15" s="65" t="s">
        <v>242</v>
      </c>
    </row>
    <row r="16" spans="1:11" ht="70.5" customHeight="1">
      <c r="A16" s="291">
        <v>30</v>
      </c>
      <c r="B16" s="66" t="s">
        <v>52</v>
      </c>
      <c r="C16" s="66" t="s">
        <v>275</v>
      </c>
      <c r="D16" s="65" t="s">
        <v>330</v>
      </c>
    </row>
    <row r="17" spans="1:4" ht="78.75" customHeight="1">
      <c r="A17" s="291" t="s">
        <v>290</v>
      </c>
      <c r="B17" s="66" t="s">
        <v>52</v>
      </c>
      <c r="C17" s="66" t="s">
        <v>275</v>
      </c>
      <c r="D17" s="65" t="s">
        <v>336</v>
      </c>
    </row>
    <row r="18" spans="1:4" ht="49.5" customHeight="1">
      <c r="A18" s="291">
        <v>32</v>
      </c>
      <c r="B18" s="66" t="s">
        <v>52</v>
      </c>
      <c r="C18" s="66" t="s">
        <v>275</v>
      </c>
      <c r="D18" s="65" t="s">
        <v>245</v>
      </c>
    </row>
    <row r="19" spans="1:4" ht="64.5" customHeight="1">
      <c r="A19" s="291">
        <v>33</v>
      </c>
      <c r="B19" s="66" t="s">
        <v>57</v>
      </c>
      <c r="C19" s="66" t="s">
        <v>316</v>
      </c>
      <c r="D19" s="65" t="s">
        <v>246</v>
      </c>
    </row>
    <row r="20" spans="1:4" ht="49.5" customHeight="1">
      <c r="A20" s="291">
        <v>35</v>
      </c>
      <c r="B20" s="66" t="s">
        <v>52</v>
      </c>
      <c r="C20" s="66" t="s">
        <v>275</v>
      </c>
      <c r="D20" s="65" t="s">
        <v>248</v>
      </c>
    </row>
    <row r="21" spans="1:4" ht="49.5" customHeight="1">
      <c r="A21" s="291">
        <v>36</v>
      </c>
      <c r="B21" s="66" t="s">
        <v>52</v>
      </c>
      <c r="C21" s="66" t="s">
        <v>275</v>
      </c>
      <c r="D21" s="65" t="s">
        <v>249</v>
      </c>
    </row>
    <row r="22" spans="1:4" ht="65.25" customHeight="1">
      <c r="A22" s="291" t="s">
        <v>313</v>
      </c>
      <c r="B22" s="66" t="s">
        <v>52</v>
      </c>
      <c r="C22" s="66" t="s">
        <v>275</v>
      </c>
      <c r="D22" s="65" t="s">
        <v>337</v>
      </c>
    </row>
    <row r="23" spans="1:4" ht="49.5" customHeight="1">
      <c r="A23" s="291">
        <v>22</v>
      </c>
      <c r="B23" s="66" t="s">
        <v>166</v>
      </c>
      <c r="C23" s="66" t="s">
        <v>287</v>
      </c>
      <c r="D23" s="65" t="s">
        <v>262</v>
      </c>
    </row>
    <row r="24" spans="1:4" ht="49.5" customHeight="1">
      <c r="A24" s="291">
        <v>25</v>
      </c>
      <c r="B24" s="66" t="s">
        <v>166</v>
      </c>
      <c r="C24" s="66" t="s">
        <v>287</v>
      </c>
      <c r="D24" s="65" t="s">
        <v>263</v>
      </c>
    </row>
    <row r="25" spans="1:4" ht="49.5" customHeight="1">
      <c r="A25" s="291">
        <v>26</v>
      </c>
      <c r="B25" s="66" t="s">
        <v>166</v>
      </c>
      <c r="C25" s="66" t="s">
        <v>287</v>
      </c>
      <c r="D25" s="65" t="s">
        <v>239</v>
      </c>
    </row>
    <row r="26" spans="1:4" ht="49.5" customHeight="1">
      <c r="A26" s="291">
        <v>38</v>
      </c>
      <c r="B26" s="66" t="s">
        <v>166</v>
      </c>
      <c r="C26" s="66" t="s">
        <v>287</v>
      </c>
      <c r="D26" s="65" t="s">
        <v>252</v>
      </c>
    </row>
    <row r="27" spans="1:4" ht="49.5" customHeight="1">
      <c r="A27" s="291">
        <v>39</v>
      </c>
      <c r="B27" s="66" t="s">
        <v>166</v>
      </c>
      <c r="C27" s="66" t="s">
        <v>287</v>
      </c>
      <c r="D27" s="65" t="s">
        <v>251</v>
      </c>
    </row>
    <row r="28" spans="1:4" ht="49.5" customHeight="1">
      <c r="A28" s="291">
        <v>39</v>
      </c>
      <c r="B28" s="66" t="s">
        <v>166</v>
      </c>
      <c r="C28" s="66" t="s">
        <v>277</v>
      </c>
      <c r="D28" s="65" t="s">
        <v>251</v>
      </c>
    </row>
    <row r="29" spans="1:4" ht="49.5" customHeight="1">
      <c r="A29" s="291">
        <v>40</v>
      </c>
      <c r="B29" s="66" t="s">
        <v>142</v>
      </c>
      <c r="C29" s="66" t="s">
        <v>276</v>
      </c>
      <c r="D29" s="65" t="s">
        <v>253</v>
      </c>
    </row>
    <row r="30" spans="1:4" ht="49.5" customHeight="1">
      <c r="A30" s="291">
        <v>41</v>
      </c>
      <c r="B30" s="66" t="s">
        <v>189</v>
      </c>
      <c r="C30" s="66" t="s">
        <v>278</v>
      </c>
      <c r="D30" s="65" t="s">
        <v>281</v>
      </c>
    </row>
    <row r="31" spans="1:4" ht="49.5" customHeight="1">
      <c r="A31" s="291">
        <v>42</v>
      </c>
      <c r="B31" s="66" t="s">
        <v>189</v>
      </c>
      <c r="C31" s="66" t="s">
        <v>288</v>
      </c>
      <c r="D31" s="65" t="s">
        <v>255</v>
      </c>
    </row>
    <row r="32" spans="1:4" ht="49.5" customHeight="1">
      <c r="A32" s="291">
        <v>43</v>
      </c>
      <c r="B32" s="66" t="s">
        <v>52</v>
      </c>
      <c r="C32" s="66" t="s">
        <v>275</v>
      </c>
      <c r="D32" s="65" t="s">
        <v>256</v>
      </c>
    </row>
    <row r="33" spans="1:4" ht="88.5" customHeight="1">
      <c r="A33" s="291" t="s">
        <v>338</v>
      </c>
      <c r="B33" s="66" t="s">
        <v>147</v>
      </c>
      <c r="C33" s="66" t="s">
        <v>279</v>
      </c>
      <c r="D33" s="65" t="s">
        <v>286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4"/>
  <sheetViews>
    <sheetView workbookViewId="0">
      <selection activeCell="C8" sqref="C8"/>
    </sheetView>
  </sheetViews>
  <sheetFormatPr defaultColWidth="9.109375" defaultRowHeight="13.2"/>
  <cols>
    <col min="1" max="1" width="11.88671875" style="64" customWidth="1"/>
    <col min="2" max="2" width="13" style="64" customWidth="1"/>
    <col min="3" max="3" width="14.6640625" style="64" customWidth="1"/>
    <col min="4" max="4" width="78.33203125" style="64" customWidth="1"/>
    <col min="5" max="16384" width="9.109375" style="64"/>
  </cols>
  <sheetData>
    <row r="1" spans="1:9" ht="27.75" customHeight="1">
      <c r="A1" s="62" t="s">
        <v>102</v>
      </c>
      <c r="B1" s="62" t="s">
        <v>103</v>
      </c>
      <c r="C1" s="63" t="s">
        <v>104</v>
      </c>
      <c r="D1" s="63" t="s">
        <v>105</v>
      </c>
    </row>
    <row r="2" spans="1:9" ht="126" customHeight="1">
      <c r="A2" s="59" t="s">
        <v>307</v>
      </c>
      <c r="B2" s="67" t="s">
        <v>294</v>
      </c>
      <c r="C2" s="66" t="s">
        <v>296</v>
      </c>
      <c r="D2" s="68" t="s">
        <v>308</v>
      </c>
    </row>
    <row r="3" spans="1:9" ht="115.5" customHeight="1">
      <c r="A3" s="59" t="s">
        <v>309</v>
      </c>
      <c r="B3" s="67" t="s">
        <v>52</v>
      </c>
      <c r="C3" s="67" t="s">
        <v>275</v>
      </c>
      <c r="D3" s="68" t="s">
        <v>310</v>
      </c>
      <c r="I3" s="69" t="s">
        <v>106</v>
      </c>
    </row>
    <row r="4" spans="1:9" ht="46.5" customHeight="1">
      <c r="A4" s="59">
        <v>2</v>
      </c>
      <c r="B4" s="66" t="s">
        <v>142</v>
      </c>
      <c r="C4" s="66" t="s">
        <v>274</v>
      </c>
      <c r="D4" s="65" t="s">
        <v>228</v>
      </c>
    </row>
    <row r="5" spans="1:9" ht="46.5" customHeight="1">
      <c r="A5" s="59">
        <v>5</v>
      </c>
      <c r="B5" s="66" t="s">
        <v>148</v>
      </c>
      <c r="C5" s="66" t="s">
        <v>274</v>
      </c>
      <c r="D5" s="65" t="s">
        <v>231</v>
      </c>
    </row>
    <row r="6" spans="1:9" ht="48.75" customHeight="1">
      <c r="A6" s="59">
        <v>3</v>
      </c>
      <c r="B6" s="66" t="s">
        <v>57</v>
      </c>
      <c r="C6" s="66" t="s">
        <v>276</v>
      </c>
      <c r="D6" s="65" t="s">
        <v>229</v>
      </c>
    </row>
    <row r="7" spans="1:9" ht="67.5" customHeight="1">
      <c r="A7" s="59" t="s">
        <v>311</v>
      </c>
      <c r="B7" s="66" t="s">
        <v>52</v>
      </c>
      <c r="C7" s="66" t="s">
        <v>275</v>
      </c>
      <c r="D7" s="65" t="s">
        <v>312</v>
      </c>
    </row>
    <row r="8" spans="1:9" ht="48" customHeight="1">
      <c r="A8" s="59" t="s">
        <v>306</v>
      </c>
      <c r="B8" s="66" t="s">
        <v>142</v>
      </c>
      <c r="C8" s="66" t="s">
        <v>274</v>
      </c>
      <c r="D8" s="65" t="s">
        <v>299</v>
      </c>
    </row>
    <row r="9" spans="1:9" ht="48" customHeight="1">
      <c r="A9" s="59" t="s">
        <v>306</v>
      </c>
      <c r="B9" s="66" t="s">
        <v>301</v>
      </c>
      <c r="C9" s="66" t="s">
        <v>275</v>
      </c>
      <c r="D9" s="65" t="s">
        <v>300</v>
      </c>
    </row>
    <row r="10" spans="1:9" ht="48" customHeight="1">
      <c r="A10" s="59" t="s">
        <v>306</v>
      </c>
      <c r="B10" s="66" t="s">
        <v>301</v>
      </c>
      <c r="C10" s="66" t="s">
        <v>275</v>
      </c>
      <c r="D10" s="65" t="s">
        <v>302</v>
      </c>
    </row>
    <row r="11" spans="1:9" ht="48" customHeight="1">
      <c r="A11" s="59" t="s">
        <v>306</v>
      </c>
      <c r="B11" s="66" t="s">
        <v>301</v>
      </c>
      <c r="C11" s="66" t="s">
        <v>275</v>
      </c>
      <c r="D11" s="65" t="s">
        <v>303</v>
      </c>
    </row>
    <row r="12" spans="1:9" ht="48" customHeight="1">
      <c r="A12" s="59" t="s">
        <v>306</v>
      </c>
      <c r="B12" s="66" t="s">
        <v>142</v>
      </c>
      <c r="C12" s="66" t="s">
        <v>274</v>
      </c>
      <c r="D12" s="65" t="s">
        <v>304</v>
      </c>
    </row>
    <row r="13" spans="1:9" ht="48" customHeight="1">
      <c r="A13" s="59" t="s">
        <v>306</v>
      </c>
      <c r="B13" s="66" t="s">
        <v>52</v>
      </c>
      <c r="C13" s="66" t="s">
        <v>297</v>
      </c>
      <c r="D13" s="65" t="s">
        <v>298</v>
      </c>
    </row>
    <row r="14" spans="1:9" ht="53.25" customHeight="1">
      <c r="A14" s="59">
        <v>27</v>
      </c>
      <c r="B14" s="66" t="s">
        <v>142</v>
      </c>
      <c r="C14" s="66" t="s">
        <v>274</v>
      </c>
      <c r="D14" s="65" t="s">
        <v>240</v>
      </c>
    </row>
    <row r="15" spans="1:9" ht="48.75" customHeight="1">
      <c r="A15" s="59">
        <v>28</v>
      </c>
      <c r="B15" s="66" t="s">
        <v>166</v>
      </c>
      <c r="C15" s="66" t="s">
        <v>287</v>
      </c>
      <c r="D15" s="65" t="s">
        <v>241</v>
      </c>
    </row>
    <row r="16" spans="1:9" ht="48.75" customHeight="1">
      <c r="A16" s="59">
        <v>29</v>
      </c>
      <c r="B16" s="66" t="s">
        <v>142</v>
      </c>
      <c r="C16" s="66" t="s">
        <v>274</v>
      </c>
      <c r="D16" s="65" t="s">
        <v>242</v>
      </c>
    </row>
    <row r="17" spans="1:4" ht="48" customHeight="1">
      <c r="A17" s="59">
        <v>30</v>
      </c>
      <c r="B17" s="66" t="s">
        <v>52</v>
      </c>
      <c r="C17" s="66" t="s">
        <v>275</v>
      </c>
      <c r="D17" s="65" t="s">
        <v>243</v>
      </c>
    </row>
    <row r="18" spans="1:4" ht="57" customHeight="1">
      <c r="A18" s="59" t="s">
        <v>290</v>
      </c>
      <c r="B18" s="66" t="s">
        <v>52</v>
      </c>
      <c r="C18" s="66" t="s">
        <v>275</v>
      </c>
      <c r="D18" s="65" t="s">
        <v>292</v>
      </c>
    </row>
    <row r="19" spans="1:4" ht="57" customHeight="1">
      <c r="A19" s="59">
        <v>32</v>
      </c>
      <c r="B19" s="66" t="s">
        <v>52</v>
      </c>
      <c r="C19" s="66" t="s">
        <v>275</v>
      </c>
      <c r="D19" s="65" t="s">
        <v>245</v>
      </c>
    </row>
    <row r="20" spans="1:4" ht="69" customHeight="1">
      <c r="A20" s="59">
        <v>33</v>
      </c>
      <c r="B20" s="66" t="s">
        <v>57</v>
      </c>
      <c r="C20" s="66" t="s">
        <v>316</v>
      </c>
      <c r="D20" s="65" t="s">
        <v>246</v>
      </c>
    </row>
    <row r="21" spans="1:4" ht="56.25" customHeight="1">
      <c r="A21" s="59">
        <v>35</v>
      </c>
      <c r="B21" s="66" t="s">
        <v>52</v>
      </c>
      <c r="C21" s="66" t="s">
        <v>275</v>
      </c>
      <c r="D21" s="65" t="s">
        <v>248</v>
      </c>
    </row>
    <row r="22" spans="1:4" ht="56.25" customHeight="1">
      <c r="A22" s="59">
        <v>36</v>
      </c>
      <c r="B22" s="66" t="s">
        <v>52</v>
      </c>
      <c r="C22" s="66" t="s">
        <v>275</v>
      </c>
      <c r="D22" s="65" t="s">
        <v>249</v>
      </c>
    </row>
    <row r="23" spans="1:4" ht="73.5" customHeight="1">
      <c r="A23" s="59" t="s">
        <v>313</v>
      </c>
      <c r="B23" s="66" t="s">
        <v>52</v>
      </c>
      <c r="C23" s="66" t="s">
        <v>275</v>
      </c>
      <c r="D23" s="65" t="s">
        <v>314</v>
      </c>
    </row>
    <row r="24" spans="1:4" ht="56.25" customHeight="1">
      <c r="A24" s="59">
        <v>22</v>
      </c>
      <c r="B24" s="66" t="s">
        <v>166</v>
      </c>
      <c r="C24" s="66" t="s">
        <v>287</v>
      </c>
      <c r="D24" s="65" t="s">
        <v>262</v>
      </c>
    </row>
    <row r="25" spans="1:4" ht="60" customHeight="1">
      <c r="A25" s="59">
        <v>25</v>
      </c>
      <c r="B25" s="66" t="s">
        <v>166</v>
      </c>
      <c r="C25" s="66" t="s">
        <v>287</v>
      </c>
      <c r="D25" s="65" t="s">
        <v>263</v>
      </c>
    </row>
    <row r="26" spans="1:4" ht="79.5" customHeight="1">
      <c r="A26" s="59">
        <v>26</v>
      </c>
      <c r="B26" s="66" t="s">
        <v>166</v>
      </c>
      <c r="C26" s="66" t="s">
        <v>287</v>
      </c>
      <c r="D26" s="65" t="s">
        <v>239</v>
      </c>
    </row>
    <row r="27" spans="1:4" ht="48" customHeight="1">
      <c r="A27" s="59">
        <v>38</v>
      </c>
      <c r="B27" s="66" t="s">
        <v>166</v>
      </c>
      <c r="C27" s="66" t="s">
        <v>287</v>
      </c>
      <c r="D27" s="65" t="s">
        <v>252</v>
      </c>
    </row>
    <row r="28" spans="1:4" ht="48" customHeight="1">
      <c r="A28" s="59">
        <v>39</v>
      </c>
      <c r="B28" s="66" t="s">
        <v>166</v>
      </c>
      <c r="C28" s="66" t="s">
        <v>287</v>
      </c>
      <c r="D28" s="65" t="s">
        <v>251</v>
      </c>
    </row>
    <row r="29" spans="1:4" ht="48" customHeight="1">
      <c r="A29" s="59">
        <v>39</v>
      </c>
      <c r="B29" s="66" t="s">
        <v>166</v>
      </c>
      <c r="C29" s="66" t="s">
        <v>277</v>
      </c>
      <c r="D29" s="65" t="s">
        <v>251</v>
      </c>
    </row>
    <row r="30" spans="1:4" ht="48" customHeight="1">
      <c r="A30" s="59">
        <v>40</v>
      </c>
      <c r="B30" s="66" t="s">
        <v>142</v>
      </c>
      <c r="C30" s="66" t="s">
        <v>276</v>
      </c>
      <c r="D30" s="65" t="s">
        <v>253</v>
      </c>
    </row>
    <row r="31" spans="1:4" ht="55.5" customHeight="1">
      <c r="A31" s="59">
        <v>41</v>
      </c>
      <c r="B31" s="66" t="s">
        <v>189</v>
      </c>
      <c r="C31" s="66" t="s">
        <v>278</v>
      </c>
      <c r="D31" s="65" t="s">
        <v>281</v>
      </c>
    </row>
    <row r="32" spans="1:4" ht="55.5" customHeight="1">
      <c r="A32" s="59">
        <v>42</v>
      </c>
      <c r="B32" s="66" t="s">
        <v>189</v>
      </c>
      <c r="C32" s="66" t="s">
        <v>288</v>
      </c>
      <c r="D32" s="65" t="s">
        <v>255</v>
      </c>
    </row>
    <row r="33" spans="1:4" ht="42.75" customHeight="1">
      <c r="A33" s="59">
        <v>43</v>
      </c>
      <c r="B33" s="66" t="s">
        <v>52</v>
      </c>
      <c r="C33" s="66" t="s">
        <v>275</v>
      </c>
      <c r="D33" s="65" t="s">
        <v>256</v>
      </c>
    </row>
    <row r="34" spans="1:4" ht="105" customHeight="1">
      <c r="A34" s="59" t="s">
        <v>315</v>
      </c>
      <c r="B34" s="66" t="s">
        <v>147</v>
      </c>
      <c r="C34" s="66" t="s">
        <v>279</v>
      </c>
      <c r="D34" s="65" t="s">
        <v>286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91"/>
  <sheetViews>
    <sheetView view="pageBreakPreview" topLeftCell="A70" zoomScale="50" zoomScaleNormal="50" zoomScaleSheetLayoutView="50" workbookViewId="0">
      <selection activeCell="B20" sqref="B20:N71"/>
    </sheetView>
  </sheetViews>
  <sheetFormatPr defaultColWidth="9.109375" defaultRowHeight="27.6"/>
  <cols>
    <col min="1" max="1" width="1.6640625" style="73" customWidth="1"/>
    <col min="2" max="2" width="8.44140625" style="197" customWidth="1"/>
    <col min="3" max="3" width="10.109375" style="197" customWidth="1"/>
    <col min="4" max="4" width="12.109375" style="197" customWidth="1"/>
    <col min="5" max="5" width="11.88671875" style="198" customWidth="1"/>
    <col min="6" max="6" width="4.109375" style="198" customWidth="1"/>
    <col min="7" max="7" width="23" style="198" customWidth="1"/>
    <col min="8" max="8" width="21.6640625" style="73" customWidth="1"/>
    <col min="9" max="9" width="20.88671875" style="73" customWidth="1"/>
    <col min="10" max="10" width="4.5546875" style="73" customWidth="1"/>
    <col min="11" max="11" width="16.33203125" style="73" customWidth="1"/>
    <col min="12" max="12" width="51.44140625" style="73" customWidth="1"/>
    <col min="13" max="20" width="10.6640625" style="73" customWidth="1"/>
    <col min="21" max="21" width="29.109375" style="73" customWidth="1"/>
    <col min="22" max="22" width="9.109375" style="73"/>
    <col min="23" max="24" width="19.109375" style="203" customWidth="1"/>
    <col min="25" max="25" width="10.88671875" style="73" customWidth="1"/>
    <col min="26" max="26" width="15.6640625" style="73" customWidth="1"/>
    <col min="27" max="27" width="19.6640625" style="73" customWidth="1"/>
    <col min="28" max="16384" width="9.109375" style="73"/>
  </cols>
  <sheetData>
    <row r="1" spans="1:21">
      <c r="A1" s="70"/>
      <c r="B1" s="71"/>
      <c r="C1" s="71"/>
      <c r="D1" s="71"/>
      <c r="E1" s="72"/>
      <c r="F1" s="72"/>
      <c r="G1" s="72"/>
      <c r="H1" s="70"/>
      <c r="I1" s="70"/>
      <c r="J1" s="70"/>
      <c r="K1" s="70"/>
      <c r="L1" s="70"/>
      <c r="M1" s="70"/>
      <c r="N1" s="70"/>
      <c r="O1" s="70"/>
      <c r="P1" s="70"/>
      <c r="Q1" s="70"/>
      <c r="R1" s="70"/>
      <c r="S1" s="70"/>
      <c r="T1" s="70"/>
      <c r="U1" s="70"/>
    </row>
    <row r="2" spans="1:21" ht="45.75" customHeight="1">
      <c r="A2" s="489" t="s">
        <v>107</v>
      </c>
      <c r="B2" s="489"/>
      <c r="C2" s="489"/>
      <c r="D2" s="489"/>
      <c r="E2" s="489"/>
      <c r="F2" s="489"/>
      <c r="G2" s="489"/>
      <c r="H2" s="489"/>
      <c r="I2" s="489"/>
      <c r="J2" s="489"/>
      <c r="K2" s="489"/>
      <c r="L2" s="489"/>
      <c r="M2" s="489"/>
      <c r="N2" s="489"/>
      <c r="O2" s="489"/>
      <c r="P2" s="489"/>
      <c r="Q2" s="489"/>
      <c r="R2" s="489"/>
      <c r="S2" s="489"/>
      <c r="T2" s="489"/>
      <c r="U2" s="489"/>
    </row>
    <row r="3" spans="1:21" ht="15" customHeight="1" thickBot="1">
      <c r="A3" s="70"/>
      <c r="B3" s="71"/>
      <c r="C3" s="71"/>
      <c r="D3" s="71"/>
      <c r="E3" s="72"/>
      <c r="F3" s="72"/>
      <c r="G3" s="72"/>
      <c r="H3" s="74"/>
      <c r="I3" s="74"/>
      <c r="J3" s="74"/>
      <c r="K3" s="70"/>
      <c r="L3" s="70"/>
      <c r="M3" s="70"/>
      <c r="N3" s="70"/>
      <c r="O3" s="70"/>
      <c r="P3" s="70"/>
      <c r="Q3" s="70"/>
      <c r="R3" s="70"/>
      <c r="S3" s="70"/>
      <c r="T3" s="70"/>
      <c r="U3" s="70"/>
    </row>
    <row r="4" spans="1:21" ht="50.1" customHeight="1" thickTop="1">
      <c r="A4" s="70"/>
      <c r="B4" s="75" t="s">
        <v>108</v>
      </c>
      <c r="C4" s="76"/>
      <c r="D4" s="76"/>
      <c r="E4" s="77"/>
      <c r="F4" s="78" t="s">
        <v>109</v>
      </c>
      <c r="G4" s="490" t="s">
        <v>110</v>
      </c>
      <c r="H4" s="490" t="s">
        <v>111</v>
      </c>
      <c r="I4" s="490" t="s">
        <v>111</v>
      </c>
      <c r="J4" s="490" t="s">
        <v>111</v>
      </c>
      <c r="K4" s="491" t="s">
        <v>111</v>
      </c>
      <c r="L4" s="79" t="s">
        <v>112</v>
      </c>
      <c r="M4" s="80"/>
      <c r="N4" s="80"/>
      <c r="O4" s="80"/>
      <c r="P4" s="81"/>
      <c r="Q4" s="82"/>
      <c r="R4" s="82"/>
      <c r="S4" s="82"/>
      <c r="T4" s="82"/>
      <c r="U4" s="83"/>
    </row>
    <row r="5" spans="1:21" ht="50.1" customHeight="1">
      <c r="A5" s="70"/>
      <c r="B5" s="75" t="s">
        <v>113</v>
      </c>
      <c r="C5" s="76"/>
      <c r="D5" s="76"/>
      <c r="E5" s="77"/>
      <c r="F5" s="78" t="s">
        <v>109</v>
      </c>
      <c r="G5" s="492" t="s">
        <v>114</v>
      </c>
      <c r="H5" s="492" t="s">
        <v>115</v>
      </c>
      <c r="I5" s="492" t="s">
        <v>115</v>
      </c>
      <c r="J5" s="492" t="s">
        <v>115</v>
      </c>
      <c r="K5" s="493" t="s">
        <v>115</v>
      </c>
      <c r="L5" s="84"/>
      <c r="M5" s="85"/>
      <c r="N5" s="85"/>
      <c r="O5" s="85"/>
      <c r="P5" s="86" t="s">
        <v>116</v>
      </c>
      <c r="Q5" s="86"/>
      <c r="R5" s="86"/>
      <c r="S5" s="86"/>
      <c r="T5" s="86"/>
      <c r="U5" s="87" t="s">
        <v>116</v>
      </c>
    </row>
    <row r="6" spans="1:21" ht="50.1" customHeight="1">
      <c r="A6" s="70"/>
      <c r="B6" s="75" t="s">
        <v>117</v>
      </c>
      <c r="C6" s="76"/>
      <c r="D6" s="76"/>
      <c r="E6" s="77"/>
      <c r="F6" s="78" t="s">
        <v>109</v>
      </c>
      <c r="G6" s="492" t="s">
        <v>118</v>
      </c>
      <c r="H6" s="492" t="s">
        <v>118</v>
      </c>
      <c r="I6" s="492" t="s">
        <v>118</v>
      </c>
      <c r="J6" s="492" t="s">
        <v>118</v>
      </c>
      <c r="K6" s="493" t="s">
        <v>118</v>
      </c>
      <c r="L6" s="84"/>
      <c r="M6" s="85"/>
      <c r="N6" s="85"/>
      <c r="O6" s="85"/>
      <c r="P6" s="88" t="s">
        <v>116</v>
      </c>
      <c r="Q6" s="88"/>
      <c r="R6" s="88"/>
      <c r="S6" s="88"/>
      <c r="T6" s="88"/>
      <c r="U6" s="89" t="s">
        <v>116</v>
      </c>
    </row>
    <row r="7" spans="1:21" ht="50.1" customHeight="1">
      <c r="A7" s="70"/>
      <c r="B7" s="75" t="s">
        <v>119</v>
      </c>
      <c r="C7" s="76"/>
      <c r="D7" s="76"/>
      <c r="E7" s="77"/>
      <c r="F7" s="78" t="s">
        <v>109</v>
      </c>
      <c r="G7" s="492" t="s">
        <v>120</v>
      </c>
      <c r="H7" s="492" t="s">
        <v>120</v>
      </c>
      <c r="I7" s="492" t="s">
        <v>120</v>
      </c>
      <c r="J7" s="492" t="s">
        <v>120</v>
      </c>
      <c r="K7" s="493" t="s">
        <v>120</v>
      </c>
      <c r="L7" s="84"/>
      <c r="M7" s="85"/>
      <c r="N7" s="85"/>
      <c r="O7" s="85">
        <v>1</v>
      </c>
      <c r="P7" s="88" t="s">
        <v>116</v>
      </c>
      <c r="Q7" s="88"/>
      <c r="R7" s="88"/>
      <c r="S7" s="88"/>
      <c r="T7" s="88"/>
      <c r="U7" s="89" t="s">
        <v>116</v>
      </c>
    </row>
    <row r="8" spans="1:21" ht="50.1" customHeight="1">
      <c r="A8" s="70"/>
      <c r="B8" s="75" t="s">
        <v>121</v>
      </c>
      <c r="C8" s="76"/>
      <c r="D8" s="76"/>
      <c r="E8" s="72"/>
      <c r="F8" s="78" t="s">
        <v>109</v>
      </c>
      <c r="G8" s="494">
        <v>44305</v>
      </c>
      <c r="H8" s="495" t="s">
        <v>122</v>
      </c>
      <c r="I8" s="495" t="s">
        <v>122</v>
      </c>
      <c r="J8" s="495" t="s">
        <v>122</v>
      </c>
      <c r="K8" s="495" t="s">
        <v>122</v>
      </c>
      <c r="L8" s="84"/>
      <c r="M8" s="85"/>
      <c r="N8" s="85"/>
      <c r="O8" s="85"/>
      <c r="P8" s="88"/>
      <c r="Q8" s="88"/>
      <c r="R8" s="88"/>
      <c r="S8" s="88"/>
      <c r="T8" s="88"/>
      <c r="U8" s="89"/>
    </row>
    <row r="9" spans="1:21" ht="50.1" customHeight="1">
      <c r="A9" s="70"/>
      <c r="B9" s="75" t="s">
        <v>123</v>
      </c>
      <c r="C9" s="76"/>
      <c r="D9" s="76"/>
      <c r="E9" s="90"/>
      <c r="F9" s="78" t="s">
        <v>109</v>
      </c>
      <c r="G9" s="502" t="s">
        <v>124</v>
      </c>
      <c r="H9" s="502" t="s">
        <v>125</v>
      </c>
      <c r="I9" s="502" t="s">
        <v>125</v>
      </c>
      <c r="J9" s="502" t="s">
        <v>125</v>
      </c>
      <c r="K9" s="502" t="s">
        <v>125</v>
      </c>
      <c r="L9" s="84"/>
      <c r="M9" s="85"/>
      <c r="N9" s="85"/>
      <c r="O9" s="85"/>
      <c r="P9" s="88"/>
      <c r="Q9" s="88"/>
      <c r="R9" s="88"/>
      <c r="S9" s="88"/>
      <c r="T9" s="88"/>
      <c r="U9" s="89"/>
    </row>
    <row r="10" spans="1:21" ht="50.1" customHeight="1">
      <c r="A10" s="70"/>
      <c r="B10" s="75" t="s">
        <v>126</v>
      </c>
      <c r="C10" s="76"/>
      <c r="D10" s="76"/>
      <c r="E10" s="90"/>
      <c r="F10" s="78" t="s">
        <v>109</v>
      </c>
      <c r="G10" s="503"/>
      <c r="H10" s="503"/>
      <c r="I10" s="503"/>
      <c r="J10" s="503"/>
      <c r="K10" s="503"/>
      <c r="L10" s="84"/>
      <c r="M10" s="91"/>
      <c r="N10" s="91"/>
      <c r="O10" s="91"/>
      <c r="P10" s="88"/>
      <c r="Q10" s="88"/>
      <c r="R10" s="88"/>
      <c r="S10" s="88"/>
      <c r="T10" s="88"/>
      <c r="U10" s="89"/>
    </row>
    <row r="11" spans="1:21" ht="50.1" customHeight="1">
      <c r="A11" s="70"/>
      <c r="B11" s="75" t="s">
        <v>127</v>
      </c>
      <c r="C11" s="76"/>
      <c r="D11" s="76"/>
      <c r="E11" s="90"/>
      <c r="F11" s="78" t="s">
        <v>109</v>
      </c>
      <c r="G11" s="502" t="s">
        <v>128</v>
      </c>
      <c r="H11" s="502"/>
      <c r="I11" s="502"/>
      <c r="J11" s="502"/>
      <c r="K11" s="502"/>
      <c r="L11" s="84"/>
      <c r="M11" s="91"/>
      <c r="N11" s="91"/>
      <c r="O11" s="91"/>
      <c r="P11" s="88"/>
      <c r="Q11" s="88"/>
      <c r="R11" s="88"/>
      <c r="S11" s="88"/>
      <c r="T11" s="88"/>
      <c r="U11" s="89"/>
    </row>
    <row r="12" spans="1:21" ht="50.1" customHeight="1" thickBot="1">
      <c r="A12" s="70"/>
      <c r="B12" s="76" t="s">
        <v>129</v>
      </c>
      <c r="C12" s="76"/>
      <c r="D12" s="76"/>
      <c r="E12" s="92"/>
      <c r="F12" s="92"/>
      <c r="G12" s="92"/>
      <c r="H12" s="92"/>
      <c r="I12" s="92"/>
      <c r="J12" s="92"/>
      <c r="K12" s="92"/>
      <c r="L12" s="93"/>
      <c r="M12" s="94"/>
      <c r="N12" s="94"/>
      <c r="O12" s="94"/>
      <c r="P12" s="95"/>
      <c r="Q12" s="95"/>
      <c r="R12" s="95"/>
      <c r="S12" s="95"/>
      <c r="T12" s="95"/>
      <c r="U12" s="96"/>
    </row>
    <row r="13" spans="1:21" ht="15" customHeight="1" thickTop="1" thickBot="1">
      <c r="A13" s="70"/>
      <c r="B13" s="97"/>
      <c r="C13" s="97"/>
      <c r="D13" s="97"/>
      <c r="E13" s="90"/>
      <c r="F13" s="90"/>
      <c r="G13" s="90"/>
      <c r="H13" s="98"/>
      <c r="I13" s="98"/>
      <c r="J13" s="98"/>
      <c r="K13" s="98"/>
      <c r="L13" s="98"/>
      <c r="M13" s="98"/>
      <c r="N13" s="98"/>
      <c r="O13" s="98"/>
      <c r="P13" s="98"/>
      <c r="Q13" s="98"/>
      <c r="R13" s="98"/>
      <c r="S13" s="98"/>
      <c r="T13" s="98"/>
      <c r="U13" s="98"/>
    </row>
    <row r="14" spans="1:21" ht="91.5" customHeight="1" thickTop="1" thickBot="1">
      <c r="B14" s="99" t="s">
        <v>102</v>
      </c>
      <c r="C14" s="99" t="s">
        <v>130</v>
      </c>
      <c r="D14" s="99" t="s">
        <v>103</v>
      </c>
      <c r="E14" s="504" t="s">
        <v>131</v>
      </c>
      <c r="F14" s="505"/>
      <c r="G14" s="505"/>
      <c r="H14" s="505"/>
      <c r="I14" s="505"/>
      <c r="J14" s="505"/>
      <c r="K14" s="505"/>
      <c r="L14" s="505"/>
      <c r="M14" s="504" t="s">
        <v>132</v>
      </c>
      <c r="N14" s="497"/>
      <c r="O14" s="496" t="s">
        <v>133</v>
      </c>
      <c r="P14" s="497"/>
      <c r="Q14" s="496" t="s">
        <v>134</v>
      </c>
      <c r="R14" s="497"/>
      <c r="S14" s="496" t="s">
        <v>135</v>
      </c>
      <c r="T14" s="497"/>
      <c r="U14" s="100" t="s">
        <v>136</v>
      </c>
    </row>
    <row r="15" spans="1:21" ht="41.1" customHeight="1" thickTop="1">
      <c r="A15" s="70"/>
      <c r="B15" s="101"/>
      <c r="C15" s="102"/>
      <c r="D15" s="103"/>
      <c r="E15" s="498" t="s">
        <v>137</v>
      </c>
      <c r="F15" s="499"/>
      <c r="G15" s="499"/>
      <c r="H15" s="499"/>
      <c r="I15" s="499"/>
      <c r="J15" s="499"/>
      <c r="K15" s="499"/>
      <c r="L15" s="499"/>
      <c r="M15" s="500">
        <v>0.80100000000000005</v>
      </c>
      <c r="N15" s="501"/>
      <c r="O15" s="402"/>
      <c r="P15" s="402"/>
      <c r="Q15" s="402"/>
      <c r="R15" s="402"/>
      <c r="S15" s="402"/>
      <c r="T15" s="402"/>
      <c r="U15" s="104"/>
    </row>
    <row r="16" spans="1:21" ht="41.1" customHeight="1">
      <c r="A16" s="70"/>
      <c r="B16" s="101"/>
      <c r="C16" s="105"/>
      <c r="D16" s="106"/>
      <c r="E16" s="506" t="s">
        <v>138</v>
      </c>
      <c r="F16" s="507"/>
      <c r="G16" s="507"/>
      <c r="H16" s="507"/>
      <c r="I16" s="507"/>
      <c r="J16" s="507"/>
      <c r="K16" s="507"/>
      <c r="L16" s="508"/>
      <c r="M16" s="509">
        <v>0.16700000000000001</v>
      </c>
      <c r="N16" s="510"/>
      <c r="O16" s="452"/>
      <c r="P16" s="453"/>
      <c r="Q16" s="452"/>
      <c r="R16" s="453"/>
      <c r="S16" s="452"/>
      <c r="T16" s="453"/>
      <c r="U16" s="107"/>
    </row>
    <row r="17" spans="1:27" ht="41.1" customHeight="1">
      <c r="A17" s="70"/>
      <c r="B17" s="101"/>
      <c r="C17" s="108"/>
      <c r="D17" s="109"/>
      <c r="E17" s="427" t="s">
        <v>139</v>
      </c>
      <c r="F17" s="428"/>
      <c r="G17" s="428"/>
      <c r="H17" s="428"/>
      <c r="I17" s="428"/>
      <c r="J17" s="428"/>
      <c r="K17" s="428"/>
      <c r="L17" s="428"/>
      <c r="M17" s="487"/>
      <c r="N17" s="488"/>
      <c r="O17" s="402"/>
      <c r="P17" s="402"/>
      <c r="Q17" s="402"/>
      <c r="R17" s="402"/>
      <c r="S17" s="402"/>
      <c r="T17" s="402"/>
      <c r="U17" s="110"/>
    </row>
    <row r="18" spans="1:27" ht="41.1" customHeight="1">
      <c r="A18" s="70"/>
      <c r="B18" s="101"/>
      <c r="C18" s="105"/>
      <c r="D18" s="106"/>
      <c r="E18" s="427"/>
      <c r="F18" s="428"/>
      <c r="G18" s="428"/>
      <c r="H18" s="428"/>
      <c r="I18" s="428"/>
      <c r="J18" s="428"/>
      <c r="K18" s="428"/>
      <c r="L18" s="438"/>
      <c r="M18" s="112"/>
      <c r="N18" s="113"/>
      <c r="O18" s="452"/>
      <c r="P18" s="453"/>
      <c r="Q18" s="452"/>
      <c r="R18" s="453"/>
      <c r="S18" s="452"/>
      <c r="T18" s="453"/>
      <c r="U18" s="107"/>
    </row>
    <row r="19" spans="1:27" s="114" customFormat="1" ht="39.9" customHeight="1">
      <c r="B19" s="115"/>
      <c r="C19" s="116"/>
      <c r="D19" s="116"/>
      <c r="E19" s="458" t="s">
        <v>140</v>
      </c>
      <c r="F19" s="459"/>
      <c r="G19" s="459"/>
      <c r="H19" s="459"/>
      <c r="I19" s="459"/>
      <c r="J19" s="459"/>
      <c r="K19" s="459"/>
      <c r="L19" s="459"/>
      <c r="M19" s="485"/>
      <c r="N19" s="486"/>
      <c r="O19" s="482"/>
      <c r="P19" s="482"/>
      <c r="Q19" s="482"/>
      <c r="R19" s="482"/>
      <c r="S19" s="482"/>
      <c r="T19" s="482"/>
      <c r="U19" s="117"/>
      <c r="W19" s="204"/>
      <c r="X19" s="204"/>
    </row>
    <row r="20" spans="1:27" ht="66.75" customHeight="1">
      <c r="A20" s="70"/>
      <c r="B20" s="101">
        <v>1</v>
      </c>
      <c r="C20" s="109">
        <v>301</v>
      </c>
      <c r="D20" s="103" t="s">
        <v>52</v>
      </c>
      <c r="E20" s="427" t="s">
        <v>227</v>
      </c>
      <c r="F20" s="428"/>
      <c r="G20" s="428"/>
      <c r="H20" s="428"/>
      <c r="I20" s="428"/>
      <c r="J20" s="428"/>
      <c r="K20" s="428"/>
      <c r="L20" s="428"/>
      <c r="M20" s="429">
        <v>0.63939999999999997</v>
      </c>
      <c r="N20" s="430"/>
      <c r="O20" s="402">
        <f>M20/$K$84</f>
        <v>0.45083577121123264</v>
      </c>
      <c r="P20" s="402">
        <f>M20/$K$84</f>
        <v>0.45083577121123264</v>
      </c>
      <c r="Q20" s="403">
        <f>P20</f>
        <v>0.45083577121123264</v>
      </c>
      <c r="R20" s="403"/>
      <c r="S20" s="404">
        <f>60/M20</f>
        <v>93.837973099781053</v>
      </c>
      <c r="T20" s="404">
        <f>60/M20</f>
        <v>93.837973099781053</v>
      </c>
      <c r="U20" s="110" t="s">
        <v>141</v>
      </c>
      <c r="W20" s="203">
        <v>0.63939999999999997</v>
      </c>
    </row>
    <row r="21" spans="1:27" ht="66.75" customHeight="1">
      <c r="A21" s="70"/>
      <c r="B21" s="101">
        <v>2</v>
      </c>
      <c r="C21" s="109">
        <v>514</v>
      </c>
      <c r="D21" s="103" t="s">
        <v>142</v>
      </c>
      <c r="E21" s="427" t="s">
        <v>228</v>
      </c>
      <c r="F21" s="428"/>
      <c r="G21" s="428"/>
      <c r="H21" s="428"/>
      <c r="I21" s="428"/>
      <c r="J21" s="428"/>
      <c r="K21" s="428"/>
      <c r="L21" s="428"/>
      <c r="M21" s="429">
        <v>0.3548</v>
      </c>
      <c r="N21" s="430"/>
      <c r="O21" s="402">
        <f>M21/$K$84</f>
        <v>0.25016661186384948</v>
      </c>
      <c r="P21" s="402">
        <f>M21/$K$84</f>
        <v>0.25016661186384948</v>
      </c>
      <c r="Q21" s="403">
        <f>P21</f>
        <v>0.25016661186384948</v>
      </c>
      <c r="R21" s="403"/>
      <c r="S21" s="404">
        <f>60/M21</f>
        <v>169.10935738444195</v>
      </c>
      <c r="T21" s="404">
        <f>60/M21</f>
        <v>169.10935738444195</v>
      </c>
      <c r="U21" s="110" t="s">
        <v>143</v>
      </c>
      <c r="W21" s="203">
        <v>0.3548</v>
      </c>
    </row>
    <row r="22" spans="1:27" ht="66.75" customHeight="1">
      <c r="A22" s="70"/>
      <c r="B22" s="101">
        <v>3</v>
      </c>
      <c r="C22" s="109">
        <v>401</v>
      </c>
      <c r="D22" s="103" t="s">
        <v>57</v>
      </c>
      <c r="E22" s="427" t="s">
        <v>229</v>
      </c>
      <c r="F22" s="428"/>
      <c r="G22" s="428"/>
      <c r="H22" s="428"/>
      <c r="I22" s="428"/>
      <c r="J22" s="428"/>
      <c r="K22" s="428"/>
      <c r="L22" s="428"/>
      <c r="M22" s="429">
        <v>0.28799999999999998</v>
      </c>
      <c r="N22" s="430"/>
      <c r="O22" s="402">
        <f>M22/$K$84</f>
        <v>0.20306647186242571</v>
      </c>
      <c r="P22" s="402">
        <f>M22/$K$84</f>
        <v>0.20306647186242571</v>
      </c>
      <c r="Q22" s="403">
        <f>P22</f>
        <v>0.20306647186242571</v>
      </c>
      <c r="R22" s="403"/>
      <c r="S22" s="404">
        <f>60/M22</f>
        <v>208.33333333333334</v>
      </c>
      <c r="T22" s="404">
        <f>60/M22</f>
        <v>208.33333333333334</v>
      </c>
      <c r="U22" s="110" t="s">
        <v>144</v>
      </c>
      <c r="W22" s="203">
        <v>0.28799999999999998</v>
      </c>
    </row>
    <row r="23" spans="1:27" ht="39.9" customHeight="1">
      <c r="A23" s="70"/>
      <c r="B23" s="101"/>
      <c r="C23" s="109"/>
      <c r="D23" s="103"/>
      <c r="E23" s="427"/>
      <c r="F23" s="428"/>
      <c r="G23" s="428"/>
      <c r="H23" s="428"/>
      <c r="I23" s="428"/>
      <c r="J23" s="428"/>
      <c r="K23" s="428"/>
      <c r="L23" s="428"/>
      <c r="M23" s="429"/>
      <c r="N23" s="430"/>
      <c r="O23" s="402"/>
      <c r="P23" s="402"/>
      <c r="Q23" s="403"/>
      <c r="R23" s="403"/>
      <c r="S23" s="404"/>
      <c r="T23" s="404"/>
      <c r="U23" s="110"/>
    </row>
    <row r="24" spans="1:27" s="114" customFormat="1" ht="41.1" customHeight="1">
      <c r="B24" s="115"/>
      <c r="C24" s="116"/>
      <c r="D24" s="116"/>
      <c r="E24" s="458" t="s">
        <v>145</v>
      </c>
      <c r="F24" s="459"/>
      <c r="G24" s="459"/>
      <c r="H24" s="459"/>
      <c r="I24" s="459"/>
      <c r="J24" s="459"/>
      <c r="K24" s="459"/>
      <c r="L24" s="459"/>
      <c r="M24" s="429"/>
      <c r="N24" s="430"/>
      <c r="O24" s="482"/>
      <c r="P24" s="482"/>
      <c r="Q24" s="483"/>
      <c r="R24" s="483"/>
      <c r="S24" s="484"/>
      <c r="T24" s="484"/>
      <c r="U24" s="117"/>
      <c r="W24" s="204"/>
      <c r="X24" s="204"/>
    </row>
    <row r="25" spans="1:27" ht="76.5" customHeight="1">
      <c r="A25" s="70"/>
      <c r="B25" s="101">
        <v>4</v>
      </c>
      <c r="C25" s="109">
        <v>301</v>
      </c>
      <c r="D25" s="103" t="s">
        <v>52</v>
      </c>
      <c r="E25" s="427" t="s">
        <v>230</v>
      </c>
      <c r="F25" s="428"/>
      <c r="G25" s="428"/>
      <c r="H25" s="428"/>
      <c r="I25" s="428"/>
      <c r="J25" s="428"/>
      <c r="K25" s="428"/>
      <c r="L25" s="428"/>
      <c r="M25" s="429">
        <v>0.625</v>
      </c>
      <c r="N25" s="430"/>
      <c r="O25" s="402">
        <f>M25/$K$84</f>
        <v>0.44068244761811137</v>
      </c>
      <c r="P25" s="402">
        <f>M25/$K$84</f>
        <v>0.44068244761811137</v>
      </c>
      <c r="Q25" s="403">
        <f>P25</f>
        <v>0.44068244761811137</v>
      </c>
      <c r="R25" s="403"/>
      <c r="S25" s="404">
        <f>60/M25</f>
        <v>96</v>
      </c>
      <c r="T25" s="404">
        <f>60/M25</f>
        <v>96</v>
      </c>
      <c r="U25" s="110" t="s">
        <v>146</v>
      </c>
      <c r="W25" s="203">
        <v>0.625</v>
      </c>
    </row>
    <row r="26" spans="1:27" ht="82.5" customHeight="1">
      <c r="A26" s="70"/>
      <c r="B26" s="101">
        <v>5</v>
      </c>
      <c r="C26" s="109">
        <v>504</v>
      </c>
      <c r="D26" s="103" t="s">
        <v>148</v>
      </c>
      <c r="E26" s="427" t="s">
        <v>231</v>
      </c>
      <c r="F26" s="428"/>
      <c r="G26" s="428"/>
      <c r="H26" s="428"/>
      <c r="I26" s="428"/>
      <c r="J26" s="428"/>
      <c r="K26" s="428"/>
      <c r="L26" s="428"/>
      <c r="M26" s="429">
        <v>0.50890000000000002</v>
      </c>
      <c r="N26" s="430"/>
      <c r="O26" s="402">
        <f t="shared" ref="O26:O29" si="0">M26/$K$84</f>
        <v>0.35882127614857101</v>
      </c>
      <c r="P26" s="402">
        <f t="shared" ref="P26:P29" si="1">M26/$K$84</f>
        <v>0.35882127614857101</v>
      </c>
      <c r="Q26" s="403">
        <f t="shared" ref="Q26:Q29" si="2">P26</f>
        <v>0.35882127614857101</v>
      </c>
      <c r="R26" s="403"/>
      <c r="S26" s="404">
        <f t="shared" ref="S26:S29" si="3">60/M26</f>
        <v>117.90135586559245</v>
      </c>
      <c r="T26" s="404">
        <f t="shared" ref="T26:T29" si="4">60/M26</f>
        <v>117.90135586559245</v>
      </c>
      <c r="U26" s="110" t="s">
        <v>149</v>
      </c>
      <c r="W26" s="203">
        <v>0.50890000000000002</v>
      </c>
    </row>
    <row r="27" spans="1:27" ht="70.5" customHeight="1">
      <c r="A27" s="70"/>
      <c r="B27" s="101">
        <v>6</v>
      </c>
      <c r="C27" s="109">
        <v>301</v>
      </c>
      <c r="D27" s="109" t="s">
        <v>52</v>
      </c>
      <c r="E27" s="427" t="s">
        <v>232</v>
      </c>
      <c r="F27" s="428"/>
      <c r="G27" s="428"/>
      <c r="H27" s="428"/>
      <c r="I27" s="428"/>
      <c r="J27" s="428"/>
      <c r="K27" s="428"/>
      <c r="L27" s="428"/>
      <c r="M27" s="429">
        <v>0.31369999999999998</v>
      </c>
      <c r="N27" s="430"/>
      <c r="O27" s="402">
        <f t="shared" si="0"/>
        <v>0.22118733410848246</v>
      </c>
      <c r="P27" s="402">
        <f t="shared" si="1"/>
        <v>0.22118733410848246</v>
      </c>
      <c r="Q27" s="403">
        <f t="shared" si="2"/>
        <v>0.22118733410848246</v>
      </c>
      <c r="R27" s="403"/>
      <c r="S27" s="404">
        <f t="shared" si="3"/>
        <v>191.26554032515142</v>
      </c>
      <c r="T27" s="404">
        <f t="shared" si="4"/>
        <v>191.26554032515142</v>
      </c>
      <c r="U27" s="110" t="s">
        <v>150</v>
      </c>
      <c r="W27" s="203">
        <v>0.31369999999999998</v>
      </c>
    </row>
    <row r="28" spans="1:27" ht="134.25" customHeight="1">
      <c r="A28" s="70"/>
      <c r="B28" s="101">
        <v>7</v>
      </c>
      <c r="C28" s="109">
        <v>301</v>
      </c>
      <c r="D28" s="109" t="s">
        <v>52</v>
      </c>
      <c r="E28" s="427" t="s">
        <v>233</v>
      </c>
      <c r="F28" s="467"/>
      <c r="G28" s="467"/>
      <c r="H28" s="467"/>
      <c r="I28" s="467"/>
      <c r="J28" s="467"/>
      <c r="K28" s="467"/>
      <c r="L28" s="468"/>
      <c r="M28" s="429">
        <f>0.4459+0.3464</f>
        <v>0.7923</v>
      </c>
      <c r="N28" s="430"/>
      <c r="O28" s="402">
        <f t="shared" si="0"/>
        <v>0.55864432519652751</v>
      </c>
      <c r="P28" s="402">
        <f t="shared" si="1"/>
        <v>0.55864432519652751</v>
      </c>
      <c r="Q28" s="403">
        <f t="shared" si="2"/>
        <v>0.55864432519652751</v>
      </c>
      <c r="R28" s="403"/>
      <c r="S28" s="404">
        <f t="shared" si="3"/>
        <v>75.728890571753126</v>
      </c>
      <c r="T28" s="404">
        <f t="shared" si="4"/>
        <v>75.728890571753126</v>
      </c>
      <c r="U28" s="118" t="s">
        <v>151</v>
      </c>
      <c r="W28" s="203">
        <v>0.7923</v>
      </c>
      <c r="AA28" s="366">
        <f>0.4459/2</f>
        <v>0.22295000000000001</v>
      </c>
    </row>
    <row r="29" spans="1:27" ht="104.25" customHeight="1">
      <c r="A29" s="70"/>
      <c r="B29" s="101">
        <v>8</v>
      </c>
      <c r="C29" s="109">
        <v>301</v>
      </c>
      <c r="D29" s="109" t="s">
        <v>52</v>
      </c>
      <c r="E29" s="427" t="s">
        <v>234</v>
      </c>
      <c r="F29" s="467"/>
      <c r="G29" s="467"/>
      <c r="H29" s="467"/>
      <c r="I29" s="467"/>
      <c r="J29" s="467"/>
      <c r="K29" s="467"/>
      <c r="L29" s="468"/>
      <c r="M29" s="429">
        <v>0.32719999999999999</v>
      </c>
      <c r="N29" s="430"/>
      <c r="O29" s="402">
        <f t="shared" si="0"/>
        <v>0.23070607497703366</v>
      </c>
      <c r="P29" s="402">
        <f t="shared" si="1"/>
        <v>0.23070607497703366</v>
      </c>
      <c r="Q29" s="403">
        <f t="shared" si="2"/>
        <v>0.23070607497703366</v>
      </c>
      <c r="R29" s="403"/>
      <c r="S29" s="404">
        <f t="shared" si="3"/>
        <v>183.37408312958436</v>
      </c>
      <c r="T29" s="404">
        <f t="shared" si="4"/>
        <v>183.37408312958436</v>
      </c>
      <c r="U29" s="110" t="s">
        <v>152</v>
      </c>
      <c r="W29" s="203">
        <v>0.32719999999999999</v>
      </c>
      <c r="AA29" s="367" t="s">
        <v>407</v>
      </c>
    </row>
    <row r="30" spans="1:27" s="123" customFormat="1" ht="41.1" customHeight="1">
      <c r="A30" s="119"/>
      <c r="B30" s="120"/>
      <c r="C30" s="109"/>
      <c r="D30" s="103"/>
      <c r="E30" s="121"/>
      <c r="F30" s="122"/>
      <c r="G30" s="122"/>
      <c r="H30" s="122"/>
      <c r="I30" s="122"/>
      <c r="J30" s="122"/>
      <c r="K30" s="122"/>
      <c r="L30" s="122"/>
      <c r="M30" s="429"/>
      <c r="N30" s="430"/>
      <c r="O30" s="402"/>
      <c r="P30" s="402"/>
      <c r="Q30" s="403"/>
      <c r="R30" s="403"/>
      <c r="S30" s="404"/>
      <c r="T30" s="404"/>
      <c r="U30" s="110"/>
      <c r="W30" s="205"/>
      <c r="X30" s="205"/>
    </row>
    <row r="31" spans="1:27" s="114" customFormat="1" ht="41.1" customHeight="1">
      <c r="B31" s="124"/>
      <c r="C31" s="125"/>
      <c r="D31" s="126"/>
      <c r="E31" s="479" t="s">
        <v>153</v>
      </c>
      <c r="F31" s="480"/>
      <c r="G31" s="480"/>
      <c r="H31" s="480"/>
      <c r="I31" s="480"/>
      <c r="J31" s="480"/>
      <c r="K31" s="480"/>
      <c r="L31" s="481"/>
      <c r="M31" s="429"/>
      <c r="N31" s="430"/>
      <c r="O31" s="482"/>
      <c r="P31" s="482"/>
      <c r="Q31" s="483"/>
      <c r="R31" s="483"/>
      <c r="S31" s="484"/>
      <c r="T31" s="484"/>
      <c r="U31" s="127"/>
      <c r="W31" s="204"/>
      <c r="X31" s="204"/>
    </row>
    <row r="32" spans="1:27" ht="102" customHeight="1">
      <c r="A32" s="70"/>
      <c r="B32" s="101">
        <v>9</v>
      </c>
      <c r="C32" s="109">
        <v>514</v>
      </c>
      <c r="D32" s="103" t="s">
        <v>142</v>
      </c>
      <c r="E32" s="427" t="s">
        <v>265</v>
      </c>
      <c r="F32" s="399"/>
      <c r="G32" s="399"/>
      <c r="H32" s="399"/>
      <c r="I32" s="399"/>
      <c r="J32" s="399"/>
      <c r="K32" s="399"/>
      <c r="L32" s="399"/>
      <c r="M32" s="429">
        <v>0.217</v>
      </c>
      <c r="N32" s="430"/>
      <c r="O32" s="402">
        <f t="shared" ref="O32:O45" si="5">M32/$K$84</f>
        <v>0.15300494581300828</v>
      </c>
      <c r="P32" s="402">
        <f t="shared" ref="P32:P45" si="6">M32/$K$84</f>
        <v>0.15300494581300828</v>
      </c>
      <c r="Q32" s="403">
        <f t="shared" ref="Q32:Q45" si="7">P32</f>
        <v>0.15300494581300828</v>
      </c>
      <c r="R32" s="403"/>
      <c r="S32" s="404">
        <f t="shared" ref="S32:S45" si="8">60/M32</f>
        <v>276.49769585253455</v>
      </c>
      <c r="T32" s="404">
        <f t="shared" ref="T32:T45" si="9">60/M32</f>
        <v>276.49769585253455</v>
      </c>
      <c r="U32" s="110" t="s">
        <v>154</v>
      </c>
      <c r="W32" s="203">
        <v>0.217</v>
      </c>
    </row>
    <row r="33" spans="1:24" ht="109.5" customHeight="1">
      <c r="A33" s="70"/>
      <c r="B33" s="101">
        <v>10</v>
      </c>
      <c r="C33" s="106">
        <v>301</v>
      </c>
      <c r="D33" s="128" t="s">
        <v>52</v>
      </c>
      <c r="E33" s="427" t="s">
        <v>266</v>
      </c>
      <c r="F33" s="467"/>
      <c r="G33" s="467"/>
      <c r="H33" s="467"/>
      <c r="I33" s="467"/>
      <c r="J33" s="467"/>
      <c r="K33" s="467"/>
      <c r="L33" s="468"/>
      <c r="M33" s="429">
        <f>0.3322+0.4339</f>
        <v>0.7661</v>
      </c>
      <c r="N33" s="430"/>
      <c r="O33" s="402">
        <f t="shared" si="5"/>
        <v>0.54017091699237618</v>
      </c>
      <c r="P33" s="402">
        <f t="shared" si="6"/>
        <v>0.54017091699237618</v>
      </c>
      <c r="Q33" s="403">
        <f t="shared" si="7"/>
        <v>0.54017091699237618</v>
      </c>
      <c r="R33" s="403"/>
      <c r="S33" s="404">
        <f t="shared" si="8"/>
        <v>78.318757342383506</v>
      </c>
      <c r="T33" s="404">
        <f t="shared" si="9"/>
        <v>78.318757342383506</v>
      </c>
      <c r="U33" s="129" t="s">
        <v>155</v>
      </c>
      <c r="W33" s="203">
        <v>0.7661</v>
      </c>
    </row>
    <row r="34" spans="1:24" ht="211.5" customHeight="1">
      <c r="A34" s="70"/>
      <c r="B34" s="101">
        <v>11</v>
      </c>
      <c r="C34" s="109">
        <v>301</v>
      </c>
      <c r="D34" s="103" t="s">
        <v>52</v>
      </c>
      <c r="E34" s="476" t="s">
        <v>238</v>
      </c>
      <c r="F34" s="477"/>
      <c r="G34" s="477"/>
      <c r="H34" s="477"/>
      <c r="I34" s="477"/>
      <c r="J34" s="477"/>
      <c r="K34" s="477"/>
      <c r="L34" s="478"/>
      <c r="M34" s="429">
        <v>1.117</v>
      </c>
      <c r="N34" s="430"/>
      <c r="O34" s="402">
        <f t="shared" si="5"/>
        <v>0.78758767038308863</v>
      </c>
      <c r="P34" s="402">
        <f t="shared" si="6"/>
        <v>0.78758767038308863</v>
      </c>
      <c r="Q34" s="403">
        <f t="shared" si="7"/>
        <v>0.78758767038308863</v>
      </c>
      <c r="R34" s="403"/>
      <c r="S34" s="404">
        <f t="shared" si="8"/>
        <v>53.71530886302596</v>
      </c>
      <c r="T34" s="404">
        <f t="shared" si="9"/>
        <v>53.71530886302596</v>
      </c>
      <c r="U34" s="110" t="s">
        <v>156</v>
      </c>
      <c r="W34" s="203">
        <v>1.117</v>
      </c>
    </row>
    <row r="35" spans="1:24" ht="88.5" customHeight="1">
      <c r="A35" s="70"/>
      <c r="B35" s="101">
        <v>12</v>
      </c>
      <c r="C35" s="106">
        <v>401</v>
      </c>
      <c r="D35" s="128" t="s">
        <v>57</v>
      </c>
      <c r="E35" s="469" t="s">
        <v>259</v>
      </c>
      <c r="F35" s="474"/>
      <c r="G35" s="474"/>
      <c r="H35" s="474"/>
      <c r="I35" s="474"/>
      <c r="J35" s="474"/>
      <c r="K35" s="474"/>
      <c r="L35" s="475"/>
      <c r="M35" s="429">
        <v>0.21929999999999999</v>
      </c>
      <c r="N35" s="430"/>
      <c r="O35" s="402">
        <f t="shared" si="5"/>
        <v>0.15462665722024294</v>
      </c>
      <c r="P35" s="402">
        <f t="shared" si="6"/>
        <v>0.15462665722024294</v>
      </c>
      <c r="Q35" s="403">
        <f t="shared" si="7"/>
        <v>0.15462665722024294</v>
      </c>
      <c r="R35" s="403"/>
      <c r="S35" s="404">
        <f t="shared" si="8"/>
        <v>273.59781121751024</v>
      </c>
      <c r="T35" s="404">
        <f t="shared" si="9"/>
        <v>273.59781121751024</v>
      </c>
      <c r="U35" s="130" t="s">
        <v>157</v>
      </c>
      <c r="W35" s="203">
        <v>0.21929999999999999</v>
      </c>
    </row>
    <row r="36" spans="1:24" ht="91.5" customHeight="1">
      <c r="A36" s="70"/>
      <c r="B36" s="101">
        <v>13</v>
      </c>
      <c r="C36" s="109">
        <v>504</v>
      </c>
      <c r="D36" s="103" t="s">
        <v>148</v>
      </c>
      <c r="E36" s="469" t="s">
        <v>267</v>
      </c>
      <c r="F36" s="474"/>
      <c r="G36" s="474"/>
      <c r="H36" s="474"/>
      <c r="I36" s="474"/>
      <c r="J36" s="474"/>
      <c r="K36" s="474"/>
      <c r="L36" s="475"/>
      <c r="M36" s="429">
        <v>0.47589999999999999</v>
      </c>
      <c r="N36" s="430"/>
      <c r="O36" s="402">
        <f t="shared" si="5"/>
        <v>0.33555324291433475</v>
      </c>
      <c r="P36" s="402">
        <f t="shared" si="6"/>
        <v>0.33555324291433475</v>
      </c>
      <c r="Q36" s="403">
        <f t="shared" si="7"/>
        <v>0.33555324291433475</v>
      </c>
      <c r="R36" s="403"/>
      <c r="S36" s="404">
        <f t="shared" si="8"/>
        <v>126.07690691321706</v>
      </c>
      <c r="T36" s="404">
        <f t="shared" si="9"/>
        <v>126.07690691321706</v>
      </c>
      <c r="U36" s="110" t="s">
        <v>158</v>
      </c>
      <c r="W36" s="203">
        <v>0.47589999999999999</v>
      </c>
    </row>
    <row r="37" spans="1:24" ht="91.5" customHeight="1">
      <c r="A37" s="70"/>
      <c r="B37" s="101">
        <v>14</v>
      </c>
      <c r="C37" s="106">
        <v>401</v>
      </c>
      <c r="D37" s="128" t="s">
        <v>57</v>
      </c>
      <c r="E37" s="469" t="s">
        <v>268</v>
      </c>
      <c r="F37" s="474"/>
      <c r="G37" s="474"/>
      <c r="H37" s="474"/>
      <c r="I37" s="474"/>
      <c r="J37" s="474"/>
      <c r="K37" s="474"/>
      <c r="L37" s="475"/>
      <c r="M37" s="429">
        <v>0.21929999999999999</v>
      </c>
      <c r="N37" s="430"/>
      <c r="O37" s="402">
        <f t="shared" si="5"/>
        <v>0.15462665722024294</v>
      </c>
      <c r="P37" s="402">
        <f t="shared" si="6"/>
        <v>0.15462665722024294</v>
      </c>
      <c r="Q37" s="403">
        <f t="shared" si="7"/>
        <v>0.15462665722024294</v>
      </c>
      <c r="R37" s="403"/>
      <c r="S37" s="404">
        <f t="shared" si="8"/>
        <v>273.59781121751024</v>
      </c>
      <c r="T37" s="404">
        <f t="shared" si="9"/>
        <v>273.59781121751024</v>
      </c>
      <c r="U37" s="130" t="s">
        <v>157</v>
      </c>
      <c r="W37" s="203">
        <v>0.21929999999999999</v>
      </c>
    </row>
    <row r="38" spans="1:24" ht="93" customHeight="1">
      <c r="A38" s="70"/>
      <c r="B38" s="101">
        <v>15</v>
      </c>
      <c r="C38" s="109">
        <v>514</v>
      </c>
      <c r="D38" s="103" t="s">
        <v>142</v>
      </c>
      <c r="E38" s="469" t="s">
        <v>269</v>
      </c>
      <c r="F38" s="474"/>
      <c r="G38" s="474"/>
      <c r="H38" s="474"/>
      <c r="I38" s="474"/>
      <c r="J38" s="474"/>
      <c r="K38" s="474"/>
      <c r="L38" s="475"/>
      <c r="M38" s="429">
        <v>0.66180000000000005</v>
      </c>
      <c r="N38" s="430"/>
      <c r="O38" s="402">
        <f t="shared" si="5"/>
        <v>0.46662983013386583</v>
      </c>
      <c r="P38" s="402">
        <f t="shared" si="6"/>
        <v>0.46662983013386583</v>
      </c>
      <c r="Q38" s="403">
        <f t="shared" si="7"/>
        <v>0.46662983013386583</v>
      </c>
      <c r="R38" s="403"/>
      <c r="S38" s="404">
        <f t="shared" si="8"/>
        <v>90.661831368993646</v>
      </c>
      <c r="T38" s="404">
        <f t="shared" si="9"/>
        <v>90.661831368993646</v>
      </c>
      <c r="U38" s="110" t="s">
        <v>159</v>
      </c>
      <c r="W38" s="203">
        <v>0.66180000000000005</v>
      </c>
    </row>
    <row r="39" spans="1:24" ht="93" customHeight="1">
      <c r="A39" s="70"/>
      <c r="B39" s="101">
        <v>16</v>
      </c>
      <c r="C39" s="106">
        <v>401</v>
      </c>
      <c r="D39" s="128" t="s">
        <v>57</v>
      </c>
      <c r="E39" s="469" t="s">
        <v>270</v>
      </c>
      <c r="F39" s="474"/>
      <c r="G39" s="474"/>
      <c r="H39" s="474"/>
      <c r="I39" s="474"/>
      <c r="J39" s="474"/>
      <c r="K39" s="474"/>
      <c r="L39" s="475"/>
      <c r="M39" s="429">
        <v>0.52139999999999997</v>
      </c>
      <c r="N39" s="430"/>
      <c r="O39" s="402">
        <f t="shared" si="5"/>
        <v>0.36763492510093321</v>
      </c>
      <c r="P39" s="402">
        <f t="shared" si="6"/>
        <v>0.36763492510093321</v>
      </c>
      <c r="Q39" s="403">
        <f t="shared" si="7"/>
        <v>0.36763492510093321</v>
      </c>
      <c r="R39" s="403"/>
      <c r="S39" s="404">
        <f t="shared" si="8"/>
        <v>115.07479861910242</v>
      </c>
      <c r="T39" s="404">
        <f t="shared" si="9"/>
        <v>115.07479861910242</v>
      </c>
      <c r="U39" s="130" t="s">
        <v>160</v>
      </c>
      <c r="W39" s="203">
        <v>0.52139999999999997</v>
      </c>
    </row>
    <row r="40" spans="1:24" ht="121.5" customHeight="1">
      <c r="A40" s="70"/>
      <c r="B40" s="101">
        <v>17</v>
      </c>
      <c r="C40" s="106">
        <v>301</v>
      </c>
      <c r="D40" s="128" t="s">
        <v>52</v>
      </c>
      <c r="E40" s="469" t="s">
        <v>271</v>
      </c>
      <c r="F40" s="472"/>
      <c r="G40" s="472"/>
      <c r="H40" s="472"/>
      <c r="I40" s="472"/>
      <c r="J40" s="472"/>
      <c r="K40" s="472"/>
      <c r="L40" s="473"/>
      <c r="M40" s="429">
        <v>0.7923</v>
      </c>
      <c r="N40" s="430"/>
      <c r="O40" s="402">
        <f t="shared" si="5"/>
        <v>0.55864432519652751</v>
      </c>
      <c r="P40" s="402">
        <f t="shared" si="6"/>
        <v>0.55864432519652751</v>
      </c>
      <c r="Q40" s="403">
        <f t="shared" si="7"/>
        <v>0.55864432519652751</v>
      </c>
      <c r="R40" s="403"/>
      <c r="S40" s="404">
        <f t="shared" si="8"/>
        <v>75.728890571753126</v>
      </c>
      <c r="T40" s="404">
        <f t="shared" si="9"/>
        <v>75.728890571753126</v>
      </c>
      <c r="U40" s="130" t="s">
        <v>161</v>
      </c>
      <c r="W40" s="203">
        <v>0.7923</v>
      </c>
    </row>
    <row r="41" spans="1:24" ht="153" customHeight="1">
      <c r="A41" s="70"/>
      <c r="B41" s="101">
        <v>18</v>
      </c>
      <c r="C41" s="109">
        <v>301</v>
      </c>
      <c r="D41" s="103" t="s">
        <v>52</v>
      </c>
      <c r="E41" s="469" t="s">
        <v>264</v>
      </c>
      <c r="F41" s="470"/>
      <c r="G41" s="470"/>
      <c r="H41" s="470"/>
      <c r="I41" s="470"/>
      <c r="J41" s="470"/>
      <c r="K41" s="470"/>
      <c r="L41" s="471"/>
      <c r="M41" s="429">
        <f>0.231+0.4788</f>
        <v>0.70979999999999999</v>
      </c>
      <c r="N41" s="430"/>
      <c r="O41" s="402">
        <f t="shared" si="5"/>
        <v>0.50047424211093672</v>
      </c>
      <c r="P41" s="402">
        <f t="shared" si="6"/>
        <v>0.50047424211093672</v>
      </c>
      <c r="Q41" s="403">
        <f t="shared" si="7"/>
        <v>0.50047424211093672</v>
      </c>
      <c r="R41" s="403"/>
      <c r="S41" s="404">
        <f t="shared" si="8"/>
        <v>84.530853761622993</v>
      </c>
      <c r="T41" s="404">
        <f t="shared" si="9"/>
        <v>84.530853761622993</v>
      </c>
      <c r="U41" s="118" t="s">
        <v>162</v>
      </c>
      <c r="W41" s="203">
        <v>0.70979999999999999</v>
      </c>
    </row>
    <row r="42" spans="1:24" ht="159" customHeight="1">
      <c r="A42" s="70"/>
      <c r="B42" s="101">
        <v>19</v>
      </c>
      <c r="C42" s="106">
        <v>301</v>
      </c>
      <c r="D42" s="128" t="s">
        <v>52</v>
      </c>
      <c r="E42" s="469" t="s">
        <v>272</v>
      </c>
      <c r="F42" s="472"/>
      <c r="G42" s="472"/>
      <c r="H42" s="472"/>
      <c r="I42" s="472"/>
      <c r="J42" s="472"/>
      <c r="K42" s="472"/>
      <c r="L42" s="473"/>
      <c r="M42" s="429">
        <f>0.7773+0.2531</f>
        <v>1.0304</v>
      </c>
      <c r="N42" s="430"/>
      <c r="O42" s="402">
        <f t="shared" si="5"/>
        <v>0.72652671044112316</v>
      </c>
      <c r="P42" s="402">
        <f t="shared" si="6"/>
        <v>0.72652671044112316</v>
      </c>
      <c r="Q42" s="403">
        <f t="shared" si="7"/>
        <v>0.72652671044112316</v>
      </c>
      <c r="R42" s="403"/>
      <c r="S42" s="404">
        <f t="shared" si="8"/>
        <v>58.229813664596271</v>
      </c>
      <c r="T42" s="404">
        <f t="shared" si="9"/>
        <v>58.229813664596271</v>
      </c>
      <c r="U42" s="118" t="s">
        <v>163</v>
      </c>
      <c r="W42" s="203">
        <v>1.0304</v>
      </c>
    </row>
    <row r="43" spans="1:24" ht="94.5" customHeight="1">
      <c r="A43" s="70"/>
      <c r="B43" s="101">
        <v>20</v>
      </c>
      <c r="C43" s="106">
        <v>514</v>
      </c>
      <c r="D43" s="128" t="s">
        <v>142</v>
      </c>
      <c r="E43" s="427" t="s">
        <v>260</v>
      </c>
      <c r="F43" s="467"/>
      <c r="G43" s="467"/>
      <c r="H43" s="467"/>
      <c r="I43" s="467"/>
      <c r="J43" s="467"/>
      <c r="K43" s="467"/>
      <c r="L43" s="468"/>
      <c r="M43" s="429">
        <v>0.70609999999999995</v>
      </c>
      <c r="N43" s="430"/>
      <c r="O43" s="402">
        <f t="shared" si="5"/>
        <v>0.49786540202103752</v>
      </c>
      <c r="P43" s="402">
        <f t="shared" si="6"/>
        <v>0.49786540202103752</v>
      </c>
      <c r="Q43" s="403">
        <f t="shared" si="7"/>
        <v>0.49786540202103752</v>
      </c>
      <c r="R43" s="403"/>
      <c r="S43" s="404">
        <f t="shared" si="8"/>
        <v>84.973799745078608</v>
      </c>
      <c r="T43" s="404">
        <f t="shared" si="9"/>
        <v>84.973799745078608</v>
      </c>
      <c r="U43" s="130" t="s">
        <v>164</v>
      </c>
      <c r="W43" s="203">
        <v>0.70609999999999995</v>
      </c>
    </row>
    <row r="44" spans="1:24" ht="94.5" customHeight="1">
      <c r="A44" s="70"/>
      <c r="B44" s="101">
        <v>21</v>
      </c>
      <c r="C44" s="109">
        <v>301</v>
      </c>
      <c r="D44" s="103" t="s">
        <v>52</v>
      </c>
      <c r="E44" s="427" t="s">
        <v>261</v>
      </c>
      <c r="F44" s="467"/>
      <c r="G44" s="467"/>
      <c r="H44" s="467"/>
      <c r="I44" s="467"/>
      <c r="J44" s="467"/>
      <c r="K44" s="467"/>
      <c r="L44" s="468"/>
      <c r="M44" s="429">
        <v>0.55259999999999998</v>
      </c>
      <c r="N44" s="430"/>
      <c r="O44" s="402">
        <f t="shared" si="5"/>
        <v>0.38963379288602934</v>
      </c>
      <c r="P44" s="402">
        <f t="shared" si="6"/>
        <v>0.38963379288602934</v>
      </c>
      <c r="Q44" s="403">
        <f t="shared" si="7"/>
        <v>0.38963379288602934</v>
      </c>
      <c r="R44" s="403"/>
      <c r="S44" s="404">
        <f t="shared" si="8"/>
        <v>108.57763300760044</v>
      </c>
      <c r="T44" s="404">
        <f t="shared" si="9"/>
        <v>108.57763300760044</v>
      </c>
      <c r="U44" s="110" t="s">
        <v>165</v>
      </c>
      <c r="W44" s="203">
        <v>0.55259999999999998</v>
      </c>
    </row>
    <row r="45" spans="1:24" s="133" customFormat="1" ht="94.5" customHeight="1">
      <c r="A45" s="132"/>
      <c r="B45" s="101">
        <v>22</v>
      </c>
      <c r="C45" s="109">
        <v>605</v>
      </c>
      <c r="D45" s="103" t="s">
        <v>166</v>
      </c>
      <c r="E45" s="427" t="s">
        <v>262</v>
      </c>
      <c r="F45" s="467"/>
      <c r="G45" s="467"/>
      <c r="H45" s="467"/>
      <c r="I45" s="467"/>
      <c r="J45" s="467"/>
      <c r="K45" s="467"/>
      <c r="L45" s="468"/>
      <c r="M45" s="429">
        <v>0.78939999999999999</v>
      </c>
      <c r="N45" s="430"/>
      <c r="O45" s="402">
        <f t="shared" si="5"/>
        <v>0.55659955863957944</v>
      </c>
      <c r="P45" s="402">
        <f t="shared" si="6"/>
        <v>0.55659955863957944</v>
      </c>
      <c r="Q45" s="403">
        <f t="shared" si="7"/>
        <v>0.55659955863957944</v>
      </c>
      <c r="R45" s="403"/>
      <c r="S45" s="404">
        <f t="shared" si="8"/>
        <v>76.007093995439575</v>
      </c>
      <c r="T45" s="404">
        <f t="shared" si="9"/>
        <v>76.007093995439575</v>
      </c>
      <c r="U45" s="110" t="s">
        <v>167</v>
      </c>
      <c r="W45" s="206">
        <v>0.78939999999999999</v>
      </c>
      <c r="X45" s="206"/>
    </row>
    <row r="46" spans="1:24" s="123" customFormat="1" ht="41.1" customHeight="1">
      <c r="A46" s="119"/>
      <c r="B46" s="120"/>
      <c r="C46" s="134"/>
      <c r="D46" s="135"/>
      <c r="E46" s="131"/>
      <c r="F46" s="136"/>
      <c r="G46" s="136"/>
      <c r="H46" s="136"/>
      <c r="I46" s="136"/>
      <c r="J46" s="136"/>
      <c r="K46" s="136"/>
      <c r="L46" s="136"/>
      <c r="M46" s="429"/>
      <c r="N46" s="430"/>
      <c r="O46" s="452"/>
      <c r="P46" s="453"/>
      <c r="Q46" s="454"/>
      <c r="R46" s="455"/>
      <c r="S46" s="456"/>
      <c r="T46" s="457"/>
      <c r="U46" s="107"/>
      <c r="W46" s="205"/>
      <c r="X46" s="205"/>
    </row>
    <row r="47" spans="1:24" s="137" customFormat="1" ht="41.1" customHeight="1">
      <c r="B47" s="115"/>
      <c r="C47" s="116"/>
      <c r="D47" s="116"/>
      <c r="E47" s="458" t="s">
        <v>168</v>
      </c>
      <c r="F47" s="459"/>
      <c r="G47" s="459"/>
      <c r="H47" s="459"/>
      <c r="I47" s="459"/>
      <c r="J47" s="459"/>
      <c r="K47" s="459"/>
      <c r="L47" s="460"/>
      <c r="M47" s="429"/>
      <c r="N47" s="430"/>
      <c r="O47" s="461"/>
      <c r="P47" s="462"/>
      <c r="Q47" s="463"/>
      <c r="R47" s="464"/>
      <c r="S47" s="465"/>
      <c r="T47" s="466"/>
      <c r="U47" s="117"/>
      <c r="W47" s="207"/>
      <c r="X47" s="207"/>
    </row>
    <row r="48" spans="1:24" ht="69" customHeight="1">
      <c r="A48" s="70"/>
      <c r="B48" s="101">
        <v>23</v>
      </c>
      <c r="C48" s="138" t="s">
        <v>169</v>
      </c>
      <c r="D48" s="103" t="s">
        <v>170</v>
      </c>
      <c r="E48" s="427" t="s">
        <v>236</v>
      </c>
      <c r="F48" s="428"/>
      <c r="G48" s="428"/>
      <c r="H48" s="428"/>
      <c r="I48" s="428"/>
      <c r="J48" s="428"/>
      <c r="K48" s="428"/>
      <c r="L48" s="438"/>
      <c r="M48" s="429">
        <v>0.17860000000000001</v>
      </c>
      <c r="N48" s="430"/>
      <c r="O48" s="452">
        <f>M49/$K$84</f>
        <v>0.19220805635311547</v>
      </c>
      <c r="P48" s="453">
        <f>M49/$K$84</f>
        <v>0.19220805635311547</v>
      </c>
      <c r="Q48" s="454">
        <f t="shared" ref="Q48" si="10">P48</f>
        <v>0.19220805635311547</v>
      </c>
      <c r="R48" s="455"/>
      <c r="S48" s="456">
        <f t="shared" ref="S48:S73" si="11">60/M48</f>
        <v>335.94624860022395</v>
      </c>
      <c r="T48" s="457">
        <f t="shared" ref="T48:T73" si="12">60/M48</f>
        <v>335.94624860022395</v>
      </c>
      <c r="U48" s="110" t="s">
        <v>171</v>
      </c>
      <c r="X48" s="203">
        <v>0.17860000000000001</v>
      </c>
    </row>
    <row r="49" spans="1:28" ht="110.25" customHeight="1">
      <c r="A49" s="70"/>
      <c r="B49" s="101">
        <v>24</v>
      </c>
      <c r="C49" s="109">
        <v>301</v>
      </c>
      <c r="D49" s="103" t="s">
        <v>52</v>
      </c>
      <c r="E49" s="427" t="s">
        <v>237</v>
      </c>
      <c r="F49" s="428"/>
      <c r="G49" s="428"/>
      <c r="H49" s="428"/>
      <c r="I49" s="428"/>
      <c r="J49" s="428"/>
      <c r="K49" s="428"/>
      <c r="L49" s="438"/>
      <c r="M49" s="429">
        <v>0.27260000000000001</v>
      </c>
      <c r="N49" s="430"/>
      <c r="O49" s="452">
        <f>M50/$K$84</f>
        <v>0.51076858408729586</v>
      </c>
      <c r="P49" s="453">
        <f>M50/$K$84</f>
        <v>0.51076858408729586</v>
      </c>
      <c r="Q49" s="454">
        <f>P48</f>
        <v>0.19220805635311547</v>
      </c>
      <c r="R49" s="455"/>
      <c r="S49" s="456">
        <f t="shared" si="11"/>
        <v>220.10271460014673</v>
      </c>
      <c r="T49" s="457">
        <f t="shared" si="12"/>
        <v>220.10271460014673</v>
      </c>
      <c r="U49" s="110" t="s">
        <v>172</v>
      </c>
      <c r="W49" s="203">
        <v>0.27260000000000001</v>
      </c>
    </row>
    <row r="50" spans="1:28" ht="87" customHeight="1">
      <c r="A50" s="70"/>
      <c r="B50" s="101">
        <v>25</v>
      </c>
      <c r="C50" s="109">
        <v>605</v>
      </c>
      <c r="D50" s="103" t="s">
        <v>166</v>
      </c>
      <c r="E50" s="427" t="s">
        <v>263</v>
      </c>
      <c r="F50" s="428"/>
      <c r="G50" s="428"/>
      <c r="H50" s="428"/>
      <c r="I50" s="428"/>
      <c r="J50" s="428"/>
      <c r="K50" s="428"/>
      <c r="L50" s="438"/>
      <c r="M50" s="429">
        <v>0.72440000000000004</v>
      </c>
      <c r="N50" s="430"/>
      <c r="O50" s="452">
        <f t="shared" ref="O50:O70" si="13">M50/$K$84</f>
        <v>0.51076858408729586</v>
      </c>
      <c r="P50" s="453">
        <f t="shared" ref="P50:P70" si="14">M50/$K$84</f>
        <v>0.51076858408729586</v>
      </c>
      <c r="Q50" s="454">
        <f t="shared" ref="Q50:Q73" si="15">P50</f>
        <v>0.51076858408729586</v>
      </c>
      <c r="R50" s="455"/>
      <c r="S50" s="456">
        <f t="shared" si="11"/>
        <v>82.827167310877968</v>
      </c>
      <c r="T50" s="457">
        <f t="shared" si="12"/>
        <v>82.827167310877968</v>
      </c>
      <c r="U50" s="110" t="s">
        <v>173</v>
      </c>
      <c r="W50" s="203">
        <v>0.72440000000000004</v>
      </c>
    </row>
    <row r="51" spans="1:28" s="123" customFormat="1" ht="87" customHeight="1">
      <c r="A51" s="119"/>
      <c r="B51" s="101">
        <v>26</v>
      </c>
      <c r="C51" s="109">
        <v>605</v>
      </c>
      <c r="D51" s="103" t="s">
        <v>166</v>
      </c>
      <c r="E51" s="427" t="s">
        <v>239</v>
      </c>
      <c r="F51" s="428"/>
      <c r="G51" s="428"/>
      <c r="H51" s="428"/>
      <c r="I51" s="428"/>
      <c r="J51" s="428"/>
      <c r="K51" s="428"/>
      <c r="L51" s="438"/>
      <c r="M51" s="429">
        <v>0.9002</v>
      </c>
      <c r="N51" s="430"/>
      <c r="O51" s="452">
        <f t="shared" si="13"/>
        <v>0.63472374295331824</v>
      </c>
      <c r="P51" s="453">
        <f t="shared" si="14"/>
        <v>0.63472374295331824</v>
      </c>
      <c r="Q51" s="454">
        <f t="shared" si="15"/>
        <v>0.63472374295331824</v>
      </c>
      <c r="R51" s="455"/>
      <c r="S51" s="452">
        <f>Q51/$K$84</f>
        <v>0.44753858016959563</v>
      </c>
      <c r="T51" s="453">
        <f>Q51/$K$84</f>
        <v>0.44753858016959563</v>
      </c>
      <c r="U51" s="110" t="s">
        <v>174</v>
      </c>
      <c r="W51" s="205">
        <v>0.9002</v>
      </c>
      <c r="X51" s="205"/>
    </row>
    <row r="52" spans="1:28" s="123" customFormat="1" ht="87" customHeight="1">
      <c r="A52" s="119"/>
      <c r="B52" s="101">
        <v>27</v>
      </c>
      <c r="C52" s="109">
        <v>514</v>
      </c>
      <c r="D52" s="103" t="s">
        <v>142</v>
      </c>
      <c r="E52" s="427" t="s">
        <v>240</v>
      </c>
      <c r="F52" s="428"/>
      <c r="G52" s="428"/>
      <c r="H52" s="428"/>
      <c r="I52" s="428"/>
      <c r="J52" s="428"/>
      <c r="K52" s="428"/>
      <c r="L52" s="438"/>
      <c r="M52" s="429">
        <v>0.51839999999999997</v>
      </c>
      <c r="N52" s="430"/>
      <c r="O52" s="452">
        <f t="shared" si="13"/>
        <v>0.3655196493523663</v>
      </c>
      <c r="P52" s="453">
        <f t="shared" si="14"/>
        <v>0.3655196493523663</v>
      </c>
      <c r="Q52" s="454">
        <f t="shared" si="15"/>
        <v>0.3655196493523663</v>
      </c>
      <c r="R52" s="455"/>
      <c r="S52" s="452">
        <f>Q52/$K$84</f>
        <v>0.25772494996658335</v>
      </c>
      <c r="T52" s="453">
        <f>Q52/$K$84</f>
        <v>0.25772494996658335</v>
      </c>
      <c r="U52" s="110" t="s">
        <v>175</v>
      </c>
      <c r="W52" s="205">
        <v>0.51839999999999997</v>
      </c>
      <c r="X52" s="205"/>
    </row>
    <row r="53" spans="1:28" s="142" customFormat="1" ht="82.5" customHeight="1">
      <c r="A53" s="139"/>
      <c r="B53" s="101">
        <v>28</v>
      </c>
      <c r="C53" s="140">
        <v>605</v>
      </c>
      <c r="D53" s="141" t="s">
        <v>166</v>
      </c>
      <c r="E53" s="427" t="s">
        <v>241</v>
      </c>
      <c r="F53" s="428"/>
      <c r="G53" s="428"/>
      <c r="H53" s="428"/>
      <c r="I53" s="428"/>
      <c r="J53" s="428"/>
      <c r="K53" s="428"/>
      <c r="L53" s="438"/>
      <c r="M53" s="429">
        <v>0.39100000000000001</v>
      </c>
      <c r="N53" s="430"/>
      <c r="O53" s="452">
        <f t="shared" si="13"/>
        <v>0.27569093922989052</v>
      </c>
      <c r="P53" s="453">
        <f t="shared" si="14"/>
        <v>0.27569093922989052</v>
      </c>
      <c r="Q53" s="454">
        <f t="shared" si="15"/>
        <v>0.27569093922989052</v>
      </c>
      <c r="R53" s="455"/>
      <c r="S53" s="456">
        <f t="shared" si="11"/>
        <v>153.45268542199489</v>
      </c>
      <c r="T53" s="457">
        <f t="shared" si="12"/>
        <v>153.45268542199489</v>
      </c>
      <c r="U53" s="110" t="s">
        <v>176</v>
      </c>
      <c r="W53" s="208">
        <v>0.39100000000000001</v>
      </c>
      <c r="X53" s="208"/>
    </row>
    <row r="54" spans="1:28" ht="117.75" customHeight="1">
      <c r="A54" s="70"/>
      <c r="B54" s="101">
        <v>29</v>
      </c>
      <c r="C54" s="140">
        <v>514</v>
      </c>
      <c r="D54" s="141" t="s">
        <v>142</v>
      </c>
      <c r="E54" s="427" t="s">
        <v>242</v>
      </c>
      <c r="F54" s="428"/>
      <c r="G54" s="428"/>
      <c r="H54" s="428"/>
      <c r="I54" s="428"/>
      <c r="J54" s="428"/>
      <c r="K54" s="428"/>
      <c r="L54" s="438"/>
      <c r="M54" s="429">
        <v>0.69330000000000003</v>
      </c>
      <c r="N54" s="430"/>
      <c r="O54" s="452">
        <f t="shared" si="13"/>
        <v>0.48884022549381861</v>
      </c>
      <c r="P54" s="453">
        <f t="shared" si="14"/>
        <v>0.48884022549381861</v>
      </c>
      <c r="Q54" s="454">
        <f t="shared" si="15"/>
        <v>0.48884022549381861</v>
      </c>
      <c r="R54" s="455"/>
      <c r="S54" s="456">
        <f t="shared" si="11"/>
        <v>86.542622241453913</v>
      </c>
      <c r="T54" s="457">
        <f t="shared" si="12"/>
        <v>86.542622241453913</v>
      </c>
      <c r="U54" s="110" t="s">
        <v>177</v>
      </c>
      <c r="W54" s="203">
        <v>0.69330000000000003</v>
      </c>
    </row>
    <row r="55" spans="1:28" s="133" customFormat="1" ht="122.25" customHeight="1">
      <c r="A55" s="132"/>
      <c r="B55" s="101">
        <v>30</v>
      </c>
      <c r="C55" s="140">
        <v>301</v>
      </c>
      <c r="D55" s="141" t="s">
        <v>52</v>
      </c>
      <c r="E55" s="427" t="s">
        <v>243</v>
      </c>
      <c r="F55" s="428"/>
      <c r="G55" s="428"/>
      <c r="H55" s="428"/>
      <c r="I55" s="428"/>
      <c r="J55" s="428"/>
      <c r="K55" s="428"/>
      <c r="L55" s="438"/>
      <c r="M55" s="429">
        <v>0.50029999999999997</v>
      </c>
      <c r="N55" s="430"/>
      <c r="O55" s="452">
        <f t="shared" si="13"/>
        <v>0.35275748566934578</v>
      </c>
      <c r="P55" s="453">
        <f t="shared" si="14"/>
        <v>0.35275748566934578</v>
      </c>
      <c r="Q55" s="454">
        <f t="shared" si="15"/>
        <v>0.35275748566934578</v>
      </c>
      <c r="R55" s="455"/>
      <c r="S55" s="456">
        <f t="shared" si="11"/>
        <v>119.92804317409555</v>
      </c>
      <c r="T55" s="457">
        <f t="shared" si="12"/>
        <v>119.92804317409555</v>
      </c>
      <c r="U55" s="110" t="s">
        <v>178</v>
      </c>
      <c r="W55" s="206">
        <v>0.50029999999999997</v>
      </c>
      <c r="X55" s="206"/>
    </row>
    <row r="56" spans="1:28" ht="168" customHeight="1">
      <c r="A56" s="70"/>
      <c r="B56" s="101">
        <v>31</v>
      </c>
      <c r="C56" s="140">
        <v>301</v>
      </c>
      <c r="D56" s="141" t="s">
        <v>52</v>
      </c>
      <c r="E56" s="427" t="s">
        <v>244</v>
      </c>
      <c r="F56" s="428"/>
      <c r="G56" s="428"/>
      <c r="H56" s="428"/>
      <c r="I56" s="428"/>
      <c r="J56" s="428"/>
      <c r="K56" s="428"/>
      <c r="L56" s="438"/>
      <c r="M56" s="429">
        <f>0.2328+1.3199+0.3942</f>
        <v>1.9469000000000003</v>
      </c>
      <c r="N56" s="430"/>
      <c r="O56" s="452">
        <f t="shared" si="13"/>
        <v>1.3727434516283219</v>
      </c>
      <c r="P56" s="453">
        <f t="shared" si="14"/>
        <v>1.3727434516283219</v>
      </c>
      <c r="Q56" s="454">
        <f t="shared" si="15"/>
        <v>1.3727434516283219</v>
      </c>
      <c r="R56" s="455"/>
      <c r="S56" s="456">
        <f t="shared" si="11"/>
        <v>30.818223843032509</v>
      </c>
      <c r="T56" s="457">
        <f t="shared" si="12"/>
        <v>30.818223843032509</v>
      </c>
      <c r="U56" s="118" t="s">
        <v>179</v>
      </c>
      <c r="W56" s="203">
        <v>1.9469000000000003</v>
      </c>
      <c r="AA56" s="366">
        <f>1.9469/2</f>
        <v>0.97345000000000004</v>
      </c>
      <c r="AB56" s="203"/>
    </row>
    <row r="57" spans="1:28" ht="87" customHeight="1">
      <c r="A57" s="70"/>
      <c r="B57" s="101">
        <v>32</v>
      </c>
      <c r="C57" s="140">
        <v>301</v>
      </c>
      <c r="D57" s="141" t="s">
        <v>52</v>
      </c>
      <c r="E57" s="427" t="s">
        <v>245</v>
      </c>
      <c r="F57" s="428"/>
      <c r="G57" s="428"/>
      <c r="H57" s="428"/>
      <c r="I57" s="428"/>
      <c r="J57" s="428"/>
      <c r="K57" s="428"/>
      <c r="L57" s="438"/>
      <c r="M57" s="429">
        <v>0.57050000000000001</v>
      </c>
      <c r="N57" s="430"/>
      <c r="O57" s="452">
        <f t="shared" si="13"/>
        <v>0.40225493818581209</v>
      </c>
      <c r="P57" s="453">
        <f t="shared" si="14"/>
        <v>0.40225493818581209</v>
      </c>
      <c r="Q57" s="454">
        <f t="shared" si="15"/>
        <v>0.40225493818581209</v>
      </c>
      <c r="R57" s="455"/>
      <c r="S57" s="456">
        <f t="shared" si="11"/>
        <v>105.17090271691498</v>
      </c>
      <c r="T57" s="457">
        <f t="shared" si="12"/>
        <v>105.17090271691498</v>
      </c>
      <c r="U57" s="110" t="s">
        <v>180</v>
      </c>
      <c r="W57" s="203">
        <v>0.57050000000000001</v>
      </c>
      <c r="AA57" s="367" t="s">
        <v>407</v>
      </c>
    </row>
    <row r="58" spans="1:28" ht="145.5" customHeight="1">
      <c r="A58" s="70"/>
      <c r="B58" s="101">
        <v>33</v>
      </c>
      <c r="C58" s="140">
        <v>401</v>
      </c>
      <c r="D58" s="141" t="s">
        <v>57</v>
      </c>
      <c r="E58" s="427" t="s">
        <v>246</v>
      </c>
      <c r="F58" s="428"/>
      <c r="G58" s="428"/>
      <c r="H58" s="428"/>
      <c r="I58" s="428"/>
      <c r="J58" s="428"/>
      <c r="K58" s="428"/>
      <c r="L58" s="438"/>
      <c r="M58" s="429">
        <v>0.83320000000000005</v>
      </c>
      <c r="N58" s="430"/>
      <c r="O58" s="452">
        <f t="shared" si="13"/>
        <v>0.58748258456865665</v>
      </c>
      <c r="P58" s="453">
        <f t="shared" si="14"/>
        <v>0.58748258456865665</v>
      </c>
      <c r="Q58" s="454">
        <f t="shared" si="15"/>
        <v>0.58748258456865665</v>
      </c>
      <c r="R58" s="455"/>
      <c r="S58" s="456">
        <f t="shared" si="11"/>
        <v>72.011521843494961</v>
      </c>
      <c r="T58" s="457">
        <f t="shared" si="12"/>
        <v>72.011521843494961</v>
      </c>
      <c r="U58" s="110" t="s">
        <v>181</v>
      </c>
      <c r="W58" s="203">
        <v>0.83320000000000005</v>
      </c>
    </row>
    <row r="59" spans="1:28" s="133" customFormat="1" ht="108" customHeight="1">
      <c r="A59" s="132"/>
      <c r="B59" s="143">
        <v>34</v>
      </c>
      <c r="C59" s="144">
        <v>301</v>
      </c>
      <c r="D59" s="145" t="s">
        <v>52</v>
      </c>
      <c r="E59" s="441" t="s">
        <v>247</v>
      </c>
      <c r="F59" s="442"/>
      <c r="G59" s="442"/>
      <c r="H59" s="442"/>
      <c r="I59" s="442"/>
      <c r="J59" s="442"/>
      <c r="K59" s="442"/>
      <c r="L59" s="443"/>
      <c r="M59" s="444">
        <v>0.35410000000000003</v>
      </c>
      <c r="N59" s="445"/>
      <c r="O59" s="446">
        <f t="shared" si="13"/>
        <v>0.24967304752251721</v>
      </c>
      <c r="P59" s="447">
        <f t="shared" si="14"/>
        <v>0.24967304752251721</v>
      </c>
      <c r="Q59" s="448">
        <f t="shared" si="15"/>
        <v>0.24967304752251721</v>
      </c>
      <c r="R59" s="449"/>
      <c r="S59" s="450">
        <f t="shared" si="11"/>
        <v>169.44365998305562</v>
      </c>
      <c r="T59" s="451">
        <f t="shared" si="12"/>
        <v>169.44365998305562</v>
      </c>
      <c r="U59" s="146" t="s">
        <v>182</v>
      </c>
      <c r="W59" s="206">
        <v>0.35410000000000003</v>
      </c>
      <c r="X59" s="206"/>
    </row>
    <row r="60" spans="1:28" ht="93" customHeight="1">
      <c r="A60" s="70"/>
      <c r="B60" s="101">
        <v>35</v>
      </c>
      <c r="C60" s="140">
        <v>301</v>
      </c>
      <c r="D60" s="141" t="s">
        <v>52</v>
      </c>
      <c r="E60" s="427" t="s">
        <v>248</v>
      </c>
      <c r="F60" s="428"/>
      <c r="G60" s="428"/>
      <c r="H60" s="428"/>
      <c r="I60" s="428"/>
      <c r="J60" s="428"/>
      <c r="K60" s="428"/>
      <c r="L60" s="438"/>
      <c r="M60" s="429">
        <v>0.34639999999999999</v>
      </c>
      <c r="N60" s="430"/>
      <c r="O60" s="402">
        <f t="shared" si="13"/>
        <v>0.24424383976786204</v>
      </c>
      <c r="P60" s="402">
        <f t="shared" si="14"/>
        <v>0.24424383976786204</v>
      </c>
      <c r="Q60" s="403">
        <f t="shared" si="15"/>
        <v>0.24424383976786204</v>
      </c>
      <c r="R60" s="403"/>
      <c r="S60" s="404">
        <f t="shared" si="11"/>
        <v>173.21016166281757</v>
      </c>
      <c r="T60" s="404">
        <f t="shared" si="12"/>
        <v>173.21016166281757</v>
      </c>
      <c r="U60" s="110" t="s">
        <v>183</v>
      </c>
      <c r="W60" s="203">
        <v>0.34639999999999999</v>
      </c>
    </row>
    <row r="61" spans="1:28" ht="85.5" customHeight="1">
      <c r="A61" s="70"/>
      <c r="B61" s="101">
        <v>36</v>
      </c>
      <c r="C61" s="140">
        <v>301</v>
      </c>
      <c r="D61" s="141" t="s">
        <v>52</v>
      </c>
      <c r="E61" s="427" t="s">
        <v>249</v>
      </c>
      <c r="F61" s="428"/>
      <c r="G61" s="428"/>
      <c r="H61" s="428"/>
      <c r="I61" s="428"/>
      <c r="J61" s="428"/>
      <c r="K61" s="428"/>
      <c r="L61" s="438"/>
      <c r="M61" s="429">
        <v>0.68920000000000003</v>
      </c>
      <c r="N61" s="430"/>
      <c r="O61" s="402">
        <f t="shared" si="13"/>
        <v>0.48594934863744382</v>
      </c>
      <c r="P61" s="402">
        <f t="shared" si="14"/>
        <v>0.48594934863744382</v>
      </c>
      <c r="Q61" s="403">
        <f t="shared" si="15"/>
        <v>0.48594934863744382</v>
      </c>
      <c r="R61" s="403"/>
      <c r="S61" s="404">
        <f t="shared" si="11"/>
        <v>87.057457922228664</v>
      </c>
      <c r="T61" s="404">
        <f t="shared" si="12"/>
        <v>87.057457922228664</v>
      </c>
      <c r="U61" s="110" t="s">
        <v>184</v>
      </c>
      <c r="W61" s="203">
        <v>0.68920000000000003</v>
      </c>
    </row>
    <row r="62" spans="1:28" ht="85.5" customHeight="1">
      <c r="A62" s="70"/>
      <c r="B62" s="101">
        <v>37</v>
      </c>
      <c r="C62" s="140">
        <v>301</v>
      </c>
      <c r="D62" s="141" t="s">
        <v>52</v>
      </c>
      <c r="E62" s="427" t="s">
        <v>250</v>
      </c>
      <c r="F62" s="439"/>
      <c r="G62" s="439"/>
      <c r="H62" s="439"/>
      <c r="I62" s="439"/>
      <c r="J62" s="439"/>
      <c r="K62" s="439"/>
      <c r="L62" s="440"/>
      <c r="M62" s="429">
        <v>0.7288</v>
      </c>
      <c r="N62" s="430"/>
      <c r="O62" s="402">
        <f t="shared" si="13"/>
        <v>0.51387098851852731</v>
      </c>
      <c r="P62" s="402">
        <f t="shared" si="14"/>
        <v>0.51387098851852731</v>
      </c>
      <c r="Q62" s="403">
        <f t="shared" si="15"/>
        <v>0.51387098851852731</v>
      </c>
      <c r="R62" s="403"/>
      <c r="S62" s="404">
        <f t="shared" si="11"/>
        <v>82.3271130625686</v>
      </c>
      <c r="T62" s="404">
        <f t="shared" si="12"/>
        <v>82.3271130625686</v>
      </c>
      <c r="U62" s="110" t="s">
        <v>185</v>
      </c>
      <c r="W62" s="203">
        <v>0.7288</v>
      </c>
    </row>
    <row r="63" spans="1:28" ht="87" customHeight="1">
      <c r="B63" s="101">
        <v>38</v>
      </c>
      <c r="C63" s="147">
        <v>605</v>
      </c>
      <c r="D63" s="148" t="s">
        <v>166</v>
      </c>
      <c r="E63" s="434" t="s">
        <v>252</v>
      </c>
      <c r="F63" s="437"/>
      <c r="G63" s="437"/>
      <c r="H63" s="437"/>
      <c r="I63" s="437"/>
      <c r="J63" s="437"/>
      <c r="K63" s="437"/>
      <c r="L63" s="437"/>
      <c r="M63" s="429">
        <v>1.3359000000000001</v>
      </c>
      <c r="N63" s="430"/>
      <c r="O63" s="402">
        <f t="shared" si="13"/>
        <v>0.94193229083685603</v>
      </c>
      <c r="P63" s="402">
        <f t="shared" si="14"/>
        <v>0.94193229083685603</v>
      </c>
      <c r="Q63" s="403">
        <f t="shared" si="15"/>
        <v>0.94193229083685603</v>
      </c>
      <c r="R63" s="403"/>
      <c r="S63" s="404">
        <f t="shared" si="11"/>
        <v>44.913541432741965</v>
      </c>
      <c r="T63" s="404">
        <f t="shared" si="12"/>
        <v>44.913541432741965</v>
      </c>
      <c r="U63" s="149" t="s">
        <v>186</v>
      </c>
      <c r="W63" s="203">
        <v>1.3359000000000001</v>
      </c>
    </row>
    <row r="64" spans="1:28" ht="113.25" customHeight="1">
      <c r="B64" s="101">
        <v>39</v>
      </c>
      <c r="C64" s="147">
        <v>606</v>
      </c>
      <c r="D64" s="148" t="s">
        <v>166</v>
      </c>
      <c r="E64" s="434" t="s">
        <v>251</v>
      </c>
      <c r="F64" s="437"/>
      <c r="G64" s="437"/>
      <c r="H64" s="437"/>
      <c r="I64" s="437"/>
      <c r="J64" s="437"/>
      <c r="K64" s="437"/>
      <c r="L64" s="437"/>
      <c r="M64" s="429">
        <v>1.847</v>
      </c>
      <c r="N64" s="430"/>
      <c r="O64" s="402">
        <f t="shared" si="13"/>
        <v>1.3023047692010428</v>
      </c>
      <c r="P64" s="402">
        <f t="shared" si="14"/>
        <v>1.3023047692010428</v>
      </c>
      <c r="Q64" s="403">
        <f t="shared" si="15"/>
        <v>1.3023047692010428</v>
      </c>
      <c r="R64" s="403"/>
      <c r="S64" s="404">
        <f t="shared" si="11"/>
        <v>32.485110990795889</v>
      </c>
      <c r="T64" s="404">
        <f t="shared" si="12"/>
        <v>32.485110990795889</v>
      </c>
      <c r="U64" s="149" t="s">
        <v>187</v>
      </c>
      <c r="W64" s="203">
        <v>1.847</v>
      </c>
    </row>
    <row r="65" spans="1:24" ht="90" customHeight="1">
      <c r="A65" s="70"/>
      <c r="B65" s="101">
        <v>40</v>
      </c>
      <c r="C65" s="140">
        <v>514</v>
      </c>
      <c r="D65" s="141" t="s">
        <v>142</v>
      </c>
      <c r="E65" s="427" t="s">
        <v>253</v>
      </c>
      <c r="F65" s="428"/>
      <c r="G65" s="428"/>
      <c r="H65" s="428"/>
      <c r="I65" s="428"/>
      <c r="J65" s="428"/>
      <c r="K65" s="428"/>
      <c r="L65" s="428"/>
      <c r="M65" s="429">
        <v>0.79549999999999998</v>
      </c>
      <c r="N65" s="430"/>
      <c r="O65" s="402">
        <f t="shared" si="13"/>
        <v>0.56090061932833213</v>
      </c>
      <c r="P65" s="402">
        <f t="shared" si="14"/>
        <v>0.56090061932833213</v>
      </c>
      <c r="Q65" s="403">
        <f t="shared" si="15"/>
        <v>0.56090061932833213</v>
      </c>
      <c r="R65" s="403"/>
      <c r="S65" s="404">
        <f t="shared" si="11"/>
        <v>75.424261470773104</v>
      </c>
      <c r="T65" s="404">
        <f t="shared" si="12"/>
        <v>75.424261470773104</v>
      </c>
      <c r="U65" s="110" t="s">
        <v>188</v>
      </c>
      <c r="W65" s="203">
        <v>0.79549999999999998</v>
      </c>
    </row>
    <row r="66" spans="1:24" ht="90" customHeight="1">
      <c r="A66" s="70"/>
      <c r="B66" s="101">
        <v>41</v>
      </c>
      <c r="C66" s="140">
        <v>406</v>
      </c>
      <c r="D66" s="141" t="s">
        <v>189</v>
      </c>
      <c r="E66" s="427" t="s">
        <v>254</v>
      </c>
      <c r="F66" s="399"/>
      <c r="G66" s="399"/>
      <c r="H66" s="399"/>
      <c r="I66" s="399"/>
      <c r="J66" s="399"/>
      <c r="K66" s="399"/>
      <c r="L66" s="399"/>
      <c r="M66" s="429">
        <v>0.7036</v>
      </c>
      <c r="N66" s="430"/>
      <c r="O66" s="402">
        <f t="shared" si="13"/>
        <v>0.49610267223056509</v>
      </c>
      <c r="P66" s="402">
        <f t="shared" si="14"/>
        <v>0.49610267223056509</v>
      </c>
      <c r="Q66" s="403">
        <f t="shared" si="15"/>
        <v>0.49610267223056509</v>
      </c>
      <c r="R66" s="403"/>
      <c r="S66" s="404">
        <f t="shared" si="11"/>
        <v>85.275724843661166</v>
      </c>
      <c r="T66" s="404">
        <f t="shared" si="12"/>
        <v>85.275724843661166</v>
      </c>
      <c r="U66" s="110" t="s">
        <v>190</v>
      </c>
      <c r="W66" s="203">
        <v>0.7036</v>
      </c>
    </row>
    <row r="67" spans="1:24" ht="90" customHeight="1">
      <c r="A67" s="70"/>
      <c r="B67" s="101">
        <v>42</v>
      </c>
      <c r="C67" s="140">
        <v>406</v>
      </c>
      <c r="D67" s="120" t="s">
        <v>189</v>
      </c>
      <c r="E67" s="431" t="s">
        <v>255</v>
      </c>
      <c r="F67" s="432"/>
      <c r="G67" s="432"/>
      <c r="H67" s="432"/>
      <c r="I67" s="432"/>
      <c r="J67" s="432"/>
      <c r="K67" s="432"/>
      <c r="L67" s="433"/>
      <c r="M67" s="429">
        <v>0.67479999999999996</v>
      </c>
      <c r="N67" s="430"/>
      <c r="O67" s="402">
        <f t="shared" si="13"/>
        <v>0.4757960250443225</v>
      </c>
      <c r="P67" s="402">
        <f t="shared" si="14"/>
        <v>0.4757960250443225</v>
      </c>
      <c r="Q67" s="403">
        <f t="shared" si="15"/>
        <v>0.4757960250443225</v>
      </c>
      <c r="R67" s="403"/>
      <c r="S67" s="404">
        <f t="shared" si="11"/>
        <v>88.915234143449922</v>
      </c>
      <c r="T67" s="404">
        <f t="shared" si="12"/>
        <v>88.915234143449922</v>
      </c>
      <c r="U67" s="110" t="s">
        <v>191</v>
      </c>
      <c r="W67" s="203">
        <v>0.67479999999999996</v>
      </c>
    </row>
    <row r="68" spans="1:24" ht="102" customHeight="1">
      <c r="A68" s="70"/>
      <c r="B68" s="101">
        <v>43</v>
      </c>
      <c r="C68" s="150">
        <v>301</v>
      </c>
      <c r="D68" s="120" t="s">
        <v>52</v>
      </c>
      <c r="E68" s="434" t="s">
        <v>256</v>
      </c>
      <c r="F68" s="435"/>
      <c r="G68" s="435"/>
      <c r="H68" s="435"/>
      <c r="I68" s="435"/>
      <c r="J68" s="435"/>
      <c r="K68" s="435"/>
      <c r="L68" s="436"/>
      <c r="M68" s="429">
        <v>0.30959999999999999</v>
      </c>
      <c r="N68" s="430"/>
      <c r="O68" s="402">
        <f t="shared" si="13"/>
        <v>0.21829645725210764</v>
      </c>
      <c r="P68" s="402">
        <f t="shared" si="14"/>
        <v>0.21829645725210764</v>
      </c>
      <c r="Q68" s="403">
        <f t="shared" si="15"/>
        <v>0.21829645725210764</v>
      </c>
      <c r="R68" s="403"/>
      <c r="S68" s="404">
        <f t="shared" si="11"/>
        <v>193.79844961240312</v>
      </c>
      <c r="T68" s="404">
        <f t="shared" si="12"/>
        <v>193.79844961240312</v>
      </c>
      <c r="U68" s="110" t="s">
        <v>192</v>
      </c>
      <c r="W68" s="203">
        <v>0.30959999999999999</v>
      </c>
    </row>
    <row r="69" spans="1:24" s="123" customFormat="1" ht="102" customHeight="1">
      <c r="A69" s="70"/>
      <c r="B69" s="101">
        <v>44</v>
      </c>
      <c r="C69" s="150">
        <v>304</v>
      </c>
      <c r="D69" s="141" t="s">
        <v>147</v>
      </c>
      <c r="E69" s="427" t="s">
        <v>257</v>
      </c>
      <c r="F69" s="428"/>
      <c r="G69" s="428"/>
      <c r="H69" s="428"/>
      <c r="I69" s="428"/>
      <c r="J69" s="428"/>
      <c r="K69" s="428"/>
      <c r="L69" s="428"/>
      <c r="M69" s="429">
        <v>0.2243</v>
      </c>
      <c r="N69" s="430"/>
      <c r="O69" s="402">
        <f t="shared" si="13"/>
        <v>0.15815211680118782</v>
      </c>
      <c r="P69" s="402">
        <f t="shared" si="14"/>
        <v>0.15815211680118782</v>
      </c>
      <c r="Q69" s="403">
        <f t="shared" si="15"/>
        <v>0.15815211680118782</v>
      </c>
      <c r="R69" s="403"/>
      <c r="S69" s="404">
        <f t="shared" si="11"/>
        <v>267.49888542131072</v>
      </c>
      <c r="T69" s="404">
        <f t="shared" si="12"/>
        <v>267.49888542131072</v>
      </c>
      <c r="U69" s="110" t="s">
        <v>193</v>
      </c>
      <c r="W69" s="205">
        <v>0.2243</v>
      </c>
      <c r="X69" s="205"/>
    </row>
    <row r="70" spans="1:24" s="123" customFormat="1" ht="122.25" customHeight="1">
      <c r="A70" s="119"/>
      <c r="B70" s="101">
        <v>45</v>
      </c>
      <c r="C70" s="140">
        <v>101</v>
      </c>
      <c r="D70" s="141" t="s">
        <v>147</v>
      </c>
      <c r="E70" s="427" t="s">
        <v>258</v>
      </c>
      <c r="F70" s="428"/>
      <c r="G70" s="428"/>
      <c r="H70" s="428"/>
      <c r="I70" s="428"/>
      <c r="J70" s="428"/>
      <c r="K70" s="428"/>
      <c r="L70" s="428"/>
      <c r="M70" s="429">
        <f>0.3796+0.6041+0.2243</f>
        <v>1.208</v>
      </c>
      <c r="N70" s="430"/>
      <c r="O70" s="402">
        <f t="shared" si="13"/>
        <v>0.85175103475628566</v>
      </c>
      <c r="P70" s="402">
        <f t="shared" si="14"/>
        <v>0.85175103475628566</v>
      </c>
      <c r="Q70" s="403">
        <f t="shared" si="15"/>
        <v>0.85175103475628566</v>
      </c>
      <c r="R70" s="403"/>
      <c r="S70" s="404">
        <f t="shared" si="11"/>
        <v>49.668874172185433</v>
      </c>
      <c r="T70" s="404">
        <f t="shared" si="12"/>
        <v>49.668874172185433</v>
      </c>
      <c r="U70" s="118" t="s">
        <v>194</v>
      </c>
      <c r="W70" s="205">
        <v>1.208</v>
      </c>
      <c r="X70" s="205"/>
    </row>
    <row r="71" spans="1:24" s="123" customFormat="1" ht="75" customHeight="1">
      <c r="A71" s="119"/>
      <c r="B71" s="101">
        <v>46</v>
      </c>
      <c r="C71" s="138" t="s">
        <v>169</v>
      </c>
      <c r="D71" s="103" t="s">
        <v>195</v>
      </c>
      <c r="E71" s="427" t="s">
        <v>235</v>
      </c>
      <c r="F71" s="428"/>
      <c r="G71" s="428"/>
      <c r="H71" s="428"/>
      <c r="I71" s="428"/>
      <c r="J71" s="428"/>
      <c r="K71" s="428"/>
      <c r="L71" s="428"/>
      <c r="M71" s="429">
        <v>0.12540000000000001</v>
      </c>
      <c r="N71" s="430"/>
      <c r="O71" s="402">
        <f>M71/$K$84</f>
        <v>8.8418526290097874E-2</v>
      </c>
      <c r="P71" s="402">
        <f>M71/$K$84</f>
        <v>8.8418526290097874E-2</v>
      </c>
      <c r="Q71" s="403">
        <f t="shared" si="15"/>
        <v>8.8418526290097874E-2</v>
      </c>
      <c r="R71" s="403"/>
      <c r="S71" s="404">
        <f t="shared" si="11"/>
        <v>478.46889952153106</v>
      </c>
      <c r="T71" s="404">
        <f t="shared" si="12"/>
        <v>478.46889952153106</v>
      </c>
      <c r="U71" s="110" t="s">
        <v>196</v>
      </c>
      <c r="W71" s="205">
        <v>0.12540000000000001</v>
      </c>
      <c r="X71" s="205"/>
    </row>
    <row r="72" spans="1:24" ht="41.1" customHeight="1">
      <c r="A72" s="70"/>
      <c r="B72" s="101"/>
      <c r="C72" s="108"/>
      <c r="D72" s="103"/>
      <c r="E72" s="398"/>
      <c r="F72" s="399"/>
      <c r="G72" s="399"/>
      <c r="H72" s="399"/>
      <c r="I72" s="399"/>
      <c r="J72" s="399"/>
      <c r="K72" s="399"/>
      <c r="L72" s="399"/>
      <c r="M72" s="429"/>
      <c r="N72" s="430"/>
      <c r="O72" s="402"/>
      <c r="P72" s="402"/>
      <c r="Q72" s="403"/>
      <c r="R72" s="403"/>
      <c r="S72" s="404"/>
      <c r="T72" s="404"/>
      <c r="U72" s="110"/>
    </row>
    <row r="73" spans="1:24" s="142" customFormat="1" ht="41.1" customHeight="1">
      <c r="A73" s="139"/>
      <c r="B73" s="151">
        <v>47</v>
      </c>
      <c r="C73" s="152" t="s">
        <v>169</v>
      </c>
      <c r="D73" s="153" t="s">
        <v>195</v>
      </c>
      <c r="E73" s="420" t="s">
        <v>197</v>
      </c>
      <c r="F73" s="421"/>
      <c r="G73" s="421"/>
      <c r="H73" s="421"/>
      <c r="I73" s="421"/>
      <c r="J73" s="421"/>
      <c r="K73" s="421"/>
      <c r="L73" s="421"/>
      <c r="M73" s="422">
        <v>0.52769999999999995</v>
      </c>
      <c r="N73" s="423"/>
      <c r="O73" s="424">
        <f>M73/$K$84</f>
        <v>0.37207700417292378</v>
      </c>
      <c r="P73" s="424">
        <f>M73/$K$84</f>
        <v>0.37207700417292378</v>
      </c>
      <c r="Q73" s="425">
        <f t="shared" si="15"/>
        <v>0.37207700417292378</v>
      </c>
      <c r="R73" s="425"/>
      <c r="S73" s="426">
        <f t="shared" si="11"/>
        <v>113.70096645821491</v>
      </c>
      <c r="T73" s="426">
        <f t="shared" si="12"/>
        <v>113.70096645821491</v>
      </c>
      <c r="U73" s="154"/>
      <c r="W73" s="208"/>
      <c r="X73" s="208"/>
    </row>
    <row r="74" spans="1:24" ht="41.1" customHeight="1">
      <c r="A74" s="70"/>
      <c r="B74" s="101"/>
      <c r="C74" s="108"/>
      <c r="D74" s="103"/>
      <c r="E74" s="427"/>
      <c r="F74" s="428"/>
      <c r="G74" s="428"/>
      <c r="H74" s="428"/>
      <c r="I74" s="428"/>
      <c r="J74" s="428"/>
      <c r="K74" s="428"/>
      <c r="L74" s="428"/>
      <c r="M74" s="429"/>
      <c r="N74" s="430"/>
      <c r="O74" s="402"/>
      <c r="P74" s="402"/>
      <c r="Q74" s="403"/>
      <c r="R74" s="403"/>
      <c r="S74" s="404"/>
      <c r="T74" s="404"/>
      <c r="U74" s="110"/>
    </row>
    <row r="75" spans="1:24" ht="39.9" customHeight="1">
      <c r="A75" s="70"/>
      <c r="B75" s="101"/>
      <c r="C75" s="109"/>
      <c r="D75" s="103"/>
      <c r="E75" s="398"/>
      <c r="F75" s="399"/>
      <c r="G75" s="399"/>
      <c r="H75" s="399"/>
      <c r="I75" s="399"/>
      <c r="J75" s="399"/>
      <c r="K75" s="399"/>
      <c r="L75" s="399"/>
      <c r="M75" s="400"/>
      <c r="N75" s="401"/>
      <c r="O75" s="402"/>
      <c r="P75" s="402"/>
      <c r="Q75" s="403"/>
      <c r="R75" s="403"/>
      <c r="S75" s="404"/>
      <c r="T75" s="404"/>
      <c r="U75" s="110"/>
    </row>
    <row r="76" spans="1:24" ht="39.9" customHeight="1">
      <c r="A76" s="70"/>
      <c r="B76" s="101"/>
      <c r="C76" s="109"/>
      <c r="D76" s="103"/>
      <c r="E76" s="398"/>
      <c r="F76" s="399"/>
      <c r="G76" s="399"/>
      <c r="H76" s="399"/>
      <c r="I76" s="399"/>
      <c r="J76" s="399"/>
      <c r="K76" s="399"/>
      <c r="L76" s="399"/>
      <c r="M76" s="400"/>
      <c r="N76" s="401"/>
      <c r="O76" s="402"/>
      <c r="P76" s="402"/>
      <c r="Q76" s="403"/>
      <c r="R76" s="403"/>
      <c r="S76" s="404"/>
      <c r="T76" s="404"/>
      <c r="U76" s="110"/>
    </row>
    <row r="77" spans="1:24" ht="39.9" customHeight="1">
      <c r="A77" s="70"/>
      <c r="B77" s="103"/>
      <c r="C77" s="103"/>
      <c r="D77" s="128"/>
      <c r="E77" s="405" t="s">
        <v>198</v>
      </c>
      <c r="F77" s="405"/>
      <c r="G77" s="405"/>
      <c r="H77" s="405"/>
      <c r="I77" s="405"/>
      <c r="J77" s="405"/>
      <c r="K77" s="405"/>
      <c r="L77" s="406"/>
      <c r="M77" s="407">
        <f>SUM(M19:N72)</f>
        <v>29.499699999999997</v>
      </c>
      <c r="N77" s="408"/>
      <c r="O77" s="409"/>
      <c r="P77" s="409"/>
      <c r="Q77" s="410"/>
      <c r="R77" s="410"/>
      <c r="S77" s="410"/>
      <c r="T77" s="410"/>
      <c r="U77" s="155"/>
      <c r="W77" s="210">
        <f>SUM(W20:W72)</f>
        <v>29.321099999999998</v>
      </c>
      <c r="X77" s="210">
        <f>SUM(X20:X72)</f>
        <v>0.17860000000000001</v>
      </c>
    </row>
    <row r="78" spans="1:24" ht="39.9" customHeight="1" thickBot="1">
      <c r="A78" s="70"/>
      <c r="B78" s="156"/>
      <c r="C78" s="156"/>
      <c r="D78" s="156"/>
      <c r="E78" s="411"/>
      <c r="F78" s="412"/>
      <c r="G78" s="412"/>
      <c r="H78" s="412"/>
      <c r="I78" s="412"/>
      <c r="J78" s="412"/>
      <c r="K78" s="412"/>
      <c r="L78" s="412"/>
      <c r="M78" s="413"/>
      <c r="N78" s="414"/>
      <c r="O78" s="415"/>
      <c r="P78" s="416"/>
      <c r="Q78" s="417"/>
      <c r="R78" s="418"/>
      <c r="S78" s="419"/>
      <c r="T78" s="419"/>
      <c r="U78" s="157"/>
    </row>
    <row r="79" spans="1:24" ht="39.9" customHeight="1" thickTop="1" thickBot="1">
      <c r="A79" s="70"/>
      <c r="B79" s="395" t="s">
        <v>199</v>
      </c>
      <c r="C79" s="396"/>
      <c r="D79" s="396"/>
      <c r="E79" s="396"/>
      <c r="F79" s="396"/>
      <c r="G79" s="396"/>
      <c r="H79" s="396"/>
      <c r="I79" s="396"/>
      <c r="J79" s="396"/>
      <c r="K79" s="396"/>
      <c r="L79" s="396"/>
      <c r="M79" s="396"/>
      <c r="N79" s="396"/>
      <c r="O79" s="396"/>
      <c r="P79" s="396"/>
      <c r="Q79" s="396"/>
      <c r="R79" s="396"/>
      <c r="S79" s="396"/>
      <c r="T79" s="396"/>
      <c r="U79" s="397"/>
    </row>
    <row r="80" spans="1:24" ht="39.9" customHeight="1" thickTop="1">
      <c r="A80" s="70"/>
      <c r="B80" s="389" t="s">
        <v>200</v>
      </c>
      <c r="C80" s="390"/>
      <c r="D80" s="390"/>
      <c r="E80" s="390"/>
      <c r="F80" s="390"/>
      <c r="G80" s="391"/>
      <c r="H80" s="389" t="s">
        <v>201</v>
      </c>
      <c r="I80" s="390"/>
      <c r="J80" s="390"/>
      <c r="K80" s="390"/>
      <c r="L80" s="390"/>
      <c r="M80" s="392" t="s">
        <v>202</v>
      </c>
      <c r="N80" s="390"/>
      <c r="O80" s="390"/>
      <c r="P80" s="390"/>
      <c r="Q80" s="390"/>
      <c r="R80" s="390"/>
      <c r="S80" s="390"/>
      <c r="T80" s="390"/>
      <c r="U80" s="158"/>
    </row>
    <row r="81" spans="1:21" ht="39.9" customHeight="1">
      <c r="A81" s="70"/>
      <c r="B81" s="393" t="s">
        <v>203</v>
      </c>
      <c r="C81" s="394"/>
      <c r="D81" s="394"/>
      <c r="E81" s="394"/>
      <c r="F81" s="159" t="s">
        <v>109</v>
      </c>
      <c r="G81" s="160">
        <f>M77*0.03+1</f>
        <v>1.8849909999999999</v>
      </c>
      <c r="H81" s="161" t="s">
        <v>204</v>
      </c>
      <c r="I81" s="162"/>
      <c r="J81" s="163" t="s">
        <v>109</v>
      </c>
      <c r="K81" s="163">
        <v>26</v>
      </c>
      <c r="L81" s="164"/>
      <c r="M81" s="165" t="s">
        <v>205</v>
      </c>
      <c r="N81" s="166" t="s">
        <v>206</v>
      </c>
      <c r="O81" s="166" t="s">
        <v>205</v>
      </c>
      <c r="P81" s="166" t="s">
        <v>206</v>
      </c>
      <c r="Q81" s="166" t="s">
        <v>205</v>
      </c>
      <c r="R81" s="166" t="s">
        <v>206</v>
      </c>
      <c r="S81" s="166" t="s">
        <v>205</v>
      </c>
      <c r="T81" s="166" t="s">
        <v>206</v>
      </c>
      <c r="U81" s="167"/>
    </row>
    <row r="82" spans="1:21" ht="39.9" customHeight="1">
      <c r="A82" s="70"/>
      <c r="B82" s="381" t="s">
        <v>207</v>
      </c>
      <c r="C82" s="382"/>
      <c r="D82" s="382"/>
      <c r="E82" s="382"/>
      <c r="F82" s="168" t="s">
        <v>109</v>
      </c>
      <c r="G82" s="169">
        <f>SUM(M15:N17)</f>
        <v>0.96800000000000008</v>
      </c>
      <c r="H82" s="170" t="s">
        <v>208</v>
      </c>
      <c r="I82" s="171"/>
      <c r="J82" s="172" t="s">
        <v>109</v>
      </c>
      <c r="K82" s="173">
        <f>(60/G83)*K81</f>
        <v>52.881893714173366</v>
      </c>
      <c r="L82" s="174" t="s">
        <v>209</v>
      </c>
      <c r="M82" s="175" t="s">
        <v>52</v>
      </c>
      <c r="N82" s="176">
        <f>IF((COUNTIF($D$15:$D$78,"1L"))=0,"",(COUNTIF($D$15:$D$78,"1L")))</f>
        <v>20</v>
      </c>
      <c r="O82" s="177" t="s">
        <v>210</v>
      </c>
      <c r="P82" s="176" t="str">
        <f>IF((COUNTIF($D$15:$D$78,"2OL"))=0,"",(COUNTIF($D$15:$D$78,"2OL")))</f>
        <v/>
      </c>
      <c r="Q82" s="176" t="s">
        <v>211</v>
      </c>
      <c r="R82" s="178" t="str">
        <f>IF((COUNTIF($D$15:$D$78,"2F"))=0,"",(COUNTIF($D$15:$D$78,"2F")))</f>
        <v/>
      </c>
      <c r="S82" s="176" t="s">
        <v>212</v>
      </c>
      <c r="T82" s="179" t="str">
        <f>IF((COUNTIF($D$15:$D$78,"4MFL"))=0,"",(COUNTIF($D$15:$D$78,"4MFL")))</f>
        <v/>
      </c>
      <c r="U82" s="167"/>
    </row>
    <row r="83" spans="1:21" ht="39.9" customHeight="1">
      <c r="A83" s="70"/>
      <c r="B83" s="381" t="s">
        <v>213</v>
      </c>
      <c r="C83" s="382"/>
      <c r="D83" s="382"/>
      <c r="E83" s="382"/>
      <c r="F83" s="172" t="s">
        <v>109</v>
      </c>
      <c r="G83" s="169">
        <f>M77</f>
        <v>29.499699999999997</v>
      </c>
      <c r="H83" s="170" t="s">
        <v>214</v>
      </c>
      <c r="I83" s="171"/>
      <c r="J83" s="172" t="s">
        <v>109</v>
      </c>
      <c r="K83" s="173">
        <f>K82*0.8</f>
        <v>42.305514971338695</v>
      </c>
      <c r="L83" s="174" t="s">
        <v>209</v>
      </c>
      <c r="M83" s="175" t="s">
        <v>54</v>
      </c>
      <c r="N83" s="176" t="str">
        <f>IF((COUNTIF($D$15:$D$78,"2L"))=0,"",(COUNTIF($D$15:$D$78,"2L")))</f>
        <v/>
      </c>
      <c r="O83" s="177" t="s">
        <v>148</v>
      </c>
      <c r="P83" s="176">
        <f>IF((COUNTIF($D$15:$D$78,"3OL"))=0,"",(COUNTIF($D$15:$D$78,"3OL")))</f>
        <v>2</v>
      </c>
      <c r="Q83" s="176" t="s">
        <v>166</v>
      </c>
      <c r="R83" s="178">
        <f>IF((COUNTIF($D$15:$D$78,"3F"))=0,"",(COUNTIF($D$15:$D$78,"3F")))</f>
        <v>6</v>
      </c>
      <c r="S83" s="176" t="s">
        <v>147</v>
      </c>
      <c r="T83" s="176">
        <f>IF((COUNTIF($D$15:$D$78,"BT"))=0,"",(COUNTIF($D$15:$D$78,"BT")))</f>
        <v>2</v>
      </c>
      <c r="U83" s="167"/>
    </row>
    <row r="84" spans="1:21" ht="39.9" customHeight="1">
      <c r="A84" s="70"/>
      <c r="B84" s="381" t="s">
        <v>215</v>
      </c>
      <c r="C84" s="382"/>
      <c r="D84" s="382"/>
      <c r="E84" s="382"/>
      <c r="F84" s="168" t="s">
        <v>109</v>
      </c>
      <c r="G84" s="169">
        <f>M73</f>
        <v>0.52769999999999995</v>
      </c>
      <c r="H84" s="170" t="s">
        <v>216</v>
      </c>
      <c r="I84" s="171"/>
      <c r="J84" s="172" t="s">
        <v>109</v>
      </c>
      <c r="K84" s="180">
        <f>60/K83</f>
        <v>1.4182548076923076</v>
      </c>
      <c r="L84" s="181" t="s">
        <v>217</v>
      </c>
      <c r="M84" s="175" t="s">
        <v>57</v>
      </c>
      <c r="N84" s="176">
        <f>IF((COUNTIF($D$15:$D$78,"1C"))=0,"",(COUNTIF($D$15:$D$78,"1C")))</f>
        <v>5</v>
      </c>
      <c r="O84" s="177" t="s">
        <v>142</v>
      </c>
      <c r="P84" s="176">
        <f>IF((COUNTIF($D$15:$D$78,"4OL"))=0,"",(COUNTIF($D$15:$D$78,"4OL")))</f>
        <v>7</v>
      </c>
      <c r="Q84" s="176" t="s">
        <v>53</v>
      </c>
      <c r="R84" s="178" t="str">
        <f>IF((COUNTIF($D$15:$D$78,"4F"))=0,"",(COUNTIF($D$15:$D$78,"4F")))</f>
        <v/>
      </c>
      <c r="S84" s="176" t="s">
        <v>218</v>
      </c>
      <c r="T84" s="179" t="str">
        <f>IF((COUNTIF($D$15:$D$78,"BH"))=0,"",(COUNTIF($D$15:$D$78,"BH")))</f>
        <v/>
      </c>
      <c r="U84" s="167"/>
    </row>
    <row r="85" spans="1:21" ht="39.9" customHeight="1">
      <c r="A85" s="70"/>
      <c r="B85" s="383" t="s">
        <v>219</v>
      </c>
      <c r="C85" s="384"/>
      <c r="D85" s="384"/>
      <c r="E85" s="384"/>
      <c r="F85" s="182" t="s">
        <v>109</v>
      </c>
      <c r="G85" s="183">
        <f>1.98+1.2063</f>
        <v>3.1863000000000001</v>
      </c>
      <c r="H85" s="184"/>
      <c r="I85" s="185"/>
      <c r="J85" s="185"/>
      <c r="K85" s="185"/>
      <c r="L85" s="186"/>
      <c r="M85" s="175" t="s">
        <v>55</v>
      </c>
      <c r="N85" s="176" t="str">
        <f>IF((COUNTIF($D$15:$D$78,"2C"))=0,"",(COUNTIF($D$15:$D$78,"2C")))</f>
        <v/>
      </c>
      <c r="O85" s="177" t="s">
        <v>189</v>
      </c>
      <c r="P85" s="176">
        <f>IF((COUNTIF($D$15:$D$78,"2CO"))=0,"",(COUNTIF($D$15:$D$78,"2CO")))</f>
        <v>2</v>
      </c>
      <c r="Q85" s="176" t="s">
        <v>220</v>
      </c>
      <c r="R85" s="178" t="str">
        <f>IF((COUNTIF($D$15:$D$78,"2MFL"))=0,"",(COUNTIF($D$15:$D$78,"2MFL")))</f>
        <v/>
      </c>
      <c r="S85" s="176" t="s">
        <v>221</v>
      </c>
      <c r="T85" s="179" t="str">
        <f>IF((COUNTIF($D$15:$D$78,"BS"))=0,"",(COUNTIF($D$15:$D$78,"BS")))</f>
        <v/>
      </c>
      <c r="U85" s="167"/>
    </row>
    <row r="86" spans="1:21" ht="39.9" customHeight="1" thickBot="1">
      <c r="A86" s="70"/>
      <c r="B86" s="385" t="s">
        <v>9</v>
      </c>
      <c r="C86" s="386"/>
      <c r="D86" s="386"/>
      <c r="E86" s="386"/>
      <c r="F86" s="187" t="s">
        <v>109</v>
      </c>
      <c r="G86" s="188">
        <f>SUM(G81:G85)</f>
        <v>36.066691000000006</v>
      </c>
      <c r="H86" s="387"/>
      <c r="I86" s="388"/>
      <c r="J86" s="388"/>
      <c r="K86" s="388"/>
      <c r="L86" s="388"/>
      <c r="M86" s="189" t="s">
        <v>222</v>
      </c>
      <c r="N86" s="190" t="str">
        <f>IF((COUNTIF($D$15:$D$78,"6C"))=0,"",(COUNTIF($D$15:$D$78,"6C")))</f>
        <v/>
      </c>
      <c r="O86" s="191" t="s">
        <v>223</v>
      </c>
      <c r="P86" s="190" t="str">
        <f>IF((COUNTIF($D$15:$D$78,"3CO"))=0,"",(COUNTIF($D$15:$D$78,"3CO")))</f>
        <v/>
      </c>
      <c r="Q86" s="190" t="s">
        <v>224</v>
      </c>
      <c r="R86" s="192" t="str">
        <f>IF((COUNTIF($D$15:$D$78,"3MFL"))=0,"",(COUNTIF($D$15:$D$78,"3MFL")))</f>
        <v/>
      </c>
      <c r="S86" s="193" t="s">
        <v>225</v>
      </c>
      <c r="T86" s="194" t="str">
        <f>IF((COUNTIF($D$15:$D$78,"ZG"))=0,"",(COUNTIF($D$15:$D$78,"ZG")))</f>
        <v/>
      </c>
      <c r="U86" s="195"/>
    </row>
    <row r="87" spans="1:21" ht="20.100000000000001" customHeight="1" thickTop="1">
      <c r="A87" s="70"/>
      <c r="B87" s="196" t="s">
        <v>226</v>
      </c>
      <c r="C87" s="196"/>
      <c r="D87" s="196"/>
      <c r="E87" s="72"/>
      <c r="F87" s="72"/>
      <c r="G87" s="72"/>
      <c r="H87" s="70"/>
      <c r="I87" s="70"/>
      <c r="J87" s="70"/>
      <c r="K87" s="70"/>
      <c r="L87" s="70"/>
      <c r="M87" s="70"/>
      <c r="N87" s="70"/>
      <c r="O87" s="70"/>
      <c r="P87" s="70"/>
      <c r="Q87" s="70"/>
      <c r="R87" s="70"/>
      <c r="S87" s="70"/>
      <c r="T87" s="70"/>
      <c r="U87" s="70"/>
    </row>
    <row r="89" spans="1:21">
      <c r="K89" s="111"/>
      <c r="L89" s="111"/>
      <c r="M89" s="111"/>
      <c r="N89" s="111"/>
      <c r="O89" s="111"/>
    </row>
    <row r="90" spans="1:21">
      <c r="K90" s="111"/>
      <c r="L90" s="111"/>
      <c r="M90" s="199"/>
      <c r="N90" s="199"/>
      <c r="O90" s="199"/>
    </row>
    <row r="91" spans="1:21">
      <c r="K91" s="111"/>
      <c r="L91" s="111"/>
    </row>
  </sheetData>
  <mergeCells count="342">
    <mergeCell ref="A2:U2"/>
    <mergeCell ref="G4:K4"/>
    <mergeCell ref="G5:K5"/>
    <mergeCell ref="G6:K6"/>
    <mergeCell ref="G7:K7"/>
    <mergeCell ref="G8:K8"/>
    <mergeCell ref="E43:L43"/>
    <mergeCell ref="E39:L39"/>
    <mergeCell ref="Q14:R14"/>
    <mergeCell ref="S14:T14"/>
    <mergeCell ref="E15:L15"/>
    <mergeCell ref="M15:N15"/>
    <mergeCell ref="O15:P15"/>
    <mergeCell ref="Q15:R15"/>
    <mergeCell ref="S15:T15"/>
    <mergeCell ref="G9:K9"/>
    <mergeCell ref="G10:K10"/>
    <mergeCell ref="G11:K11"/>
    <mergeCell ref="E14:L14"/>
    <mergeCell ref="M14:N14"/>
    <mergeCell ref="O14:P14"/>
    <mergeCell ref="E16:L16"/>
    <mergeCell ref="M16:N16"/>
    <mergeCell ref="O16:P16"/>
    <mergeCell ref="Q16:R16"/>
    <mergeCell ref="S16:T16"/>
    <mergeCell ref="E17:L17"/>
    <mergeCell ref="M17:N17"/>
    <mergeCell ref="O17:P17"/>
    <mergeCell ref="Q17:R17"/>
    <mergeCell ref="S17:T17"/>
    <mergeCell ref="E18:L18"/>
    <mergeCell ref="O18:P18"/>
    <mergeCell ref="Q18:R18"/>
    <mergeCell ref="S18:T18"/>
    <mergeCell ref="E19:L19"/>
    <mergeCell ref="M19:N19"/>
    <mergeCell ref="O19:P19"/>
    <mergeCell ref="Q19:R19"/>
    <mergeCell ref="S19:T19"/>
    <mergeCell ref="E20:L20"/>
    <mergeCell ref="M20:N20"/>
    <mergeCell ref="O20:P20"/>
    <mergeCell ref="Q20:R20"/>
    <mergeCell ref="S20:T20"/>
    <mergeCell ref="E21:L21"/>
    <mergeCell ref="M21:N21"/>
    <mergeCell ref="O21:P21"/>
    <mergeCell ref="Q21:R21"/>
    <mergeCell ref="S21:T21"/>
    <mergeCell ref="E22:L22"/>
    <mergeCell ref="M22:N22"/>
    <mergeCell ref="O22:P22"/>
    <mergeCell ref="Q22:R22"/>
    <mergeCell ref="S22:T22"/>
    <mergeCell ref="E23:L23"/>
    <mergeCell ref="M23:N23"/>
    <mergeCell ref="O23:P23"/>
    <mergeCell ref="Q23:R23"/>
    <mergeCell ref="S23:T23"/>
    <mergeCell ref="E24:L24"/>
    <mergeCell ref="M24:N24"/>
    <mergeCell ref="O24:P24"/>
    <mergeCell ref="Q24:R24"/>
    <mergeCell ref="S24:T24"/>
    <mergeCell ref="E25:L25"/>
    <mergeCell ref="M25:N25"/>
    <mergeCell ref="O25:P25"/>
    <mergeCell ref="Q25:R25"/>
    <mergeCell ref="S25:T25"/>
    <mergeCell ref="E26:L26"/>
    <mergeCell ref="M26:N26"/>
    <mergeCell ref="O26:P26"/>
    <mergeCell ref="Q26:R26"/>
    <mergeCell ref="S26:T26"/>
    <mergeCell ref="E27:L27"/>
    <mergeCell ref="M27:N27"/>
    <mergeCell ref="O27:P27"/>
    <mergeCell ref="Q27:R27"/>
    <mergeCell ref="S27:T27"/>
    <mergeCell ref="E28:L28"/>
    <mergeCell ref="M28:N28"/>
    <mergeCell ref="O28:P28"/>
    <mergeCell ref="Q28:R28"/>
    <mergeCell ref="S28:T28"/>
    <mergeCell ref="E29:L29"/>
    <mergeCell ref="M29:N29"/>
    <mergeCell ref="O29:P29"/>
    <mergeCell ref="Q29:R29"/>
    <mergeCell ref="S29:T29"/>
    <mergeCell ref="M30:N30"/>
    <mergeCell ref="O30:P30"/>
    <mergeCell ref="Q30:R30"/>
    <mergeCell ref="S30:T30"/>
    <mergeCell ref="E31:L31"/>
    <mergeCell ref="M31:N31"/>
    <mergeCell ref="O31:P31"/>
    <mergeCell ref="Q31:R31"/>
    <mergeCell ref="S31:T31"/>
    <mergeCell ref="E32:L32"/>
    <mergeCell ref="M32:N32"/>
    <mergeCell ref="O32:P32"/>
    <mergeCell ref="Q32:R32"/>
    <mergeCell ref="S32:T32"/>
    <mergeCell ref="E33:L33"/>
    <mergeCell ref="M33:N33"/>
    <mergeCell ref="O33:P33"/>
    <mergeCell ref="Q33:R33"/>
    <mergeCell ref="S33:T33"/>
    <mergeCell ref="E34:L34"/>
    <mergeCell ref="M34:N34"/>
    <mergeCell ref="O34:P34"/>
    <mergeCell ref="Q34:R34"/>
    <mergeCell ref="S34:T34"/>
    <mergeCell ref="E35:L35"/>
    <mergeCell ref="M35:N35"/>
    <mergeCell ref="O35:P35"/>
    <mergeCell ref="Q35:R35"/>
    <mergeCell ref="S35:T35"/>
    <mergeCell ref="E36:L36"/>
    <mergeCell ref="M36:N36"/>
    <mergeCell ref="O36:P36"/>
    <mergeCell ref="Q36:R36"/>
    <mergeCell ref="S36:T36"/>
    <mergeCell ref="E37:L37"/>
    <mergeCell ref="M37:N37"/>
    <mergeCell ref="O37:P37"/>
    <mergeCell ref="Q37:R37"/>
    <mergeCell ref="S37:T37"/>
    <mergeCell ref="E38:L38"/>
    <mergeCell ref="M38:N38"/>
    <mergeCell ref="O38:P38"/>
    <mergeCell ref="Q38:R38"/>
    <mergeCell ref="S38:T38"/>
    <mergeCell ref="M39:N39"/>
    <mergeCell ref="O39:P39"/>
    <mergeCell ref="Q39:R39"/>
    <mergeCell ref="S39:T39"/>
    <mergeCell ref="E40:L40"/>
    <mergeCell ref="M40:N40"/>
    <mergeCell ref="O40:P40"/>
    <mergeCell ref="Q40:R40"/>
    <mergeCell ref="S40:T40"/>
    <mergeCell ref="E41:L41"/>
    <mergeCell ref="M41:N41"/>
    <mergeCell ref="O41:P41"/>
    <mergeCell ref="Q41:R41"/>
    <mergeCell ref="S41:T41"/>
    <mergeCell ref="E42:L42"/>
    <mergeCell ref="M42:N42"/>
    <mergeCell ref="O42:P42"/>
    <mergeCell ref="Q42:R42"/>
    <mergeCell ref="S42:T42"/>
    <mergeCell ref="M43:N43"/>
    <mergeCell ref="O43:P43"/>
    <mergeCell ref="Q43:R43"/>
    <mergeCell ref="S43:T43"/>
    <mergeCell ref="E44:L44"/>
    <mergeCell ref="M44:N44"/>
    <mergeCell ref="O44:P44"/>
    <mergeCell ref="Q44:R44"/>
    <mergeCell ref="S44:T44"/>
    <mergeCell ref="E45:L45"/>
    <mergeCell ref="M45:N45"/>
    <mergeCell ref="O45:P45"/>
    <mergeCell ref="Q45:R45"/>
    <mergeCell ref="S45:T45"/>
    <mergeCell ref="M46:N46"/>
    <mergeCell ref="O46:P46"/>
    <mergeCell ref="Q46:R46"/>
    <mergeCell ref="S46:T46"/>
    <mergeCell ref="E47:L47"/>
    <mergeCell ref="M47:N47"/>
    <mergeCell ref="O47:P47"/>
    <mergeCell ref="Q47:R47"/>
    <mergeCell ref="S47:T47"/>
    <mergeCell ref="E48:L48"/>
    <mergeCell ref="M48:N48"/>
    <mergeCell ref="O48:P48"/>
    <mergeCell ref="Q48:R48"/>
    <mergeCell ref="S48:T48"/>
    <mergeCell ref="E49:L49"/>
    <mergeCell ref="M49:N49"/>
    <mergeCell ref="O49:P49"/>
    <mergeCell ref="Q49:R49"/>
    <mergeCell ref="S49:T49"/>
    <mergeCell ref="E50:L50"/>
    <mergeCell ref="M50:N50"/>
    <mergeCell ref="O50:P50"/>
    <mergeCell ref="Q50:R50"/>
    <mergeCell ref="S50:T50"/>
    <mergeCell ref="E51:L51"/>
    <mergeCell ref="M51:N51"/>
    <mergeCell ref="O51:P51"/>
    <mergeCell ref="Q51:R51"/>
    <mergeCell ref="S51:T51"/>
    <mergeCell ref="E52:L52"/>
    <mergeCell ref="M52:N52"/>
    <mergeCell ref="O52:P52"/>
    <mergeCell ref="Q52:R52"/>
    <mergeCell ref="S52:T52"/>
    <mergeCell ref="E53:L53"/>
    <mergeCell ref="M53:N53"/>
    <mergeCell ref="O53:P53"/>
    <mergeCell ref="Q53:R53"/>
    <mergeCell ref="S53:T53"/>
    <mergeCell ref="E54:L54"/>
    <mergeCell ref="M54:N54"/>
    <mergeCell ref="O54:P54"/>
    <mergeCell ref="Q54:R54"/>
    <mergeCell ref="S54:T54"/>
    <mergeCell ref="E55:L55"/>
    <mergeCell ref="M55:N55"/>
    <mergeCell ref="O55:P55"/>
    <mergeCell ref="Q55:R55"/>
    <mergeCell ref="S55:T55"/>
    <mergeCell ref="E56:L56"/>
    <mergeCell ref="M56:N56"/>
    <mergeCell ref="O56:P56"/>
    <mergeCell ref="Q56:R56"/>
    <mergeCell ref="S56:T56"/>
    <mergeCell ref="E57:L57"/>
    <mergeCell ref="M57:N57"/>
    <mergeCell ref="O57:P57"/>
    <mergeCell ref="Q57:R57"/>
    <mergeCell ref="S57:T57"/>
    <mergeCell ref="E58:L58"/>
    <mergeCell ref="M58:N58"/>
    <mergeCell ref="O58:P58"/>
    <mergeCell ref="Q58:R58"/>
    <mergeCell ref="S58:T58"/>
    <mergeCell ref="E59:L59"/>
    <mergeCell ref="M59:N59"/>
    <mergeCell ref="O59:P59"/>
    <mergeCell ref="Q59:R59"/>
    <mergeCell ref="S59:T59"/>
    <mergeCell ref="E60:L60"/>
    <mergeCell ref="M60:N60"/>
    <mergeCell ref="O60:P60"/>
    <mergeCell ref="Q60:R60"/>
    <mergeCell ref="S60:T60"/>
    <mergeCell ref="E61:L61"/>
    <mergeCell ref="M61:N61"/>
    <mergeCell ref="O61:P61"/>
    <mergeCell ref="Q61:R61"/>
    <mergeCell ref="S61:T61"/>
    <mergeCell ref="E62:L62"/>
    <mergeCell ref="M62:N62"/>
    <mergeCell ref="O62:P62"/>
    <mergeCell ref="Q62:R62"/>
    <mergeCell ref="S62:T62"/>
    <mergeCell ref="E63:L63"/>
    <mergeCell ref="M63:N63"/>
    <mergeCell ref="O63:P63"/>
    <mergeCell ref="Q63:R63"/>
    <mergeCell ref="S63:T63"/>
    <mergeCell ref="E64:L64"/>
    <mergeCell ref="M64:N64"/>
    <mergeCell ref="O64:P64"/>
    <mergeCell ref="Q64:R64"/>
    <mergeCell ref="S64:T64"/>
    <mergeCell ref="E65:L65"/>
    <mergeCell ref="M65:N65"/>
    <mergeCell ref="O65:P65"/>
    <mergeCell ref="Q65:R65"/>
    <mergeCell ref="S65:T65"/>
    <mergeCell ref="E66:L66"/>
    <mergeCell ref="M66:N66"/>
    <mergeCell ref="O66:P66"/>
    <mergeCell ref="Q66:R66"/>
    <mergeCell ref="S66:T66"/>
    <mergeCell ref="E67:L67"/>
    <mergeCell ref="M67:N67"/>
    <mergeCell ref="O67:P67"/>
    <mergeCell ref="Q67:R67"/>
    <mergeCell ref="S67:T67"/>
    <mergeCell ref="E68:L68"/>
    <mergeCell ref="M68:N68"/>
    <mergeCell ref="O68:P68"/>
    <mergeCell ref="Q68:R68"/>
    <mergeCell ref="S68:T68"/>
    <mergeCell ref="E69:L69"/>
    <mergeCell ref="M69:N69"/>
    <mergeCell ref="O69:P69"/>
    <mergeCell ref="Q69:R69"/>
    <mergeCell ref="S69:T69"/>
    <mergeCell ref="E70:L70"/>
    <mergeCell ref="M70:N70"/>
    <mergeCell ref="O70:P70"/>
    <mergeCell ref="Q70:R70"/>
    <mergeCell ref="S70:T70"/>
    <mergeCell ref="E71:L71"/>
    <mergeCell ref="M71:N71"/>
    <mergeCell ref="O71:P71"/>
    <mergeCell ref="Q71:R71"/>
    <mergeCell ref="S71:T71"/>
    <mergeCell ref="E72:L72"/>
    <mergeCell ref="M72:N72"/>
    <mergeCell ref="O72:P72"/>
    <mergeCell ref="Q72:R72"/>
    <mergeCell ref="S72:T72"/>
    <mergeCell ref="E73:L73"/>
    <mergeCell ref="M73:N73"/>
    <mergeCell ref="O73:P73"/>
    <mergeCell ref="Q73:R73"/>
    <mergeCell ref="S73:T73"/>
    <mergeCell ref="E74:L74"/>
    <mergeCell ref="M74:N74"/>
    <mergeCell ref="O74:P74"/>
    <mergeCell ref="Q74:R74"/>
    <mergeCell ref="S74:T74"/>
    <mergeCell ref="E75:L75"/>
    <mergeCell ref="M75:N75"/>
    <mergeCell ref="O75:P75"/>
    <mergeCell ref="Q75:R75"/>
    <mergeCell ref="S75:T75"/>
    <mergeCell ref="E78:L78"/>
    <mergeCell ref="M78:N78"/>
    <mergeCell ref="O78:P78"/>
    <mergeCell ref="Q78:R78"/>
    <mergeCell ref="S78:T78"/>
    <mergeCell ref="B79:U79"/>
    <mergeCell ref="E76:L76"/>
    <mergeCell ref="M76:N76"/>
    <mergeCell ref="O76:P76"/>
    <mergeCell ref="Q76:R76"/>
    <mergeCell ref="S76:T76"/>
    <mergeCell ref="E77:L77"/>
    <mergeCell ref="M77:N77"/>
    <mergeCell ref="O77:P77"/>
    <mergeCell ref="Q77:R77"/>
    <mergeCell ref="S77:T77"/>
    <mergeCell ref="B84:E84"/>
    <mergeCell ref="B85:E85"/>
    <mergeCell ref="B86:E86"/>
    <mergeCell ref="H86:L86"/>
    <mergeCell ref="B80:G80"/>
    <mergeCell ref="H80:L80"/>
    <mergeCell ref="M80:T80"/>
    <mergeCell ref="B81:E81"/>
    <mergeCell ref="B82:E82"/>
    <mergeCell ref="B83:E83"/>
  </mergeCells>
  <pageMargins left="0.23622047244094491" right="0.23622047244094491" top="0.55118110236220474" bottom="0.55118110236220474" header="0.31496062992125984" footer="0.31496062992125984"/>
  <pageSetup paperSize="9" scale="19" orientation="portrait" r:id="rId1"/>
  <rowBreaks count="1" manualBreakCount="1">
    <brk id="46" max="27"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6"/>
  <sheetViews>
    <sheetView view="pageBreakPreview" topLeftCell="B1" zoomScale="89" zoomScaleNormal="95" zoomScaleSheetLayoutView="89" workbookViewId="0">
      <selection activeCell="H11" sqref="H11:I11"/>
    </sheetView>
  </sheetViews>
  <sheetFormatPr defaultColWidth="9.109375" defaultRowHeight="17.399999999999999"/>
  <cols>
    <col min="1" max="1" width="1.6640625" style="211" customWidth="1"/>
    <col min="2" max="2" width="3" style="211" customWidth="1"/>
    <col min="3" max="3" width="14.33203125" style="212" customWidth="1"/>
    <col min="4" max="4" width="21.88671875" style="212" customWidth="1"/>
    <col min="5" max="5" width="16.33203125" style="212" customWidth="1"/>
    <col min="6" max="6" width="8.33203125" style="212" customWidth="1"/>
    <col min="7" max="7" width="13.109375" style="212" customWidth="1"/>
    <col min="8" max="9" width="28.33203125" style="212" customWidth="1"/>
    <col min="10" max="10" width="14.5546875" style="212" hidden="1" customWidth="1"/>
    <col min="11" max="11" width="8.88671875" style="212" customWidth="1"/>
    <col min="12" max="12" width="10.5546875" style="213" customWidth="1"/>
    <col min="13" max="13" width="16.109375" style="212" customWidth="1"/>
    <col min="14" max="14" width="16.33203125" style="212" customWidth="1"/>
    <col min="15" max="15" width="12.109375" style="212" customWidth="1"/>
    <col min="16" max="16" width="15.44140625" style="212" customWidth="1"/>
    <col min="17" max="16384" width="9.109375" style="212"/>
  </cols>
  <sheetData>
    <row r="1" spans="1:16" ht="14.25" customHeight="1" thickBot="1"/>
    <row r="2" spans="1:16" ht="42.75" customHeight="1" thickBot="1">
      <c r="C2" s="214"/>
      <c r="D2" s="215"/>
      <c r="E2" s="215"/>
      <c r="F2" s="215"/>
      <c r="G2" s="215"/>
      <c r="H2" s="216"/>
      <c r="I2" s="511" t="s">
        <v>25</v>
      </c>
      <c r="J2" s="511"/>
      <c r="K2" s="511"/>
      <c r="L2" s="511"/>
      <c r="M2" s="511"/>
      <c r="N2" s="511"/>
      <c r="O2" s="511"/>
      <c r="P2" s="512"/>
    </row>
    <row r="3" spans="1:16" s="224" customFormat="1" ht="13.8">
      <c r="A3" s="217"/>
      <c r="B3" s="217"/>
      <c r="C3" s="218" t="s">
        <v>0</v>
      </c>
      <c r="D3" s="513">
        <v>44341</v>
      </c>
      <c r="E3" s="514"/>
      <c r="F3" s="514"/>
      <c r="G3" s="515"/>
      <c r="H3" s="219" t="s">
        <v>1</v>
      </c>
      <c r="I3" s="220">
        <f>293/9.6</f>
        <v>30.520833333333336</v>
      </c>
      <c r="J3" s="221"/>
      <c r="K3" s="516" t="s">
        <v>2</v>
      </c>
      <c r="L3" s="517"/>
      <c r="M3" s="518"/>
      <c r="N3" s="222">
        <f>3600/I3</f>
        <v>117.95221843003412</v>
      </c>
      <c r="O3" s="219" t="s">
        <v>3</v>
      </c>
      <c r="P3" s="223">
        <f>MAX(L10:L60)</f>
        <v>85.49760000000002</v>
      </c>
    </row>
    <row r="4" spans="1:16" s="224" customFormat="1" ht="13.8">
      <c r="A4" s="217"/>
      <c r="B4" s="217"/>
      <c r="C4" s="225" t="s">
        <v>4</v>
      </c>
      <c r="D4" s="519">
        <v>221433</v>
      </c>
      <c r="E4" s="520"/>
      <c r="F4" s="520"/>
      <c r="G4" s="521"/>
      <c r="H4" s="30" t="s">
        <v>5</v>
      </c>
      <c r="I4" s="226">
        <f>3600/P3</f>
        <v>42.106445093195589</v>
      </c>
      <c r="J4" s="227"/>
      <c r="K4" s="522" t="s">
        <v>6</v>
      </c>
      <c r="L4" s="523"/>
      <c r="M4" s="524"/>
      <c r="N4" s="1">
        <f>I4/D6</f>
        <v>0.60519965059906733</v>
      </c>
      <c r="O4" s="228" t="s">
        <v>7</v>
      </c>
      <c r="P4" s="2">
        <f>N5/N6</f>
        <v>0.78859137837470339</v>
      </c>
    </row>
    <row r="5" spans="1:16" s="224" customFormat="1" ht="13.8">
      <c r="A5" s="217"/>
      <c r="B5" s="217"/>
      <c r="C5" s="225" t="s">
        <v>8</v>
      </c>
      <c r="D5" s="519"/>
      <c r="E5" s="520"/>
      <c r="F5" s="520"/>
      <c r="G5" s="521"/>
      <c r="H5" s="31" t="s">
        <v>9</v>
      </c>
      <c r="I5" s="229" t="s">
        <v>280</v>
      </c>
      <c r="J5" s="230">
        <f>+I5/60</f>
        <v>0.48868500000000004</v>
      </c>
      <c r="K5" s="519" t="s">
        <v>10</v>
      </c>
      <c r="L5" s="520"/>
      <c r="M5" s="520"/>
      <c r="N5" s="228">
        <f>SUM(L10:L60)</f>
        <v>2292.3707878787877</v>
      </c>
      <c r="O5" s="228" t="s">
        <v>11</v>
      </c>
      <c r="P5" s="231">
        <f>I4/I6</f>
        <v>1.2384248556822233</v>
      </c>
    </row>
    <row r="6" spans="1:16" s="224" customFormat="1" ht="13.8">
      <c r="A6" s="217"/>
      <c r="B6" s="217"/>
      <c r="C6" s="225" t="s">
        <v>12</v>
      </c>
      <c r="D6" s="525">
        <f>(60/I5)*I6</f>
        <v>69.57447026202972</v>
      </c>
      <c r="E6" s="526"/>
      <c r="F6" s="526"/>
      <c r="G6" s="527"/>
      <c r="H6" s="31" t="s">
        <v>13</v>
      </c>
      <c r="I6" s="232">
        <f>D61</f>
        <v>34</v>
      </c>
      <c r="J6" s="226">
        <f>60/J5*I6*0.65</f>
        <v>2713.4043402191596</v>
      </c>
      <c r="K6" s="519" t="s">
        <v>14</v>
      </c>
      <c r="L6" s="520"/>
      <c r="M6" s="521"/>
      <c r="N6" s="228">
        <f>P3*I6</f>
        <v>2906.9184000000005</v>
      </c>
      <c r="O6" s="228"/>
      <c r="P6" s="231"/>
    </row>
    <row r="7" spans="1:16" ht="12.75" customHeight="1">
      <c r="C7" s="528" t="s">
        <v>15</v>
      </c>
      <c r="D7" s="530" t="s">
        <v>16</v>
      </c>
      <c r="E7" s="530" t="s">
        <v>24</v>
      </c>
      <c r="F7" s="532" t="s">
        <v>31</v>
      </c>
      <c r="G7" s="533"/>
      <c r="H7" s="536" t="s">
        <v>17</v>
      </c>
      <c r="I7" s="536"/>
      <c r="J7" s="538" t="s">
        <v>18</v>
      </c>
      <c r="K7" s="530" t="s">
        <v>19</v>
      </c>
      <c r="L7" s="530"/>
      <c r="M7" s="530" t="s">
        <v>20</v>
      </c>
      <c r="N7" s="530" t="s">
        <v>11</v>
      </c>
      <c r="O7" s="548" t="s">
        <v>21</v>
      </c>
      <c r="P7" s="550" t="s">
        <v>22</v>
      </c>
    </row>
    <row r="8" spans="1:16" ht="13.2">
      <c r="C8" s="528"/>
      <c r="D8" s="530"/>
      <c r="E8" s="530"/>
      <c r="F8" s="534"/>
      <c r="G8" s="535"/>
      <c r="H8" s="536"/>
      <c r="I8" s="536"/>
      <c r="J8" s="538"/>
      <c r="K8" s="530"/>
      <c r="L8" s="530"/>
      <c r="M8" s="530"/>
      <c r="N8" s="530"/>
      <c r="O8" s="549"/>
      <c r="P8" s="551"/>
    </row>
    <row r="9" spans="1:16" ht="14.7" customHeight="1">
      <c r="C9" s="529"/>
      <c r="D9" s="531"/>
      <c r="E9" s="531"/>
      <c r="F9" s="233" t="s">
        <v>32</v>
      </c>
      <c r="G9" s="233" t="s">
        <v>28</v>
      </c>
      <c r="H9" s="537"/>
      <c r="I9" s="537"/>
      <c r="J9" s="539"/>
      <c r="K9" s="531"/>
      <c r="L9" s="531"/>
      <c r="M9" s="531"/>
      <c r="N9" s="531"/>
      <c r="O9" s="549"/>
      <c r="P9" s="551"/>
    </row>
    <row r="10" spans="1:16" s="240" customFormat="1" ht="104.25" customHeight="1" thickBot="1">
      <c r="A10" s="234">
        <f t="shared" ref="A10:A59" si="0">$P$3</f>
        <v>85.49760000000002</v>
      </c>
      <c r="B10" s="235">
        <f t="shared" ref="B10:B59" si="1">$N$3</f>
        <v>117.95221843003412</v>
      </c>
      <c r="C10" s="59" t="s">
        <v>289</v>
      </c>
      <c r="D10" s="59">
        <v>1</v>
      </c>
      <c r="E10" s="59"/>
      <c r="F10" s="61" t="s">
        <v>294</v>
      </c>
      <c r="G10" s="61" t="s">
        <v>293</v>
      </c>
      <c r="H10" s="540" t="s">
        <v>291</v>
      </c>
      <c r="I10" s="541"/>
      <c r="J10" s="236"/>
      <c r="K10" s="257">
        <f>1.9469/2</f>
        <v>0.97345000000000004</v>
      </c>
      <c r="L10" s="237">
        <f>((K10*60)/0.75)</f>
        <v>77.876000000000005</v>
      </c>
      <c r="M10" s="58">
        <f t="shared" ref="M10" si="2">IF(L10=0,"",L10/$P$3)</f>
        <v>0.91085597724380551</v>
      </c>
      <c r="N10" s="238">
        <f t="shared" ref="N10:N11" si="3">IF(L10=0,"",3600/L10)</f>
        <v>46.227335764548769</v>
      </c>
      <c r="O10" s="239">
        <f t="shared" ref="O10:O11" si="4">3600/L10</f>
        <v>46.227335764548769</v>
      </c>
      <c r="P10" s="239">
        <f t="shared" ref="P10:P11" si="5">+O10</f>
        <v>46.227335764548769</v>
      </c>
    </row>
    <row r="11" spans="1:16" s="240" customFormat="1" ht="72" customHeight="1" thickBot="1">
      <c r="A11" s="234">
        <f t="shared" si="0"/>
        <v>85.49760000000002</v>
      </c>
      <c r="B11" s="235">
        <f t="shared" si="1"/>
        <v>117.95221843003412</v>
      </c>
      <c r="C11" s="59">
        <v>1</v>
      </c>
      <c r="D11" s="542">
        <v>1</v>
      </c>
      <c r="E11" s="59"/>
      <c r="F11" s="544" t="s">
        <v>52</v>
      </c>
      <c r="G11" s="544" t="s">
        <v>275</v>
      </c>
      <c r="H11" s="540" t="s">
        <v>227</v>
      </c>
      <c r="I11" s="541"/>
      <c r="J11" s="236"/>
      <c r="K11" s="236">
        <v>0.63939999999999997</v>
      </c>
      <c r="L11" s="546">
        <f>((K11*60)/0.9)+((K12*60)/0.9)</f>
        <v>84.293333333333322</v>
      </c>
      <c r="M11" s="58">
        <f>IF(L11=0,"",L11/$P$3)</f>
        <v>0.98591461436734251</v>
      </c>
      <c r="N11" s="238">
        <f t="shared" si="3"/>
        <v>42.708003796267008</v>
      </c>
      <c r="O11" s="239">
        <f t="shared" si="4"/>
        <v>42.708003796267008</v>
      </c>
      <c r="P11" s="239">
        <f t="shared" si="5"/>
        <v>42.708003796267008</v>
      </c>
    </row>
    <row r="12" spans="1:16" s="240" customFormat="1" ht="77.25" customHeight="1" thickBot="1">
      <c r="A12" s="234">
        <f t="shared" si="0"/>
        <v>85.49760000000002</v>
      </c>
      <c r="B12" s="235">
        <f t="shared" si="1"/>
        <v>117.95221843003412</v>
      </c>
      <c r="C12" s="59">
        <v>4</v>
      </c>
      <c r="D12" s="543"/>
      <c r="E12" s="59"/>
      <c r="F12" s="545"/>
      <c r="G12" s="545"/>
      <c r="H12" s="540" t="s">
        <v>230</v>
      </c>
      <c r="I12" s="541"/>
      <c r="J12" s="236"/>
      <c r="K12" s="236">
        <v>0.625</v>
      </c>
      <c r="L12" s="547"/>
      <c r="M12" s="58"/>
      <c r="N12" s="238"/>
      <c r="O12" s="239"/>
      <c r="P12" s="239"/>
    </row>
    <row r="13" spans="1:16" s="240" customFormat="1" ht="66" customHeight="1" thickBot="1">
      <c r="A13" s="234">
        <f t="shared" si="0"/>
        <v>85.49760000000002</v>
      </c>
      <c r="B13" s="235">
        <f t="shared" si="1"/>
        <v>117.95221843003412</v>
      </c>
      <c r="C13" s="59">
        <v>2</v>
      </c>
      <c r="D13" s="542">
        <v>1</v>
      </c>
      <c r="E13" s="59"/>
      <c r="F13" s="61" t="s">
        <v>142</v>
      </c>
      <c r="G13" s="61" t="s">
        <v>274</v>
      </c>
      <c r="H13" s="540" t="s">
        <v>228</v>
      </c>
      <c r="I13" s="541"/>
      <c r="J13" s="236"/>
      <c r="K13" s="236">
        <v>0.3548</v>
      </c>
      <c r="L13" s="552">
        <f>((K13*60)/0.75)+((K14*60)/0.75)</f>
        <v>51.423999999999992</v>
      </c>
      <c r="M13" s="58">
        <f t="shared" ref="M13:M55" si="6">IF(L13=0,"",L13/$P$3)</f>
        <v>0.60146717568680264</v>
      </c>
      <c r="N13" s="238">
        <f t="shared" ref="N13:N55" si="7">IF(L13=0,"",3600/L13)</f>
        <v>70.006222775357827</v>
      </c>
      <c r="O13" s="239">
        <f t="shared" ref="O13:O55" si="8">3600/L13</f>
        <v>70.006222775357827</v>
      </c>
      <c r="P13" s="239">
        <f t="shared" ref="P13:P55" si="9">+O13</f>
        <v>70.006222775357827</v>
      </c>
    </row>
    <row r="14" spans="1:16" s="240" customFormat="1" ht="66" customHeight="1" thickBot="1">
      <c r="A14" s="234">
        <f t="shared" si="0"/>
        <v>85.49760000000002</v>
      </c>
      <c r="B14" s="235">
        <f t="shared" si="1"/>
        <v>117.95221843003412</v>
      </c>
      <c r="C14" s="59">
        <v>3</v>
      </c>
      <c r="D14" s="543"/>
      <c r="E14" s="59"/>
      <c r="F14" s="61" t="s">
        <v>57</v>
      </c>
      <c r="G14" s="61" t="s">
        <v>276</v>
      </c>
      <c r="H14" s="540" t="s">
        <v>229</v>
      </c>
      <c r="I14" s="541"/>
      <c r="J14" s="236"/>
      <c r="K14" s="236">
        <v>0.28799999999999998</v>
      </c>
      <c r="L14" s="553"/>
      <c r="M14" s="58"/>
      <c r="N14" s="238"/>
      <c r="O14" s="239"/>
      <c r="P14" s="239"/>
    </row>
    <row r="15" spans="1:16" s="240" customFormat="1" ht="77.25" customHeight="1" thickBot="1">
      <c r="A15" s="234">
        <f t="shared" si="0"/>
        <v>85.49760000000002</v>
      </c>
      <c r="B15" s="235">
        <f t="shared" si="1"/>
        <v>117.95221843003412</v>
      </c>
      <c r="C15" s="59">
        <v>5</v>
      </c>
      <c r="D15" s="542">
        <v>1</v>
      </c>
      <c r="E15" s="59"/>
      <c r="F15" s="61" t="s">
        <v>148</v>
      </c>
      <c r="G15" s="61" t="s">
        <v>274</v>
      </c>
      <c r="H15" s="540" t="s">
        <v>231</v>
      </c>
      <c r="I15" s="541"/>
      <c r="J15" s="236"/>
      <c r="K15" s="236">
        <v>0.50890000000000002</v>
      </c>
      <c r="L15" s="552">
        <f>((K15*60)/0.75)+((K16*60)/0.75)+((K17*60*0.2)/0.75)</f>
        <v>78.484800000000007</v>
      </c>
      <c r="M15" s="58">
        <f t="shared" ref="M15:M22" si="10">IF(L15=0,"",L15/$P$3)</f>
        <v>0.91797664495845488</v>
      </c>
      <c r="N15" s="238">
        <f t="shared" ref="N15:N22" si="11">IF(L15=0,"",3600/L15)</f>
        <v>45.868754204635799</v>
      </c>
      <c r="O15" s="239">
        <f t="shared" ref="O15:O22" si="12">3600/L15</f>
        <v>45.868754204635799</v>
      </c>
      <c r="P15" s="239">
        <f t="shared" ref="P15:P22" si="13">+O15</f>
        <v>45.868754204635799</v>
      </c>
    </row>
    <row r="16" spans="1:16" s="240" customFormat="1" ht="88.5" customHeight="1" thickBot="1">
      <c r="A16" s="234">
        <f t="shared" si="0"/>
        <v>85.49760000000002</v>
      </c>
      <c r="B16" s="235">
        <f t="shared" si="1"/>
        <v>117.95221843003412</v>
      </c>
      <c r="C16" s="59">
        <v>6</v>
      </c>
      <c r="D16" s="543"/>
      <c r="E16" s="59"/>
      <c r="F16" s="61" t="s">
        <v>52</v>
      </c>
      <c r="G16" s="61" t="s">
        <v>275</v>
      </c>
      <c r="H16" s="540" t="s">
        <v>283</v>
      </c>
      <c r="I16" s="541"/>
      <c r="J16" s="236"/>
      <c r="K16" s="236">
        <v>0.31369999999999998</v>
      </c>
      <c r="L16" s="553"/>
      <c r="M16" s="58"/>
      <c r="N16" s="238"/>
      <c r="O16" s="239"/>
      <c r="P16" s="239"/>
    </row>
    <row r="17" spans="1:16" s="240" customFormat="1" ht="99" customHeight="1" thickBot="1">
      <c r="A17" s="234">
        <f t="shared" si="0"/>
        <v>85.49760000000002</v>
      </c>
      <c r="B17" s="235">
        <f t="shared" si="1"/>
        <v>117.95221843003412</v>
      </c>
      <c r="C17" s="59">
        <v>7</v>
      </c>
      <c r="D17" s="542">
        <v>1</v>
      </c>
      <c r="E17" s="59"/>
      <c r="F17" s="544" t="s">
        <v>52</v>
      </c>
      <c r="G17" s="544" t="s">
        <v>275</v>
      </c>
      <c r="H17" s="540" t="s">
        <v>233</v>
      </c>
      <c r="I17" s="541"/>
      <c r="J17" s="236"/>
      <c r="K17" s="236">
        <v>0.7923</v>
      </c>
      <c r="L17" s="552">
        <f>((K17*60*0.8)/0.75)+((K18*60)/0.75)</f>
        <v>76.883200000000002</v>
      </c>
      <c r="M17" s="58">
        <f t="shared" si="10"/>
        <v>0.89924395538588198</v>
      </c>
      <c r="N17" s="238">
        <f t="shared" si="11"/>
        <v>46.82427370348789</v>
      </c>
      <c r="O17" s="239">
        <f t="shared" si="12"/>
        <v>46.82427370348789</v>
      </c>
      <c r="P17" s="239">
        <f t="shared" si="13"/>
        <v>46.82427370348789</v>
      </c>
    </row>
    <row r="18" spans="1:16" s="240" customFormat="1" ht="99" customHeight="1" thickBot="1">
      <c r="A18" s="234">
        <f t="shared" si="0"/>
        <v>85.49760000000002</v>
      </c>
      <c r="B18" s="235">
        <f t="shared" si="1"/>
        <v>117.95221843003412</v>
      </c>
      <c r="C18" s="59">
        <v>8</v>
      </c>
      <c r="D18" s="543"/>
      <c r="E18" s="59"/>
      <c r="F18" s="545"/>
      <c r="G18" s="545"/>
      <c r="H18" s="540" t="s">
        <v>234</v>
      </c>
      <c r="I18" s="541"/>
      <c r="J18" s="236"/>
      <c r="K18" s="236">
        <v>0.32719999999999999</v>
      </c>
      <c r="L18" s="553"/>
      <c r="M18" s="58"/>
      <c r="N18" s="238"/>
      <c r="O18" s="239"/>
      <c r="P18" s="239"/>
    </row>
    <row r="19" spans="1:16" s="240" customFormat="1" ht="69" customHeight="1" thickBot="1">
      <c r="A19" s="234">
        <f t="shared" si="0"/>
        <v>85.49760000000002</v>
      </c>
      <c r="B19" s="235">
        <f t="shared" si="1"/>
        <v>117.95221843003412</v>
      </c>
      <c r="C19" s="59">
        <v>9</v>
      </c>
      <c r="D19" s="542">
        <v>1</v>
      </c>
      <c r="E19" s="59"/>
      <c r="F19" s="61" t="s">
        <v>142</v>
      </c>
      <c r="G19" s="61" t="s">
        <v>274</v>
      </c>
      <c r="H19" s="540" t="s">
        <v>265</v>
      </c>
      <c r="I19" s="541"/>
      <c r="J19" s="236"/>
      <c r="K19" s="236">
        <v>0.217</v>
      </c>
      <c r="L19" s="552">
        <f>((K19*60)/0.75)+((K20*60)/0.75)</f>
        <v>78.647999999999996</v>
      </c>
      <c r="M19" s="58">
        <f t="shared" si="10"/>
        <v>0.91988547046934621</v>
      </c>
      <c r="N19" s="238">
        <f t="shared" si="11"/>
        <v>45.773573390296008</v>
      </c>
      <c r="O19" s="239">
        <f t="shared" si="12"/>
        <v>45.773573390296008</v>
      </c>
      <c r="P19" s="239">
        <f t="shared" si="13"/>
        <v>45.773573390296008</v>
      </c>
    </row>
    <row r="20" spans="1:16" s="240" customFormat="1" ht="84" customHeight="1" thickBot="1">
      <c r="A20" s="234">
        <f t="shared" si="0"/>
        <v>85.49760000000002</v>
      </c>
      <c r="B20" s="235">
        <f t="shared" si="1"/>
        <v>117.95221843003412</v>
      </c>
      <c r="C20" s="59">
        <v>10</v>
      </c>
      <c r="D20" s="543"/>
      <c r="E20" s="59"/>
      <c r="F20" s="61" t="s">
        <v>52</v>
      </c>
      <c r="G20" s="61" t="s">
        <v>275</v>
      </c>
      <c r="H20" s="540" t="s">
        <v>266</v>
      </c>
      <c r="I20" s="541"/>
      <c r="J20" s="236"/>
      <c r="K20" s="236">
        <v>0.7661</v>
      </c>
      <c r="L20" s="553"/>
      <c r="M20" s="58"/>
      <c r="N20" s="238"/>
      <c r="O20" s="239"/>
      <c r="P20" s="239"/>
    </row>
    <row r="21" spans="1:16" s="240" customFormat="1" ht="180" customHeight="1" thickBot="1">
      <c r="A21" s="234">
        <f t="shared" si="0"/>
        <v>85.49760000000002</v>
      </c>
      <c r="B21" s="235">
        <f t="shared" si="1"/>
        <v>117.95221843003412</v>
      </c>
      <c r="C21" s="59">
        <v>11</v>
      </c>
      <c r="D21" s="59">
        <v>1</v>
      </c>
      <c r="E21" s="59"/>
      <c r="F21" s="61" t="s">
        <v>52</v>
      </c>
      <c r="G21" s="61" t="s">
        <v>275</v>
      </c>
      <c r="H21" s="540" t="s">
        <v>238</v>
      </c>
      <c r="I21" s="541"/>
      <c r="J21" s="236"/>
      <c r="K21" s="236">
        <v>1.117</v>
      </c>
      <c r="L21" s="237">
        <f>((K21*60*0.9)/0.75)</f>
        <v>80.423999999999992</v>
      </c>
      <c r="M21" s="58">
        <f t="shared" si="10"/>
        <v>0.94065798338198936</v>
      </c>
      <c r="N21" s="238">
        <f t="shared" si="11"/>
        <v>44.762757385854975</v>
      </c>
      <c r="O21" s="239">
        <f t="shared" si="12"/>
        <v>44.762757385854975</v>
      </c>
      <c r="P21" s="239">
        <f t="shared" si="13"/>
        <v>44.762757385854975</v>
      </c>
    </row>
    <row r="22" spans="1:16" s="240" customFormat="1" ht="69" customHeight="1" thickBot="1">
      <c r="A22" s="234">
        <f t="shared" si="0"/>
        <v>85.49760000000002</v>
      </c>
      <c r="B22" s="235">
        <f t="shared" si="1"/>
        <v>117.95221843003412</v>
      </c>
      <c r="C22" s="59">
        <v>12</v>
      </c>
      <c r="D22" s="542">
        <v>1</v>
      </c>
      <c r="E22" s="59"/>
      <c r="F22" s="61" t="s">
        <v>57</v>
      </c>
      <c r="G22" s="61" t="s">
        <v>276</v>
      </c>
      <c r="H22" s="540" t="s">
        <v>259</v>
      </c>
      <c r="I22" s="541"/>
      <c r="J22" s="236"/>
      <c r="K22" s="236">
        <v>0.21929999999999999</v>
      </c>
      <c r="L22" s="552">
        <f>((K22*60)/0.75)+((K23*60)/0.75)</f>
        <v>55.616</v>
      </c>
      <c r="M22" s="58">
        <f t="shared" si="10"/>
        <v>0.65049779175087941</v>
      </c>
      <c r="N22" s="238">
        <f t="shared" si="11"/>
        <v>64.729574223245109</v>
      </c>
      <c r="O22" s="239">
        <f t="shared" si="12"/>
        <v>64.729574223245109</v>
      </c>
      <c r="P22" s="239">
        <f t="shared" si="13"/>
        <v>64.729574223245109</v>
      </c>
    </row>
    <row r="23" spans="1:16" s="240" customFormat="1" ht="57.75" customHeight="1" thickBot="1">
      <c r="A23" s="234">
        <f t="shared" si="0"/>
        <v>85.49760000000002</v>
      </c>
      <c r="B23" s="235">
        <f t="shared" si="1"/>
        <v>117.95221843003412</v>
      </c>
      <c r="C23" s="59">
        <v>13</v>
      </c>
      <c r="D23" s="543"/>
      <c r="E23" s="59"/>
      <c r="F23" s="61" t="s">
        <v>148</v>
      </c>
      <c r="G23" s="61" t="s">
        <v>274</v>
      </c>
      <c r="H23" s="540" t="s">
        <v>267</v>
      </c>
      <c r="I23" s="541"/>
      <c r="J23" s="236"/>
      <c r="K23" s="236">
        <v>0.47589999999999999</v>
      </c>
      <c r="L23" s="553"/>
      <c r="M23" s="58"/>
      <c r="N23" s="238"/>
      <c r="O23" s="239"/>
      <c r="P23" s="239"/>
    </row>
    <row r="24" spans="1:16" s="240" customFormat="1" ht="80.25" customHeight="1" thickBot="1">
      <c r="A24" s="234">
        <f t="shared" si="0"/>
        <v>85.49760000000002</v>
      </c>
      <c r="B24" s="235">
        <f t="shared" si="1"/>
        <v>117.95221843003412</v>
      </c>
      <c r="C24" s="59">
        <v>15</v>
      </c>
      <c r="D24" s="209">
        <v>1</v>
      </c>
      <c r="E24" s="59"/>
      <c r="F24" s="61" t="s">
        <v>142</v>
      </c>
      <c r="G24" s="61" t="s">
        <v>274</v>
      </c>
      <c r="H24" s="540" t="s">
        <v>284</v>
      </c>
      <c r="I24" s="541"/>
      <c r="J24" s="236"/>
      <c r="K24" s="236">
        <v>0.66180000000000005</v>
      </c>
      <c r="L24" s="237">
        <f>((K24*60)/0.75)+((K21*60*0.1)/0.75)</f>
        <v>61.88000000000001</v>
      </c>
      <c r="M24" s="58">
        <f t="shared" ref="M24" si="14">IF(L24=0,"",L24/$P$3)</f>
        <v>0.72376300621303979</v>
      </c>
      <c r="N24" s="238">
        <f t="shared" ref="N24" si="15">IF(L24=0,"",3600/L24)</f>
        <v>58.177117000646405</v>
      </c>
      <c r="O24" s="239">
        <f t="shared" ref="O24" si="16">3600/L24</f>
        <v>58.177117000646405</v>
      </c>
      <c r="P24" s="239">
        <f t="shared" ref="P24" si="17">+O24</f>
        <v>58.177117000646405</v>
      </c>
    </row>
    <row r="25" spans="1:16" s="240" customFormat="1" ht="57.75" customHeight="1" thickBot="1">
      <c r="A25" s="234">
        <f t="shared" si="0"/>
        <v>85.49760000000002</v>
      </c>
      <c r="B25" s="235">
        <f t="shared" si="1"/>
        <v>117.95221843003412</v>
      </c>
      <c r="C25" s="59">
        <v>14</v>
      </c>
      <c r="D25" s="542">
        <v>1</v>
      </c>
      <c r="E25" s="61"/>
      <c r="F25" s="544" t="s">
        <v>57</v>
      </c>
      <c r="G25" s="544" t="s">
        <v>276</v>
      </c>
      <c r="H25" s="540" t="s">
        <v>268</v>
      </c>
      <c r="I25" s="541"/>
      <c r="J25" s="236"/>
      <c r="K25" s="236">
        <v>0.21929999999999999</v>
      </c>
      <c r="L25" s="552">
        <f>((K25*60)/0.75)+((K26*60)/0.75)</f>
        <v>59.256</v>
      </c>
      <c r="M25" s="58">
        <f t="shared" ref="M25" si="18">IF(L25=0,"",L25/$P$3)</f>
        <v>0.69307208623399941</v>
      </c>
      <c r="N25" s="238">
        <f t="shared" ref="N25" si="19">IF(L25=0,"",3600/L25)</f>
        <v>60.753341433778857</v>
      </c>
      <c r="O25" s="239">
        <f t="shared" ref="O25" si="20">3600/L25</f>
        <v>60.753341433778857</v>
      </c>
      <c r="P25" s="239">
        <f t="shared" ref="P25" si="21">+O25</f>
        <v>60.753341433778857</v>
      </c>
    </row>
    <row r="26" spans="1:16" s="240" customFormat="1" ht="63.75" customHeight="1" thickBot="1">
      <c r="A26" s="234">
        <f t="shared" si="0"/>
        <v>85.49760000000002</v>
      </c>
      <c r="B26" s="235">
        <f t="shared" si="1"/>
        <v>117.95221843003412</v>
      </c>
      <c r="C26" s="59">
        <v>16</v>
      </c>
      <c r="D26" s="543"/>
      <c r="E26" s="59"/>
      <c r="F26" s="545"/>
      <c r="G26" s="545"/>
      <c r="H26" s="540" t="s">
        <v>270</v>
      </c>
      <c r="I26" s="541"/>
      <c r="J26" s="236"/>
      <c r="K26" s="236">
        <v>0.52139999999999997</v>
      </c>
      <c r="L26" s="553"/>
      <c r="M26" s="58"/>
      <c r="N26" s="238"/>
      <c r="O26" s="239"/>
      <c r="P26" s="239"/>
    </row>
    <row r="27" spans="1:16" s="240" customFormat="1" ht="108" customHeight="1" thickBot="1">
      <c r="A27" s="234">
        <f t="shared" si="0"/>
        <v>85.49760000000002</v>
      </c>
      <c r="B27" s="235">
        <f t="shared" si="1"/>
        <v>117.95221843003412</v>
      </c>
      <c r="C27" s="59">
        <v>17</v>
      </c>
      <c r="D27" s="59">
        <v>1</v>
      </c>
      <c r="E27" s="59"/>
      <c r="F27" s="61" t="s">
        <v>52</v>
      </c>
      <c r="G27" s="61" t="s">
        <v>275</v>
      </c>
      <c r="H27" s="540" t="s">
        <v>271</v>
      </c>
      <c r="I27" s="541"/>
      <c r="J27" s="236"/>
      <c r="K27" s="236">
        <v>0.7923</v>
      </c>
      <c r="L27" s="237">
        <f>((K27*60)/0.75)</f>
        <v>63.383999999999993</v>
      </c>
      <c r="M27" s="58">
        <f t="shared" si="6"/>
        <v>0.74135414327419691</v>
      </c>
      <c r="N27" s="238">
        <f t="shared" si="7"/>
        <v>56.796667928814848</v>
      </c>
      <c r="O27" s="239">
        <f t="shared" si="8"/>
        <v>56.796667928814848</v>
      </c>
      <c r="P27" s="239">
        <f t="shared" si="9"/>
        <v>56.796667928814848</v>
      </c>
    </row>
    <row r="28" spans="1:16" s="240" customFormat="1" ht="139.5" customHeight="1" thickBot="1">
      <c r="A28" s="234">
        <f t="shared" si="0"/>
        <v>85.49760000000002</v>
      </c>
      <c r="B28" s="235">
        <f t="shared" si="1"/>
        <v>117.95221843003412</v>
      </c>
      <c r="C28" s="59">
        <v>18</v>
      </c>
      <c r="D28" s="59">
        <v>1</v>
      </c>
      <c r="E28" s="59"/>
      <c r="F28" s="61" t="s">
        <v>52</v>
      </c>
      <c r="G28" s="61" t="s">
        <v>275</v>
      </c>
      <c r="H28" s="540" t="s">
        <v>264</v>
      </c>
      <c r="I28" s="541"/>
      <c r="J28" s="236"/>
      <c r="K28" s="236">
        <v>0.70979999999999999</v>
      </c>
      <c r="L28" s="237">
        <f>((K28*60)/0.75)</f>
        <v>56.783999999999999</v>
      </c>
      <c r="M28" s="58">
        <f t="shared" si="6"/>
        <v>0.66415899393667177</v>
      </c>
      <c r="N28" s="238">
        <f t="shared" si="7"/>
        <v>63.398140321217248</v>
      </c>
      <c r="O28" s="239">
        <f t="shared" si="8"/>
        <v>63.398140321217248</v>
      </c>
      <c r="P28" s="239">
        <f t="shared" si="9"/>
        <v>63.398140321217248</v>
      </c>
    </row>
    <row r="29" spans="1:16" s="240" customFormat="1" ht="128.25" customHeight="1" thickBot="1">
      <c r="A29" s="234">
        <f t="shared" si="0"/>
        <v>85.49760000000002</v>
      </c>
      <c r="B29" s="235">
        <f t="shared" si="1"/>
        <v>117.95221843003412</v>
      </c>
      <c r="C29" s="59">
        <v>19</v>
      </c>
      <c r="D29" s="59">
        <v>1</v>
      </c>
      <c r="E29" s="59"/>
      <c r="F29" s="61" t="s">
        <v>52</v>
      </c>
      <c r="G29" s="61" t="s">
        <v>275</v>
      </c>
      <c r="H29" s="540" t="s">
        <v>272</v>
      </c>
      <c r="I29" s="541"/>
      <c r="J29" s="236"/>
      <c r="K29" s="236">
        <v>1.0304</v>
      </c>
      <c r="L29" s="237">
        <f>((K29*60)/0.75)</f>
        <v>82.432000000000002</v>
      </c>
      <c r="M29" s="58">
        <f t="shared" si="6"/>
        <v>0.96414402275619415</v>
      </c>
      <c r="N29" s="238">
        <f t="shared" si="7"/>
        <v>43.672360248447205</v>
      </c>
      <c r="O29" s="239">
        <f t="shared" si="8"/>
        <v>43.672360248447205</v>
      </c>
      <c r="P29" s="239">
        <f t="shared" si="9"/>
        <v>43.672360248447205</v>
      </c>
    </row>
    <row r="30" spans="1:16" s="240" customFormat="1" ht="68.25" customHeight="1" thickBot="1">
      <c r="A30" s="234">
        <f t="shared" si="0"/>
        <v>85.49760000000002</v>
      </c>
      <c r="B30" s="235">
        <f t="shared" si="1"/>
        <v>117.95221843003412</v>
      </c>
      <c r="C30" s="59">
        <v>20</v>
      </c>
      <c r="D30" s="59">
        <v>1</v>
      </c>
      <c r="E30" s="59"/>
      <c r="F30" s="61" t="s">
        <v>142</v>
      </c>
      <c r="G30" s="61" t="s">
        <v>274</v>
      </c>
      <c r="H30" s="540" t="s">
        <v>260</v>
      </c>
      <c r="I30" s="541"/>
      <c r="J30" s="236"/>
      <c r="K30" s="236">
        <v>0.70609999999999995</v>
      </c>
      <c r="L30" s="237">
        <f>((K30*60)/0.75)</f>
        <v>56.488</v>
      </c>
      <c r="M30" s="58">
        <f t="shared" si="6"/>
        <v>0.66069690845123119</v>
      </c>
      <c r="N30" s="238">
        <f t="shared" si="7"/>
        <v>63.730349808808953</v>
      </c>
      <c r="O30" s="239">
        <f t="shared" si="8"/>
        <v>63.730349808808953</v>
      </c>
      <c r="P30" s="239">
        <f t="shared" si="9"/>
        <v>63.730349808808953</v>
      </c>
    </row>
    <row r="31" spans="1:16" s="240" customFormat="1" ht="68.25" customHeight="1" thickBot="1">
      <c r="A31" s="234">
        <f t="shared" si="0"/>
        <v>85.49760000000002</v>
      </c>
      <c r="B31" s="235">
        <f t="shared" si="1"/>
        <v>117.95221843003412</v>
      </c>
      <c r="C31" s="59">
        <v>21</v>
      </c>
      <c r="D31" s="563">
        <v>1</v>
      </c>
      <c r="E31" s="59"/>
      <c r="F31" s="544" t="s">
        <v>52</v>
      </c>
      <c r="G31" s="544" t="s">
        <v>275</v>
      </c>
      <c r="H31" s="540" t="s">
        <v>261</v>
      </c>
      <c r="I31" s="541"/>
      <c r="J31" s="236"/>
      <c r="K31" s="236">
        <v>0.55259999999999998</v>
      </c>
      <c r="L31" s="552">
        <f>((K31*60)/0.75)+((K32*60)/0.75)</f>
        <v>66.016000000000005</v>
      </c>
      <c r="M31" s="58">
        <f t="shared" ref="M31" si="22">IF(L31=0,"",L31/$P$3)</f>
        <v>0.77213863313122233</v>
      </c>
      <c r="N31" s="238">
        <f t="shared" ref="N31" si="23">IF(L31=0,"",3600/L31)</f>
        <v>54.532234609791558</v>
      </c>
      <c r="O31" s="239">
        <f t="shared" ref="O31" si="24">3600/L31</f>
        <v>54.532234609791558</v>
      </c>
      <c r="P31" s="239">
        <f t="shared" ref="P31" si="25">+O31</f>
        <v>54.532234609791558</v>
      </c>
    </row>
    <row r="32" spans="1:16" s="240" customFormat="1" ht="107.25" customHeight="1" thickBot="1">
      <c r="A32" s="234">
        <f t="shared" si="0"/>
        <v>85.49760000000002</v>
      </c>
      <c r="B32" s="235">
        <f t="shared" si="1"/>
        <v>117.95221843003412</v>
      </c>
      <c r="C32" s="59">
        <v>24</v>
      </c>
      <c r="D32" s="543"/>
      <c r="E32" s="59"/>
      <c r="F32" s="545"/>
      <c r="G32" s="545"/>
      <c r="H32" s="540" t="s">
        <v>237</v>
      </c>
      <c r="I32" s="541"/>
      <c r="J32" s="236"/>
      <c r="K32" s="236">
        <v>0.27260000000000001</v>
      </c>
      <c r="L32" s="553"/>
      <c r="M32" s="58"/>
      <c r="N32" s="238"/>
      <c r="O32" s="239"/>
      <c r="P32" s="239"/>
    </row>
    <row r="33" spans="1:16" s="240" customFormat="1" ht="68.25" customHeight="1" thickBot="1">
      <c r="A33" s="234">
        <f t="shared" si="0"/>
        <v>85.49760000000002</v>
      </c>
      <c r="B33" s="235">
        <f t="shared" si="1"/>
        <v>117.95221843003412</v>
      </c>
      <c r="C33" s="59">
        <v>27</v>
      </c>
      <c r="D33" s="542">
        <v>1</v>
      </c>
      <c r="E33" s="59"/>
      <c r="F33" s="61" t="s">
        <v>142</v>
      </c>
      <c r="G33" s="61" t="s">
        <v>274</v>
      </c>
      <c r="H33" s="540" t="s">
        <v>240</v>
      </c>
      <c r="I33" s="541"/>
      <c r="J33" s="236"/>
      <c r="K33" s="236">
        <v>0.51839999999999997</v>
      </c>
      <c r="L33" s="552">
        <f>((K33*60)/0.75)+((K34*60)/0.75)</f>
        <v>72.75200000000001</v>
      </c>
      <c r="M33" s="58">
        <f t="shared" ref="M33:M34" si="26">IF(L33=0,"",L33/$P$3)</f>
        <v>0.85092447039449048</v>
      </c>
      <c r="N33" s="238">
        <f t="shared" ref="N33:N34" si="27">IF(L33=0,"",3600/L33)</f>
        <v>49.483175720255105</v>
      </c>
      <c r="O33" s="239">
        <f t="shared" ref="O33:O34" si="28">3600/L33</f>
        <v>49.483175720255105</v>
      </c>
      <c r="P33" s="239">
        <f t="shared" ref="P33:P34" si="29">+O33</f>
        <v>49.483175720255105</v>
      </c>
    </row>
    <row r="34" spans="1:16" s="240" customFormat="1" ht="60" customHeight="1" thickBot="1">
      <c r="A34" s="234">
        <f t="shared" si="0"/>
        <v>85.49760000000002</v>
      </c>
      <c r="B34" s="235">
        <f t="shared" si="1"/>
        <v>117.95221843003412</v>
      </c>
      <c r="C34" s="59">
        <v>28</v>
      </c>
      <c r="D34" s="543"/>
      <c r="E34" s="59"/>
      <c r="F34" s="61" t="s">
        <v>166</v>
      </c>
      <c r="G34" s="61" t="s">
        <v>277</v>
      </c>
      <c r="H34" s="540" t="s">
        <v>241</v>
      </c>
      <c r="I34" s="541"/>
      <c r="J34" s="236"/>
      <c r="K34" s="236">
        <v>0.39100000000000001</v>
      </c>
      <c r="L34" s="553"/>
      <c r="M34" s="58" t="str">
        <f t="shared" si="26"/>
        <v/>
      </c>
      <c r="N34" s="238" t="str">
        <f t="shared" si="27"/>
        <v/>
      </c>
      <c r="O34" s="239" t="e">
        <f t="shared" si="28"/>
        <v>#DIV/0!</v>
      </c>
      <c r="P34" s="239" t="e">
        <f t="shared" si="29"/>
        <v>#DIV/0!</v>
      </c>
    </row>
    <row r="35" spans="1:16" s="240" customFormat="1" ht="79.5" customHeight="1" thickBot="1">
      <c r="A35" s="234">
        <f t="shared" si="0"/>
        <v>85.49760000000002</v>
      </c>
      <c r="B35" s="235">
        <f t="shared" si="1"/>
        <v>117.95221843003412</v>
      </c>
      <c r="C35" s="59">
        <v>22</v>
      </c>
      <c r="D35" s="59">
        <v>1</v>
      </c>
      <c r="E35" s="59"/>
      <c r="F35" s="61" t="s">
        <v>166</v>
      </c>
      <c r="G35" s="61" t="s">
        <v>277</v>
      </c>
      <c r="H35" s="540" t="s">
        <v>262</v>
      </c>
      <c r="I35" s="541"/>
      <c r="J35" s="236"/>
      <c r="K35" s="236">
        <v>0.78939999999999999</v>
      </c>
      <c r="L35" s="237">
        <f>((K35*60)/0.75)</f>
        <v>63.151999999999994</v>
      </c>
      <c r="M35" s="58">
        <f t="shared" si="6"/>
        <v>0.73864061681263549</v>
      </c>
      <c r="N35" s="238">
        <f t="shared" si="7"/>
        <v>57.005320496579685</v>
      </c>
      <c r="O35" s="239">
        <f t="shared" si="8"/>
        <v>57.005320496579685</v>
      </c>
      <c r="P35" s="239">
        <f t="shared" si="9"/>
        <v>57.005320496579685</v>
      </c>
    </row>
    <row r="36" spans="1:16" s="240" customFormat="1" ht="78" customHeight="1" thickBot="1">
      <c r="A36" s="234">
        <f t="shared" si="0"/>
        <v>85.49760000000002</v>
      </c>
      <c r="B36" s="235">
        <f t="shared" si="1"/>
        <v>117.95221843003412</v>
      </c>
      <c r="C36" s="59">
        <v>25</v>
      </c>
      <c r="D36" s="59">
        <v>1</v>
      </c>
      <c r="E36" s="59"/>
      <c r="F36" s="61" t="s">
        <v>166</v>
      </c>
      <c r="G36" s="61" t="s">
        <v>277</v>
      </c>
      <c r="H36" s="540" t="s">
        <v>263</v>
      </c>
      <c r="I36" s="541"/>
      <c r="J36" s="236"/>
      <c r="K36" s="236">
        <v>0.72440000000000004</v>
      </c>
      <c r="L36" s="237">
        <f>((K36*60)/0.75)</f>
        <v>57.952000000000005</v>
      </c>
      <c r="M36" s="58">
        <f t="shared" si="6"/>
        <v>0.67782019612246414</v>
      </c>
      <c r="N36" s="238">
        <f t="shared" si="7"/>
        <v>62.120375483158469</v>
      </c>
      <c r="O36" s="239">
        <f t="shared" si="8"/>
        <v>62.120375483158469</v>
      </c>
      <c r="P36" s="239">
        <f t="shared" si="9"/>
        <v>62.120375483158469</v>
      </c>
    </row>
    <row r="37" spans="1:16" s="240" customFormat="1" ht="69" customHeight="1" thickBot="1">
      <c r="A37" s="234">
        <f t="shared" si="0"/>
        <v>85.49760000000002</v>
      </c>
      <c r="B37" s="235">
        <f t="shared" si="1"/>
        <v>117.95221843003412</v>
      </c>
      <c r="C37" s="59">
        <v>26</v>
      </c>
      <c r="D37" s="59">
        <v>1</v>
      </c>
      <c r="E37" s="59"/>
      <c r="F37" s="61" t="s">
        <v>166</v>
      </c>
      <c r="G37" s="61" t="s">
        <v>277</v>
      </c>
      <c r="H37" s="540" t="s">
        <v>239</v>
      </c>
      <c r="I37" s="541"/>
      <c r="J37" s="236"/>
      <c r="K37" s="236">
        <v>0.9002</v>
      </c>
      <c r="L37" s="237">
        <f>((K37*60)/0.75)</f>
        <v>72.016000000000005</v>
      </c>
      <c r="M37" s="58">
        <f t="shared" si="6"/>
        <v>0.84231604161988161</v>
      </c>
      <c r="N37" s="238">
        <f t="shared" si="7"/>
        <v>49.988891357476113</v>
      </c>
      <c r="O37" s="239">
        <f t="shared" si="8"/>
        <v>49.988891357476113</v>
      </c>
      <c r="P37" s="239">
        <f t="shared" si="9"/>
        <v>49.988891357476113</v>
      </c>
    </row>
    <row r="38" spans="1:16" s="240" customFormat="1" ht="93.75" customHeight="1" thickBot="1">
      <c r="A38" s="234">
        <f t="shared" si="0"/>
        <v>85.49760000000002</v>
      </c>
      <c r="B38" s="235">
        <f t="shared" si="1"/>
        <v>117.95221843003412</v>
      </c>
      <c r="C38" s="59">
        <v>29</v>
      </c>
      <c r="D38" s="59">
        <v>1</v>
      </c>
      <c r="E38" s="59"/>
      <c r="F38" s="61" t="s">
        <v>142</v>
      </c>
      <c r="G38" s="61" t="s">
        <v>274</v>
      </c>
      <c r="H38" s="540" t="s">
        <v>242</v>
      </c>
      <c r="I38" s="541"/>
      <c r="J38" s="236"/>
      <c r="K38" s="236">
        <v>0.69330000000000003</v>
      </c>
      <c r="L38" s="237">
        <f>((K38*60)/0.75)</f>
        <v>55.463999999999999</v>
      </c>
      <c r="M38" s="58">
        <f t="shared" si="6"/>
        <v>0.64871996406916665</v>
      </c>
      <c r="N38" s="238">
        <f t="shared" si="7"/>
        <v>64.906966681090438</v>
      </c>
      <c r="O38" s="239">
        <f t="shared" si="8"/>
        <v>64.906966681090438</v>
      </c>
      <c r="P38" s="239">
        <f t="shared" si="9"/>
        <v>64.906966681090438</v>
      </c>
    </row>
    <row r="39" spans="1:16" s="240" customFormat="1" ht="101.25" customHeight="1" thickBot="1">
      <c r="A39" s="234">
        <f t="shared" si="0"/>
        <v>85.49760000000002</v>
      </c>
      <c r="B39" s="235">
        <f t="shared" si="1"/>
        <v>117.95221843003412</v>
      </c>
      <c r="C39" s="59">
        <v>30</v>
      </c>
      <c r="D39" s="59">
        <v>1</v>
      </c>
      <c r="E39" s="59"/>
      <c r="F39" s="61" t="s">
        <v>52</v>
      </c>
      <c r="G39" s="61" t="s">
        <v>275</v>
      </c>
      <c r="H39" s="540" t="s">
        <v>295</v>
      </c>
      <c r="I39" s="541"/>
      <c r="J39" s="236"/>
      <c r="K39" s="236">
        <v>0.50029999999999997</v>
      </c>
      <c r="L39" s="237">
        <f>((K39*60)/0.75)+((K40*60*0.2)/0.75)</f>
        <v>55.599199999999996</v>
      </c>
      <c r="M39" s="58">
        <f t="shared" si="6"/>
        <v>0.65030129500711109</v>
      </c>
      <c r="N39" s="238">
        <f t="shared" si="7"/>
        <v>64.749133081051525</v>
      </c>
      <c r="O39" s="239">
        <f t="shared" si="8"/>
        <v>64.749133081051525</v>
      </c>
      <c r="P39" s="239">
        <f t="shared" si="9"/>
        <v>64.749133081051525</v>
      </c>
    </row>
    <row r="40" spans="1:16" s="240" customFormat="1" ht="117" customHeight="1" thickBot="1">
      <c r="A40" s="234">
        <f t="shared" si="0"/>
        <v>85.49760000000002</v>
      </c>
      <c r="B40" s="235">
        <f t="shared" si="1"/>
        <v>117.95221843003412</v>
      </c>
      <c r="C40" s="59" t="s">
        <v>290</v>
      </c>
      <c r="D40" s="59">
        <v>1</v>
      </c>
      <c r="E40" s="59"/>
      <c r="F40" s="61" t="s">
        <v>52</v>
      </c>
      <c r="G40" s="61" t="s">
        <v>275</v>
      </c>
      <c r="H40" s="540" t="s">
        <v>292</v>
      </c>
      <c r="I40" s="541"/>
      <c r="J40" s="236"/>
      <c r="K40" s="257">
        <f>1.9469/2</f>
        <v>0.97345000000000004</v>
      </c>
      <c r="L40" s="237">
        <f>((K40*60*0.8)/0.75)</f>
        <v>62.30080000000001</v>
      </c>
      <c r="M40" s="58">
        <f t="shared" si="6"/>
        <v>0.72868478179504448</v>
      </c>
      <c r="N40" s="238">
        <f t="shared" si="7"/>
        <v>57.784169705685954</v>
      </c>
      <c r="O40" s="239">
        <f t="shared" si="8"/>
        <v>57.784169705685954</v>
      </c>
      <c r="P40" s="239">
        <f t="shared" si="9"/>
        <v>57.784169705685954</v>
      </c>
    </row>
    <row r="41" spans="1:16" s="240" customFormat="1" ht="71.25" customHeight="1" thickBot="1">
      <c r="A41" s="234">
        <f t="shared" si="0"/>
        <v>85.49760000000002</v>
      </c>
      <c r="B41" s="235">
        <f t="shared" si="1"/>
        <v>117.95221843003412</v>
      </c>
      <c r="C41" s="59">
        <v>32</v>
      </c>
      <c r="D41" s="59">
        <v>1</v>
      </c>
      <c r="E41" s="59"/>
      <c r="F41" s="61" t="s">
        <v>52</v>
      </c>
      <c r="G41" s="61" t="s">
        <v>275</v>
      </c>
      <c r="H41" s="540" t="s">
        <v>245</v>
      </c>
      <c r="I41" s="541"/>
      <c r="J41" s="236"/>
      <c r="K41" s="236">
        <v>0.57050000000000001</v>
      </c>
      <c r="L41" s="237">
        <f t="shared" ref="L41:L51" si="30">((K41*60)/0.75)</f>
        <v>45.640000000000008</v>
      </c>
      <c r="M41" s="58">
        <f t="shared" si="6"/>
        <v>0.53381615390373527</v>
      </c>
      <c r="N41" s="238">
        <f t="shared" si="7"/>
        <v>78.878177037686228</v>
      </c>
      <c r="O41" s="239">
        <f t="shared" si="8"/>
        <v>78.878177037686228</v>
      </c>
      <c r="P41" s="239">
        <f t="shared" si="9"/>
        <v>78.878177037686228</v>
      </c>
    </row>
    <row r="42" spans="1:16" s="240" customFormat="1" ht="125.25" customHeight="1" thickBot="1">
      <c r="A42" s="234">
        <f t="shared" si="0"/>
        <v>85.49760000000002</v>
      </c>
      <c r="B42" s="235">
        <f t="shared" si="1"/>
        <v>117.95221843003412</v>
      </c>
      <c r="C42" s="59">
        <v>33</v>
      </c>
      <c r="D42" s="59">
        <v>1</v>
      </c>
      <c r="E42" s="59"/>
      <c r="F42" s="61" t="s">
        <v>57</v>
      </c>
      <c r="G42" s="61" t="s">
        <v>285</v>
      </c>
      <c r="H42" s="540" t="s">
        <v>246</v>
      </c>
      <c r="I42" s="541"/>
      <c r="J42" s="236"/>
      <c r="K42" s="236">
        <v>0.83320000000000005</v>
      </c>
      <c r="L42" s="237">
        <f t="shared" si="30"/>
        <v>66.656000000000006</v>
      </c>
      <c r="M42" s="58">
        <f t="shared" si="6"/>
        <v>0.77962422337001258</v>
      </c>
      <c r="N42" s="238">
        <f t="shared" si="7"/>
        <v>54.008641382621214</v>
      </c>
      <c r="O42" s="239">
        <f t="shared" si="8"/>
        <v>54.008641382621214</v>
      </c>
      <c r="P42" s="239">
        <f t="shared" si="9"/>
        <v>54.008641382621214</v>
      </c>
    </row>
    <row r="43" spans="1:16" s="240" customFormat="1" ht="69" customHeight="1" thickBot="1">
      <c r="A43" s="234">
        <f t="shared" si="0"/>
        <v>85.49760000000002</v>
      </c>
      <c r="B43" s="235">
        <f t="shared" si="1"/>
        <v>117.95221843003412</v>
      </c>
      <c r="C43" s="59">
        <v>34</v>
      </c>
      <c r="D43" s="542">
        <v>1</v>
      </c>
      <c r="E43" s="59"/>
      <c r="F43" s="544" t="s">
        <v>52</v>
      </c>
      <c r="G43" s="544" t="s">
        <v>275</v>
      </c>
      <c r="H43" s="540" t="s">
        <v>247</v>
      </c>
      <c r="I43" s="541"/>
      <c r="J43" s="236"/>
      <c r="K43" s="236">
        <v>0.35410000000000003</v>
      </c>
      <c r="L43" s="552">
        <f>((K43*60)/0.75)+((K44*60)/0.75)</f>
        <v>56.040000000000006</v>
      </c>
      <c r="M43" s="58">
        <f t="shared" si="6"/>
        <v>0.65545699528407808</v>
      </c>
      <c r="N43" s="238">
        <f t="shared" si="7"/>
        <v>64.239828693790145</v>
      </c>
      <c r="O43" s="239">
        <f t="shared" si="8"/>
        <v>64.239828693790145</v>
      </c>
      <c r="P43" s="239">
        <f t="shared" si="9"/>
        <v>64.239828693790145</v>
      </c>
    </row>
    <row r="44" spans="1:16" s="240" customFormat="1" ht="68.25" customHeight="1" thickBot="1">
      <c r="A44" s="234">
        <f t="shared" si="0"/>
        <v>85.49760000000002</v>
      </c>
      <c r="B44" s="235">
        <f t="shared" si="1"/>
        <v>117.95221843003412</v>
      </c>
      <c r="C44" s="59">
        <v>35</v>
      </c>
      <c r="D44" s="543"/>
      <c r="E44" s="59"/>
      <c r="F44" s="545"/>
      <c r="G44" s="545"/>
      <c r="H44" s="540" t="s">
        <v>248</v>
      </c>
      <c r="I44" s="541"/>
      <c r="J44" s="236"/>
      <c r="K44" s="236">
        <v>0.34639999999999999</v>
      </c>
      <c r="L44" s="553"/>
      <c r="M44" s="58"/>
      <c r="N44" s="238"/>
      <c r="O44" s="239"/>
      <c r="P44" s="239"/>
    </row>
    <row r="45" spans="1:16" s="240" customFormat="1" ht="72.75" customHeight="1" thickBot="1">
      <c r="A45" s="234">
        <f t="shared" si="0"/>
        <v>85.49760000000002</v>
      </c>
      <c r="B45" s="235">
        <f t="shared" si="1"/>
        <v>117.95221843003412</v>
      </c>
      <c r="C45" s="59">
        <v>36</v>
      </c>
      <c r="D45" s="59">
        <v>1</v>
      </c>
      <c r="E45" s="59"/>
      <c r="F45" s="61" t="s">
        <v>52</v>
      </c>
      <c r="G45" s="61" t="s">
        <v>275</v>
      </c>
      <c r="H45" s="540" t="s">
        <v>249</v>
      </c>
      <c r="I45" s="541"/>
      <c r="J45" s="236"/>
      <c r="K45" s="236">
        <v>0.68920000000000003</v>
      </c>
      <c r="L45" s="237">
        <f t="shared" si="30"/>
        <v>55.136000000000003</v>
      </c>
      <c r="M45" s="58">
        <f t="shared" si="6"/>
        <v>0.64488359907178672</v>
      </c>
      <c r="N45" s="238">
        <f t="shared" si="7"/>
        <v>65.293093441671502</v>
      </c>
      <c r="O45" s="239">
        <f t="shared" si="8"/>
        <v>65.293093441671502</v>
      </c>
      <c r="P45" s="239">
        <f t="shared" si="9"/>
        <v>65.293093441671502</v>
      </c>
    </row>
    <row r="46" spans="1:16" s="240" customFormat="1" ht="69" customHeight="1" thickBot="1">
      <c r="A46" s="234">
        <f t="shared" si="0"/>
        <v>85.49760000000002</v>
      </c>
      <c r="B46" s="235">
        <f t="shared" si="1"/>
        <v>117.95221843003412</v>
      </c>
      <c r="C46" s="59">
        <v>37</v>
      </c>
      <c r="D46" s="542">
        <v>1</v>
      </c>
      <c r="E46" s="59"/>
      <c r="F46" s="61" t="s">
        <v>52</v>
      </c>
      <c r="G46" s="61" t="s">
        <v>275</v>
      </c>
      <c r="H46" s="540" t="s">
        <v>250</v>
      </c>
      <c r="I46" s="541"/>
      <c r="J46" s="236"/>
      <c r="K46" s="236">
        <v>0.7288</v>
      </c>
      <c r="L46" s="552">
        <f>((K46*60)/0.75)+((K47*60*0.2)/0.75)</f>
        <v>79.678400000000011</v>
      </c>
      <c r="M46" s="58">
        <f t="shared" si="6"/>
        <v>0.93193727075379884</v>
      </c>
      <c r="N46" s="238">
        <f t="shared" si="7"/>
        <v>45.18163015321592</v>
      </c>
      <c r="O46" s="239">
        <f t="shared" si="8"/>
        <v>45.18163015321592</v>
      </c>
      <c r="P46" s="239">
        <f t="shared" si="9"/>
        <v>45.18163015321592</v>
      </c>
    </row>
    <row r="47" spans="1:16" s="240" customFormat="1" ht="70.5" customHeight="1" thickBot="1">
      <c r="A47" s="234">
        <f t="shared" si="0"/>
        <v>85.49760000000002</v>
      </c>
      <c r="B47" s="235">
        <f t="shared" si="1"/>
        <v>117.95221843003412</v>
      </c>
      <c r="C47" s="59">
        <v>38</v>
      </c>
      <c r="D47" s="543"/>
      <c r="E47" s="59"/>
      <c r="F47" s="61" t="s">
        <v>166</v>
      </c>
      <c r="G47" s="61" t="s">
        <v>277</v>
      </c>
      <c r="H47" s="540" t="s">
        <v>252</v>
      </c>
      <c r="I47" s="541"/>
      <c r="J47" s="236"/>
      <c r="K47" s="236">
        <v>1.3359000000000001</v>
      </c>
      <c r="L47" s="553"/>
      <c r="M47" s="58"/>
      <c r="N47" s="238"/>
      <c r="O47" s="239"/>
      <c r="P47" s="239"/>
    </row>
    <row r="48" spans="1:16" s="240" customFormat="1" ht="81.75" customHeight="1" thickBot="1">
      <c r="A48" s="234">
        <f t="shared" si="0"/>
        <v>85.49760000000002</v>
      </c>
      <c r="B48" s="235">
        <f t="shared" si="1"/>
        <v>117.95221843003412</v>
      </c>
      <c r="C48" s="59">
        <v>38</v>
      </c>
      <c r="D48" s="59">
        <v>1</v>
      </c>
      <c r="E48" s="59"/>
      <c r="F48" s="61" t="s">
        <v>166</v>
      </c>
      <c r="G48" s="61" t="s">
        <v>277</v>
      </c>
      <c r="H48" s="540" t="s">
        <v>252</v>
      </c>
      <c r="I48" s="541"/>
      <c r="J48" s="236"/>
      <c r="K48" s="236">
        <v>1.3359000000000001</v>
      </c>
      <c r="L48" s="237">
        <f>((K48*60*0.8)/0.75)</f>
        <v>85.49760000000002</v>
      </c>
      <c r="M48" s="58">
        <f t="shared" si="6"/>
        <v>1</v>
      </c>
      <c r="N48" s="238">
        <f t="shared" si="7"/>
        <v>42.106445093195589</v>
      </c>
      <c r="O48" s="239">
        <f t="shared" si="8"/>
        <v>42.106445093195589</v>
      </c>
      <c r="P48" s="239">
        <f t="shared" si="9"/>
        <v>42.106445093195589</v>
      </c>
    </row>
    <row r="49" spans="1:16" s="240" customFormat="1" ht="70.5" customHeight="1" thickBot="1">
      <c r="A49" s="234">
        <f t="shared" si="0"/>
        <v>85.49760000000002</v>
      </c>
      <c r="B49" s="235">
        <f t="shared" si="1"/>
        <v>117.95221843003412</v>
      </c>
      <c r="C49" s="59">
        <v>39</v>
      </c>
      <c r="D49" s="59">
        <v>1</v>
      </c>
      <c r="E49" s="59"/>
      <c r="F49" s="61" t="s">
        <v>166</v>
      </c>
      <c r="G49" s="61" t="s">
        <v>277</v>
      </c>
      <c r="H49" s="540" t="s">
        <v>251</v>
      </c>
      <c r="I49" s="541"/>
      <c r="J49" s="236"/>
      <c r="K49" s="236">
        <v>1.847</v>
      </c>
      <c r="L49" s="237">
        <f>((K49*60)/0.75)/2</f>
        <v>73.88</v>
      </c>
      <c r="M49" s="58">
        <f t="shared" ref="M49" si="31">IF(L49=0,"",L49/$P$3)</f>
        <v>0.86411782319035835</v>
      </c>
      <c r="N49" s="238">
        <f t="shared" ref="N49" si="32">IF(L49=0,"",3600/L49)</f>
        <v>48.727666486193833</v>
      </c>
      <c r="O49" s="239">
        <f t="shared" ref="O49" si="33">3600/L49</f>
        <v>48.727666486193833</v>
      </c>
      <c r="P49" s="239">
        <f t="shared" ref="P49" si="34">+O49</f>
        <v>48.727666486193833</v>
      </c>
    </row>
    <row r="50" spans="1:16" s="240" customFormat="1" ht="70.5" customHeight="1" thickBot="1">
      <c r="A50" s="234">
        <f t="shared" si="0"/>
        <v>85.49760000000002</v>
      </c>
      <c r="B50" s="235">
        <f t="shared" si="1"/>
        <v>117.95221843003412</v>
      </c>
      <c r="C50" s="59">
        <v>39</v>
      </c>
      <c r="D50" s="59">
        <v>1</v>
      </c>
      <c r="E50" s="59"/>
      <c r="F50" s="61" t="s">
        <v>166</v>
      </c>
      <c r="G50" s="61" t="s">
        <v>277</v>
      </c>
      <c r="H50" s="540" t="s">
        <v>251</v>
      </c>
      <c r="I50" s="541"/>
      <c r="J50" s="236"/>
      <c r="K50" s="236">
        <v>1.847</v>
      </c>
      <c r="L50" s="237">
        <f>((K50*60)/0.75)/2</f>
        <v>73.88</v>
      </c>
      <c r="M50" s="58">
        <f t="shared" si="6"/>
        <v>0.86411782319035835</v>
      </c>
      <c r="N50" s="238">
        <f t="shared" si="7"/>
        <v>48.727666486193833</v>
      </c>
      <c r="O50" s="239">
        <f t="shared" si="8"/>
        <v>48.727666486193833</v>
      </c>
      <c r="P50" s="239">
        <f t="shared" si="9"/>
        <v>48.727666486193833</v>
      </c>
    </row>
    <row r="51" spans="1:16" s="240" customFormat="1" ht="57.75" customHeight="1" thickBot="1">
      <c r="A51" s="234">
        <f t="shared" si="0"/>
        <v>85.49760000000002</v>
      </c>
      <c r="B51" s="235">
        <f t="shared" si="1"/>
        <v>117.95221843003412</v>
      </c>
      <c r="C51" s="59">
        <v>40</v>
      </c>
      <c r="D51" s="59">
        <v>1</v>
      </c>
      <c r="E51" s="59"/>
      <c r="F51" s="61" t="s">
        <v>142</v>
      </c>
      <c r="G51" s="61" t="s">
        <v>276</v>
      </c>
      <c r="H51" s="540" t="s">
        <v>253</v>
      </c>
      <c r="I51" s="541"/>
      <c r="J51" s="236"/>
      <c r="K51" s="236">
        <v>0.79549999999999998</v>
      </c>
      <c r="L51" s="237">
        <f t="shared" si="30"/>
        <v>63.639999999999993</v>
      </c>
      <c r="M51" s="58">
        <f t="shared" si="6"/>
        <v>0.7443483793697131</v>
      </c>
      <c r="N51" s="238">
        <f t="shared" si="7"/>
        <v>56.568196103079828</v>
      </c>
      <c r="O51" s="239">
        <f t="shared" si="8"/>
        <v>56.568196103079828</v>
      </c>
      <c r="P51" s="239">
        <f t="shared" si="9"/>
        <v>56.568196103079828</v>
      </c>
    </row>
    <row r="52" spans="1:16" s="240" customFormat="1" ht="81" customHeight="1" thickBot="1">
      <c r="A52" s="234">
        <f t="shared" si="0"/>
        <v>85.49760000000002</v>
      </c>
      <c r="B52" s="235">
        <f t="shared" si="1"/>
        <v>117.95221843003412</v>
      </c>
      <c r="C52" s="59">
        <v>41</v>
      </c>
      <c r="D52" s="59">
        <v>1</v>
      </c>
      <c r="E52" s="59"/>
      <c r="F52" s="61" t="s">
        <v>189</v>
      </c>
      <c r="G52" s="61" t="s">
        <v>278</v>
      </c>
      <c r="H52" s="540" t="s">
        <v>282</v>
      </c>
      <c r="I52" s="541"/>
      <c r="J52" s="236"/>
      <c r="K52" s="236">
        <v>0.7036</v>
      </c>
      <c r="L52" s="237">
        <f>((K52*60)/0.75)+((K57*60)/0.75)</f>
        <v>66.320000000000007</v>
      </c>
      <c r="M52" s="58">
        <f t="shared" si="6"/>
        <v>0.77569428849464772</v>
      </c>
      <c r="N52" s="238">
        <f t="shared" si="7"/>
        <v>54.282267792521104</v>
      </c>
      <c r="O52" s="239">
        <f t="shared" si="8"/>
        <v>54.282267792521104</v>
      </c>
      <c r="P52" s="239">
        <f t="shared" si="9"/>
        <v>54.282267792521104</v>
      </c>
    </row>
    <row r="53" spans="1:16" s="240" customFormat="1" ht="57.75" customHeight="1" thickBot="1">
      <c r="A53" s="234">
        <f t="shared" si="0"/>
        <v>85.49760000000002</v>
      </c>
      <c r="B53" s="235">
        <f t="shared" si="1"/>
        <v>117.95221843003412</v>
      </c>
      <c r="C53" s="59">
        <v>42</v>
      </c>
      <c r="D53" s="542">
        <v>1</v>
      </c>
      <c r="E53" s="59"/>
      <c r="F53" s="61" t="s">
        <v>189</v>
      </c>
      <c r="G53" s="61" t="s">
        <v>276</v>
      </c>
      <c r="H53" s="540" t="s">
        <v>255</v>
      </c>
      <c r="I53" s="541"/>
      <c r="J53" s="236"/>
      <c r="K53" s="236">
        <v>0.67479999999999996</v>
      </c>
      <c r="L53" s="552">
        <f>((K53*60)/0.75)+((K54*60)/0.75)</f>
        <v>78.75200000000001</v>
      </c>
      <c r="M53" s="58">
        <f t="shared" si="6"/>
        <v>0.92110187888314987</v>
      </c>
      <c r="N53" s="238">
        <f t="shared" si="7"/>
        <v>45.71312474603819</v>
      </c>
      <c r="O53" s="239">
        <f t="shared" si="8"/>
        <v>45.71312474603819</v>
      </c>
      <c r="P53" s="239">
        <f t="shared" si="9"/>
        <v>45.71312474603819</v>
      </c>
    </row>
    <row r="54" spans="1:16" s="240" customFormat="1" ht="69.75" customHeight="1" thickBot="1">
      <c r="A54" s="234">
        <f t="shared" si="0"/>
        <v>85.49760000000002</v>
      </c>
      <c r="B54" s="235">
        <f t="shared" si="1"/>
        <v>117.95221843003412</v>
      </c>
      <c r="C54" s="59">
        <v>43</v>
      </c>
      <c r="D54" s="543"/>
      <c r="E54" s="59"/>
      <c r="F54" s="61" t="s">
        <v>52</v>
      </c>
      <c r="G54" s="61" t="s">
        <v>275</v>
      </c>
      <c r="H54" s="540" t="s">
        <v>256</v>
      </c>
      <c r="I54" s="541"/>
      <c r="J54" s="236"/>
      <c r="K54" s="236">
        <v>0.30959999999999999</v>
      </c>
      <c r="L54" s="553"/>
      <c r="M54" s="58"/>
      <c r="N54" s="238"/>
      <c r="O54" s="239"/>
      <c r="P54" s="239"/>
    </row>
    <row r="55" spans="1:16" s="240" customFormat="1" ht="56.25" customHeight="1" thickBot="1">
      <c r="A55" s="234">
        <f t="shared" si="0"/>
        <v>85.49760000000002</v>
      </c>
      <c r="B55" s="235">
        <f t="shared" si="1"/>
        <v>117.95221843003412</v>
      </c>
      <c r="C55" s="59">
        <v>44</v>
      </c>
      <c r="D55" s="542">
        <v>1</v>
      </c>
      <c r="E55" s="59"/>
      <c r="F55" s="544" t="s">
        <v>147</v>
      </c>
      <c r="G55" s="544" t="s">
        <v>279</v>
      </c>
      <c r="H55" s="540" t="s">
        <v>257</v>
      </c>
      <c r="I55" s="541"/>
      <c r="J55" s="236"/>
      <c r="K55" s="236">
        <v>0.2243</v>
      </c>
      <c r="L55" s="546">
        <f>((K55*60)/1.1)+((K56*60)/1.1)</f>
        <v>78.125454545454545</v>
      </c>
      <c r="M55" s="58">
        <f t="shared" si="6"/>
        <v>0.91377365616642492</v>
      </c>
      <c r="N55" s="238">
        <f t="shared" si="7"/>
        <v>46.079731899741674</v>
      </c>
      <c r="O55" s="239">
        <f t="shared" si="8"/>
        <v>46.079731899741674</v>
      </c>
      <c r="P55" s="239">
        <f t="shared" si="9"/>
        <v>46.079731899741674</v>
      </c>
    </row>
    <row r="56" spans="1:16" s="240" customFormat="1" ht="105.75" customHeight="1" thickBot="1">
      <c r="A56" s="234">
        <f t="shared" si="0"/>
        <v>85.49760000000002</v>
      </c>
      <c r="B56" s="235">
        <f t="shared" si="1"/>
        <v>117.95221843003412</v>
      </c>
      <c r="C56" s="59">
        <v>45</v>
      </c>
      <c r="D56" s="543"/>
      <c r="E56" s="59"/>
      <c r="F56" s="545"/>
      <c r="G56" s="545"/>
      <c r="H56" s="540" t="s">
        <v>258</v>
      </c>
      <c r="I56" s="541"/>
      <c r="J56" s="236"/>
      <c r="K56" s="236">
        <v>1.208</v>
      </c>
      <c r="L56" s="547"/>
      <c r="M56" s="58"/>
      <c r="N56" s="238"/>
      <c r="O56" s="239"/>
      <c r="P56" s="239"/>
    </row>
    <row r="57" spans="1:16" s="240" customFormat="1" ht="57.75" customHeight="1" thickBot="1">
      <c r="A57" s="234">
        <f t="shared" si="0"/>
        <v>85.49760000000002</v>
      </c>
      <c r="B57" s="235">
        <f t="shared" si="1"/>
        <v>117.95221843003412</v>
      </c>
      <c r="C57" s="59">
        <v>46</v>
      </c>
      <c r="D57" s="59"/>
      <c r="E57" s="59"/>
      <c r="F57" s="61" t="s">
        <v>195</v>
      </c>
      <c r="G57" s="61" t="s">
        <v>273</v>
      </c>
      <c r="H57" s="540" t="s">
        <v>235</v>
      </c>
      <c r="I57" s="541"/>
      <c r="J57" s="236"/>
      <c r="K57" s="236">
        <v>0.12540000000000001</v>
      </c>
      <c r="L57" s="237"/>
      <c r="M57" s="58"/>
      <c r="N57" s="238"/>
      <c r="O57" s="239"/>
      <c r="P57" s="239"/>
    </row>
    <row r="58" spans="1:16" s="240" customFormat="1" ht="54.75" customHeight="1" thickBot="1">
      <c r="A58" s="234">
        <f t="shared" si="0"/>
        <v>85.49760000000002</v>
      </c>
      <c r="B58" s="235">
        <f t="shared" si="1"/>
        <v>117.95221843003412</v>
      </c>
      <c r="C58" s="59"/>
      <c r="D58" s="56"/>
      <c r="E58" s="59"/>
      <c r="F58" s="61"/>
      <c r="G58" s="61"/>
      <c r="H58" s="540"/>
      <c r="I58" s="541"/>
      <c r="J58" s="236"/>
      <c r="K58" s="236"/>
      <c r="L58" s="237"/>
      <c r="M58" s="58"/>
      <c r="N58" s="238"/>
      <c r="O58" s="239"/>
      <c r="P58" s="239"/>
    </row>
    <row r="59" spans="1:16" s="240" customFormat="1" ht="54.75" customHeight="1" thickBot="1">
      <c r="A59" s="234">
        <f t="shared" si="0"/>
        <v>85.49760000000002</v>
      </c>
      <c r="B59" s="235">
        <f t="shared" si="1"/>
        <v>117.95221843003412</v>
      </c>
      <c r="C59" s="59"/>
      <c r="D59" s="56"/>
      <c r="E59" s="59"/>
      <c r="F59" s="61"/>
      <c r="G59" s="61"/>
      <c r="H59" s="540"/>
      <c r="I59" s="541"/>
      <c r="J59" s="236"/>
      <c r="K59" s="236"/>
      <c r="L59" s="237"/>
      <c r="M59" s="58"/>
      <c r="N59" s="238"/>
      <c r="O59" s="239"/>
      <c r="P59" s="239"/>
    </row>
    <row r="60" spans="1:16" s="240" customFormat="1" ht="63.75" customHeight="1" thickBot="1">
      <c r="A60" s="234"/>
      <c r="B60" s="235"/>
      <c r="C60" s="59"/>
      <c r="D60" s="56"/>
      <c r="E60" s="56"/>
      <c r="F60" s="59"/>
      <c r="G60" s="56"/>
      <c r="H60" s="540"/>
      <c r="I60" s="541"/>
      <c r="J60" s="236"/>
      <c r="K60" s="236"/>
      <c r="L60" s="237"/>
      <c r="M60" s="58"/>
      <c r="N60" s="238"/>
      <c r="O60" s="239"/>
      <c r="P60" s="239"/>
    </row>
    <row r="61" spans="1:16" ht="28.5" customHeight="1">
      <c r="A61" s="241"/>
      <c r="B61" s="242"/>
      <c r="C61" s="243"/>
      <c r="D61" s="244">
        <f>COUNT(D10:D60)</f>
        <v>34</v>
      </c>
      <c r="E61" s="244">
        <f>COUNT(E60:E60)</f>
        <v>0</v>
      </c>
      <c r="F61" s="244">
        <f>COUNT(F60:F60)</f>
        <v>0</v>
      </c>
      <c r="G61" s="244">
        <f>SUM(G60:G60)</f>
        <v>0</v>
      </c>
      <c r="H61" s="554"/>
      <c r="I61" s="554"/>
      <c r="J61" s="554"/>
      <c r="K61" s="554"/>
      <c r="L61" s="554"/>
      <c r="M61" s="554"/>
      <c r="N61" s="554"/>
      <c r="O61" s="245"/>
      <c r="P61" s="246"/>
    </row>
    <row r="62" spans="1:16" ht="50.25" customHeight="1">
      <c r="A62" s="241"/>
      <c r="B62" s="242"/>
      <c r="C62" s="243"/>
      <c r="D62" s="247"/>
      <c r="E62" s="247"/>
      <c r="F62" s="247"/>
      <c r="G62" s="247"/>
      <c r="H62" s="247"/>
      <c r="I62" s="247"/>
      <c r="J62" s="247"/>
      <c r="K62" s="247"/>
      <c r="L62" s="248"/>
      <c r="M62" s="247"/>
      <c r="N62" s="247"/>
      <c r="O62" s="247"/>
      <c r="P62" s="246"/>
    </row>
    <row r="63" spans="1:16" ht="29.25" customHeight="1">
      <c r="A63" s="241"/>
      <c r="B63" s="242"/>
      <c r="C63" s="243"/>
      <c r="D63" s="247"/>
      <c r="E63" s="247"/>
      <c r="F63" s="247"/>
      <c r="G63" s="247"/>
      <c r="H63" s="247"/>
      <c r="I63" s="247"/>
      <c r="J63" s="247"/>
      <c r="K63" s="247"/>
      <c r="L63" s="248"/>
      <c r="M63" s="247"/>
      <c r="N63" s="247"/>
      <c r="O63" s="247"/>
      <c r="P63" s="246"/>
    </row>
    <row r="64" spans="1:16" ht="29.25" customHeight="1">
      <c r="A64" s="241"/>
      <c r="B64" s="242"/>
      <c r="C64" s="243"/>
      <c r="D64" s="247"/>
      <c r="E64" s="247"/>
      <c r="F64" s="247"/>
      <c r="G64" s="247"/>
      <c r="H64" s="247"/>
      <c r="I64" s="247"/>
      <c r="J64" s="247"/>
      <c r="K64" s="247"/>
      <c r="L64" s="248"/>
      <c r="M64" s="247"/>
      <c r="N64" s="247"/>
      <c r="O64" s="247"/>
      <c r="P64" s="246"/>
    </row>
    <row r="65" spans="1:16" ht="29.25" customHeight="1">
      <c r="A65" s="241"/>
      <c r="B65" s="242"/>
      <c r="C65" s="243"/>
      <c r="D65" s="245"/>
      <c r="E65" s="245"/>
      <c r="F65" s="245"/>
      <c r="G65" s="245"/>
      <c r="H65" s="554"/>
      <c r="I65" s="554"/>
      <c r="J65" s="554"/>
      <c r="K65" s="554"/>
      <c r="L65" s="554"/>
      <c r="M65" s="554"/>
      <c r="N65" s="554"/>
      <c r="O65" s="245"/>
      <c r="P65" s="246"/>
    </row>
    <row r="66" spans="1:16">
      <c r="A66" s="241"/>
      <c r="B66" s="242"/>
      <c r="C66" s="243"/>
      <c r="D66" s="247"/>
      <c r="E66" s="247"/>
      <c r="F66" s="247"/>
      <c r="G66" s="247"/>
      <c r="H66" s="247"/>
      <c r="I66" s="247"/>
      <c r="J66" s="247"/>
      <c r="K66" s="247"/>
      <c r="L66" s="248"/>
      <c r="M66" s="247"/>
      <c r="N66" s="247"/>
      <c r="O66" s="247"/>
      <c r="P66" s="246"/>
    </row>
    <row r="67" spans="1:16" ht="43.5" customHeight="1">
      <c r="A67" s="241"/>
      <c r="B67" s="242"/>
      <c r="C67" s="243"/>
      <c r="D67" s="247"/>
      <c r="E67" s="247"/>
      <c r="F67" s="247"/>
      <c r="G67" s="247"/>
      <c r="H67" s="247"/>
      <c r="I67" s="247"/>
      <c r="J67" s="247"/>
      <c r="K67" s="247"/>
      <c r="L67" s="248"/>
      <c r="M67" s="247"/>
      <c r="N67" s="247"/>
      <c r="O67" s="247"/>
      <c r="P67" s="246"/>
    </row>
    <row r="68" spans="1:16">
      <c r="A68" s="241"/>
      <c r="B68" s="242"/>
      <c r="C68" s="243"/>
      <c r="D68" s="247"/>
      <c r="E68" s="247"/>
      <c r="F68" s="247"/>
      <c r="G68" s="247"/>
      <c r="H68" s="247"/>
      <c r="I68" s="247"/>
      <c r="J68" s="247"/>
      <c r="K68" s="247"/>
      <c r="L68" s="248"/>
      <c r="M68" s="247"/>
      <c r="N68" s="247"/>
      <c r="O68" s="247"/>
      <c r="P68" s="246"/>
    </row>
    <row r="69" spans="1:16" ht="42" customHeight="1">
      <c r="C69" s="556" t="s">
        <v>79</v>
      </c>
      <c r="D69" s="556"/>
      <c r="E69" s="560" t="s">
        <v>80</v>
      </c>
      <c r="F69" s="561"/>
      <c r="G69" s="556" t="s">
        <v>81</v>
      </c>
      <c r="H69" s="556"/>
      <c r="I69" s="556" t="s">
        <v>82</v>
      </c>
      <c r="J69" s="556"/>
      <c r="K69" s="562" t="s">
        <v>83</v>
      </c>
      <c r="L69" s="562"/>
      <c r="M69" s="562"/>
      <c r="N69" s="556" t="s">
        <v>84</v>
      </c>
      <c r="O69" s="556"/>
      <c r="P69" s="556"/>
    </row>
    <row r="70" spans="1:16" ht="13.2">
      <c r="C70" s="559"/>
      <c r="D70" s="559"/>
      <c r="E70" s="559"/>
      <c r="F70" s="559"/>
      <c r="G70" s="559"/>
      <c r="H70" s="559"/>
      <c r="I70" s="559"/>
      <c r="J70" s="559"/>
      <c r="K70" s="559"/>
      <c r="L70" s="559"/>
      <c r="M70" s="559"/>
      <c r="N70" s="559"/>
      <c r="O70" s="559"/>
      <c r="P70" s="559"/>
    </row>
    <row r="71" spans="1:16" ht="13.2">
      <c r="C71" s="559"/>
      <c r="D71" s="559"/>
      <c r="E71" s="559"/>
      <c r="F71" s="559"/>
      <c r="G71" s="559"/>
      <c r="H71" s="559"/>
      <c r="I71" s="559"/>
      <c r="J71" s="559"/>
      <c r="K71" s="559"/>
      <c r="L71" s="559"/>
      <c r="M71" s="559"/>
      <c r="N71" s="559"/>
      <c r="O71" s="559"/>
      <c r="P71" s="559"/>
    </row>
    <row r="72" spans="1:16" s="250" customFormat="1" ht="57" customHeight="1">
      <c r="A72" s="249"/>
      <c r="B72" s="249"/>
      <c r="C72" s="559"/>
      <c r="D72" s="559"/>
      <c r="E72" s="559"/>
      <c r="F72" s="559"/>
      <c r="G72" s="559"/>
      <c r="H72" s="559"/>
      <c r="I72" s="559"/>
      <c r="J72" s="559"/>
      <c r="K72" s="559"/>
      <c r="L72" s="559"/>
      <c r="M72" s="559"/>
      <c r="N72" s="559"/>
      <c r="O72" s="559"/>
      <c r="P72" s="559"/>
    </row>
    <row r="73" spans="1:16" ht="42.75" customHeight="1">
      <c r="C73" s="556" t="s">
        <v>85</v>
      </c>
      <c r="D73" s="556"/>
      <c r="E73" s="556" t="s">
        <v>86</v>
      </c>
      <c r="F73" s="556"/>
      <c r="G73" s="556" t="s">
        <v>87</v>
      </c>
      <c r="H73" s="556"/>
      <c r="I73" s="557" t="s">
        <v>88</v>
      </c>
      <c r="J73" s="557"/>
      <c r="K73" s="558" t="s">
        <v>90</v>
      </c>
      <c r="L73" s="556"/>
      <c r="M73" s="556"/>
      <c r="N73" s="556" t="s">
        <v>89</v>
      </c>
      <c r="O73" s="556"/>
      <c r="P73" s="556"/>
    </row>
    <row r="74" spans="1:16" ht="13.2">
      <c r="C74" s="555"/>
      <c r="D74" s="555"/>
      <c r="E74" s="555"/>
      <c r="F74" s="555"/>
      <c r="G74" s="555"/>
      <c r="H74" s="555"/>
      <c r="I74" s="555"/>
      <c r="J74" s="555"/>
      <c r="K74" s="555"/>
      <c r="L74" s="555"/>
      <c r="M74" s="555"/>
      <c r="N74" s="555"/>
      <c r="O74" s="555"/>
      <c r="P74" s="555"/>
    </row>
    <row r="75" spans="1:16" ht="13.2">
      <c r="C75" s="555"/>
      <c r="D75" s="555"/>
      <c r="E75" s="555"/>
      <c r="F75" s="555"/>
      <c r="G75" s="555"/>
      <c r="H75" s="555"/>
      <c r="I75" s="555"/>
      <c r="J75" s="555"/>
      <c r="K75" s="555"/>
      <c r="L75" s="555"/>
      <c r="M75" s="555"/>
      <c r="N75" s="555"/>
      <c r="O75" s="555"/>
      <c r="P75" s="555"/>
    </row>
    <row r="76" spans="1:16" ht="62.25" customHeight="1">
      <c r="C76" s="555"/>
      <c r="D76" s="555"/>
      <c r="E76" s="555"/>
      <c r="F76" s="555"/>
      <c r="G76" s="555"/>
      <c r="H76" s="555"/>
      <c r="I76" s="555"/>
      <c r="J76" s="555"/>
      <c r="K76" s="555"/>
      <c r="L76" s="555"/>
      <c r="M76" s="555"/>
      <c r="N76" s="555"/>
      <c r="O76" s="555"/>
      <c r="P76" s="555"/>
    </row>
  </sheetData>
  <autoFilter ref="A9:P61">
    <filterColumn colId="7" showButton="0"/>
    <filterColumn colId="10" showButton="0"/>
  </autoFilter>
  <mergeCells count="135">
    <mergeCell ref="D53:D54"/>
    <mergeCell ref="L53:L54"/>
    <mergeCell ref="L55:L56"/>
    <mergeCell ref="G55:G56"/>
    <mergeCell ref="F55:F56"/>
    <mergeCell ref="D55:D56"/>
    <mergeCell ref="G43:G44"/>
    <mergeCell ref="F43:F44"/>
    <mergeCell ref="D43:D44"/>
    <mergeCell ref="L43:L44"/>
    <mergeCell ref="H49:I49"/>
    <mergeCell ref="H47:I47"/>
    <mergeCell ref="D46:D47"/>
    <mergeCell ref="L46:L47"/>
    <mergeCell ref="H45:I45"/>
    <mergeCell ref="H46:I46"/>
    <mergeCell ref="H48:I48"/>
    <mergeCell ref="H50:I50"/>
    <mergeCell ref="H51:I51"/>
    <mergeCell ref="H52:I52"/>
    <mergeCell ref="G17:G18"/>
    <mergeCell ref="F17:F18"/>
    <mergeCell ref="D17:D18"/>
    <mergeCell ref="H14:I14"/>
    <mergeCell ref="H19:I19"/>
    <mergeCell ref="H20:I20"/>
    <mergeCell ref="L31:L32"/>
    <mergeCell ref="L33:L34"/>
    <mergeCell ref="D33:D34"/>
    <mergeCell ref="D31:D32"/>
    <mergeCell ref="G31:G32"/>
    <mergeCell ref="F31:F32"/>
    <mergeCell ref="H30:I30"/>
    <mergeCell ref="H31:I31"/>
    <mergeCell ref="H32:I32"/>
    <mergeCell ref="H33:I33"/>
    <mergeCell ref="H27:I27"/>
    <mergeCell ref="H28:I28"/>
    <mergeCell ref="H29:I29"/>
    <mergeCell ref="L25:L26"/>
    <mergeCell ref="H24:I24"/>
    <mergeCell ref="C70:D72"/>
    <mergeCell ref="E70:F72"/>
    <mergeCell ref="G70:H72"/>
    <mergeCell ref="I70:J72"/>
    <mergeCell ref="K70:M72"/>
    <mergeCell ref="N70:P72"/>
    <mergeCell ref="H65:N65"/>
    <mergeCell ref="C69:D69"/>
    <mergeCell ref="E69:F69"/>
    <mergeCell ref="G69:H69"/>
    <mergeCell ref="I69:J69"/>
    <mergeCell ref="K69:M69"/>
    <mergeCell ref="N69:P69"/>
    <mergeCell ref="C74:D76"/>
    <mergeCell ref="E74:F76"/>
    <mergeCell ref="G74:H76"/>
    <mergeCell ref="I74:J76"/>
    <mergeCell ref="K74:M76"/>
    <mergeCell ref="N74:P76"/>
    <mergeCell ref="C73:D73"/>
    <mergeCell ref="E73:F73"/>
    <mergeCell ref="G73:H73"/>
    <mergeCell ref="I73:J73"/>
    <mergeCell ref="K73:M73"/>
    <mergeCell ref="N73:P73"/>
    <mergeCell ref="H59:I59"/>
    <mergeCell ref="H60:I60"/>
    <mergeCell ref="H61:N61"/>
    <mergeCell ref="H53:I53"/>
    <mergeCell ref="H54:I54"/>
    <mergeCell ref="H55:I55"/>
    <mergeCell ref="H56:I56"/>
    <mergeCell ref="H57:I57"/>
    <mergeCell ref="H58:I58"/>
    <mergeCell ref="H39:I39"/>
    <mergeCell ref="H40:I40"/>
    <mergeCell ref="H41:I41"/>
    <mergeCell ref="H42:I42"/>
    <mergeCell ref="H43:I43"/>
    <mergeCell ref="H44:I44"/>
    <mergeCell ref="H34:I34"/>
    <mergeCell ref="H36:I36"/>
    <mergeCell ref="H37:I37"/>
    <mergeCell ref="H38:I38"/>
    <mergeCell ref="H35:I35"/>
    <mergeCell ref="N7:N9"/>
    <mergeCell ref="O7:O9"/>
    <mergeCell ref="P7:P9"/>
    <mergeCell ref="H13:I13"/>
    <mergeCell ref="H23:I23"/>
    <mergeCell ref="H15:I15"/>
    <mergeCell ref="H16:I16"/>
    <mergeCell ref="H17:I17"/>
    <mergeCell ref="H18:I18"/>
    <mergeCell ref="L22:L23"/>
    <mergeCell ref="H21:I21"/>
    <mergeCell ref="H22:I22"/>
    <mergeCell ref="L19:L20"/>
    <mergeCell ref="L13:L14"/>
    <mergeCell ref="L15:L16"/>
    <mergeCell ref="L17:L18"/>
    <mergeCell ref="C7:C9"/>
    <mergeCell ref="D7:D9"/>
    <mergeCell ref="E7:E9"/>
    <mergeCell ref="F7:G8"/>
    <mergeCell ref="H7:I9"/>
    <mergeCell ref="J7:J9"/>
    <mergeCell ref="K7:L9"/>
    <mergeCell ref="M7:M9"/>
    <mergeCell ref="H25:I25"/>
    <mergeCell ref="D22:D23"/>
    <mergeCell ref="G25:G26"/>
    <mergeCell ref="F25:F26"/>
    <mergeCell ref="D25:D26"/>
    <mergeCell ref="H10:I10"/>
    <mergeCell ref="D11:D12"/>
    <mergeCell ref="F11:F12"/>
    <mergeCell ref="G11:G12"/>
    <mergeCell ref="H11:I11"/>
    <mergeCell ref="L11:L12"/>
    <mergeCell ref="H12:I12"/>
    <mergeCell ref="H26:I26"/>
    <mergeCell ref="D19:D20"/>
    <mergeCell ref="D13:D14"/>
    <mergeCell ref="D15:D16"/>
    <mergeCell ref="I2:P2"/>
    <mergeCell ref="D3:G3"/>
    <mergeCell ref="K3:M3"/>
    <mergeCell ref="D4:G4"/>
    <mergeCell ref="K4:M4"/>
    <mergeCell ref="D5:G5"/>
    <mergeCell ref="K5:M5"/>
    <mergeCell ref="D6:G6"/>
    <mergeCell ref="K6:M6"/>
  </mergeCells>
  <pageMargins left="0" right="0" top="0" bottom="0" header="0.31496062992126" footer="0.31496062992126"/>
  <pageSetup paperSize="9" scale="51" fitToHeight="0" orientation="portrait" r:id="rId1"/>
  <headerFooter alignWithMargins="0"/>
  <rowBreaks count="5" manualBreakCount="5">
    <brk id="26" min="2" max="15" man="1"/>
    <brk id="28" min="2" max="15" man="1"/>
    <brk id="44" min="2" max="15" man="1"/>
    <brk id="52" min="2" max="15" man="1"/>
    <brk id="58" min="2" max="15" man="1"/>
  </rowBreaks>
  <ignoredErrors>
    <ignoredError sqref="I3:I4" unlockedFormula="1"/>
    <ignoredError sqref="I5" numberStoredAsText="1" unlocked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276"/>
  <sheetViews>
    <sheetView view="pageBreakPreview" topLeftCell="A184" zoomScale="70" zoomScaleNormal="80" zoomScaleSheetLayoutView="70" workbookViewId="0">
      <selection activeCell="E211" sqref="E211:F211"/>
    </sheetView>
  </sheetViews>
  <sheetFormatPr defaultColWidth="9.109375" defaultRowHeight="13.2"/>
  <cols>
    <col min="1" max="1" width="6.6640625" style="29" customWidth="1"/>
    <col min="2" max="2" width="13" style="29" customWidth="1"/>
    <col min="3" max="3" width="10.33203125" style="29" customWidth="1"/>
    <col min="4" max="4" width="6.44140625" style="29" customWidth="1"/>
    <col min="5" max="5" width="20.44140625" style="29" customWidth="1"/>
    <col min="6" max="6" width="29.33203125" style="29" customWidth="1"/>
    <col min="7" max="7" width="14.44140625" style="29" customWidth="1"/>
    <col min="8" max="8" width="22.5546875" style="29" customWidth="1"/>
    <col min="9" max="9" width="13.88671875" style="29" customWidth="1"/>
    <col min="10" max="10" width="13" style="29" customWidth="1"/>
    <col min="11" max="11" width="9.44140625" style="29" customWidth="1"/>
    <col min="12" max="12" width="10.44140625" style="29" customWidth="1"/>
    <col min="13" max="16384" width="9.109375" style="29"/>
  </cols>
  <sheetData>
    <row r="1" spans="1:14" ht="7.5" customHeight="1" thickBot="1"/>
    <row r="2" spans="1:14" ht="42.75" customHeight="1" thickBot="1">
      <c r="B2" s="566"/>
      <c r="C2" s="567"/>
      <c r="D2" s="567"/>
      <c r="E2" s="567"/>
      <c r="F2" s="567"/>
      <c r="G2" s="567"/>
      <c r="H2" s="568"/>
      <c r="I2" s="567" t="s">
        <v>26</v>
      </c>
      <c r="J2" s="567"/>
      <c r="K2" s="567"/>
      <c r="L2" s="568"/>
    </row>
    <row r="3" spans="1:14" ht="32.25" customHeight="1">
      <c r="B3" s="11" t="s">
        <v>0</v>
      </c>
      <c r="C3" s="569"/>
      <c r="D3" s="569"/>
      <c r="E3" s="51" t="s">
        <v>98</v>
      </c>
      <c r="F3" s="13"/>
      <c r="G3" s="570" t="s">
        <v>2</v>
      </c>
      <c r="H3" s="571"/>
      <c r="I3" s="572"/>
      <c r="J3" s="14"/>
      <c r="K3" s="12" t="s">
        <v>3</v>
      </c>
      <c r="L3" s="15"/>
    </row>
    <row r="4" spans="1:14" ht="32.25" customHeight="1">
      <c r="B4" s="5" t="s">
        <v>4</v>
      </c>
      <c r="C4" s="573">
        <v>221433</v>
      </c>
      <c r="D4" s="573"/>
      <c r="E4" s="30"/>
      <c r="F4" s="22"/>
      <c r="G4" s="574" t="s">
        <v>6</v>
      </c>
      <c r="H4" s="575"/>
      <c r="I4" s="576"/>
      <c r="J4" s="16"/>
      <c r="K4" s="4" t="s">
        <v>7</v>
      </c>
      <c r="L4" s="17"/>
    </row>
    <row r="5" spans="1:14" ht="32.25" customHeight="1">
      <c r="B5" s="5" t="s">
        <v>8</v>
      </c>
      <c r="C5" s="577"/>
      <c r="D5" s="578"/>
      <c r="E5" s="31" t="s">
        <v>9</v>
      </c>
      <c r="F5" s="3"/>
      <c r="G5" s="579" t="s">
        <v>10</v>
      </c>
      <c r="H5" s="580"/>
      <c r="I5" s="580"/>
      <c r="J5" s="4"/>
      <c r="K5" s="4" t="s">
        <v>11</v>
      </c>
      <c r="L5" s="6"/>
    </row>
    <row r="6" spans="1:14" ht="32.25" customHeight="1" thickBot="1">
      <c r="B6" s="26" t="s">
        <v>12</v>
      </c>
      <c r="C6" s="581"/>
      <c r="D6" s="582"/>
      <c r="E6" s="31" t="s">
        <v>13</v>
      </c>
      <c r="F6" s="25"/>
      <c r="G6" s="579" t="s">
        <v>14</v>
      </c>
      <c r="H6" s="580"/>
      <c r="I6" s="583"/>
      <c r="J6" s="4"/>
      <c r="K6" s="4"/>
      <c r="L6" s="6"/>
    </row>
    <row r="7" spans="1:14" ht="18.75" customHeight="1">
      <c r="A7" s="7"/>
      <c r="B7" s="27"/>
      <c r="C7" s="32"/>
      <c r="D7" s="32"/>
      <c r="E7" s="33"/>
      <c r="F7" s="33"/>
      <c r="G7" s="34"/>
      <c r="H7" s="35"/>
      <c r="I7" s="23"/>
      <c r="J7" s="23"/>
      <c r="K7" s="23"/>
      <c r="L7" s="24"/>
    </row>
    <row r="8" spans="1:14" ht="99.75" customHeight="1">
      <c r="A8" s="7"/>
      <c r="B8" s="32"/>
      <c r="C8" s="32"/>
      <c r="D8" s="32"/>
      <c r="E8" s="33"/>
      <c r="F8" s="33"/>
      <c r="G8" s="34"/>
      <c r="H8" s="35"/>
      <c r="I8" s="18"/>
      <c r="J8" s="36"/>
      <c r="K8" s="36"/>
      <c r="L8" s="37"/>
      <c r="N8" s="8"/>
    </row>
    <row r="9" spans="1:14" ht="19.5" customHeight="1">
      <c r="A9" s="7"/>
      <c r="B9" s="32"/>
      <c r="C9" s="32"/>
      <c r="D9" s="32"/>
      <c r="E9" s="33"/>
      <c r="F9" s="33"/>
      <c r="G9" s="34"/>
      <c r="H9" s="35"/>
      <c r="I9" s="18"/>
      <c r="J9" s="36"/>
      <c r="K9" s="36"/>
      <c r="L9" s="37"/>
      <c r="N9" s="8"/>
    </row>
    <row r="10" spans="1:14" s="55" customFormat="1" ht="18.75" customHeight="1">
      <c r="A10" s="7"/>
      <c r="B10" s="32"/>
      <c r="C10" s="32"/>
      <c r="D10" s="32"/>
      <c r="E10" s="251"/>
      <c r="F10" s="251"/>
      <c r="G10" s="34"/>
      <c r="H10" s="35"/>
      <c r="I10" s="18"/>
      <c r="J10" s="252"/>
      <c r="K10" s="252"/>
      <c r="L10" s="253"/>
      <c r="N10" s="8"/>
    </row>
    <row r="11" spans="1:14" s="55" customFormat="1" ht="15.75" customHeight="1">
      <c r="A11" s="7"/>
      <c r="B11" s="32"/>
      <c r="C11" s="32"/>
      <c r="D11" s="32"/>
      <c r="E11" s="251"/>
      <c r="F11" s="251"/>
      <c r="G11" s="34"/>
      <c r="H11" s="35"/>
      <c r="I11" s="18"/>
      <c r="J11" s="252"/>
      <c r="K11" s="252"/>
      <c r="L11" s="253"/>
      <c r="N11" s="8"/>
    </row>
    <row r="12" spans="1:14" s="55" customFormat="1" ht="15.75" customHeight="1">
      <c r="A12" s="7"/>
      <c r="B12" s="32"/>
      <c r="C12" s="32"/>
      <c r="D12" s="32"/>
      <c r="E12" s="202"/>
      <c r="F12" s="202"/>
      <c r="G12" s="34"/>
      <c r="H12" s="35"/>
      <c r="I12" s="18"/>
      <c r="J12" s="200"/>
      <c r="K12" s="200"/>
      <c r="L12" s="201"/>
      <c r="N12" s="8"/>
    </row>
    <row r="13" spans="1:14" s="55" customFormat="1" ht="18.75" customHeight="1">
      <c r="A13" s="7"/>
      <c r="B13" s="32"/>
      <c r="C13" s="32"/>
      <c r="D13" s="32"/>
      <c r="E13" s="260"/>
      <c r="F13" s="260"/>
      <c r="G13" s="34"/>
      <c r="H13" s="35"/>
      <c r="I13" s="18"/>
      <c r="J13" s="258"/>
      <c r="K13" s="258"/>
      <c r="L13" s="259"/>
      <c r="N13" s="8"/>
    </row>
    <row r="14" spans="1:14" s="55" customFormat="1" ht="15.75" customHeight="1">
      <c r="A14" s="7"/>
      <c r="B14" s="32"/>
      <c r="C14" s="32"/>
      <c r="D14" s="32"/>
      <c r="E14" s="260"/>
      <c r="F14" s="260"/>
      <c r="G14" s="34"/>
      <c r="H14" s="35"/>
      <c r="I14" s="18"/>
      <c r="J14" s="258"/>
      <c r="K14" s="258"/>
      <c r="L14" s="259"/>
      <c r="N14" s="8"/>
    </row>
    <row r="15" spans="1:14" s="55" customFormat="1" ht="18.75" customHeight="1">
      <c r="A15" s="7"/>
      <c r="B15" s="32"/>
      <c r="C15" s="32"/>
      <c r="D15" s="32"/>
      <c r="E15" s="260"/>
      <c r="F15" s="260"/>
      <c r="G15" s="34"/>
      <c r="H15" s="35"/>
      <c r="I15" s="18"/>
      <c r="J15" s="258"/>
      <c r="K15" s="258"/>
      <c r="L15" s="259"/>
      <c r="N15" s="8"/>
    </row>
    <row r="16" spans="1:14" s="55" customFormat="1" ht="15.75" customHeight="1">
      <c r="A16" s="7"/>
      <c r="B16" s="32"/>
      <c r="C16" s="32"/>
      <c r="D16" s="32"/>
      <c r="E16" s="260"/>
      <c r="F16" s="260"/>
      <c r="G16" s="34"/>
      <c r="H16" s="35"/>
      <c r="I16" s="18"/>
      <c r="J16" s="258"/>
      <c r="K16" s="258"/>
      <c r="L16" s="259"/>
      <c r="N16" s="8"/>
    </row>
    <row r="17" spans="1:14" s="55" customFormat="1" ht="18.75" customHeight="1">
      <c r="A17" s="7"/>
      <c r="B17" s="32"/>
      <c r="C17" s="32"/>
      <c r="D17" s="32"/>
      <c r="E17" s="260"/>
      <c r="F17" s="260"/>
      <c r="G17" s="34"/>
      <c r="H17" s="35"/>
      <c r="I17" s="18"/>
      <c r="J17" s="258"/>
      <c r="K17" s="258"/>
      <c r="L17" s="259"/>
      <c r="N17" s="8"/>
    </row>
    <row r="18" spans="1:14" s="55" customFormat="1" ht="15.75" customHeight="1">
      <c r="A18" s="7"/>
      <c r="B18" s="32"/>
      <c r="C18" s="32"/>
      <c r="D18" s="32"/>
      <c r="E18" s="260"/>
      <c r="F18" s="260"/>
      <c r="G18" s="34"/>
      <c r="H18" s="35"/>
      <c r="I18" s="18"/>
      <c r="J18" s="258"/>
      <c r="K18" s="258"/>
      <c r="L18" s="259"/>
      <c r="N18" s="8"/>
    </row>
    <row r="19" spans="1:14" s="55" customFormat="1" ht="15.75" customHeight="1">
      <c r="A19" s="7"/>
      <c r="B19" s="32"/>
      <c r="C19" s="32"/>
      <c r="D19" s="32"/>
      <c r="E19" s="260"/>
      <c r="F19" s="260"/>
      <c r="G19" s="34"/>
      <c r="H19" s="35"/>
      <c r="I19" s="18"/>
      <c r="J19" s="258"/>
      <c r="K19" s="258"/>
      <c r="L19" s="259"/>
      <c r="N19" s="8"/>
    </row>
    <row r="20" spans="1:14" s="55" customFormat="1" ht="18.75" customHeight="1">
      <c r="A20" s="7"/>
      <c r="B20" s="32"/>
      <c r="C20" s="32"/>
      <c r="D20" s="32"/>
      <c r="E20" s="260"/>
      <c r="F20" s="260"/>
      <c r="G20" s="34"/>
      <c r="H20" s="35"/>
      <c r="I20" s="18"/>
      <c r="J20" s="258"/>
      <c r="K20" s="258"/>
      <c r="L20" s="259"/>
      <c r="N20" s="8"/>
    </row>
    <row r="21" spans="1:14" s="55" customFormat="1" ht="15.75" customHeight="1">
      <c r="A21" s="7"/>
      <c r="B21" s="32"/>
      <c r="C21" s="32"/>
      <c r="D21" s="32"/>
      <c r="E21" s="260"/>
      <c r="F21" s="260"/>
      <c r="G21" s="34"/>
      <c r="H21" s="35"/>
      <c r="I21" s="18"/>
      <c r="J21" s="258"/>
      <c r="K21" s="258"/>
      <c r="L21" s="259"/>
      <c r="N21" s="8"/>
    </row>
    <row r="22" spans="1:14" s="55" customFormat="1" ht="18.75" customHeight="1">
      <c r="A22" s="7"/>
      <c r="B22" s="32"/>
      <c r="C22" s="32"/>
      <c r="D22" s="32"/>
      <c r="E22" s="251"/>
      <c r="F22" s="251"/>
      <c r="G22" s="34"/>
      <c r="H22" s="35"/>
      <c r="I22" s="18"/>
      <c r="J22" s="252"/>
      <c r="K22" s="252"/>
      <c r="L22" s="253"/>
      <c r="N22" s="8"/>
    </row>
    <row r="23" spans="1:14" s="55" customFormat="1" ht="15.75" customHeight="1">
      <c r="A23" s="7"/>
      <c r="B23" s="32"/>
      <c r="C23" s="32"/>
      <c r="D23" s="32"/>
      <c r="E23" s="251"/>
      <c r="F23" s="251"/>
      <c r="G23" s="34"/>
      <c r="H23" s="35"/>
      <c r="I23" s="18"/>
      <c r="J23" s="252"/>
      <c r="K23" s="252"/>
      <c r="L23" s="253"/>
      <c r="N23" s="8"/>
    </row>
    <row r="24" spans="1:14" s="55" customFormat="1" ht="18.75" customHeight="1">
      <c r="A24" s="7"/>
      <c r="B24" s="32"/>
      <c r="C24" s="32"/>
      <c r="D24" s="32"/>
      <c r="E24" s="251"/>
      <c r="F24" s="251"/>
      <c r="G24" s="34"/>
      <c r="H24" s="35"/>
      <c r="I24" s="18"/>
      <c r="J24" s="252"/>
      <c r="K24" s="252"/>
      <c r="L24" s="253"/>
      <c r="N24" s="8"/>
    </row>
    <row r="25" spans="1:14" s="55" customFormat="1" ht="15.75" customHeight="1">
      <c r="A25" s="7"/>
      <c r="B25" s="32"/>
      <c r="C25" s="32"/>
      <c r="D25" s="32"/>
      <c r="E25" s="251"/>
      <c r="F25" s="251"/>
      <c r="G25" s="34"/>
      <c r="H25" s="35"/>
      <c r="I25" s="18"/>
      <c r="J25" s="252"/>
      <c r="K25" s="252"/>
      <c r="L25" s="253"/>
      <c r="N25" s="8"/>
    </row>
    <row r="26" spans="1:14" s="55" customFormat="1" ht="18.75" customHeight="1">
      <c r="A26" s="7"/>
      <c r="B26" s="32"/>
      <c r="C26" s="32"/>
      <c r="D26" s="32"/>
      <c r="E26" s="251"/>
      <c r="F26" s="251"/>
      <c r="G26" s="34"/>
      <c r="H26" s="35"/>
      <c r="I26" s="18"/>
      <c r="J26" s="252"/>
      <c r="K26" s="252"/>
      <c r="L26" s="253"/>
      <c r="N26" s="8"/>
    </row>
    <row r="27" spans="1:14" s="55" customFormat="1" ht="15.75" customHeight="1">
      <c r="A27" s="7"/>
      <c r="B27" s="32"/>
      <c r="C27" s="32"/>
      <c r="D27" s="32"/>
      <c r="E27" s="251"/>
      <c r="F27" s="251"/>
      <c r="G27" s="34"/>
      <c r="H27" s="35"/>
      <c r="I27" s="18"/>
      <c r="J27" s="252"/>
      <c r="K27" s="252"/>
      <c r="L27" s="253"/>
      <c r="N27" s="8"/>
    </row>
    <row r="28" spans="1:14" s="55" customFormat="1" ht="15.75" customHeight="1">
      <c r="A28" s="7"/>
      <c r="B28" s="32"/>
      <c r="C28" s="32"/>
      <c r="D28" s="32"/>
      <c r="E28" s="251"/>
      <c r="F28" s="251"/>
      <c r="G28" s="34"/>
      <c r="H28" s="35"/>
      <c r="I28" s="18"/>
      <c r="J28" s="252"/>
      <c r="K28" s="252"/>
      <c r="L28" s="253"/>
      <c r="N28" s="8"/>
    </row>
    <row r="29" spans="1:14" s="55" customFormat="1" ht="18.75" customHeight="1">
      <c r="A29" s="7"/>
      <c r="B29" s="32"/>
      <c r="C29" s="32"/>
      <c r="D29" s="32"/>
      <c r="E29" s="251"/>
      <c r="F29" s="251"/>
      <c r="G29" s="34"/>
      <c r="H29" s="35"/>
      <c r="I29" s="18"/>
      <c r="J29" s="252"/>
      <c r="K29" s="252"/>
      <c r="L29" s="253"/>
      <c r="N29" s="8"/>
    </row>
    <row r="30" spans="1:14" s="55" customFormat="1" ht="15.75" customHeight="1">
      <c r="A30" s="7"/>
      <c r="B30" s="32"/>
      <c r="C30" s="32"/>
      <c r="D30" s="32"/>
      <c r="E30" s="251"/>
      <c r="F30" s="251"/>
      <c r="G30" s="34"/>
      <c r="H30" s="35"/>
      <c r="I30" s="18"/>
      <c r="J30" s="252"/>
      <c r="K30" s="252"/>
      <c r="L30" s="253"/>
      <c r="N30" s="8"/>
    </row>
    <row r="31" spans="1:14" s="55" customFormat="1" ht="18.75" customHeight="1">
      <c r="A31" s="7"/>
      <c r="B31" s="32"/>
      <c r="C31" s="32"/>
      <c r="D31" s="32"/>
      <c r="E31" s="251"/>
      <c r="F31" s="251"/>
      <c r="G31" s="34"/>
      <c r="H31" s="35"/>
      <c r="I31" s="18"/>
      <c r="J31" s="252"/>
      <c r="K31" s="252"/>
      <c r="L31" s="253"/>
      <c r="N31" s="8"/>
    </row>
    <row r="32" spans="1:14" s="55" customFormat="1" ht="15.75" customHeight="1">
      <c r="A32" s="7"/>
      <c r="B32" s="32"/>
      <c r="C32" s="32"/>
      <c r="D32" s="32"/>
      <c r="E32" s="251"/>
      <c r="F32" s="251"/>
      <c r="G32" s="34"/>
      <c r="H32" s="35"/>
      <c r="I32" s="18"/>
      <c r="J32" s="252"/>
      <c r="K32" s="252"/>
      <c r="L32" s="253"/>
      <c r="N32" s="8"/>
    </row>
    <row r="33" spans="1:14" s="55" customFormat="1" ht="18.75" customHeight="1">
      <c r="A33" s="7"/>
      <c r="B33" s="32"/>
      <c r="C33" s="32"/>
      <c r="D33" s="32"/>
      <c r="E33" s="251"/>
      <c r="F33" s="251"/>
      <c r="G33" s="34"/>
      <c r="H33" s="35"/>
      <c r="I33" s="18"/>
      <c r="J33" s="252"/>
      <c r="K33" s="252"/>
      <c r="L33" s="253"/>
      <c r="N33" s="8"/>
    </row>
    <row r="34" spans="1:14" s="55" customFormat="1" ht="15.75" customHeight="1">
      <c r="A34" s="7"/>
      <c r="B34" s="32"/>
      <c r="C34" s="32"/>
      <c r="D34" s="32"/>
      <c r="E34" s="251"/>
      <c r="F34" s="251"/>
      <c r="G34" s="34"/>
      <c r="H34" s="35"/>
      <c r="I34" s="18"/>
      <c r="J34" s="252"/>
      <c r="K34" s="252"/>
      <c r="L34" s="253"/>
      <c r="N34" s="8"/>
    </row>
    <row r="35" spans="1:14" s="55" customFormat="1" ht="18.75" customHeight="1">
      <c r="A35" s="7"/>
      <c r="B35" s="32"/>
      <c r="C35" s="32"/>
      <c r="D35" s="32"/>
      <c r="E35" s="251"/>
      <c r="F35" s="251"/>
      <c r="G35" s="34"/>
      <c r="H35" s="35"/>
      <c r="I35" s="18"/>
      <c r="J35" s="252"/>
      <c r="K35" s="252"/>
      <c r="L35" s="253"/>
      <c r="N35" s="8"/>
    </row>
    <row r="36" spans="1:14" s="55" customFormat="1" ht="15.75" customHeight="1">
      <c r="A36" s="7"/>
      <c r="B36" s="32"/>
      <c r="C36" s="32"/>
      <c r="D36" s="32"/>
      <c r="E36" s="251"/>
      <c r="F36" s="251"/>
      <c r="G36" s="34"/>
      <c r="H36" s="35"/>
      <c r="I36" s="18"/>
      <c r="J36" s="252"/>
      <c r="K36" s="252"/>
      <c r="L36" s="253"/>
      <c r="N36" s="8"/>
    </row>
    <row r="37" spans="1:14" s="55" customFormat="1" ht="18.75" customHeight="1">
      <c r="A37" s="7"/>
      <c r="B37" s="32"/>
      <c r="C37" s="32"/>
      <c r="D37" s="32"/>
      <c r="E37" s="251"/>
      <c r="F37" s="251"/>
      <c r="G37" s="34"/>
      <c r="H37" s="35"/>
      <c r="I37" s="18"/>
      <c r="J37" s="252"/>
      <c r="K37" s="252"/>
      <c r="L37" s="253"/>
      <c r="N37" s="8"/>
    </row>
    <row r="38" spans="1:14" s="55" customFormat="1" ht="15.75" customHeight="1">
      <c r="A38" s="7"/>
      <c r="B38" s="32"/>
      <c r="C38" s="32"/>
      <c r="D38" s="32"/>
      <c r="E38" s="251"/>
      <c r="F38" s="251"/>
      <c r="G38" s="34"/>
      <c r="H38" s="35"/>
      <c r="I38" s="18"/>
      <c r="J38" s="252"/>
      <c r="K38" s="252"/>
      <c r="L38" s="253"/>
      <c r="N38" s="8"/>
    </row>
    <row r="39" spans="1:14" s="55" customFormat="1" ht="15.75" customHeight="1">
      <c r="A39" s="7"/>
      <c r="B39" s="32"/>
      <c r="C39" s="32"/>
      <c r="D39" s="32"/>
      <c r="E39" s="251"/>
      <c r="F39" s="251"/>
      <c r="G39" s="34"/>
      <c r="H39" s="35"/>
      <c r="I39" s="18"/>
      <c r="J39" s="252"/>
      <c r="K39" s="252"/>
      <c r="L39" s="253"/>
      <c r="N39" s="8"/>
    </row>
    <row r="40" spans="1:14" s="55" customFormat="1" ht="18.75" customHeight="1">
      <c r="A40" s="7"/>
      <c r="B40" s="32"/>
      <c r="C40" s="32"/>
      <c r="D40" s="32"/>
      <c r="E40" s="251"/>
      <c r="F40" s="251"/>
      <c r="G40" s="34"/>
      <c r="H40" s="35"/>
      <c r="I40" s="18"/>
      <c r="J40" s="252"/>
      <c r="K40" s="252"/>
      <c r="L40" s="253"/>
      <c r="N40" s="8"/>
    </row>
    <row r="41" spans="1:14" s="55" customFormat="1" ht="15.75" customHeight="1">
      <c r="A41" s="7"/>
      <c r="B41" s="32"/>
      <c r="C41" s="32"/>
      <c r="D41" s="32"/>
      <c r="E41" s="251"/>
      <c r="F41" s="251"/>
      <c r="G41" s="34"/>
      <c r="H41" s="35"/>
      <c r="I41" s="18"/>
      <c r="J41" s="252"/>
      <c r="K41" s="252"/>
      <c r="L41" s="253"/>
      <c r="N41" s="8"/>
    </row>
    <row r="42" spans="1:14" s="55" customFormat="1" ht="18.75" customHeight="1">
      <c r="A42" s="7"/>
      <c r="B42" s="32"/>
      <c r="C42" s="32"/>
      <c r="D42" s="32"/>
      <c r="E42" s="251"/>
      <c r="F42" s="251"/>
      <c r="G42" s="34"/>
      <c r="H42" s="35"/>
      <c r="I42" s="18"/>
      <c r="J42" s="252"/>
      <c r="K42" s="252"/>
      <c r="L42" s="253"/>
      <c r="N42" s="8"/>
    </row>
    <row r="43" spans="1:14" s="55" customFormat="1" ht="15.75" customHeight="1">
      <c r="A43" s="7"/>
      <c r="B43" s="32"/>
      <c r="C43" s="32"/>
      <c r="D43" s="32"/>
      <c r="E43" s="251"/>
      <c r="F43" s="251"/>
      <c r="G43" s="34"/>
      <c r="H43" s="35"/>
      <c r="I43" s="18"/>
      <c r="J43" s="252"/>
      <c r="K43" s="252"/>
      <c r="L43" s="253"/>
      <c r="N43" s="8"/>
    </row>
    <row r="44" spans="1:14" s="55" customFormat="1" ht="18.75" customHeight="1">
      <c r="A44" s="7"/>
      <c r="B44" s="32"/>
      <c r="C44" s="32"/>
      <c r="D44" s="32"/>
      <c r="E44" s="251"/>
      <c r="F44" s="251"/>
      <c r="G44" s="34"/>
      <c r="H44" s="35"/>
      <c r="I44" s="18"/>
      <c r="J44" s="252"/>
      <c r="K44" s="252"/>
      <c r="L44" s="253"/>
      <c r="N44" s="8"/>
    </row>
    <row r="45" spans="1:14" s="55" customFormat="1" ht="15.75" customHeight="1">
      <c r="A45" s="7"/>
      <c r="B45" s="32"/>
      <c r="C45" s="32"/>
      <c r="D45" s="32"/>
      <c r="E45" s="251"/>
      <c r="F45" s="251"/>
      <c r="G45" s="34"/>
      <c r="H45" s="35"/>
      <c r="I45" s="18"/>
      <c r="J45" s="252"/>
      <c r="K45" s="252"/>
      <c r="L45" s="253"/>
      <c r="N45" s="8"/>
    </row>
    <row r="46" spans="1:14" s="55" customFormat="1" ht="18.75" customHeight="1">
      <c r="A46" s="7"/>
      <c r="B46" s="32"/>
      <c r="C46" s="32"/>
      <c r="D46" s="32"/>
      <c r="E46" s="251"/>
      <c r="F46" s="251"/>
      <c r="G46" s="34"/>
      <c r="H46" s="35"/>
      <c r="I46" s="18"/>
      <c r="J46" s="252"/>
      <c r="K46" s="252"/>
      <c r="L46" s="253"/>
      <c r="N46" s="8"/>
    </row>
    <row r="47" spans="1:14" s="55" customFormat="1" ht="15.75" customHeight="1">
      <c r="A47" s="7"/>
      <c r="B47" s="32"/>
      <c r="C47" s="32"/>
      <c r="D47" s="32"/>
      <c r="E47" s="251"/>
      <c r="F47" s="251"/>
      <c r="G47" s="34"/>
      <c r="H47" s="35"/>
      <c r="I47" s="18"/>
      <c r="J47" s="252"/>
      <c r="K47" s="252"/>
      <c r="L47" s="253"/>
      <c r="N47" s="8"/>
    </row>
    <row r="48" spans="1:14" s="55" customFormat="1" ht="15.75" customHeight="1">
      <c r="A48" s="7"/>
      <c r="B48" s="32"/>
      <c r="C48" s="32"/>
      <c r="D48" s="32"/>
      <c r="E48" s="251"/>
      <c r="F48" s="251"/>
      <c r="G48" s="34"/>
      <c r="H48" s="35"/>
      <c r="I48" s="18"/>
      <c r="J48" s="252"/>
      <c r="K48" s="252"/>
      <c r="L48" s="253"/>
      <c r="N48" s="8"/>
    </row>
    <row r="49" spans="1:14" s="55" customFormat="1" ht="18.75" customHeight="1">
      <c r="A49" s="7"/>
      <c r="B49" s="32"/>
      <c r="C49" s="32"/>
      <c r="D49" s="32"/>
      <c r="E49" s="251"/>
      <c r="F49" s="251"/>
      <c r="G49" s="34"/>
      <c r="H49" s="35"/>
      <c r="I49" s="18"/>
      <c r="J49" s="252"/>
      <c r="K49" s="252"/>
      <c r="L49" s="253"/>
      <c r="N49" s="8"/>
    </row>
    <row r="50" spans="1:14" s="55" customFormat="1" ht="15.75" customHeight="1">
      <c r="A50" s="7"/>
      <c r="B50" s="32"/>
      <c r="C50" s="32"/>
      <c r="D50" s="32"/>
      <c r="E50" s="251"/>
      <c r="F50" s="251"/>
      <c r="G50" s="34"/>
      <c r="H50" s="35"/>
      <c r="I50" s="18"/>
      <c r="J50" s="252"/>
      <c r="K50" s="252"/>
      <c r="L50" s="253"/>
      <c r="N50" s="8"/>
    </row>
    <row r="51" spans="1:14" s="55" customFormat="1" ht="18.75" customHeight="1">
      <c r="A51" s="7"/>
      <c r="B51" s="32"/>
      <c r="C51" s="32"/>
      <c r="D51" s="32"/>
      <c r="E51" s="251"/>
      <c r="F51" s="251"/>
      <c r="G51" s="34"/>
      <c r="H51" s="35"/>
      <c r="I51" s="18"/>
      <c r="J51" s="252"/>
      <c r="K51" s="252"/>
      <c r="L51" s="253"/>
      <c r="N51" s="8"/>
    </row>
    <row r="52" spans="1:14" s="55" customFormat="1" ht="15.75" customHeight="1">
      <c r="A52" s="7"/>
      <c r="B52" s="32"/>
      <c r="C52" s="32"/>
      <c r="D52" s="32"/>
      <c r="E52" s="251"/>
      <c r="F52" s="251"/>
      <c r="G52" s="34"/>
      <c r="H52" s="35"/>
      <c r="I52" s="18"/>
      <c r="J52" s="252"/>
      <c r="K52" s="252"/>
      <c r="L52" s="253"/>
      <c r="N52" s="8"/>
    </row>
    <row r="53" spans="1:14" s="55" customFormat="1" ht="18.75" customHeight="1">
      <c r="A53" s="7"/>
      <c r="B53" s="32"/>
      <c r="C53" s="32"/>
      <c r="D53" s="32"/>
      <c r="E53" s="251"/>
      <c r="F53" s="251"/>
      <c r="G53" s="34"/>
      <c r="H53" s="35"/>
      <c r="I53" s="18"/>
      <c r="J53" s="252"/>
      <c r="K53" s="252"/>
      <c r="L53" s="253"/>
      <c r="N53" s="8"/>
    </row>
    <row r="54" spans="1:14" s="55" customFormat="1" ht="15.75" customHeight="1">
      <c r="A54" s="7"/>
      <c r="B54" s="32"/>
      <c r="C54" s="32"/>
      <c r="D54" s="32"/>
      <c r="E54" s="251"/>
      <c r="F54" s="251"/>
      <c r="G54" s="34"/>
      <c r="H54" s="35"/>
      <c r="I54" s="18"/>
      <c r="J54" s="252"/>
      <c r="K54" s="252"/>
      <c r="L54" s="253"/>
      <c r="N54" s="8"/>
    </row>
    <row r="55" spans="1:14" s="55" customFormat="1" ht="18.75" customHeight="1">
      <c r="A55" s="7"/>
      <c r="B55" s="32"/>
      <c r="C55" s="32"/>
      <c r="D55" s="32"/>
      <c r="E55" s="251"/>
      <c r="F55" s="251"/>
      <c r="G55" s="34"/>
      <c r="H55" s="35"/>
      <c r="I55" s="18"/>
      <c r="J55" s="252"/>
      <c r="K55" s="252"/>
      <c r="L55" s="253"/>
      <c r="N55" s="8"/>
    </row>
    <row r="56" spans="1:14" s="55" customFormat="1" ht="15.75" customHeight="1">
      <c r="A56" s="7"/>
      <c r="B56" s="32"/>
      <c r="C56" s="32"/>
      <c r="D56" s="32"/>
      <c r="E56" s="251"/>
      <c r="F56" s="251"/>
      <c r="G56" s="34"/>
      <c r="H56" s="35"/>
      <c r="I56" s="18"/>
      <c r="J56" s="252"/>
      <c r="K56" s="252"/>
      <c r="L56" s="253"/>
      <c r="N56" s="8"/>
    </row>
    <row r="57" spans="1:14" s="55" customFormat="1" ht="18.75" customHeight="1">
      <c r="A57" s="7"/>
      <c r="B57" s="32"/>
      <c r="C57" s="32"/>
      <c r="D57" s="32"/>
      <c r="E57" s="251"/>
      <c r="F57" s="251"/>
      <c r="G57" s="34"/>
      <c r="H57" s="35"/>
      <c r="I57" s="18"/>
      <c r="J57" s="252"/>
      <c r="K57" s="252"/>
      <c r="L57" s="253"/>
      <c r="N57" s="8"/>
    </row>
    <row r="58" spans="1:14" s="55" customFormat="1" ht="15.75" customHeight="1">
      <c r="A58" s="7"/>
      <c r="B58" s="32"/>
      <c r="C58" s="32"/>
      <c r="D58" s="32"/>
      <c r="E58" s="251"/>
      <c r="F58" s="251"/>
      <c r="G58" s="34"/>
      <c r="H58" s="35"/>
      <c r="I58" s="18"/>
      <c r="J58" s="252"/>
      <c r="K58" s="252"/>
      <c r="L58" s="253"/>
      <c r="N58" s="8"/>
    </row>
    <row r="59" spans="1:14" s="55" customFormat="1" ht="18.75" customHeight="1">
      <c r="A59" s="7"/>
      <c r="B59" s="32"/>
      <c r="C59" s="32"/>
      <c r="D59" s="32"/>
      <c r="E59" s="251"/>
      <c r="F59" s="251"/>
      <c r="G59" s="34"/>
      <c r="H59" s="35"/>
      <c r="I59" s="18"/>
      <c r="J59" s="252"/>
      <c r="K59" s="252"/>
      <c r="L59" s="253"/>
      <c r="N59" s="8"/>
    </row>
    <row r="60" spans="1:14" s="55" customFormat="1" ht="15.75" customHeight="1">
      <c r="A60" s="7"/>
      <c r="B60" s="32"/>
      <c r="C60" s="32"/>
      <c r="D60" s="32"/>
      <c r="E60" s="251"/>
      <c r="F60" s="251"/>
      <c r="G60" s="34"/>
      <c r="H60" s="35"/>
      <c r="I60" s="18"/>
      <c r="J60" s="252"/>
      <c r="K60" s="252"/>
      <c r="L60" s="253"/>
      <c r="N60" s="8"/>
    </row>
    <row r="61" spans="1:14" s="55" customFormat="1" ht="18.75" customHeight="1">
      <c r="A61" s="7"/>
      <c r="B61" s="32"/>
      <c r="C61" s="32"/>
      <c r="D61" s="32"/>
      <c r="E61" s="251"/>
      <c r="F61" s="251"/>
      <c r="G61" s="34"/>
      <c r="H61" s="35"/>
      <c r="I61" s="18"/>
      <c r="J61" s="252"/>
      <c r="K61" s="252"/>
      <c r="L61" s="253"/>
      <c r="N61" s="8"/>
    </row>
    <row r="62" spans="1:14" s="55" customFormat="1" ht="15.75" customHeight="1">
      <c r="A62" s="7"/>
      <c r="B62" s="32"/>
      <c r="C62" s="32"/>
      <c r="D62" s="32"/>
      <c r="E62" s="251"/>
      <c r="F62" s="251"/>
      <c r="G62" s="34"/>
      <c r="H62" s="35"/>
      <c r="I62" s="18"/>
      <c r="J62" s="252"/>
      <c r="K62" s="252"/>
      <c r="L62" s="253"/>
      <c r="N62" s="8"/>
    </row>
    <row r="63" spans="1:14" s="55" customFormat="1" ht="18.75" customHeight="1">
      <c r="A63" s="7"/>
      <c r="B63" s="32"/>
      <c r="C63" s="32"/>
      <c r="D63" s="32"/>
      <c r="E63" s="251"/>
      <c r="F63" s="251"/>
      <c r="G63" s="34"/>
      <c r="H63" s="35"/>
      <c r="I63" s="18"/>
      <c r="J63" s="252"/>
      <c r="K63" s="252"/>
      <c r="L63" s="253"/>
      <c r="N63" s="8"/>
    </row>
    <row r="64" spans="1:14" s="55" customFormat="1" ht="18.75" customHeight="1">
      <c r="A64" s="7"/>
      <c r="B64" s="32"/>
      <c r="C64" s="32"/>
      <c r="D64" s="32"/>
      <c r="E64" s="251"/>
      <c r="F64" s="251"/>
      <c r="G64" s="34"/>
      <c r="H64" s="35"/>
      <c r="I64" s="18"/>
      <c r="J64" s="252"/>
      <c r="K64" s="252"/>
      <c r="L64" s="253"/>
      <c r="N64" s="8"/>
    </row>
    <row r="65" spans="1:14" s="55" customFormat="1" ht="15.75" customHeight="1">
      <c r="A65" s="7"/>
      <c r="B65" s="32"/>
      <c r="C65" s="32"/>
      <c r="D65" s="32"/>
      <c r="E65" s="251"/>
      <c r="F65" s="251"/>
      <c r="G65" s="34"/>
      <c r="H65" s="35"/>
      <c r="I65" s="18"/>
      <c r="J65" s="252"/>
      <c r="K65" s="252"/>
      <c r="L65" s="253"/>
      <c r="N65" s="8"/>
    </row>
    <row r="66" spans="1:14" s="55" customFormat="1" ht="18.75" customHeight="1">
      <c r="A66" s="7"/>
      <c r="B66" s="32"/>
      <c r="C66" s="32"/>
      <c r="D66" s="32"/>
      <c r="E66" s="251"/>
      <c r="F66" s="251"/>
      <c r="G66" s="34"/>
      <c r="H66" s="35"/>
      <c r="I66" s="18"/>
      <c r="J66" s="252"/>
      <c r="K66" s="252"/>
      <c r="L66" s="253"/>
      <c r="N66" s="8"/>
    </row>
    <row r="67" spans="1:14" s="55" customFormat="1" ht="15.75" customHeight="1">
      <c r="A67" s="7"/>
      <c r="B67" s="32"/>
      <c r="C67" s="32"/>
      <c r="D67" s="32"/>
      <c r="E67" s="251"/>
      <c r="F67" s="251"/>
      <c r="G67" s="34"/>
      <c r="H67" s="35"/>
      <c r="I67" s="18"/>
      <c r="J67" s="252"/>
      <c r="K67" s="252"/>
      <c r="L67" s="253"/>
      <c r="N67" s="8"/>
    </row>
    <row r="68" spans="1:14" s="55" customFormat="1" ht="18.75" customHeight="1">
      <c r="A68" s="7"/>
      <c r="B68" s="32"/>
      <c r="C68" s="32"/>
      <c r="D68" s="32"/>
      <c r="E68" s="251"/>
      <c r="F68" s="251"/>
      <c r="G68" s="34"/>
      <c r="H68" s="35"/>
      <c r="I68" s="18"/>
      <c r="J68" s="252"/>
      <c r="K68" s="252"/>
      <c r="L68" s="253"/>
      <c r="N68" s="8"/>
    </row>
    <row r="69" spans="1:14" s="55" customFormat="1" ht="15.75" customHeight="1">
      <c r="A69" s="7"/>
      <c r="B69" s="32"/>
      <c r="C69" s="32"/>
      <c r="D69" s="32"/>
      <c r="E69" s="251"/>
      <c r="F69" s="251"/>
      <c r="G69" s="34"/>
      <c r="H69" s="35"/>
      <c r="I69" s="18"/>
      <c r="J69" s="252"/>
      <c r="K69" s="252"/>
      <c r="L69" s="253"/>
      <c r="N69" s="8"/>
    </row>
    <row r="70" spans="1:14" s="55" customFormat="1" ht="18.75" customHeight="1">
      <c r="A70" s="7"/>
      <c r="B70" s="32"/>
      <c r="C70" s="32"/>
      <c r="D70" s="32"/>
      <c r="E70" s="251"/>
      <c r="F70" s="251"/>
      <c r="G70" s="34"/>
      <c r="H70" s="35"/>
      <c r="I70" s="18"/>
      <c r="J70" s="252"/>
      <c r="K70" s="252"/>
      <c r="L70" s="253"/>
      <c r="N70" s="8"/>
    </row>
    <row r="71" spans="1:14" s="55" customFormat="1" ht="18.75" customHeight="1">
      <c r="A71" s="7"/>
      <c r="B71" s="32"/>
      <c r="C71" s="32"/>
      <c r="D71" s="32"/>
      <c r="E71" s="251"/>
      <c r="F71" s="251"/>
      <c r="G71" s="34"/>
      <c r="H71" s="35"/>
      <c r="I71" s="18"/>
      <c r="J71" s="252"/>
      <c r="K71" s="252"/>
      <c r="L71" s="253"/>
      <c r="N71" s="8"/>
    </row>
    <row r="72" spans="1:14" s="55" customFormat="1" ht="15.75" customHeight="1">
      <c r="A72" s="7"/>
      <c r="B72" s="32"/>
      <c r="C72" s="32"/>
      <c r="D72" s="32"/>
      <c r="E72" s="251"/>
      <c r="F72" s="251"/>
      <c r="G72" s="34"/>
      <c r="H72" s="35"/>
      <c r="I72" s="18"/>
      <c r="J72" s="252"/>
      <c r="K72" s="252"/>
      <c r="L72" s="253"/>
      <c r="N72" s="8"/>
    </row>
    <row r="73" spans="1:14" s="55" customFormat="1" ht="18.75" customHeight="1">
      <c r="A73" s="7"/>
      <c r="B73" s="32"/>
      <c r="C73" s="32"/>
      <c r="D73" s="32"/>
      <c r="E73" s="251"/>
      <c r="F73" s="251"/>
      <c r="G73" s="34"/>
      <c r="H73" s="35"/>
      <c r="I73" s="18"/>
      <c r="J73" s="252"/>
      <c r="K73" s="252"/>
      <c r="L73" s="253"/>
      <c r="N73" s="8"/>
    </row>
    <row r="74" spans="1:14" s="55" customFormat="1" ht="15.75" customHeight="1">
      <c r="A74" s="7"/>
      <c r="B74" s="32"/>
      <c r="C74" s="32"/>
      <c r="D74" s="32"/>
      <c r="E74" s="251"/>
      <c r="F74" s="251"/>
      <c r="G74" s="34"/>
      <c r="H74" s="35"/>
      <c r="I74" s="18"/>
      <c r="J74" s="252"/>
      <c r="K74" s="252"/>
      <c r="L74" s="253"/>
      <c r="N74" s="8"/>
    </row>
    <row r="75" spans="1:14" s="55" customFormat="1" ht="18.75" customHeight="1">
      <c r="A75" s="7"/>
      <c r="B75" s="32"/>
      <c r="C75" s="32"/>
      <c r="D75" s="32"/>
      <c r="E75" s="251"/>
      <c r="F75" s="251"/>
      <c r="G75" s="34"/>
      <c r="H75" s="35"/>
      <c r="I75" s="18"/>
      <c r="J75" s="252"/>
      <c r="K75" s="252"/>
      <c r="L75" s="253"/>
      <c r="N75" s="8"/>
    </row>
    <row r="76" spans="1:14" s="55" customFormat="1" ht="15.75" customHeight="1">
      <c r="A76" s="7"/>
      <c r="B76" s="32"/>
      <c r="C76" s="32"/>
      <c r="D76" s="32"/>
      <c r="E76" s="251"/>
      <c r="F76" s="251"/>
      <c r="G76" s="34"/>
      <c r="H76" s="35"/>
      <c r="I76" s="18"/>
      <c r="J76" s="252"/>
      <c r="K76" s="252"/>
      <c r="L76" s="253"/>
      <c r="N76" s="8"/>
    </row>
    <row r="77" spans="1:14" s="55" customFormat="1" ht="18.75" customHeight="1">
      <c r="A77" s="7"/>
      <c r="B77" s="32"/>
      <c r="C77" s="32"/>
      <c r="D77" s="32"/>
      <c r="E77" s="251"/>
      <c r="F77" s="251"/>
      <c r="G77" s="34"/>
      <c r="H77" s="35"/>
      <c r="I77" s="18"/>
      <c r="J77" s="252"/>
      <c r="K77" s="252"/>
      <c r="L77" s="253"/>
      <c r="N77" s="8"/>
    </row>
    <row r="78" spans="1:14" s="55" customFormat="1" ht="18.75" customHeight="1">
      <c r="A78" s="7"/>
      <c r="B78" s="32"/>
      <c r="C78" s="32"/>
      <c r="D78" s="32"/>
      <c r="E78" s="251"/>
      <c r="F78" s="251"/>
      <c r="G78" s="34"/>
      <c r="H78" s="35"/>
      <c r="I78" s="18"/>
      <c r="J78" s="252"/>
      <c r="K78" s="252"/>
      <c r="L78" s="253"/>
      <c r="N78" s="8"/>
    </row>
    <row r="79" spans="1:14" s="55" customFormat="1" ht="15.75" customHeight="1">
      <c r="A79" s="7"/>
      <c r="B79" s="32"/>
      <c r="C79" s="32"/>
      <c r="D79" s="32"/>
      <c r="E79" s="251"/>
      <c r="F79" s="251"/>
      <c r="G79" s="34"/>
      <c r="H79" s="35"/>
      <c r="I79" s="18"/>
      <c r="J79" s="252"/>
      <c r="K79" s="252"/>
      <c r="L79" s="253"/>
      <c r="N79" s="8"/>
    </row>
    <row r="80" spans="1:14" s="55" customFormat="1" ht="18.75" customHeight="1">
      <c r="A80" s="7"/>
      <c r="B80" s="32"/>
      <c r="C80" s="32"/>
      <c r="D80" s="32"/>
      <c r="E80" s="251"/>
      <c r="F80" s="251"/>
      <c r="G80" s="34"/>
      <c r="H80" s="35"/>
      <c r="I80" s="18"/>
      <c r="J80" s="252"/>
      <c r="K80" s="252"/>
      <c r="L80" s="253"/>
      <c r="N80" s="8"/>
    </row>
    <row r="81" spans="1:14" s="55" customFormat="1" ht="15.75" customHeight="1">
      <c r="A81" s="7"/>
      <c r="B81" s="32"/>
      <c r="C81" s="32"/>
      <c r="D81" s="32"/>
      <c r="E81" s="251"/>
      <c r="F81" s="251"/>
      <c r="G81" s="34"/>
      <c r="H81" s="35"/>
      <c r="I81" s="18"/>
      <c r="J81" s="252"/>
      <c r="K81" s="252"/>
      <c r="L81" s="253"/>
      <c r="N81" s="8"/>
    </row>
    <row r="82" spans="1:14" s="55" customFormat="1" ht="15.75" customHeight="1">
      <c r="A82" s="7"/>
      <c r="B82" s="32"/>
      <c r="C82" s="32"/>
      <c r="D82" s="32"/>
      <c r="E82" s="251"/>
      <c r="F82" s="251"/>
      <c r="G82" s="34"/>
      <c r="H82" s="35"/>
      <c r="I82" s="18"/>
      <c r="J82" s="252"/>
      <c r="K82" s="252"/>
      <c r="L82" s="253"/>
      <c r="N82" s="8"/>
    </row>
    <row r="83" spans="1:14" s="55" customFormat="1" ht="18.75" customHeight="1">
      <c r="A83" s="7"/>
      <c r="B83" s="32"/>
      <c r="C83" s="32"/>
      <c r="D83" s="32"/>
      <c r="E83" s="251"/>
      <c r="F83" s="251"/>
      <c r="G83" s="34"/>
      <c r="H83" s="35"/>
      <c r="I83" s="18"/>
      <c r="J83" s="252"/>
      <c r="K83" s="252"/>
      <c r="L83" s="253"/>
      <c r="N83" s="8"/>
    </row>
    <row r="84" spans="1:14" s="55" customFormat="1" ht="18.75" customHeight="1">
      <c r="A84" s="7"/>
      <c r="B84" s="32"/>
      <c r="C84" s="32"/>
      <c r="D84" s="32"/>
      <c r="E84" s="251"/>
      <c r="F84" s="251"/>
      <c r="G84" s="34"/>
      <c r="H84" s="35"/>
      <c r="I84" s="18"/>
      <c r="J84" s="252"/>
      <c r="K84" s="252"/>
      <c r="L84" s="253"/>
      <c r="N84" s="8"/>
    </row>
    <row r="85" spans="1:14" s="55" customFormat="1" ht="15.75" customHeight="1">
      <c r="A85" s="7"/>
      <c r="B85" s="32"/>
      <c r="C85" s="32"/>
      <c r="D85" s="32"/>
      <c r="E85" s="251"/>
      <c r="F85" s="251"/>
      <c r="G85" s="34"/>
      <c r="H85" s="35"/>
      <c r="I85" s="18"/>
      <c r="J85" s="252"/>
      <c r="K85" s="252"/>
      <c r="L85" s="253"/>
      <c r="N85" s="8"/>
    </row>
    <row r="86" spans="1:14" s="55" customFormat="1" ht="18.75" customHeight="1">
      <c r="A86" s="7"/>
      <c r="B86" s="32"/>
      <c r="C86" s="32"/>
      <c r="D86" s="32"/>
      <c r="E86" s="251"/>
      <c r="F86" s="251"/>
      <c r="G86" s="34"/>
      <c r="H86" s="35"/>
      <c r="I86" s="18"/>
      <c r="J86" s="252"/>
      <c r="K86" s="252"/>
      <c r="L86" s="253"/>
      <c r="N86" s="8"/>
    </row>
    <row r="87" spans="1:14" s="55" customFormat="1" ht="15.75" customHeight="1">
      <c r="A87" s="7"/>
      <c r="B87" s="32"/>
      <c r="C87" s="32"/>
      <c r="D87" s="32"/>
      <c r="E87" s="251"/>
      <c r="F87" s="251"/>
      <c r="G87" s="34"/>
      <c r="H87" s="35"/>
      <c r="I87" s="18"/>
      <c r="J87" s="252"/>
      <c r="K87" s="252"/>
      <c r="L87" s="253"/>
      <c r="N87" s="8"/>
    </row>
    <row r="88" spans="1:14" s="55" customFormat="1" ht="18.75" customHeight="1">
      <c r="A88" s="7"/>
      <c r="B88" s="32"/>
      <c r="C88" s="32"/>
      <c r="D88" s="32"/>
      <c r="E88" s="251"/>
      <c r="F88" s="251"/>
      <c r="G88" s="34"/>
      <c r="H88" s="35"/>
      <c r="I88" s="18"/>
      <c r="J88" s="252"/>
      <c r="K88" s="252"/>
      <c r="L88" s="253"/>
      <c r="N88" s="8"/>
    </row>
    <row r="89" spans="1:14" s="55" customFormat="1" ht="18.75" customHeight="1">
      <c r="A89" s="7"/>
      <c r="B89" s="32"/>
      <c r="C89" s="32"/>
      <c r="D89" s="32"/>
      <c r="E89" s="251"/>
      <c r="F89" s="251"/>
      <c r="G89" s="34"/>
      <c r="H89" s="35"/>
      <c r="I89" s="18"/>
      <c r="J89" s="252"/>
      <c r="K89" s="252"/>
      <c r="L89" s="253"/>
      <c r="N89" s="8"/>
    </row>
    <row r="90" spans="1:14" s="55" customFormat="1" ht="15.75" customHeight="1">
      <c r="A90" s="7"/>
      <c r="B90" s="32"/>
      <c r="C90" s="32"/>
      <c r="D90" s="32"/>
      <c r="E90" s="251"/>
      <c r="F90" s="251"/>
      <c r="G90" s="34"/>
      <c r="H90" s="35"/>
      <c r="I90" s="18"/>
      <c r="J90" s="252"/>
      <c r="K90" s="252"/>
      <c r="L90" s="253"/>
      <c r="N90" s="8"/>
    </row>
    <row r="91" spans="1:14" s="55" customFormat="1" ht="18.75" customHeight="1">
      <c r="A91" s="7"/>
      <c r="B91" s="32"/>
      <c r="C91" s="32"/>
      <c r="D91" s="32"/>
      <c r="E91" s="251"/>
      <c r="F91" s="251"/>
      <c r="G91" s="34"/>
      <c r="H91" s="35"/>
      <c r="I91" s="18"/>
      <c r="J91" s="252"/>
      <c r="K91" s="252"/>
      <c r="L91" s="253"/>
      <c r="N91" s="8"/>
    </row>
    <row r="92" spans="1:14" s="55" customFormat="1" ht="18.75" customHeight="1">
      <c r="A92" s="7"/>
      <c r="B92" s="32"/>
      <c r="C92" s="32"/>
      <c r="D92" s="32"/>
      <c r="E92" s="251"/>
      <c r="F92" s="251"/>
      <c r="G92" s="34"/>
      <c r="H92" s="35"/>
      <c r="I92" s="18"/>
      <c r="J92" s="252"/>
      <c r="K92" s="252"/>
      <c r="L92" s="253"/>
      <c r="N92" s="8"/>
    </row>
    <row r="93" spans="1:14" s="55" customFormat="1" ht="15.75" customHeight="1">
      <c r="A93" s="7"/>
      <c r="B93" s="32"/>
      <c r="C93" s="32"/>
      <c r="D93" s="32"/>
      <c r="E93" s="251"/>
      <c r="F93" s="251"/>
      <c r="G93" s="34"/>
      <c r="H93" s="35"/>
      <c r="I93" s="18"/>
      <c r="J93" s="252"/>
      <c r="K93" s="252"/>
      <c r="L93" s="253"/>
      <c r="N93" s="8"/>
    </row>
    <row r="94" spans="1:14" s="55" customFormat="1" ht="18.75" customHeight="1">
      <c r="A94" s="7"/>
      <c r="B94" s="32"/>
      <c r="C94" s="32"/>
      <c r="D94" s="32"/>
      <c r="E94" s="251"/>
      <c r="F94" s="251"/>
      <c r="G94" s="34"/>
      <c r="H94" s="35"/>
      <c r="I94" s="18"/>
      <c r="J94" s="252"/>
      <c r="K94" s="252"/>
      <c r="L94" s="253"/>
      <c r="N94" s="8"/>
    </row>
    <row r="95" spans="1:14" s="55" customFormat="1" ht="15.75" customHeight="1">
      <c r="A95" s="7"/>
      <c r="B95" s="32"/>
      <c r="C95" s="32"/>
      <c r="D95" s="32"/>
      <c r="E95" s="251"/>
      <c r="F95" s="251"/>
      <c r="G95" s="34"/>
      <c r="H95" s="35"/>
      <c r="I95" s="18"/>
      <c r="J95" s="252"/>
      <c r="K95" s="252"/>
      <c r="L95" s="253"/>
      <c r="N95" s="8"/>
    </row>
    <row r="96" spans="1:14" s="55" customFormat="1" ht="18.75" customHeight="1">
      <c r="A96" s="7"/>
      <c r="B96" s="32"/>
      <c r="C96" s="32"/>
      <c r="D96" s="32"/>
      <c r="E96" s="251"/>
      <c r="F96" s="251"/>
      <c r="G96" s="34"/>
      <c r="H96" s="35"/>
      <c r="I96" s="18"/>
      <c r="J96" s="252"/>
      <c r="K96" s="252"/>
      <c r="L96" s="253"/>
      <c r="N96" s="8"/>
    </row>
    <row r="97" spans="1:14" s="55" customFormat="1" ht="18.75" customHeight="1">
      <c r="A97" s="7"/>
      <c r="B97" s="32"/>
      <c r="C97" s="32"/>
      <c r="D97" s="32"/>
      <c r="E97" s="251"/>
      <c r="F97" s="251"/>
      <c r="G97" s="34"/>
      <c r="H97" s="35"/>
      <c r="I97" s="18"/>
      <c r="J97" s="252"/>
      <c r="K97" s="252"/>
      <c r="L97" s="253"/>
      <c r="N97" s="8"/>
    </row>
    <row r="98" spans="1:14" s="55" customFormat="1" ht="15.75" customHeight="1">
      <c r="A98" s="7"/>
      <c r="B98" s="32"/>
      <c r="C98" s="32"/>
      <c r="D98" s="32"/>
      <c r="E98" s="251"/>
      <c r="F98" s="251"/>
      <c r="G98" s="34"/>
      <c r="H98" s="35"/>
      <c r="I98" s="18"/>
      <c r="J98" s="252"/>
      <c r="K98" s="252"/>
      <c r="L98" s="253"/>
      <c r="N98" s="8"/>
    </row>
    <row r="99" spans="1:14" s="55" customFormat="1" ht="18.75" customHeight="1">
      <c r="A99" s="7"/>
      <c r="B99" s="32"/>
      <c r="C99" s="32"/>
      <c r="D99" s="32"/>
      <c r="E99" s="251"/>
      <c r="F99" s="251"/>
      <c r="G99" s="34"/>
      <c r="H99" s="35"/>
      <c r="I99" s="18"/>
      <c r="J99" s="252"/>
      <c r="K99" s="252"/>
      <c r="L99" s="253"/>
      <c r="N99" s="8"/>
    </row>
    <row r="100" spans="1:14" s="55" customFormat="1" ht="15.75" customHeight="1">
      <c r="A100" s="7"/>
      <c r="B100" s="32"/>
      <c r="C100" s="32"/>
      <c r="D100" s="32"/>
      <c r="E100" s="251"/>
      <c r="F100" s="251"/>
      <c r="G100" s="34"/>
      <c r="H100" s="35"/>
      <c r="I100" s="18"/>
      <c r="J100" s="252"/>
      <c r="K100" s="252"/>
      <c r="L100" s="253"/>
      <c r="N100" s="8"/>
    </row>
    <row r="101" spans="1:14" s="55" customFormat="1" ht="18.75" customHeight="1">
      <c r="A101" s="7"/>
      <c r="B101" s="32"/>
      <c r="C101" s="32"/>
      <c r="D101" s="32"/>
      <c r="E101" s="251"/>
      <c r="F101" s="251"/>
      <c r="G101" s="34"/>
      <c r="H101" s="35"/>
      <c r="I101" s="18"/>
      <c r="J101" s="252"/>
      <c r="K101" s="252"/>
      <c r="L101" s="253"/>
      <c r="N101" s="8"/>
    </row>
    <row r="102" spans="1:14" s="55" customFormat="1" ht="15.75" customHeight="1">
      <c r="A102" s="7"/>
      <c r="B102" s="32"/>
      <c r="C102" s="32"/>
      <c r="D102" s="32"/>
      <c r="E102" s="251"/>
      <c r="F102" s="251"/>
      <c r="G102" s="34"/>
      <c r="H102" s="35"/>
      <c r="I102" s="18"/>
      <c r="J102" s="252"/>
      <c r="K102" s="252"/>
      <c r="L102" s="253"/>
      <c r="N102" s="8"/>
    </row>
    <row r="103" spans="1:14" s="55" customFormat="1" ht="18.75" customHeight="1">
      <c r="A103" s="7"/>
      <c r="B103" s="32"/>
      <c r="C103" s="32"/>
      <c r="D103" s="32"/>
      <c r="E103" s="251"/>
      <c r="F103" s="251"/>
      <c r="G103" s="34"/>
      <c r="H103" s="35"/>
      <c r="I103" s="18"/>
      <c r="J103" s="252"/>
      <c r="K103" s="252"/>
      <c r="L103" s="253"/>
      <c r="N103" s="8"/>
    </row>
    <row r="104" spans="1:14" s="55" customFormat="1" ht="18.75" customHeight="1">
      <c r="A104" s="7"/>
      <c r="B104" s="32"/>
      <c r="C104" s="32"/>
      <c r="D104" s="32"/>
      <c r="E104" s="202"/>
      <c r="F104" s="202"/>
      <c r="G104" s="34"/>
      <c r="H104" s="35"/>
      <c r="I104" s="18"/>
      <c r="J104" s="200"/>
      <c r="K104" s="200"/>
      <c r="L104" s="201"/>
      <c r="N104" s="8"/>
    </row>
    <row r="105" spans="1:14" s="55" customFormat="1" ht="15.75" customHeight="1">
      <c r="A105" s="7"/>
      <c r="B105" s="32"/>
      <c r="C105" s="32"/>
      <c r="D105" s="32"/>
      <c r="E105" s="202"/>
      <c r="F105" s="202"/>
      <c r="G105" s="34"/>
      <c r="H105" s="35"/>
      <c r="I105" s="18"/>
      <c r="J105" s="200"/>
      <c r="K105" s="200"/>
      <c r="L105" s="201"/>
      <c r="N105" s="8"/>
    </row>
    <row r="106" spans="1:14" s="55" customFormat="1" ht="18.75" customHeight="1">
      <c r="A106" s="7"/>
      <c r="B106" s="32"/>
      <c r="C106" s="32"/>
      <c r="D106" s="32"/>
      <c r="E106" s="202"/>
      <c r="F106" s="202"/>
      <c r="G106" s="34"/>
      <c r="H106" s="35"/>
      <c r="I106" s="18"/>
      <c r="J106" s="200"/>
      <c r="K106" s="200"/>
      <c r="L106" s="201"/>
      <c r="N106" s="8"/>
    </row>
    <row r="107" spans="1:14" s="55" customFormat="1" ht="15.75" customHeight="1">
      <c r="A107" s="7"/>
      <c r="B107" s="32"/>
      <c r="C107" s="32"/>
      <c r="D107" s="32"/>
      <c r="E107" s="202"/>
      <c r="F107" s="202"/>
      <c r="G107" s="34"/>
      <c r="H107" s="35"/>
      <c r="I107" s="18"/>
      <c r="J107" s="200"/>
      <c r="K107" s="200"/>
      <c r="L107" s="201"/>
      <c r="N107" s="8"/>
    </row>
    <row r="108" spans="1:14" s="55" customFormat="1" ht="18.75" customHeight="1">
      <c r="A108" s="7"/>
      <c r="B108" s="32"/>
      <c r="C108" s="32"/>
      <c r="D108" s="32"/>
      <c r="E108" s="202"/>
      <c r="F108" s="202"/>
      <c r="G108" s="34"/>
      <c r="H108" s="35"/>
      <c r="I108" s="18"/>
      <c r="J108" s="200"/>
      <c r="K108" s="200"/>
      <c r="L108" s="201"/>
      <c r="N108" s="8"/>
    </row>
    <row r="109" spans="1:14" s="55" customFormat="1" ht="15.75" customHeight="1">
      <c r="A109" s="7"/>
      <c r="B109" s="32"/>
      <c r="C109" s="32"/>
      <c r="D109" s="32"/>
      <c r="E109" s="202"/>
      <c r="F109" s="202"/>
      <c r="G109" s="34"/>
      <c r="H109" s="35"/>
      <c r="I109" s="18"/>
      <c r="J109" s="200"/>
      <c r="K109" s="200"/>
      <c r="L109" s="201"/>
      <c r="N109" s="8"/>
    </row>
    <row r="110" spans="1:14" s="55" customFormat="1" ht="18.75" customHeight="1">
      <c r="A110" s="7"/>
      <c r="B110" s="32"/>
      <c r="C110" s="32"/>
      <c r="D110" s="32"/>
      <c r="E110" s="202"/>
      <c r="F110" s="202"/>
      <c r="G110" s="34"/>
      <c r="H110" s="35"/>
      <c r="I110" s="18"/>
      <c r="J110" s="200"/>
      <c r="K110" s="200"/>
      <c r="L110" s="201"/>
      <c r="N110" s="8"/>
    </row>
    <row r="111" spans="1:14" s="55" customFormat="1" ht="15.75" customHeight="1">
      <c r="A111" s="7"/>
      <c r="B111" s="32"/>
      <c r="C111" s="32"/>
      <c r="D111" s="32"/>
      <c r="E111" s="202"/>
      <c r="F111" s="202"/>
      <c r="G111" s="34"/>
      <c r="H111" s="35"/>
      <c r="I111" s="18"/>
      <c r="J111" s="200"/>
      <c r="K111" s="200"/>
      <c r="L111" s="201"/>
      <c r="N111" s="8"/>
    </row>
    <row r="112" spans="1:14" s="55" customFormat="1" ht="18.75" customHeight="1">
      <c r="A112" s="7"/>
      <c r="B112" s="32"/>
      <c r="C112" s="32"/>
      <c r="D112" s="32"/>
      <c r="E112" s="202"/>
      <c r="F112" s="202"/>
      <c r="G112" s="34"/>
      <c r="H112" s="35"/>
      <c r="I112" s="18"/>
      <c r="J112" s="200"/>
      <c r="K112" s="200"/>
      <c r="L112" s="201"/>
      <c r="N112" s="8"/>
    </row>
    <row r="113" spans="1:14" s="55" customFormat="1" ht="18.75" customHeight="1">
      <c r="A113" s="7"/>
      <c r="B113" s="32"/>
      <c r="C113" s="32"/>
      <c r="D113" s="32"/>
      <c r="E113" s="202"/>
      <c r="F113" s="202"/>
      <c r="G113" s="34"/>
      <c r="H113" s="35"/>
      <c r="I113" s="18"/>
      <c r="J113" s="200"/>
      <c r="K113" s="200"/>
      <c r="L113" s="201"/>
      <c r="N113" s="8"/>
    </row>
    <row r="114" spans="1:14" s="55" customFormat="1" ht="15.75" customHeight="1">
      <c r="A114" s="7"/>
      <c r="B114" s="32"/>
      <c r="C114" s="32"/>
      <c r="D114" s="32"/>
      <c r="E114" s="202"/>
      <c r="F114" s="202"/>
      <c r="G114" s="34"/>
      <c r="H114" s="35"/>
      <c r="I114" s="18"/>
      <c r="J114" s="200"/>
      <c r="K114" s="200"/>
      <c r="L114" s="201"/>
      <c r="N114" s="8"/>
    </row>
    <row r="115" spans="1:14" s="55" customFormat="1" ht="18.75" customHeight="1">
      <c r="A115" s="7"/>
      <c r="B115" s="32"/>
      <c r="C115" s="32"/>
      <c r="D115" s="32"/>
      <c r="E115" s="202"/>
      <c r="F115" s="202"/>
      <c r="G115" s="34"/>
      <c r="H115" s="35"/>
      <c r="I115" s="18"/>
      <c r="J115" s="200"/>
      <c r="K115" s="200"/>
      <c r="L115" s="201"/>
      <c r="N115" s="8"/>
    </row>
    <row r="116" spans="1:14" s="55" customFormat="1" ht="15.75" customHeight="1">
      <c r="A116" s="7"/>
      <c r="B116" s="32"/>
      <c r="C116" s="32"/>
      <c r="D116" s="32"/>
      <c r="E116" s="202"/>
      <c r="F116" s="202"/>
      <c r="G116" s="34"/>
      <c r="H116" s="35"/>
      <c r="I116" s="18"/>
      <c r="J116" s="200"/>
      <c r="K116" s="200"/>
      <c r="L116" s="201"/>
      <c r="N116" s="8"/>
    </row>
    <row r="117" spans="1:14" s="55" customFormat="1" ht="18.75" customHeight="1">
      <c r="A117" s="7"/>
      <c r="B117" s="32"/>
      <c r="C117" s="32"/>
      <c r="D117" s="32"/>
      <c r="E117" s="202"/>
      <c r="F117" s="202"/>
      <c r="G117" s="34"/>
      <c r="H117" s="35"/>
      <c r="I117" s="18"/>
      <c r="J117" s="200"/>
      <c r="K117" s="200"/>
      <c r="L117" s="201"/>
      <c r="N117" s="8"/>
    </row>
    <row r="118" spans="1:14" s="55" customFormat="1" ht="15.75" customHeight="1">
      <c r="A118" s="7"/>
      <c r="B118" s="32"/>
      <c r="C118" s="32"/>
      <c r="D118" s="32"/>
      <c r="E118" s="202"/>
      <c r="F118" s="202"/>
      <c r="G118" s="34"/>
      <c r="H118" s="35"/>
      <c r="I118" s="18"/>
      <c r="J118" s="200"/>
      <c r="K118" s="200"/>
      <c r="L118" s="201"/>
      <c r="N118" s="8"/>
    </row>
    <row r="119" spans="1:14" s="55" customFormat="1" ht="18.75" customHeight="1">
      <c r="A119" s="7"/>
      <c r="B119" s="32"/>
      <c r="C119" s="32"/>
      <c r="D119" s="32"/>
      <c r="E119" s="202"/>
      <c r="F119" s="202"/>
      <c r="G119" s="34"/>
      <c r="H119" s="35"/>
      <c r="I119" s="18"/>
      <c r="J119" s="200"/>
      <c r="K119" s="200"/>
      <c r="L119" s="201"/>
      <c r="N119" s="8"/>
    </row>
    <row r="120" spans="1:14" s="55" customFormat="1" ht="15.75" customHeight="1">
      <c r="A120" s="7"/>
      <c r="B120" s="32"/>
      <c r="C120" s="32"/>
      <c r="D120" s="32"/>
      <c r="E120" s="202"/>
      <c r="F120" s="202"/>
      <c r="G120" s="34"/>
      <c r="H120" s="35"/>
      <c r="I120" s="18"/>
      <c r="J120" s="200"/>
      <c r="K120" s="200"/>
      <c r="L120" s="201"/>
      <c r="N120" s="8"/>
    </row>
    <row r="121" spans="1:14" s="55" customFormat="1" ht="18.75" customHeight="1">
      <c r="A121" s="7"/>
      <c r="B121" s="32"/>
      <c r="C121" s="32"/>
      <c r="D121" s="32"/>
      <c r="E121" s="202"/>
      <c r="F121" s="202"/>
      <c r="G121" s="34"/>
      <c r="H121" s="35"/>
      <c r="I121" s="18"/>
      <c r="J121" s="200"/>
      <c r="K121" s="200"/>
      <c r="L121" s="201"/>
      <c r="N121" s="8"/>
    </row>
    <row r="122" spans="1:14" s="55" customFormat="1" ht="15.75" customHeight="1">
      <c r="A122" s="7"/>
      <c r="B122" s="32"/>
      <c r="C122" s="32"/>
      <c r="D122" s="32"/>
      <c r="E122" s="202"/>
      <c r="F122" s="202"/>
      <c r="G122" s="34"/>
      <c r="H122" s="35"/>
      <c r="I122" s="18"/>
      <c r="J122" s="200"/>
      <c r="K122" s="200"/>
      <c r="L122" s="201"/>
      <c r="N122" s="8"/>
    </row>
    <row r="123" spans="1:14" s="55" customFormat="1" ht="18.75" customHeight="1">
      <c r="A123" s="7"/>
      <c r="B123" s="32"/>
      <c r="C123" s="32"/>
      <c r="D123" s="32"/>
      <c r="E123" s="202"/>
      <c r="F123" s="202"/>
      <c r="G123" s="34"/>
      <c r="H123" s="35"/>
      <c r="I123" s="18"/>
      <c r="J123" s="200"/>
      <c r="K123" s="200"/>
      <c r="L123" s="201"/>
      <c r="N123" s="8"/>
    </row>
    <row r="124" spans="1:14" s="55" customFormat="1" ht="18.75" customHeight="1">
      <c r="A124" s="7"/>
      <c r="B124" s="32"/>
      <c r="C124" s="32"/>
      <c r="D124" s="32"/>
      <c r="E124" s="202"/>
      <c r="F124" s="202"/>
      <c r="G124" s="34"/>
      <c r="H124" s="35"/>
      <c r="I124" s="18"/>
      <c r="J124" s="200"/>
      <c r="K124" s="200"/>
      <c r="L124" s="201"/>
      <c r="N124" s="8"/>
    </row>
    <row r="125" spans="1:14" s="55" customFormat="1" ht="15.75" customHeight="1">
      <c r="A125" s="7"/>
      <c r="B125" s="32"/>
      <c r="C125" s="32"/>
      <c r="D125" s="32"/>
      <c r="E125" s="202"/>
      <c r="F125" s="202"/>
      <c r="G125" s="34"/>
      <c r="H125" s="35"/>
      <c r="I125" s="18"/>
      <c r="J125" s="200"/>
      <c r="K125" s="200"/>
      <c r="L125" s="201"/>
      <c r="N125" s="8"/>
    </row>
    <row r="126" spans="1:14" s="55" customFormat="1" ht="18.75" customHeight="1">
      <c r="A126" s="7"/>
      <c r="B126" s="32"/>
      <c r="C126" s="32"/>
      <c r="D126" s="32"/>
      <c r="E126" s="202"/>
      <c r="F126" s="202"/>
      <c r="G126" s="34"/>
      <c r="H126" s="35"/>
      <c r="I126" s="18"/>
      <c r="J126" s="200"/>
      <c r="K126" s="200"/>
      <c r="L126" s="201"/>
      <c r="N126" s="8"/>
    </row>
    <row r="127" spans="1:14" s="55" customFormat="1" ht="15.75" customHeight="1">
      <c r="A127" s="7"/>
      <c r="B127" s="32"/>
      <c r="C127" s="32"/>
      <c r="D127" s="32"/>
      <c r="E127" s="202"/>
      <c r="F127" s="202"/>
      <c r="G127" s="34"/>
      <c r="H127" s="35"/>
      <c r="I127" s="18"/>
      <c r="J127" s="200"/>
      <c r="K127" s="200"/>
      <c r="L127" s="201"/>
      <c r="N127" s="8"/>
    </row>
    <row r="128" spans="1:14" s="55" customFormat="1" ht="18.75" customHeight="1">
      <c r="A128" s="7"/>
      <c r="B128" s="32"/>
      <c r="C128" s="32"/>
      <c r="D128" s="32"/>
      <c r="E128" s="202"/>
      <c r="F128" s="202"/>
      <c r="G128" s="34"/>
      <c r="H128" s="35"/>
      <c r="I128" s="18"/>
      <c r="J128" s="200"/>
      <c r="K128" s="200"/>
      <c r="L128" s="201"/>
      <c r="N128" s="8"/>
    </row>
    <row r="129" spans="1:14" s="55" customFormat="1" ht="15.75" customHeight="1">
      <c r="A129" s="7"/>
      <c r="B129" s="32"/>
      <c r="C129" s="32"/>
      <c r="D129" s="32"/>
      <c r="E129" s="202"/>
      <c r="F129" s="202"/>
      <c r="G129" s="34"/>
      <c r="H129" s="35"/>
      <c r="I129" s="18"/>
      <c r="J129" s="200"/>
      <c r="K129" s="200"/>
      <c r="L129" s="201"/>
      <c r="N129" s="8"/>
    </row>
    <row r="130" spans="1:14" s="55" customFormat="1" ht="18.75" customHeight="1">
      <c r="A130" s="7"/>
      <c r="B130" s="32"/>
      <c r="C130" s="32"/>
      <c r="D130" s="32"/>
      <c r="E130" s="202"/>
      <c r="F130" s="202"/>
      <c r="G130" s="34"/>
      <c r="H130" s="35"/>
      <c r="I130" s="18"/>
      <c r="J130" s="200"/>
      <c r="K130" s="200"/>
      <c r="L130" s="201"/>
      <c r="N130" s="8"/>
    </row>
    <row r="131" spans="1:14" s="55" customFormat="1" ht="15.75" customHeight="1">
      <c r="A131" s="7"/>
      <c r="B131" s="32"/>
      <c r="C131" s="32"/>
      <c r="D131" s="32"/>
      <c r="E131" s="202"/>
      <c r="F131" s="202"/>
      <c r="G131" s="34"/>
      <c r="H131" s="35"/>
      <c r="I131" s="18"/>
      <c r="J131" s="200"/>
      <c r="K131" s="200"/>
      <c r="L131" s="201"/>
      <c r="N131" s="8"/>
    </row>
    <row r="132" spans="1:14" s="55" customFormat="1" ht="18.75" customHeight="1">
      <c r="A132" s="7"/>
      <c r="B132" s="32"/>
      <c r="C132" s="32"/>
      <c r="D132" s="32"/>
      <c r="E132" s="202"/>
      <c r="F132" s="202"/>
      <c r="G132" s="34"/>
      <c r="H132" s="35"/>
      <c r="I132" s="18"/>
      <c r="J132" s="200"/>
      <c r="K132" s="200"/>
      <c r="L132" s="201"/>
      <c r="N132" s="8"/>
    </row>
    <row r="133" spans="1:14" s="55" customFormat="1" ht="15.75" customHeight="1">
      <c r="A133" s="7"/>
      <c r="B133" s="32"/>
      <c r="C133" s="32"/>
      <c r="D133" s="32"/>
      <c r="E133" s="202"/>
      <c r="F133" s="202"/>
      <c r="G133" s="34"/>
      <c r="H133" s="35"/>
      <c r="I133" s="18"/>
      <c r="J133" s="200"/>
      <c r="K133" s="200"/>
      <c r="L133" s="201"/>
      <c r="N133" s="8"/>
    </row>
    <row r="134" spans="1:14" s="55" customFormat="1" ht="18.75" customHeight="1">
      <c r="A134" s="7"/>
      <c r="B134" s="32"/>
      <c r="C134" s="32"/>
      <c r="D134" s="32"/>
      <c r="E134" s="202"/>
      <c r="F134" s="202"/>
      <c r="G134" s="34"/>
      <c r="H134" s="35"/>
      <c r="I134" s="18"/>
      <c r="J134" s="200"/>
      <c r="K134" s="200"/>
      <c r="L134" s="201"/>
      <c r="N134" s="8"/>
    </row>
    <row r="135" spans="1:14" s="55" customFormat="1" ht="15.75" customHeight="1">
      <c r="A135" s="7"/>
      <c r="B135" s="32"/>
      <c r="C135" s="32"/>
      <c r="D135" s="32"/>
      <c r="E135" s="202"/>
      <c r="F135" s="202"/>
      <c r="G135" s="34"/>
      <c r="H135" s="35"/>
      <c r="I135" s="18"/>
      <c r="J135" s="200"/>
      <c r="K135" s="200"/>
      <c r="L135" s="201"/>
      <c r="N135" s="8"/>
    </row>
    <row r="136" spans="1:14" s="55" customFormat="1" ht="18.75" customHeight="1">
      <c r="A136" s="7"/>
      <c r="B136" s="32"/>
      <c r="C136" s="32"/>
      <c r="D136" s="32"/>
      <c r="E136" s="202"/>
      <c r="F136" s="202"/>
      <c r="G136" s="34"/>
      <c r="H136" s="35"/>
      <c r="I136" s="18"/>
      <c r="J136" s="200"/>
      <c r="K136" s="200"/>
      <c r="L136" s="201"/>
      <c r="N136" s="8"/>
    </row>
    <row r="137" spans="1:14" s="55" customFormat="1" ht="18.75" customHeight="1">
      <c r="A137" s="7"/>
      <c r="B137" s="32"/>
      <c r="C137" s="32"/>
      <c r="D137" s="32"/>
      <c r="E137" s="202"/>
      <c r="F137" s="202"/>
      <c r="G137" s="34"/>
      <c r="H137" s="35"/>
      <c r="I137" s="18"/>
      <c r="J137" s="200"/>
      <c r="K137" s="200"/>
      <c r="L137" s="201"/>
      <c r="N137" s="8"/>
    </row>
    <row r="138" spans="1:14" s="55" customFormat="1" ht="15.75" customHeight="1">
      <c r="A138" s="7"/>
      <c r="B138" s="32"/>
      <c r="C138" s="32"/>
      <c r="D138" s="32"/>
      <c r="E138" s="202"/>
      <c r="F138" s="202"/>
      <c r="G138" s="34"/>
      <c r="H138" s="35"/>
      <c r="I138" s="18"/>
      <c r="J138" s="200"/>
      <c r="K138" s="200"/>
      <c r="L138" s="201"/>
      <c r="N138" s="8"/>
    </row>
    <row r="139" spans="1:14" s="55" customFormat="1" ht="18.75" customHeight="1">
      <c r="A139" s="7"/>
      <c r="B139" s="32"/>
      <c r="C139" s="32"/>
      <c r="D139" s="32"/>
      <c r="E139" s="202"/>
      <c r="F139" s="202"/>
      <c r="G139" s="34"/>
      <c r="H139" s="35"/>
      <c r="I139" s="18"/>
      <c r="J139" s="200"/>
      <c r="K139" s="200"/>
      <c r="L139" s="201"/>
      <c r="N139" s="8"/>
    </row>
    <row r="140" spans="1:14" s="55" customFormat="1" ht="15.75" customHeight="1">
      <c r="A140" s="7"/>
      <c r="B140" s="32"/>
      <c r="C140" s="32"/>
      <c r="D140" s="32"/>
      <c r="E140" s="202"/>
      <c r="F140" s="202"/>
      <c r="G140" s="34"/>
      <c r="H140" s="35"/>
      <c r="I140" s="18"/>
      <c r="J140" s="200"/>
      <c r="K140" s="200"/>
      <c r="L140" s="201"/>
      <c r="N140" s="8"/>
    </row>
    <row r="141" spans="1:14" s="55" customFormat="1" ht="18.75" customHeight="1">
      <c r="A141" s="7"/>
      <c r="B141" s="32"/>
      <c r="C141" s="32"/>
      <c r="D141" s="32"/>
      <c r="E141" s="202"/>
      <c r="F141" s="202"/>
      <c r="G141" s="34"/>
      <c r="H141" s="35"/>
      <c r="I141" s="18"/>
      <c r="J141" s="200"/>
      <c r="K141" s="200"/>
      <c r="L141" s="201"/>
      <c r="N141" s="8"/>
    </row>
    <row r="142" spans="1:14" s="55" customFormat="1" ht="15.75" customHeight="1">
      <c r="A142" s="7"/>
      <c r="B142" s="32"/>
      <c r="C142" s="32"/>
      <c r="D142" s="32"/>
      <c r="E142" s="260"/>
      <c r="F142" s="260"/>
      <c r="G142" s="34"/>
      <c r="H142" s="35"/>
      <c r="I142" s="18"/>
      <c r="J142" s="258"/>
      <c r="K142" s="258"/>
      <c r="L142" s="259"/>
      <c r="N142" s="8"/>
    </row>
    <row r="143" spans="1:14" s="55" customFormat="1" ht="18.75" customHeight="1">
      <c r="A143" s="7"/>
      <c r="B143" s="32"/>
      <c r="C143" s="32"/>
      <c r="D143" s="32"/>
      <c r="E143" s="260"/>
      <c r="F143" s="260"/>
      <c r="G143" s="34"/>
      <c r="H143" s="35"/>
      <c r="I143" s="18"/>
      <c r="J143" s="258"/>
      <c r="K143" s="258"/>
      <c r="L143" s="259"/>
      <c r="N143" s="8"/>
    </row>
    <row r="144" spans="1:14" s="55" customFormat="1" ht="15.75" customHeight="1">
      <c r="A144" s="7"/>
      <c r="B144" s="32"/>
      <c r="C144" s="32"/>
      <c r="D144" s="32"/>
      <c r="E144" s="260"/>
      <c r="F144" s="260"/>
      <c r="G144" s="34"/>
      <c r="H144" s="35"/>
      <c r="I144" s="18"/>
      <c r="J144" s="258"/>
      <c r="K144" s="258"/>
      <c r="L144" s="259"/>
      <c r="N144" s="8"/>
    </row>
    <row r="145" spans="1:14" s="55" customFormat="1" ht="18.75" customHeight="1">
      <c r="A145" s="7"/>
      <c r="B145" s="32"/>
      <c r="C145" s="32"/>
      <c r="D145" s="32"/>
      <c r="E145" s="260"/>
      <c r="F145" s="260"/>
      <c r="G145" s="34"/>
      <c r="H145" s="35"/>
      <c r="I145" s="18"/>
      <c r="J145" s="258"/>
      <c r="K145" s="258"/>
      <c r="L145" s="259"/>
      <c r="N145" s="8"/>
    </row>
    <row r="146" spans="1:14" s="55" customFormat="1" ht="15.75" customHeight="1">
      <c r="A146" s="7"/>
      <c r="B146" s="32"/>
      <c r="C146" s="32"/>
      <c r="D146" s="32"/>
      <c r="E146" s="260"/>
      <c r="F146" s="260"/>
      <c r="G146" s="34"/>
      <c r="H146" s="35"/>
      <c r="I146" s="18"/>
      <c r="J146" s="258"/>
      <c r="K146" s="258"/>
      <c r="L146" s="259"/>
      <c r="N146" s="8"/>
    </row>
    <row r="147" spans="1:14" s="55" customFormat="1" ht="18.75" customHeight="1">
      <c r="A147" s="7"/>
      <c r="B147" s="32"/>
      <c r="C147" s="32"/>
      <c r="D147" s="32"/>
      <c r="E147" s="260"/>
      <c r="F147" s="260"/>
      <c r="G147" s="34"/>
      <c r="H147" s="35"/>
      <c r="I147" s="18"/>
      <c r="J147" s="258"/>
      <c r="K147" s="258"/>
      <c r="L147" s="259"/>
      <c r="N147" s="8"/>
    </row>
    <row r="148" spans="1:14" s="55" customFormat="1" ht="15.75" customHeight="1">
      <c r="A148" s="7"/>
      <c r="B148" s="32"/>
      <c r="C148" s="32"/>
      <c r="D148" s="32"/>
      <c r="E148" s="260"/>
      <c r="F148" s="260"/>
      <c r="G148" s="34"/>
      <c r="H148" s="35"/>
      <c r="I148" s="18"/>
      <c r="J148" s="258"/>
      <c r="K148" s="258"/>
      <c r="L148" s="259"/>
      <c r="N148" s="8"/>
    </row>
    <row r="149" spans="1:14" s="55" customFormat="1" ht="15.75" customHeight="1">
      <c r="A149" s="7"/>
      <c r="B149" s="32"/>
      <c r="C149" s="32"/>
      <c r="D149" s="32"/>
      <c r="E149" s="202"/>
      <c r="F149" s="202"/>
      <c r="G149" s="34"/>
      <c r="H149" s="35"/>
      <c r="I149" s="18"/>
      <c r="J149" s="200"/>
      <c r="K149" s="200"/>
      <c r="L149" s="201"/>
      <c r="N149" s="8"/>
    </row>
    <row r="150" spans="1:14" s="55" customFormat="1" ht="18.75" customHeight="1">
      <c r="A150" s="7"/>
      <c r="B150" s="32"/>
      <c r="C150" s="32"/>
      <c r="D150" s="32"/>
      <c r="E150" s="202"/>
      <c r="F150" s="202"/>
      <c r="G150" s="34"/>
      <c r="H150" s="35"/>
      <c r="I150" s="18"/>
      <c r="J150" s="200"/>
      <c r="K150" s="200"/>
      <c r="L150" s="201"/>
      <c r="N150" s="8"/>
    </row>
    <row r="151" spans="1:14" s="55" customFormat="1" ht="15.75" customHeight="1">
      <c r="A151" s="7"/>
      <c r="B151" s="32"/>
      <c r="C151" s="32"/>
      <c r="D151" s="32"/>
      <c r="E151" s="202"/>
      <c r="F151" s="202"/>
      <c r="G151" s="34"/>
      <c r="H151" s="35"/>
      <c r="I151" s="18"/>
      <c r="J151" s="200"/>
      <c r="K151" s="200"/>
      <c r="L151" s="201"/>
      <c r="N151" s="8"/>
    </row>
    <row r="152" spans="1:14" s="55" customFormat="1" ht="18.75" customHeight="1">
      <c r="A152" s="7"/>
      <c r="B152" s="32"/>
      <c r="C152" s="32"/>
      <c r="D152" s="32"/>
      <c r="E152" s="202"/>
      <c r="F152" s="202"/>
      <c r="G152" s="34"/>
      <c r="H152" s="35"/>
      <c r="I152" s="18"/>
      <c r="J152" s="200"/>
      <c r="K152" s="200"/>
      <c r="L152" s="201"/>
      <c r="N152" s="8"/>
    </row>
    <row r="153" spans="1:14" s="55" customFormat="1" ht="15.75" customHeight="1">
      <c r="A153" s="7"/>
      <c r="B153" s="32"/>
      <c r="C153" s="32"/>
      <c r="D153" s="32"/>
      <c r="E153" s="202"/>
      <c r="F153" s="202"/>
      <c r="G153" s="34"/>
      <c r="H153" s="35"/>
      <c r="I153" s="18"/>
      <c r="J153" s="200"/>
      <c r="K153" s="200"/>
      <c r="L153" s="201"/>
      <c r="N153" s="8"/>
    </row>
    <row r="154" spans="1:14" s="55" customFormat="1" ht="18.75" customHeight="1">
      <c r="A154" s="7"/>
      <c r="B154" s="32"/>
      <c r="C154" s="32"/>
      <c r="D154" s="32"/>
      <c r="E154" s="202"/>
      <c r="F154" s="202"/>
      <c r="G154" s="34"/>
      <c r="H154" s="35"/>
      <c r="I154" s="18"/>
      <c r="J154" s="200"/>
      <c r="K154" s="200"/>
      <c r="L154" s="201"/>
      <c r="N154" s="8"/>
    </row>
    <row r="155" spans="1:14" s="55" customFormat="1" ht="15.75" customHeight="1">
      <c r="A155" s="7"/>
      <c r="B155" s="32"/>
      <c r="C155" s="32"/>
      <c r="D155" s="32"/>
      <c r="E155" s="202"/>
      <c r="F155" s="202"/>
      <c r="G155" s="34"/>
      <c r="H155" s="35"/>
      <c r="I155" s="18"/>
      <c r="J155" s="200"/>
      <c r="K155" s="200"/>
      <c r="L155" s="201"/>
      <c r="N155" s="8"/>
    </row>
    <row r="156" spans="1:14" s="55" customFormat="1" ht="15.75" customHeight="1">
      <c r="A156" s="7"/>
      <c r="B156" s="32"/>
      <c r="C156" s="32"/>
      <c r="D156" s="32"/>
      <c r="E156" s="202"/>
      <c r="F156" s="202"/>
      <c r="G156" s="34"/>
      <c r="H156" s="35"/>
      <c r="I156" s="18"/>
      <c r="J156" s="200"/>
      <c r="K156" s="200"/>
      <c r="L156" s="201"/>
      <c r="N156" s="8"/>
    </row>
    <row r="157" spans="1:14" s="55" customFormat="1" ht="18.75" customHeight="1">
      <c r="A157" s="7"/>
      <c r="B157" s="32"/>
      <c r="C157" s="32"/>
      <c r="D157" s="32"/>
      <c r="E157" s="202"/>
      <c r="F157" s="202"/>
      <c r="G157" s="34"/>
      <c r="H157" s="35"/>
      <c r="I157" s="18"/>
      <c r="J157" s="200"/>
      <c r="K157" s="200"/>
      <c r="L157" s="201"/>
      <c r="N157" s="8"/>
    </row>
    <row r="158" spans="1:14" s="55" customFormat="1" ht="18.75" customHeight="1">
      <c r="A158" s="7"/>
      <c r="B158" s="32"/>
      <c r="C158" s="32"/>
      <c r="D158" s="32"/>
      <c r="E158" s="202"/>
      <c r="F158" s="202"/>
      <c r="G158" s="34"/>
      <c r="H158" s="35"/>
      <c r="I158" s="18"/>
      <c r="J158" s="200"/>
      <c r="K158" s="200"/>
      <c r="L158" s="201"/>
      <c r="N158" s="8"/>
    </row>
    <row r="159" spans="1:14" s="55" customFormat="1" ht="15.75" customHeight="1">
      <c r="A159" s="7"/>
      <c r="B159" s="32"/>
      <c r="C159" s="32"/>
      <c r="D159" s="32"/>
      <c r="E159" s="202"/>
      <c r="F159" s="202"/>
      <c r="G159" s="34"/>
      <c r="H159" s="35"/>
      <c r="I159" s="18"/>
      <c r="J159" s="200"/>
      <c r="K159" s="200"/>
      <c r="L159" s="201"/>
      <c r="N159" s="8"/>
    </row>
    <row r="160" spans="1:14" s="55" customFormat="1" ht="18.75" customHeight="1">
      <c r="A160" s="7"/>
      <c r="B160" s="32"/>
      <c r="C160" s="32"/>
      <c r="D160" s="32"/>
      <c r="E160" s="202"/>
      <c r="F160" s="202"/>
      <c r="G160" s="34"/>
      <c r="H160" s="35"/>
      <c r="I160" s="18"/>
      <c r="J160" s="200"/>
      <c r="K160" s="200"/>
      <c r="L160" s="201"/>
      <c r="N160" s="8"/>
    </row>
    <row r="161" spans="1:14" s="55" customFormat="1" ht="15.75" customHeight="1">
      <c r="A161" s="7"/>
      <c r="B161" s="32"/>
      <c r="C161" s="32"/>
      <c r="D161" s="32"/>
      <c r="E161" s="202"/>
      <c r="F161" s="202"/>
      <c r="G161" s="34"/>
      <c r="H161" s="35"/>
      <c r="I161" s="18"/>
      <c r="J161" s="200"/>
      <c r="K161" s="200"/>
      <c r="L161" s="201"/>
      <c r="N161" s="8"/>
    </row>
    <row r="162" spans="1:14" s="55" customFormat="1" ht="18.75" customHeight="1">
      <c r="A162" s="7"/>
      <c r="B162" s="32"/>
      <c r="C162" s="32"/>
      <c r="D162" s="32"/>
      <c r="E162" s="202"/>
      <c r="F162" s="202"/>
      <c r="G162" s="34"/>
      <c r="H162" s="35"/>
      <c r="I162" s="18"/>
      <c r="J162" s="200"/>
      <c r="K162" s="200"/>
      <c r="L162" s="201"/>
      <c r="N162" s="8"/>
    </row>
    <row r="163" spans="1:14" s="55" customFormat="1" ht="15.75" customHeight="1">
      <c r="A163" s="7"/>
      <c r="B163" s="32"/>
      <c r="C163" s="32"/>
      <c r="D163" s="32"/>
      <c r="E163" s="202"/>
      <c r="F163" s="202"/>
      <c r="G163" s="34"/>
      <c r="H163" s="35"/>
      <c r="I163" s="18"/>
      <c r="J163" s="200"/>
      <c r="K163" s="200"/>
      <c r="L163" s="201"/>
      <c r="N163" s="8"/>
    </row>
    <row r="164" spans="1:14" s="55" customFormat="1" ht="15.75" customHeight="1">
      <c r="A164" s="7"/>
      <c r="B164" s="32"/>
      <c r="C164" s="32"/>
      <c r="D164" s="32"/>
      <c r="E164" s="202"/>
      <c r="F164" s="202"/>
      <c r="G164" s="34"/>
      <c r="H164" s="35"/>
      <c r="I164" s="18"/>
      <c r="J164" s="200"/>
      <c r="K164" s="200"/>
      <c r="L164" s="201"/>
      <c r="N164" s="8"/>
    </row>
    <row r="165" spans="1:14" s="55" customFormat="1" ht="18.75" customHeight="1">
      <c r="A165" s="7"/>
      <c r="B165" s="32"/>
      <c r="C165" s="32"/>
      <c r="D165" s="32"/>
      <c r="E165" s="202"/>
      <c r="F165" s="202"/>
      <c r="G165" s="34"/>
      <c r="H165" s="35"/>
      <c r="I165" s="18"/>
      <c r="J165" s="200"/>
      <c r="K165" s="200"/>
      <c r="L165" s="201"/>
      <c r="N165" s="8"/>
    </row>
    <row r="166" spans="1:14" s="55" customFormat="1" ht="15.75" customHeight="1">
      <c r="A166" s="7"/>
      <c r="B166" s="32"/>
      <c r="C166" s="32"/>
      <c r="D166" s="32"/>
      <c r="E166" s="202"/>
      <c r="F166" s="202"/>
      <c r="G166" s="34"/>
      <c r="H166" s="35"/>
      <c r="I166" s="18"/>
      <c r="J166" s="200"/>
      <c r="K166" s="200"/>
      <c r="L166" s="201"/>
      <c r="N166" s="8"/>
    </row>
    <row r="167" spans="1:14" s="55" customFormat="1" ht="18.75" customHeight="1">
      <c r="A167" s="7"/>
      <c r="B167" s="32"/>
      <c r="C167" s="32"/>
      <c r="D167" s="32"/>
      <c r="E167" s="202"/>
      <c r="F167" s="202"/>
      <c r="G167" s="34"/>
      <c r="H167" s="35"/>
      <c r="I167" s="18"/>
      <c r="J167" s="200"/>
      <c r="K167" s="200"/>
      <c r="L167" s="201"/>
      <c r="N167" s="8"/>
    </row>
    <row r="168" spans="1:14" s="55" customFormat="1" ht="15.75" customHeight="1">
      <c r="A168" s="7"/>
      <c r="B168" s="32"/>
      <c r="C168" s="32"/>
      <c r="D168" s="32"/>
      <c r="E168" s="202"/>
      <c r="F168" s="202"/>
      <c r="G168" s="34"/>
      <c r="H168" s="35"/>
      <c r="I168" s="18"/>
      <c r="J168" s="200"/>
      <c r="K168" s="200"/>
      <c r="L168" s="201"/>
      <c r="N168" s="8"/>
    </row>
    <row r="169" spans="1:14" s="55" customFormat="1" ht="18.75" customHeight="1">
      <c r="A169" s="7"/>
      <c r="B169" s="32"/>
      <c r="C169" s="32"/>
      <c r="D169" s="32"/>
      <c r="E169" s="202"/>
      <c r="F169" s="202"/>
      <c r="G169" s="34"/>
      <c r="H169" s="35"/>
      <c r="I169" s="18"/>
      <c r="J169" s="200"/>
      <c r="K169" s="200"/>
      <c r="L169" s="201"/>
      <c r="N169" s="8"/>
    </row>
    <row r="170" spans="1:14" s="55" customFormat="1" ht="15.75" customHeight="1">
      <c r="A170" s="7"/>
      <c r="B170" s="32"/>
      <c r="C170" s="32"/>
      <c r="D170" s="32"/>
      <c r="E170" s="54"/>
      <c r="F170" s="54"/>
      <c r="G170" s="34"/>
      <c r="H170" s="35"/>
      <c r="I170" s="18"/>
      <c r="J170" s="52"/>
      <c r="K170" s="52"/>
      <c r="L170" s="53"/>
      <c r="N170" s="8"/>
    </row>
    <row r="171" spans="1:14" s="55" customFormat="1" ht="18.75" customHeight="1">
      <c r="A171" s="7"/>
      <c r="B171" s="32"/>
      <c r="C171" s="32"/>
      <c r="D171" s="32"/>
      <c r="E171" s="54"/>
      <c r="F171" s="54"/>
      <c r="G171" s="34"/>
      <c r="H171" s="35"/>
      <c r="I171" s="18"/>
      <c r="J171" s="52"/>
      <c r="K171" s="52"/>
      <c r="L171" s="53"/>
      <c r="N171" s="8"/>
    </row>
    <row r="172" spans="1:14" s="55" customFormat="1" ht="15.75" customHeight="1">
      <c r="A172" s="7"/>
      <c r="B172" s="32"/>
      <c r="C172" s="32"/>
      <c r="D172" s="32"/>
      <c r="E172" s="54"/>
      <c r="F172" s="54"/>
      <c r="G172" s="34"/>
      <c r="H172" s="35"/>
      <c r="I172" s="18"/>
      <c r="J172" s="52"/>
      <c r="K172" s="52"/>
      <c r="L172" s="53"/>
      <c r="N172" s="8"/>
    </row>
    <row r="173" spans="1:14" s="55" customFormat="1" ht="18.75" customHeight="1">
      <c r="A173" s="7"/>
      <c r="B173" s="32"/>
      <c r="C173" s="32"/>
      <c r="D173" s="32"/>
      <c r="E173" s="54"/>
      <c r="F173" s="54"/>
      <c r="G173" s="34"/>
      <c r="H173" s="35"/>
      <c r="I173" s="18"/>
      <c r="J173" s="52"/>
      <c r="K173" s="52"/>
      <c r="L173" s="53"/>
      <c r="N173" s="8"/>
    </row>
    <row r="174" spans="1:14" ht="15.75" customHeight="1">
      <c r="A174" s="7"/>
      <c r="B174" s="32"/>
      <c r="C174" s="32"/>
      <c r="D174" s="32"/>
      <c r="E174" s="33"/>
      <c r="F174" s="33"/>
      <c r="G174" s="34"/>
      <c r="H174" s="35"/>
      <c r="I174" s="18"/>
      <c r="J174" s="36"/>
      <c r="K174" s="36"/>
      <c r="L174" s="37"/>
      <c r="N174" s="8"/>
    </row>
    <row r="175" spans="1:14" ht="18.75" customHeight="1">
      <c r="A175" s="7"/>
      <c r="B175" s="32"/>
      <c r="C175" s="32"/>
      <c r="D175" s="32"/>
      <c r="E175" s="33"/>
      <c r="F175" s="33"/>
      <c r="G175" s="34"/>
      <c r="H175" s="35"/>
      <c r="I175" s="18"/>
      <c r="J175" s="36"/>
      <c r="K175" s="36"/>
      <c r="L175" s="37"/>
      <c r="N175" s="8"/>
    </row>
    <row r="176" spans="1:14" ht="13.5" hidden="1" customHeight="1">
      <c r="A176" s="7"/>
      <c r="B176" s="32"/>
      <c r="C176" s="32"/>
      <c r="D176" s="32"/>
      <c r="E176" s="33"/>
      <c r="F176" s="33"/>
      <c r="G176" s="34"/>
      <c r="H176" s="35"/>
      <c r="I176" s="18"/>
      <c r="J176" s="36"/>
      <c r="K176" s="36"/>
      <c r="L176" s="37"/>
      <c r="N176" s="8"/>
    </row>
    <row r="177" spans="1:14" ht="19.5" customHeight="1">
      <c r="A177" s="7"/>
      <c r="B177" s="32"/>
      <c r="C177" s="32"/>
      <c r="D177" s="32"/>
      <c r="E177" s="33"/>
      <c r="F177" s="33"/>
      <c r="G177" s="34"/>
      <c r="H177" s="35"/>
      <c r="I177" s="18"/>
      <c r="J177" s="36"/>
      <c r="K177" s="36"/>
      <c r="L177" s="37"/>
      <c r="N177" s="8"/>
    </row>
    <row r="178" spans="1:14" ht="20.100000000000001" customHeight="1">
      <c r="A178" s="7"/>
      <c r="B178" s="32"/>
      <c r="C178" s="32"/>
      <c r="D178" s="32"/>
      <c r="E178" s="33"/>
      <c r="F178" s="33"/>
      <c r="G178" s="34"/>
      <c r="H178" s="35"/>
      <c r="I178" s="18"/>
      <c r="J178" s="36"/>
      <c r="K178" s="36"/>
      <c r="L178" s="37"/>
      <c r="N178" s="8"/>
    </row>
    <row r="179" spans="1:14" ht="27" customHeight="1">
      <c r="A179" s="7"/>
      <c r="B179" s="32"/>
      <c r="C179" s="32"/>
      <c r="D179" s="32"/>
      <c r="E179" s="33"/>
      <c r="F179" s="33"/>
      <c r="G179" s="34"/>
      <c r="H179" s="35"/>
      <c r="I179" s="18"/>
      <c r="J179" s="36"/>
      <c r="K179" s="36"/>
      <c r="L179" s="37"/>
      <c r="N179" s="8"/>
    </row>
    <row r="180" spans="1:14" ht="20.100000000000001" customHeight="1">
      <c r="A180" s="7"/>
      <c r="B180" s="32"/>
      <c r="C180" s="32"/>
      <c r="D180" s="32"/>
      <c r="E180" s="33"/>
      <c r="F180" s="33"/>
      <c r="G180" s="34"/>
      <c r="H180" s="35"/>
      <c r="I180" s="18"/>
      <c r="J180" s="36"/>
      <c r="K180" s="36"/>
      <c r="L180" s="37"/>
      <c r="N180" s="8"/>
    </row>
    <row r="181" spans="1:14" ht="20.100000000000001" customHeight="1">
      <c r="A181" s="7"/>
      <c r="B181" s="32"/>
      <c r="C181" s="32"/>
      <c r="D181" s="32"/>
      <c r="E181" s="33"/>
      <c r="F181" s="33"/>
      <c r="G181" s="34"/>
      <c r="H181" s="35"/>
      <c r="I181" s="18"/>
      <c r="J181" s="36"/>
      <c r="K181" s="36"/>
      <c r="L181" s="37"/>
      <c r="N181" s="8"/>
    </row>
    <row r="182" spans="1:14" ht="20.100000000000001" customHeight="1">
      <c r="A182" s="7"/>
      <c r="B182" s="32"/>
      <c r="C182" s="32"/>
      <c r="D182" s="32"/>
      <c r="E182" s="33"/>
      <c r="F182" s="33"/>
      <c r="G182" s="34"/>
      <c r="H182" s="35"/>
      <c r="I182" s="18"/>
      <c r="J182" s="36"/>
      <c r="K182" s="36"/>
      <c r="L182" s="37"/>
      <c r="N182" s="8"/>
    </row>
    <row r="183" spans="1:14" ht="39.75" customHeight="1">
      <c r="A183" s="7"/>
      <c r="B183" s="32"/>
      <c r="C183" s="32"/>
      <c r="D183" s="32"/>
      <c r="E183" s="33"/>
      <c r="F183" s="33"/>
      <c r="G183" s="34"/>
      <c r="H183" s="35"/>
      <c r="I183" s="18"/>
      <c r="J183" s="36"/>
      <c r="K183" s="36"/>
      <c r="L183" s="37"/>
      <c r="N183" s="8"/>
    </row>
    <row r="184" spans="1:14" ht="28.5" customHeight="1">
      <c r="A184" s="7"/>
      <c r="B184" s="32"/>
      <c r="C184" s="32"/>
      <c r="D184" s="32"/>
      <c r="E184" s="33"/>
      <c r="F184" s="33"/>
      <c r="G184" s="34"/>
      <c r="H184" s="35"/>
      <c r="I184" s="18"/>
      <c r="J184" s="36"/>
      <c r="K184" s="36"/>
      <c r="L184" s="37"/>
      <c r="N184" s="8"/>
    </row>
    <row r="185" spans="1:14" ht="3" customHeight="1">
      <c r="A185" s="7"/>
      <c r="B185" s="32"/>
      <c r="C185" s="32"/>
      <c r="D185" s="32"/>
      <c r="E185" s="33"/>
      <c r="F185" s="33"/>
      <c r="G185" s="34"/>
      <c r="H185" s="35"/>
      <c r="I185" s="18"/>
      <c r="J185" s="36"/>
      <c r="K185" s="36"/>
      <c r="L185" s="37"/>
      <c r="N185" s="8"/>
    </row>
    <row r="186" spans="1:14" ht="19.5" customHeight="1">
      <c r="A186" s="7"/>
      <c r="B186" s="32"/>
      <c r="C186" s="32"/>
      <c r="D186" s="32"/>
      <c r="E186" s="33"/>
      <c r="F186" s="33"/>
      <c r="G186" s="34"/>
      <c r="H186" s="35"/>
      <c r="I186" s="18"/>
      <c r="J186" s="36"/>
      <c r="K186" s="36"/>
      <c r="L186" s="37"/>
      <c r="N186" s="8"/>
    </row>
    <row r="187" spans="1:14" ht="20.100000000000001" customHeight="1">
      <c r="A187" s="7"/>
      <c r="B187" s="32"/>
      <c r="C187" s="32"/>
      <c r="D187" s="32"/>
      <c r="E187" s="33"/>
      <c r="F187" s="33"/>
      <c r="G187" s="34"/>
      <c r="H187" s="35"/>
      <c r="I187" s="18"/>
      <c r="J187" s="36"/>
      <c r="K187" s="36"/>
      <c r="L187" s="37"/>
      <c r="N187" s="8"/>
    </row>
    <row r="188" spans="1:14" ht="20.100000000000001" customHeight="1">
      <c r="A188" s="7"/>
      <c r="B188" s="32"/>
      <c r="C188" s="32"/>
      <c r="D188" s="32"/>
      <c r="E188" s="33"/>
      <c r="F188" s="33"/>
      <c r="G188" s="34"/>
      <c r="H188" s="35"/>
      <c r="I188" s="18"/>
      <c r="J188" s="36"/>
      <c r="K188" s="36"/>
      <c r="L188" s="37"/>
      <c r="N188" s="8"/>
    </row>
    <row r="189" spans="1:14" ht="20.100000000000001" customHeight="1">
      <c r="A189" s="7"/>
      <c r="B189" s="32"/>
      <c r="C189" s="32"/>
      <c r="D189" s="32"/>
      <c r="E189" s="33"/>
      <c r="F189" s="33"/>
      <c r="G189" s="34"/>
      <c r="H189" s="35"/>
      <c r="I189" s="18"/>
      <c r="J189" s="36"/>
      <c r="K189" s="36"/>
      <c r="L189" s="37"/>
      <c r="N189" s="8"/>
    </row>
    <row r="190" spans="1:14" ht="20.100000000000001" customHeight="1">
      <c r="A190" s="7"/>
      <c r="B190" s="32"/>
      <c r="C190" s="32"/>
      <c r="D190" s="32"/>
      <c r="E190" s="33"/>
      <c r="F190" s="33"/>
      <c r="G190" s="34"/>
      <c r="H190" s="35"/>
      <c r="I190" s="18"/>
      <c r="J190" s="36"/>
      <c r="K190" s="36"/>
      <c r="L190" s="37"/>
      <c r="N190" s="8"/>
    </row>
    <row r="191" spans="1:14" ht="19.5" customHeight="1">
      <c r="A191" s="7"/>
      <c r="B191" s="32"/>
      <c r="C191" s="32"/>
      <c r="D191" s="32"/>
      <c r="E191" s="584"/>
      <c r="F191" s="584"/>
      <c r="G191" s="34"/>
      <c r="H191" s="35"/>
      <c r="I191" s="18"/>
      <c r="J191" s="36"/>
      <c r="K191" s="564"/>
      <c r="L191" s="565"/>
      <c r="N191" s="8"/>
    </row>
    <row r="192" spans="1:14" ht="1.5" hidden="1" customHeight="1">
      <c r="A192" s="7"/>
      <c r="B192" s="32"/>
      <c r="C192" s="32"/>
      <c r="D192" s="32"/>
      <c r="E192" s="33"/>
      <c r="F192" s="33"/>
      <c r="G192" s="34"/>
      <c r="H192" s="35"/>
      <c r="I192" s="18"/>
      <c r="J192" s="36"/>
      <c r="K192" s="36"/>
      <c r="L192" s="37"/>
      <c r="N192" s="8"/>
    </row>
    <row r="193" spans="1:14" ht="19.5" hidden="1" customHeight="1">
      <c r="A193" s="7"/>
      <c r="B193" s="32"/>
      <c r="C193" s="32"/>
      <c r="D193" s="32"/>
      <c r="E193" s="33"/>
      <c r="F193" s="33"/>
      <c r="G193" s="34"/>
      <c r="H193" s="35"/>
      <c r="I193" s="18"/>
      <c r="J193" s="36"/>
      <c r="K193" s="36"/>
      <c r="L193" s="37"/>
      <c r="N193" s="8"/>
    </row>
    <row r="194" spans="1:14" ht="22.5" customHeight="1">
      <c r="A194" s="7"/>
      <c r="B194" s="32"/>
      <c r="C194" s="32"/>
      <c r="D194" s="32"/>
      <c r="E194" s="33"/>
      <c r="F194" s="33"/>
      <c r="G194" s="34"/>
      <c r="H194" s="35"/>
      <c r="I194" s="18"/>
      <c r="J194" s="36"/>
      <c r="K194" s="36"/>
      <c r="L194" s="37"/>
      <c r="N194" s="9"/>
    </row>
    <row r="195" spans="1:14" ht="22.5" customHeight="1">
      <c r="A195" s="7"/>
      <c r="B195" s="32"/>
      <c r="C195" s="32"/>
      <c r="D195" s="32"/>
      <c r="E195" s="33"/>
      <c r="F195" s="33"/>
      <c r="G195" s="34"/>
      <c r="H195" s="35"/>
      <c r="I195" s="18"/>
      <c r="J195" s="36"/>
      <c r="K195" s="36"/>
      <c r="L195" s="37"/>
      <c r="N195" s="9"/>
    </row>
    <row r="196" spans="1:14" ht="22.5" customHeight="1">
      <c r="A196" s="7"/>
      <c r="B196" s="32"/>
      <c r="C196" s="32"/>
      <c r="D196" s="32"/>
      <c r="E196" s="33"/>
      <c r="F196" s="33"/>
      <c r="G196" s="34"/>
      <c r="H196" s="35"/>
      <c r="I196" s="18"/>
      <c r="J196" s="36"/>
      <c r="K196" s="36"/>
      <c r="L196" s="37"/>
      <c r="N196" s="9"/>
    </row>
    <row r="197" spans="1:14" ht="22.5" customHeight="1">
      <c r="A197" s="7"/>
      <c r="B197" s="32"/>
      <c r="C197" s="32"/>
      <c r="D197" s="32"/>
      <c r="E197" s="33"/>
      <c r="F197" s="33"/>
      <c r="G197" s="34"/>
      <c r="H197" s="35"/>
      <c r="I197" s="18"/>
      <c r="J197" s="36"/>
      <c r="K197" s="36"/>
      <c r="L197" s="37"/>
      <c r="N197" s="9"/>
    </row>
    <row r="198" spans="1:14" ht="7.5" customHeight="1">
      <c r="A198" s="7"/>
      <c r="B198" s="32"/>
      <c r="C198" s="32"/>
      <c r="D198" s="32"/>
      <c r="E198" s="33"/>
      <c r="F198" s="33"/>
      <c r="G198" s="34"/>
      <c r="H198" s="35"/>
      <c r="I198" s="18"/>
      <c r="J198" s="36"/>
      <c r="K198" s="36"/>
      <c r="L198" s="37"/>
      <c r="N198" s="9"/>
    </row>
    <row r="199" spans="1:14" ht="15.75" customHeight="1">
      <c r="A199" s="7"/>
      <c r="B199" s="32"/>
      <c r="C199" s="32"/>
      <c r="D199" s="32"/>
      <c r="E199" s="33"/>
      <c r="G199" s="34"/>
      <c r="H199" s="35"/>
      <c r="I199" s="18"/>
      <c r="J199" s="36"/>
      <c r="K199" s="36"/>
      <c r="L199" s="37"/>
      <c r="N199" s="9"/>
    </row>
    <row r="200" spans="1:14" ht="29.25" customHeight="1">
      <c r="A200" s="7"/>
      <c r="B200" s="32"/>
      <c r="C200" s="32"/>
      <c r="D200" s="32"/>
      <c r="E200" s="33"/>
      <c r="F200" s="33"/>
      <c r="G200" s="34"/>
      <c r="H200" s="35"/>
      <c r="I200" s="18"/>
      <c r="J200" s="36"/>
      <c r="K200" s="36"/>
      <c r="L200" s="37"/>
      <c r="N200" s="9"/>
    </row>
    <row r="201" spans="1:14" ht="22.5" customHeight="1">
      <c r="A201" s="7"/>
      <c r="B201" s="32"/>
      <c r="C201" s="32"/>
      <c r="D201" s="32"/>
      <c r="E201" s="33"/>
      <c r="F201" s="33"/>
      <c r="G201" s="34"/>
      <c r="H201" s="35"/>
      <c r="I201" s="18"/>
      <c r="J201" s="36"/>
      <c r="K201" s="36"/>
      <c r="L201" s="37"/>
      <c r="N201" s="9"/>
    </row>
    <row r="202" spans="1:14" ht="29.25" customHeight="1">
      <c r="A202" s="7"/>
      <c r="B202" s="32"/>
      <c r="C202" s="32"/>
      <c r="D202" s="32"/>
      <c r="E202" s="33"/>
      <c r="F202" s="33"/>
      <c r="G202" s="34"/>
      <c r="H202" s="35"/>
      <c r="I202" s="18"/>
      <c r="J202" s="36"/>
      <c r="K202" s="36"/>
      <c r="L202" s="37"/>
      <c r="N202" s="9"/>
    </row>
    <row r="203" spans="1:14" ht="27.75" customHeight="1">
      <c r="A203" s="7"/>
      <c r="B203" s="32"/>
      <c r="C203" s="32"/>
      <c r="D203" s="32"/>
      <c r="E203" s="33"/>
      <c r="F203" s="33"/>
      <c r="G203" s="34"/>
      <c r="H203" s="35"/>
      <c r="I203" s="18"/>
      <c r="J203" s="36"/>
      <c r="K203" s="36"/>
      <c r="L203" s="37"/>
    </row>
    <row r="204" spans="1:14" ht="22.5" customHeight="1">
      <c r="A204" s="7"/>
      <c r="B204" s="32"/>
      <c r="C204" s="32"/>
      <c r="D204" s="32"/>
      <c r="E204" s="33"/>
      <c r="F204" s="33"/>
      <c r="G204" s="34"/>
      <c r="H204" s="35"/>
      <c r="I204" s="18"/>
      <c r="J204" s="36"/>
      <c r="K204" s="36"/>
      <c r="L204" s="36"/>
    </row>
    <row r="205" spans="1:14" ht="22.5" customHeight="1">
      <c r="A205" s="7"/>
      <c r="B205" s="32"/>
      <c r="C205" s="32"/>
      <c r="D205" s="32"/>
      <c r="E205" s="33"/>
      <c r="F205" s="33"/>
      <c r="G205" s="34"/>
      <c r="H205" s="35"/>
      <c r="I205" s="18"/>
      <c r="J205" s="36"/>
      <c r="K205" s="36"/>
      <c r="L205" s="36"/>
    </row>
    <row r="206" spans="1:14" ht="19.5" customHeight="1">
      <c r="A206" s="7"/>
      <c r="B206" s="32"/>
      <c r="C206" s="32"/>
      <c r="D206" s="32"/>
      <c r="E206" s="33"/>
      <c r="F206" s="33"/>
      <c r="G206" s="34"/>
      <c r="H206" s="35"/>
      <c r="I206" s="20"/>
      <c r="J206" s="21"/>
      <c r="K206" s="21"/>
      <c r="L206" s="36"/>
    </row>
    <row r="207" spans="1:14" ht="38.25" customHeight="1">
      <c r="A207" s="7"/>
      <c r="B207" s="32"/>
      <c r="C207" s="32"/>
      <c r="D207" s="32"/>
      <c r="E207" s="33"/>
      <c r="F207" s="33"/>
      <c r="G207" s="34"/>
      <c r="H207" s="35"/>
      <c r="I207" s="21"/>
      <c r="J207" s="21"/>
      <c r="K207" s="21"/>
      <c r="L207" s="36"/>
    </row>
    <row r="208" spans="1:14" ht="18" customHeight="1">
      <c r="A208" s="7"/>
      <c r="B208" s="32"/>
      <c r="C208" s="32"/>
      <c r="D208" s="32"/>
      <c r="E208" s="33"/>
      <c r="F208" s="33"/>
      <c r="G208" s="34"/>
      <c r="H208" s="35"/>
      <c r="I208" s="21"/>
      <c r="J208" s="21"/>
      <c r="K208" s="21"/>
      <c r="L208" s="36"/>
    </row>
    <row r="209" spans="1:12" ht="22.5" customHeight="1">
      <c r="A209" s="7"/>
      <c r="B209" s="32"/>
      <c r="C209" s="32"/>
      <c r="D209" s="32"/>
      <c r="E209" s="33"/>
      <c r="F209" s="33"/>
      <c r="G209" s="34"/>
      <c r="H209" s="35"/>
      <c r="I209" s="18"/>
      <c r="J209" s="36"/>
      <c r="K209" s="36"/>
      <c r="L209" s="36"/>
    </row>
    <row r="210" spans="1:12" ht="22.5" customHeight="1">
      <c r="A210" s="7"/>
      <c r="B210" s="32"/>
      <c r="C210" s="32"/>
      <c r="D210" s="32"/>
      <c r="E210" s="33"/>
      <c r="F210" s="33"/>
      <c r="G210" s="34"/>
      <c r="H210" s="35"/>
      <c r="I210" s="19"/>
      <c r="J210" s="36"/>
      <c r="K210" s="36"/>
      <c r="L210" s="37"/>
    </row>
    <row r="211" spans="1:12" ht="22.5" customHeight="1">
      <c r="A211" s="7"/>
      <c r="B211" s="32"/>
      <c r="C211" s="32"/>
      <c r="D211" s="32"/>
      <c r="E211" s="584"/>
      <c r="F211" s="584"/>
      <c r="G211" s="34"/>
      <c r="H211" s="35"/>
      <c r="I211" s="18"/>
      <c r="J211" s="36"/>
      <c r="K211" s="564"/>
      <c r="L211" s="565"/>
    </row>
    <row r="212" spans="1:12" ht="22.5" customHeight="1">
      <c r="A212" s="7"/>
      <c r="B212" s="32"/>
      <c r="C212" s="32"/>
      <c r="D212" s="32"/>
      <c r="E212" s="584"/>
      <c r="F212" s="584"/>
      <c r="G212" s="34"/>
      <c r="H212" s="35"/>
      <c r="I212" s="18"/>
      <c r="J212" s="36"/>
      <c r="K212" s="564"/>
      <c r="L212" s="565"/>
    </row>
    <row r="213" spans="1:12" s="55" customFormat="1" ht="34.5" customHeight="1">
      <c r="A213" s="7"/>
      <c r="B213" s="32"/>
      <c r="C213" s="32"/>
      <c r="D213" s="32"/>
      <c r="E213" s="584"/>
      <c r="F213" s="584"/>
      <c r="G213" s="34"/>
      <c r="H213" s="35"/>
      <c r="I213" s="18"/>
      <c r="J213" s="52"/>
      <c r="K213" s="564"/>
      <c r="L213" s="565"/>
    </row>
    <row r="214" spans="1:12" s="55" customFormat="1" ht="22.5" customHeight="1">
      <c r="A214" s="7"/>
      <c r="B214" s="32"/>
      <c r="C214" s="32"/>
      <c r="D214" s="32"/>
      <c r="E214" s="54"/>
      <c r="F214" s="54"/>
      <c r="G214" s="34"/>
      <c r="H214" s="35"/>
      <c r="I214" s="18"/>
      <c r="J214" s="52"/>
      <c r="K214" s="52"/>
      <c r="L214" s="53"/>
    </row>
    <row r="215" spans="1:12" s="55" customFormat="1" ht="19.5" hidden="1" customHeight="1">
      <c r="A215" s="7"/>
      <c r="B215" s="32"/>
      <c r="C215" s="32"/>
      <c r="D215" s="32"/>
      <c r="E215" s="584"/>
      <c r="F215" s="584"/>
      <c r="G215" s="34"/>
      <c r="H215" s="35"/>
      <c r="I215" s="18"/>
      <c r="J215" s="52"/>
      <c r="K215" s="564"/>
      <c r="L215" s="565"/>
    </row>
    <row r="216" spans="1:12" ht="35.25" customHeight="1">
      <c r="A216" s="585" t="s">
        <v>29</v>
      </c>
      <c r="B216" s="585"/>
      <c r="C216" s="38" t="s">
        <v>30</v>
      </c>
      <c r="D216" s="585" t="s">
        <v>27</v>
      </c>
      <c r="E216" s="585"/>
      <c r="F216" s="38" t="s">
        <v>23</v>
      </c>
      <c r="G216" s="585" t="s">
        <v>29</v>
      </c>
      <c r="H216" s="585"/>
      <c r="I216" s="38" t="s">
        <v>30</v>
      </c>
      <c r="J216" s="585" t="s">
        <v>27</v>
      </c>
      <c r="K216" s="585"/>
      <c r="L216" s="38" t="s">
        <v>23</v>
      </c>
    </row>
    <row r="217" spans="1:12" ht="35.25" customHeight="1">
      <c r="A217" s="586" t="s">
        <v>33</v>
      </c>
      <c r="B217" s="586"/>
      <c r="C217" s="591" t="s">
        <v>52</v>
      </c>
      <c r="D217" s="587" t="s">
        <v>58</v>
      </c>
      <c r="E217" s="586"/>
      <c r="F217" s="254">
        <v>16</v>
      </c>
      <c r="G217" s="592" t="s">
        <v>39</v>
      </c>
      <c r="H217" s="593"/>
      <c r="I217" s="596" t="s">
        <v>53</v>
      </c>
      <c r="J217" s="39" t="s">
        <v>38</v>
      </c>
      <c r="K217" s="40"/>
      <c r="L217" s="254"/>
    </row>
    <row r="218" spans="1:12" ht="35.25" customHeight="1">
      <c r="A218" s="586"/>
      <c r="B218" s="586"/>
      <c r="C218" s="591"/>
      <c r="D218" s="587" t="s">
        <v>59</v>
      </c>
      <c r="E218" s="586"/>
      <c r="F218" s="255"/>
      <c r="G218" s="594"/>
      <c r="H218" s="595"/>
      <c r="I218" s="597"/>
      <c r="J218" s="41" t="s">
        <v>72</v>
      </c>
      <c r="K218" s="40"/>
      <c r="L218" s="255">
        <v>8</v>
      </c>
    </row>
    <row r="219" spans="1:12" ht="35.25" customHeight="1">
      <c r="A219" s="586"/>
      <c r="B219" s="586"/>
      <c r="C219" s="42" t="s">
        <v>57</v>
      </c>
      <c r="D219" s="587" t="s">
        <v>60</v>
      </c>
      <c r="E219" s="586"/>
      <c r="F219" s="255"/>
      <c r="G219" s="598" t="s">
        <v>42</v>
      </c>
      <c r="H219" s="599"/>
      <c r="I219" s="43" t="s">
        <v>73</v>
      </c>
      <c r="J219" s="44"/>
      <c r="K219" s="40"/>
      <c r="L219" s="255">
        <v>1</v>
      </c>
    </row>
    <row r="220" spans="1:12" ht="35.25" customHeight="1">
      <c r="A220" s="586" t="s">
        <v>34</v>
      </c>
      <c r="B220" s="586"/>
      <c r="C220" s="45" t="s">
        <v>54</v>
      </c>
      <c r="D220" s="587" t="s">
        <v>61</v>
      </c>
      <c r="E220" s="586"/>
      <c r="F220" s="254"/>
      <c r="G220" s="588" t="s">
        <v>43</v>
      </c>
      <c r="H220" s="589"/>
      <c r="I220" s="46" t="s">
        <v>74</v>
      </c>
      <c r="J220" s="44"/>
      <c r="K220" s="40"/>
      <c r="L220" s="254"/>
    </row>
    <row r="221" spans="1:12" ht="35.25" customHeight="1">
      <c r="A221" s="586"/>
      <c r="B221" s="586"/>
      <c r="C221" s="45" t="s">
        <v>55</v>
      </c>
      <c r="D221" s="590" t="s">
        <v>62</v>
      </c>
      <c r="E221" s="591"/>
      <c r="F221" s="255"/>
      <c r="G221" s="588" t="s">
        <v>44</v>
      </c>
      <c r="H221" s="589"/>
      <c r="I221" s="46" t="s">
        <v>75</v>
      </c>
      <c r="J221" s="47"/>
      <c r="K221" s="48"/>
      <c r="L221" s="255"/>
    </row>
    <row r="222" spans="1:12" ht="35.25" customHeight="1">
      <c r="A222" s="586" t="s">
        <v>35</v>
      </c>
      <c r="B222" s="586"/>
      <c r="C222" s="591" t="s">
        <v>36</v>
      </c>
      <c r="D222" s="587" t="s">
        <v>63</v>
      </c>
      <c r="E222" s="586"/>
      <c r="F222" s="256">
        <v>8</v>
      </c>
      <c r="G222" s="600" t="s">
        <v>41</v>
      </c>
      <c r="H222" s="601"/>
      <c r="I222" s="46" t="s">
        <v>76</v>
      </c>
      <c r="J222" s="44"/>
      <c r="K222" s="40"/>
      <c r="L222" s="256"/>
    </row>
    <row r="223" spans="1:12" ht="35.25" customHeight="1">
      <c r="A223" s="586"/>
      <c r="B223" s="586"/>
      <c r="C223" s="591"/>
      <c r="D223" s="590" t="s">
        <v>64</v>
      </c>
      <c r="E223" s="591"/>
      <c r="F223" s="28">
        <v>1</v>
      </c>
      <c r="G223" s="600" t="s">
        <v>45</v>
      </c>
      <c r="H223" s="601"/>
      <c r="I223" s="49" t="s">
        <v>40</v>
      </c>
      <c r="J223" s="47"/>
      <c r="K223" s="48"/>
      <c r="L223" s="28"/>
    </row>
    <row r="224" spans="1:12" ht="35.25" customHeight="1">
      <c r="A224" s="586"/>
      <c r="B224" s="586"/>
      <c r="C224" s="591"/>
      <c r="D224" s="587" t="s">
        <v>65</v>
      </c>
      <c r="E224" s="586"/>
      <c r="F224" s="28"/>
      <c r="G224" s="600" t="s">
        <v>46</v>
      </c>
      <c r="H224" s="601"/>
      <c r="I224" s="49" t="s">
        <v>50</v>
      </c>
      <c r="J224" s="44"/>
      <c r="K224" s="40"/>
      <c r="L224" s="28"/>
    </row>
    <row r="225" spans="1:12" ht="35.25" customHeight="1">
      <c r="A225" s="586"/>
      <c r="B225" s="586"/>
      <c r="C225" s="591"/>
      <c r="D225" s="587" t="s">
        <v>66</v>
      </c>
      <c r="E225" s="586"/>
      <c r="F225" s="28"/>
      <c r="G225" s="588" t="s">
        <v>47</v>
      </c>
      <c r="H225" s="589"/>
      <c r="I225" s="46" t="s">
        <v>99</v>
      </c>
      <c r="J225" s="44"/>
      <c r="K225" s="40"/>
      <c r="L225" s="28"/>
    </row>
    <row r="226" spans="1:12" ht="45" customHeight="1">
      <c r="A226" s="587" t="s">
        <v>37</v>
      </c>
      <c r="B226" s="587"/>
      <c r="C226" s="591" t="s">
        <v>56</v>
      </c>
      <c r="D226" s="587" t="s">
        <v>67</v>
      </c>
      <c r="E226" s="586"/>
      <c r="F226" s="28"/>
      <c r="G226" s="588" t="s">
        <v>47</v>
      </c>
      <c r="H226" s="589"/>
      <c r="I226" s="46" t="s">
        <v>100</v>
      </c>
      <c r="J226" s="44"/>
      <c r="K226" s="40"/>
      <c r="L226" s="28"/>
    </row>
    <row r="227" spans="1:12" ht="35.25" customHeight="1">
      <c r="A227" s="587"/>
      <c r="B227" s="587"/>
      <c r="C227" s="591"/>
      <c r="D227" s="587" t="s">
        <v>68</v>
      </c>
      <c r="E227" s="586"/>
      <c r="F227" s="28">
        <v>4</v>
      </c>
      <c r="G227" s="588" t="s">
        <v>47</v>
      </c>
      <c r="H227" s="589"/>
      <c r="I227" s="50" t="s">
        <v>101</v>
      </c>
      <c r="J227" s="44"/>
      <c r="K227" s="40"/>
      <c r="L227" s="28"/>
    </row>
    <row r="228" spans="1:12" ht="54.75" customHeight="1">
      <c r="A228" s="587"/>
      <c r="B228" s="587"/>
      <c r="C228" s="591"/>
      <c r="D228" s="587" t="s">
        <v>69</v>
      </c>
      <c r="E228" s="586"/>
      <c r="F228" s="28">
        <v>1</v>
      </c>
      <c r="G228" s="588" t="s">
        <v>48</v>
      </c>
      <c r="H228" s="589"/>
      <c r="I228" s="46" t="s">
        <v>77</v>
      </c>
      <c r="J228" s="44"/>
      <c r="K228" s="40"/>
      <c r="L228" s="28"/>
    </row>
    <row r="229" spans="1:12" ht="35.25" customHeight="1">
      <c r="A229" s="587"/>
      <c r="B229" s="587"/>
      <c r="C229" s="591"/>
      <c r="D229" s="587" t="s">
        <v>70</v>
      </c>
      <c r="E229" s="586"/>
      <c r="F229" s="28"/>
      <c r="G229" s="606" t="s">
        <v>49</v>
      </c>
      <c r="H229" s="607"/>
      <c r="I229" s="57" t="s">
        <v>78</v>
      </c>
      <c r="J229" s="44"/>
      <c r="K229" s="40"/>
      <c r="L229" s="28">
        <v>1</v>
      </c>
    </row>
    <row r="230" spans="1:12" ht="35.25" customHeight="1">
      <c r="A230" s="587"/>
      <c r="B230" s="587"/>
      <c r="C230" s="591"/>
      <c r="D230" s="587" t="s">
        <v>71</v>
      </c>
      <c r="E230" s="586"/>
      <c r="F230" s="28">
        <v>1</v>
      </c>
      <c r="G230" s="604"/>
      <c r="H230" s="605"/>
      <c r="I230" s="48"/>
      <c r="J230" s="44"/>
      <c r="K230" s="40"/>
      <c r="L230" s="28"/>
    </row>
    <row r="231" spans="1:12" ht="30" customHeight="1">
      <c r="G231" s="10" t="s">
        <v>51</v>
      </c>
      <c r="H231" s="10"/>
      <c r="I231" s="10"/>
      <c r="J231" s="603">
        <f>SUM(F217:F230)+SUM(L217:L230)</f>
        <v>41</v>
      </c>
      <c r="K231" s="603"/>
    </row>
    <row r="232" spans="1:12" ht="30" customHeight="1">
      <c r="A232" s="602" t="s">
        <v>79</v>
      </c>
      <c r="B232" s="602"/>
      <c r="C232" s="602" t="s">
        <v>91</v>
      </c>
      <c r="D232" s="602"/>
      <c r="E232" s="602"/>
      <c r="F232" s="60" t="s">
        <v>81</v>
      </c>
      <c r="G232" s="602" t="s">
        <v>92</v>
      </c>
      <c r="H232" s="602"/>
      <c r="I232" s="602" t="s">
        <v>84</v>
      </c>
      <c r="J232" s="602"/>
      <c r="K232" s="602"/>
      <c r="L232" s="60"/>
    </row>
    <row r="233" spans="1:12" ht="74.25" customHeight="1">
      <c r="A233" s="60"/>
      <c r="B233" s="60"/>
      <c r="C233" s="60"/>
      <c r="D233" s="60"/>
      <c r="E233" s="60"/>
      <c r="F233" s="60"/>
      <c r="G233" s="60"/>
      <c r="H233" s="60"/>
      <c r="I233" s="60"/>
      <c r="J233" s="60"/>
      <c r="K233" s="60"/>
      <c r="L233" s="60"/>
    </row>
    <row r="234" spans="1:12" ht="30" customHeight="1">
      <c r="A234" s="602" t="s">
        <v>93</v>
      </c>
      <c r="B234" s="602"/>
      <c r="C234" s="602" t="s">
        <v>94</v>
      </c>
      <c r="D234" s="602"/>
      <c r="E234" s="602"/>
      <c r="F234" s="60" t="s">
        <v>95</v>
      </c>
      <c r="G234" s="602" t="s">
        <v>96</v>
      </c>
      <c r="H234" s="602"/>
      <c r="I234" s="602" t="s">
        <v>97</v>
      </c>
      <c r="J234" s="602"/>
      <c r="K234" s="602"/>
      <c r="L234" s="60"/>
    </row>
    <row r="235" spans="1:12" ht="30" customHeight="1"/>
    <row r="236" spans="1:12" ht="30" customHeight="1"/>
    <row r="237" spans="1:12" ht="30" customHeight="1"/>
    <row r="238" spans="1:12" ht="30" customHeight="1"/>
    <row r="239" spans="1:12" ht="30" customHeight="1"/>
    <row r="240" spans="1:12"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sheetData>
  <mergeCells count="68">
    <mergeCell ref="A226:B230"/>
    <mergeCell ref="C226:C230"/>
    <mergeCell ref="G230:H230"/>
    <mergeCell ref="G232:H232"/>
    <mergeCell ref="I232:K232"/>
    <mergeCell ref="G226:H226"/>
    <mergeCell ref="D227:E227"/>
    <mergeCell ref="G227:H227"/>
    <mergeCell ref="D228:E228"/>
    <mergeCell ref="D229:E229"/>
    <mergeCell ref="D226:E226"/>
    <mergeCell ref="G228:H228"/>
    <mergeCell ref="G229:H229"/>
    <mergeCell ref="D230:E230"/>
    <mergeCell ref="A234:B234"/>
    <mergeCell ref="C234:E234"/>
    <mergeCell ref="G234:H234"/>
    <mergeCell ref="I234:K234"/>
    <mergeCell ref="J231:K231"/>
    <mergeCell ref="A232:B232"/>
    <mergeCell ref="C232:E232"/>
    <mergeCell ref="A222:B225"/>
    <mergeCell ref="C222:C225"/>
    <mergeCell ref="D222:E222"/>
    <mergeCell ref="G222:H222"/>
    <mergeCell ref="D223:E223"/>
    <mergeCell ref="G223:H223"/>
    <mergeCell ref="D224:E224"/>
    <mergeCell ref="G224:H224"/>
    <mergeCell ref="D225:E225"/>
    <mergeCell ref="G225:H225"/>
    <mergeCell ref="A217:B219"/>
    <mergeCell ref="C217:C218"/>
    <mergeCell ref="D217:E217"/>
    <mergeCell ref="G217:H218"/>
    <mergeCell ref="I217:I218"/>
    <mergeCell ref="D218:E218"/>
    <mergeCell ref="D219:E219"/>
    <mergeCell ref="G219:H219"/>
    <mergeCell ref="A220:B221"/>
    <mergeCell ref="D220:E220"/>
    <mergeCell ref="G220:H220"/>
    <mergeCell ref="D221:E221"/>
    <mergeCell ref="G221:H221"/>
    <mergeCell ref="A216:B216"/>
    <mergeCell ref="D216:E216"/>
    <mergeCell ref="G216:H216"/>
    <mergeCell ref="J216:K216"/>
    <mergeCell ref="E211:F211"/>
    <mergeCell ref="K211:L211"/>
    <mergeCell ref="E212:F212"/>
    <mergeCell ref="K212:L212"/>
    <mergeCell ref="E215:F215"/>
    <mergeCell ref="K215:L215"/>
    <mergeCell ref="E213:F213"/>
    <mergeCell ref="K213:L213"/>
    <mergeCell ref="K191:L191"/>
    <mergeCell ref="B2:H2"/>
    <mergeCell ref="I2:L2"/>
    <mergeCell ref="C3:D3"/>
    <mergeCell ref="G3:I3"/>
    <mergeCell ref="C4:D4"/>
    <mergeCell ref="G4:I4"/>
    <mergeCell ref="C5:D5"/>
    <mergeCell ref="G5:I5"/>
    <mergeCell ref="C6:D6"/>
    <mergeCell ref="G6:I6"/>
    <mergeCell ref="E191:F191"/>
  </mergeCells>
  <conditionalFormatting sqref="H7 H207 H211:H213 H176:H205 H215">
    <cfRule type="cellIs" dxfId="456" priority="167" stopIfTrue="1" operator="greaterThan">
      <formula>$I$5</formula>
    </cfRule>
  </conditionalFormatting>
  <conditionalFormatting sqref="H210">
    <cfRule type="cellIs" dxfId="455" priority="162" stopIfTrue="1" operator="greaterThan">
      <formula>$I$5</formula>
    </cfRule>
  </conditionalFormatting>
  <conditionalFormatting sqref="H208:H209">
    <cfRule type="cellIs" dxfId="454" priority="161" stopIfTrue="1" operator="greaterThan">
      <formula>$I$5</formula>
    </cfRule>
  </conditionalFormatting>
  <conditionalFormatting sqref="H206">
    <cfRule type="cellIs" dxfId="453" priority="160" stopIfTrue="1" operator="greaterThan">
      <formula>$I$5</formula>
    </cfRule>
  </conditionalFormatting>
  <conditionalFormatting sqref="H174:H175">
    <cfRule type="cellIs" dxfId="452" priority="159" stopIfTrue="1" operator="greaterThan">
      <formula>$I$5</formula>
    </cfRule>
  </conditionalFormatting>
  <conditionalFormatting sqref="H9">
    <cfRule type="cellIs" dxfId="451" priority="157" stopIfTrue="1" operator="greaterThan">
      <formula>$I$5</formula>
    </cfRule>
  </conditionalFormatting>
  <conditionalFormatting sqref="H8">
    <cfRule type="cellIs" dxfId="450" priority="152" stopIfTrue="1" operator="greaterThan">
      <formula>$I$5</formula>
    </cfRule>
  </conditionalFormatting>
  <conditionalFormatting sqref="H214">
    <cfRule type="cellIs" dxfId="449" priority="145" stopIfTrue="1" operator="greaterThan">
      <formula>$I$5</formula>
    </cfRule>
  </conditionalFormatting>
  <conditionalFormatting sqref="H172:H173">
    <cfRule type="cellIs" dxfId="448" priority="141" stopIfTrue="1" operator="greaterThan">
      <formula>$I$5</formula>
    </cfRule>
  </conditionalFormatting>
  <conditionalFormatting sqref="H170:H171">
    <cfRule type="cellIs" dxfId="447" priority="137" stopIfTrue="1" operator="greaterThan">
      <formula>$I$5</formula>
    </cfRule>
  </conditionalFormatting>
  <conditionalFormatting sqref="H161:H162">
    <cfRule type="cellIs" dxfId="446" priority="110" stopIfTrue="1" operator="greaterThan">
      <formula>$I$5</formula>
    </cfRule>
  </conditionalFormatting>
  <conditionalFormatting sqref="H159:H160">
    <cfRule type="cellIs" dxfId="445" priority="109" stopIfTrue="1" operator="greaterThan">
      <formula>$I$5</formula>
    </cfRule>
  </conditionalFormatting>
  <conditionalFormatting sqref="H168:H169">
    <cfRule type="cellIs" dxfId="444" priority="114" stopIfTrue="1" operator="greaterThan">
      <formula>$I$5</formula>
    </cfRule>
  </conditionalFormatting>
  <conditionalFormatting sqref="H166:H167">
    <cfRule type="cellIs" dxfId="443" priority="113" stopIfTrue="1" operator="greaterThan">
      <formula>$I$5</formula>
    </cfRule>
  </conditionalFormatting>
  <conditionalFormatting sqref="H164:H165">
    <cfRule type="cellIs" dxfId="442" priority="112" stopIfTrue="1" operator="greaterThan">
      <formula>$I$5</formula>
    </cfRule>
  </conditionalFormatting>
  <conditionalFormatting sqref="H163">
    <cfRule type="cellIs" dxfId="441" priority="111" stopIfTrue="1" operator="greaterThan">
      <formula>$I$5</formula>
    </cfRule>
  </conditionalFormatting>
  <conditionalFormatting sqref="H149 H158">
    <cfRule type="cellIs" dxfId="440" priority="108" stopIfTrue="1" operator="greaterThan">
      <formula>$I$5</formula>
    </cfRule>
  </conditionalFormatting>
  <conditionalFormatting sqref="H156:H157">
    <cfRule type="cellIs" dxfId="439" priority="107" stopIfTrue="1" operator="greaterThan">
      <formula>$I$5</formula>
    </cfRule>
  </conditionalFormatting>
  <conditionalFormatting sqref="H155">
    <cfRule type="cellIs" dxfId="438" priority="106" stopIfTrue="1" operator="greaterThan">
      <formula>$I$5</formula>
    </cfRule>
  </conditionalFormatting>
  <conditionalFormatting sqref="H153:H154">
    <cfRule type="cellIs" dxfId="437" priority="105" stopIfTrue="1" operator="greaterThan">
      <formula>$I$5</formula>
    </cfRule>
  </conditionalFormatting>
  <conditionalFormatting sqref="H151:H152">
    <cfRule type="cellIs" dxfId="436" priority="104" stopIfTrue="1" operator="greaterThan">
      <formula>$I$5</formula>
    </cfRule>
  </conditionalFormatting>
  <conditionalFormatting sqref="H150">
    <cfRule type="cellIs" dxfId="435" priority="103" stopIfTrue="1" operator="greaterThan">
      <formula>$I$5</formula>
    </cfRule>
  </conditionalFormatting>
  <conditionalFormatting sqref="H12">
    <cfRule type="cellIs" dxfId="434" priority="102" stopIfTrue="1" operator="greaterThan">
      <formula>$I$5</formula>
    </cfRule>
  </conditionalFormatting>
  <conditionalFormatting sqref="H140:H141">
    <cfRule type="cellIs" dxfId="433" priority="101" stopIfTrue="1" operator="greaterThan">
      <formula>$I$5</formula>
    </cfRule>
  </conditionalFormatting>
  <conditionalFormatting sqref="H138:H139">
    <cfRule type="cellIs" dxfId="432" priority="100" stopIfTrue="1" operator="greaterThan">
      <formula>$I$5</formula>
    </cfRule>
  </conditionalFormatting>
  <conditionalFormatting sqref="H137">
    <cfRule type="cellIs" dxfId="431" priority="99" stopIfTrue="1" operator="greaterThan">
      <formula>$I$5</formula>
    </cfRule>
  </conditionalFormatting>
  <conditionalFormatting sqref="H133">
    <cfRule type="cellIs" dxfId="430" priority="98" stopIfTrue="1" operator="greaterThan">
      <formula>$I$5</formula>
    </cfRule>
  </conditionalFormatting>
  <conditionalFormatting sqref="H135:H136">
    <cfRule type="cellIs" dxfId="429" priority="97" stopIfTrue="1" operator="greaterThan">
      <formula>$I$5</formula>
    </cfRule>
  </conditionalFormatting>
  <conditionalFormatting sqref="H134">
    <cfRule type="cellIs" dxfId="428" priority="96" stopIfTrue="1" operator="greaterThan">
      <formula>$I$5</formula>
    </cfRule>
  </conditionalFormatting>
  <conditionalFormatting sqref="H131:H132">
    <cfRule type="cellIs" dxfId="427" priority="95" stopIfTrue="1" operator="greaterThan">
      <formula>$I$5</formula>
    </cfRule>
  </conditionalFormatting>
  <conditionalFormatting sqref="H129:H130">
    <cfRule type="cellIs" dxfId="426" priority="94" stopIfTrue="1" operator="greaterThan">
      <formula>$I$5</formula>
    </cfRule>
  </conditionalFormatting>
  <conditionalFormatting sqref="H128">
    <cfRule type="cellIs" dxfId="425" priority="93" stopIfTrue="1" operator="greaterThan">
      <formula>$I$5</formula>
    </cfRule>
  </conditionalFormatting>
  <conditionalFormatting sqref="H127">
    <cfRule type="cellIs" dxfId="424" priority="92" stopIfTrue="1" operator="greaterThan">
      <formula>$I$5</formula>
    </cfRule>
  </conditionalFormatting>
  <conditionalFormatting sqref="H125:H126">
    <cfRule type="cellIs" dxfId="423" priority="91" stopIfTrue="1" operator="greaterThan">
      <formula>$I$5</formula>
    </cfRule>
  </conditionalFormatting>
  <conditionalFormatting sqref="H124">
    <cfRule type="cellIs" dxfId="422" priority="90" stopIfTrue="1" operator="greaterThan">
      <formula>$I$5</formula>
    </cfRule>
  </conditionalFormatting>
  <conditionalFormatting sqref="H120">
    <cfRule type="cellIs" dxfId="421" priority="89" stopIfTrue="1" operator="greaterThan">
      <formula>$I$5</formula>
    </cfRule>
  </conditionalFormatting>
  <conditionalFormatting sqref="H122:H123">
    <cfRule type="cellIs" dxfId="420" priority="88" stopIfTrue="1" operator="greaterThan">
      <formula>$I$5</formula>
    </cfRule>
  </conditionalFormatting>
  <conditionalFormatting sqref="H121">
    <cfRule type="cellIs" dxfId="419" priority="87" stopIfTrue="1" operator="greaterThan">
      <formula>$I$5</formula>
    </cfRule>
  </conditionalFormatting>
  <conditionalFormatting sqref="H118:H119">
    <cfRule type="cellIs" dxfId="418" priority="86" stopIfTrue="1" operator="greaterThan">
      <formula>$I$5</formula>
    </cfRule>
  </conditionalFormatting>
  <conditionalFormatting sqref="H116:H117">
    <cfRule type="cellIs" dxfId="417" priority="85" stopIfTrue="1" operator="greaterThan">
      <formula>$I$5</formula>
    </cfRule>
  </conditionalFormatting>
  <conditionalFormatting sqref="H104">
    <cfRule type="cellIs" dxfId="416" priority="84" stopIfTrue="1" operator="greaterThan">
      <formula>$I$5</formula>
    </cfRule>
  </conditionalFormatting>
  <conditionalFormatting sqref="H114:H115">
    <cfRule type="cellIs" dxfId="415" priority="83" stopIfTrue="1" operator="greaterThan">
      <formula>$I$5</formula>
    </cfRule>
  </conditionalFormatting>
  <conditionalFormatting sqref="H113">
    <cfRule type="cellIs" dxfId="414" priority="82" stopIfTrue="1" operator="greaterThan">
      <formula>$I$5</formula>
    </cfRule>
  </conditionalFormatting>
  <conditionalFormatting sqref="H109">
    <cfRule type="cellIs" dxfId="413" priority="81" stopIfTrue="1" operator="greaterThan">
      <formula>$I$5</formula>
    </cfRule>
  </conditionalFormatting>
  <conditionalFormatting sqref="H111:H112">
    <cfRule type="cellIs" dxfId="412" priority="80" stopIfTrue="1" operator="greaterThan">
      <formula>$I$5</formula>
    </cfRule>
  </conditionalFormatting>
  <conditionalFormatting sqref="H110">
    <cfRule type="cellIs" dxfId="411" priority="79" stopIfTrue="1" operator="greaterThan">
      <formula>$I$5</formula>
    </cfRule>
  </conditionalFormatting>
  <conditionalFormatting sqref="H107:H108">
    <cfRule type="cellIs" dxfId="410" priority="78" stopIfTrue="1" operator="greaterThan">
      <formula>$I$5</formula>
    </cfRule>
  </conditionalFormatting>
  <conditionalFormatting sqref="H105:H106">
    <cfRule type="cellIs" dxfId="409" priority="77" stopIfTrue="1" operator="greaterThan">
      <formula>$I$5</formula>
    </cfRule>
  </conditionalFormatting>
  <conditionalFormatting sqref="H97">
    <cfRule type="cellIs" dxfId="408" priority="76" stopIfTrue="1" operator="greaterThan">
      <formula>$I$5</formula>
    </cfRule>
  </conditionalFormatting>
  <conditionalFormatting sqref="H102">
    <cfRule type="cellIs" dxfId="407" priority="75" stopIfTrue="1" operator="greaterThan">
      <formula>$I$5</formula>
    </cfRule>
  </conditionalFormatting>
  <conditionalFormatting sqref="H103">
    <cfRule type="cellIs" dxfId="406" priority="74" stopIfTrue="1" operator="greaterThan">
      <formula>$I$5</formula>
    </cfRule>
  </conditionalFormatting>
  <conditionalFormatting sqref="H100:H101">
    <cfRule type="cellIs" dxfId="405" priority="73" stopIfTrue="1" operator="greaterThan">
      <formula>$I$5</formula>
    </cfRule>
  </conditionalFormatting>
  <conditionalFormatting sqref="H98:H99">
    <cfRule type="cellIs" dxfId="404" priority="72" stopIfTrue="1" operator="greaterThan">
      <formula>$I$5</formula>
    </cfRule>
  </conditionalFormatting>
  <conditionalFormatting sqref="H92">
    <cfRule type="cellIs" dxfId="403" priority="71" stopIfTrue="1" operator="greaterThan">
      <formula>$I$5</formula>
    </cfRule>
  </conditionalFormatting>
  <conditionalFormatting sqref="H95:H96">
    <cfRule type="cellIs" dxfId="402" priority="70" stopIfTrue="1" operator="greaterThan">
      <formula>$I$5</formula>
    </cfRule>
  </conditionalFormatting>
  <conditionalFormatting sqref="H93:H94">
    <cfRule type="cellIs" dxfId="401" priority="69" stopIfTrue="1" operator="greaterThan">
      <formula>$I$5</formula>
    </cfRule>
  </conditionalFormatting>
  <conditionalFormatting sqref="H89">
    <cfRule type="cellIs" dxfId="400" priority="68" stopIfTrue="1" operator="greaterThan">
      <formula>$I$5</formula>
    </cfRule>
  </conditionalFormatting>
  <conditionalFormatting sqref="H90:H91">
    <cfRule type="cellIs" dxfId="399" priority="67" stopIfTrue="1" operator="greaterThan">
      <formula>$I$5</formula>
    </cfRule>
  </conditionalFormatting>
  <conditionalFormatting sqref="H87:H88">
    <cfRule type="cellIs" dxfId="398" priority="66" stopIfTrue="1" operator="greaterThan">
      <formula>$I$5</formula>
    </cfRule>
  </conditionalFormatting>
  <conditionalFormatting sqref="H85:H86">
    <cfRule type="cellIs" dxfId="397" priority="65" stopIfTrue="1" operator="greaterThan">
      <formula>$I$5</formula>
    </cfRule>
  </conditionalFormatting>
  <conditionalFormatting sqref="H84">
    <cfRule type="cellIs" dxfId="396" priority="64" stopIfTrue="1" operator="greaterThan">
      <formula>$I$5</formula>
    </cfRule>
  </conditionalFormatting>
  <conditionalFormatting sqref="H82:H83">
    <cfRule type="cellIs" dxfId="395" priority="63" stopIfTrue="1" operator="greaterThan">
      <formula>$I$5</formula>
    </cfRule>
  </conditionalFormatting>
  <conditionalFormatting sqref="H74:H75">
    <cfRule type="cellIs" dxfId="394" priority="62" stopIfTrue="1" operator="greaterThan">
      <formula>$I$5</formula>
    </cfRule>
  </conditionalFormatting>
  <conditionalFormatting sqref="H81">
    <cfRule type="cellIs" dxfId="393" priority="61" stopIfTrue="1" operator="greaterThan">
      <formula>$I$5</formula>
    </cfRule>
  </conditionalFormatting>
  <conditionalFormatting sqref="H79:H80">
    <cfRule type="cellIs" dxfId="392" priority="60" stopIfTrue="1" operator="greaterThan">
      <formula>$I$5</formula>
    </cfRule>
  </conditionalFormatting>
  <conditionalFormatting sqref="H78">
    <cfRule type="cellIs" dxfId="391" priority="59" stopIfTrue="1" operator="greaterThan">
      <formula>$I$5</formula>
    </cfRule>
  </conditionalFormatting>
  <conditionalFormatting sqref="H76:H77">
    <cfRule type="cellIs" dxfId="390" priority="58" stopIfTrue="1" operator="greaterThan">
      <formula>$I$5</formula>
    </cfRule>
  </conditionalFormatting>
  <conditionalFormatting sqref="H72:H73">
    <cfRule type="cellIs" dxfId="389" priority="57" stopIfTrue="1" operator="greaterThan">
      <formula>$I$5</formula>
    </cfRule>
  </conditionalFormatting>
  <conditionalFormatting sqref="H58 H71">
    <cfRule type="cellIs" dxfId="388" priority="56" stopIfTrue="1" operator="greaterThan">
      <formula>$I$5</formula>
    </cfRule>
  </conditionalFormatting>
  <conditionalFormatting sqref="H56:H57">
    <cfRule type="cellIs" dxfId="387" priority="55" stopIfTrue="1" operator="greaterThan">
      <formula>$I$5</formula>
    </cfRule>
  </conditionalFormatting>
  <conditionalFormatting sqref="H69:H70">
    <cfRule type="cellIs" dxfId="386" priority="54" stopIfTrue="1" operator="greaterThan">
      <formula>$I$5</formula>
    </cfRule>
  </conditionalFormatting>
  <conditionalFormatting sqref="H67:H68">
    <cfRule type="cellIs" dxfId="385" priority="53" stopIfTrue="1" operator="greaterThan">
      <formula>$I$5</formula>
    </cfRule>
  </conditionalFormatting>
  <conditionalFormatting sqref="H66">
    <cfRule type="cellIs" dxfId="384" priority="52" stopIfTrue="1" operator="greaterThan">
      <formula>$I$5</formula>
    </cfRule>
  </conditionalFormatting>
  <conditionalFormatting sqref="H65">
    <cfRule type="cellIs" dxfId="383" priority="51" stopIfTrue="1" operator="greaterThan">
      <formula>$I$5</formula>
    </cfRule>
  </conditionalFormatting>
  <conditionalFormatting sqref="H64">
    <cfRule type="cellIs" dxfId="382" priority="50" stopIfTrue="1" operator="greaterThan">
      <formula>$I$5</formula>
    </cfRule>
  </conditionalFormatting>
  <conditionalFormatting sqref="H62:H63">
    <cfRule type="cellIs" dxfId="381" priority="49" stopIfTrue="1" operator="greaterThan">
      <formula>$I$5</formula>
    </cfRule>
  </conditionalFormatting>
  <conditionalFormatting sqref="H60:H61">
    <cfRule type="cellIs" dxfId="380" priority="48" stopIfTrue="1" operator="greaterThan">
      <formula>$I$5</formula>
    </cfRule>
  </conditionalFormatting>
  <conditionalFormatting sqref="H59">
    <cfRule type="cellIs" dxfId="379" priority="47" stopIfTrue="1" operator="greaterThan">
      <formula>$I$5</formula>
    </cfRule>
  </conditionalFormatting>
  <conditionalFormatting sqref="H50">
    <cfRule type="cellIs" dxfId="378" priority="46" stopIfTrue="1" operator="greaterThan">
      <formula>$I$5</formula>
    </cfRule>
  </conditionalFormatting>
  <conditionalFormatting sqref="H48:H49">
    <cfRule type="cellIs" dxfId="377" priority="45" stopIfTrue="1" operator="greaterThan">
      <formula>$I$5</formula>
    </cfRule>
  </conditionalFormatting>
  <conditionalFormatting sqref="H54:H55">
    <cfRule type="cellIs" dxfId="376" priority="44" stopIfTrue="1" operator="greaterThan">
      <formula>$I$5</formula>
    </cfRule>
  </conditionalFormatting>
  <conditionalFormatting sqref="H52:H53">
    <cfRule type="cellIs" dxfId="375" priority="43" stopIfTrue="1" operator="greaterThan">
      <formula>$I$5</formula>
    </cfRule>
  </conditionalFormatting>
  <conditionalFormatting sqref="H51">
    <cfRule type="cellIs" dxfId="374" priority="42" stopIfTrue="1" operator="greaterThan">
      <formula>$I$5</formula>
    </cfRule>
  </conditionalFormatting>
  <conditionalFormatting sqref="H34">
    <cfRule type="cellIs" dxfId="373" priority="41" stopIfTrue="1" operator="greaterThan">
      <formula>$I$5</formula>
    </cfRule>
  </conditionalFormatting>
  <conditionalFormatting sqref="H32:H33">
    <cfRule type="cellIs" dxfId="372" priority="40" stopIfTrue="1" operator="greaterThan">
      <formula>$I$5</formula>
    </cfRule>
  </conditionalFormatting>
  <conditionalFormatting sqref="H47">
    <cfRule type="cellIs" dxfId="371" priority="39" stopIfTrue="1" operator="greaterThan">
      <formula>$I$5</formula>
    </cfRule>
  </conditionalFormatting>
  <conditionalFormatting sqref="H45:H46">
    <cfRule type="cellIs" dxfId="370" priority="38" stopIfTrue="1" operator="greaterThan">
      <formula>$I$5</formula>
    </cfRule>
  </conditionalFormatting>
  <conditionalFormatting sqref="H44">
    <cfRule type="cellIs" dxfId="369" priority="37" stopIfTrue="1" operator="greaterThan">
      <formula>$I$5</formula>
    </cfRule>
  </conditionalFormatting>
  <conditionalFormatting sqref="H41">
    <cfRule type="cellIs" dxfId="368" priority="36" stopIfTrue="1" operator="greaterThan">
      <formula>$I$5</formula>
    </cfRule>
  </conditionalFormatting>
  <conditionalFormatting sqref="H39:H40">
    <cfRule type="cellIs" dxfId="367" priority="35" stopIfTrue="1" operator="greaterThan">
      <formula>$I$5</formula>
    </cfRule>
  </conditionalFormatting>
  <conditionalFormatting sqref="H43">
    <cfRule type="cellIs" dxfId="366" priority="34" stopIfTrue="1" operator="greaterThan">
      <formula>$I$5</formula>
    </cfRule>
  </conditionalFormatting>
  <conditionalFormatting sqref="H42">
    <cfRule type="cellIs" dxfId="365" priority="33" stopIfTrue="1" operator="greaterThan">
      <formula>$I$5</formula>
    </cfRule>
  </conditionalFormatting>
  <conditionalFormatting sqref="H38">
    <cfRule type="cellIs" dxfId="364" priority="32" stopIfTrue="1" operator="greaterThan">
      <formula>$I$5</formula>
    </cfRule>
  </conditionalFormatting>
  <conditionalFormatting sqref="H36:H37">
    <cfRule type="cellIs" dxfId="363" priority="31" stopIfTrue="1" operator="greaterThan">
      <formula>$I$5</formula>
    </cfRule>
  </conditionalFormatting>
  <conditionalFormatting sqref="H35">
    <cfRule type="cellIs" dxfId="362" priority="30" stopIfTrue="1" operator="greaterThan">
      <formula>$I$5</formula>
    </cfRule>
  </conditionalFormatting>
  <conditionalFormatting sqref="H23">
    <cfRule type="cellIs" dxfId="361" priority="29" stopIfTrue="1" operator="greaterThan">
      <formula>$I$5</formula>
    </cfRule>
  </conditionalFormatting>
  <conditionalFormatting sqref="H22">
    <cfRule type="cellIs" dxfId="360" priority="28" stopIfTrue="1" operator="greaterThan">
      <formula>$I$5</formula>
    </cfRule>
  </conditionalFormatting>
  <conditionalFormatting sqref="H30">
    <cfRule type="cellIs" dxfId="359" priority="27" stopIfTrue="1" operator="greaterThan">
      <formula>$I$5</formula>
    </cfRule>
  </conditionalFormatting>
  <conditionalFormatting sqref="H28:H29">
    <cfRule type="cellIs" dxfId="358" priority="26" stopIfTrue="1" operator="greaterThan">
      <formula>$I$5</formula>
    </cfRule>
  </conditionalFormatting>
  <conditionalFormatting sqref="H31">
    <cfRule type="cellIs" dxfId="357" priority="25" stopIfTrue="1" operator="greaterThan">
      <formula>$I$5</formula>
    </cfRule>
  </conditionalFormatting>
  <conditionalFormatting sqref="H27">
    <cfRule type="cellIs" dxfId="356" priority="24" stopIfTrue="1" operator="greaterThan">
      <formula>$I$5</formula>
    </cfRule>
  </conditionalFormatting>
  <conditionalFormatting sqref="H25:H26">
    <cfRule type="cellIs" dxfId="355" priority="23" stopIfTrue="1" operator="greaterThan">
      <formula>$I$5</formula>
    </cfRule>
  </conditionalFormatting>
  <conditionalFormatting sqref="H24">
    <cfRule type="cellIs" dxfId="354" priority="22" stopIfTrue="1" operator="greaterThan">
      <formula>$I$5</formula>
    </cfRule>
  </conditionalFormatting>
  <conditionalFormatting sqref="H11">
    <cfRule type="cellIs" dxfId="353" priority="20" stopIfTrue="1" operator="greaterThan">
      <formula>$I$5</formula>
    </cfRule>
  </conditionalFormatting>
  <conditionalFormatting sqref="H10">
    <cfRule type="cellIs" dxfId="352" priority="19" stopIfTrue="1" operator="greaterThan">
      <formula>$I$5</formula>
    </cfRule>
  </conditionalFormatting>
  <conditionalFormatting sqref="H142">
    <cfRule type="cellIs" dxfId="351" priority="12" stopIfTrue="1" operator="greaterThan">
      <formula>$I$5</formula>
    </cfRule>
  </conditionalFormatting>
  <conditionalFormatting sqref="H148">
    <cfRule type="cellIs" dxfId="350" priority="11" stopIfTrue="1" operator="greaterThan">
      <formula>$I$5</formula>
    </cfRule>
  </conditionalFormatting>
  <conditionalFormatting sqref="H146:H147">
    <cfRule type="cellIs" dxfId="349" priority="10" stopIfTrue="1" operator="greaterThan">
      <formula>$I$5</formula>
    </cfRule>
  </conditionalFormatting>
  <conditionalFormatting sqref="H144:H145">
    <cfRule type="cellIs" dxfId="348" priority="9" stopIfTrue="1" operator="greaterThan">
      <formula>$I$5</formula>
    </cfRule>
  </conditionalFormatting>
  <conditionalFormatting sqref="H143">
    <cfRule type="cellIs" dxfId="347" priority="8" stopIfTrue="1" operator="greaterThan">
      <formula>$I$5</formula>
    </cfRule>
  </conditionalFormatting>
  <conditionalFormatting sqref="H14">
    <cfRule type="cellIs" dxfId="346" priority="7" stopIfTrue="1" operator="greaterThan">
      <formula>$I$5</formula>
    </cfRule>
  </conditionalFormatting>
  <conditionalFormatting sqref="H13">
    <cfRule type="cellIs" dxfId="345" priority="6" stopIfTrue="1" operator="greaterThan">
      <formula>$I$5</formula>
    </cfRule>
  </conditionalFormatting>
  <conditionalFormatting sqref="H21">
    <cfRule type="cellIs" dxfId="344" priority="5" stopIfTrue="1" operator="greaterThan">
      <formula>$I$5</formula>
    </cfRule>
  </conditionalFormatting>
  <conditionalFormatting sqref="H19:H20">
    <cfRule type="cellIs" dxfId="343" priority="4" stopIfTrue="1" operator="greaterThan">
      <formula>$I$5</formula>
    </cfRule>
  </conditionalFormatting>
  <conditionalFormatting sqref="H18">
    <cfRule type="cellIs" dxfId="342" priority="3" stopIfTrue="1" operator="greaterThan">
      <formula>$I$5</formula>
    </cfRule>
  </conditionalFormatting>
  <conditionalFormatting sqref="H16:H17">
    <cfRule type="cellIs" dxfId="341" priority="2" stopIfTrue="1" operator="greaterThan">
      <formula>$I$5</formula>
    </cfRule>
  </conditionalFormatting>
  <conditionalFormatting sqref="H15">
    <cfRule type="cellIs" dxfId="340" priority="1" stopIfTrue="1" operator="greaterThan">
      <formula>$I$5</formula>
    </cfRule>
  </conditionalFormatting>
  <printOptions horizontalCentered="1"/>
  <pageMargins left="0.24" right="0.25" top="0.17" bottom="0.35" header="0.17" footer="0.17"/>
  <pageSetup paperSize="9" scale="41" orientation="portrait" r:id="rId1"/>
  <rowBreaks count="4" manualBreakCount="4">
    <brk id="107" max="11" man="1"/>
    <brk id="214" max="11" man="1"/>
    <brk id="215" max="11" man="1"/>
    <brk id="235"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P68"/>
  <sheetViews>
    <sheetView view="pageBreakPreview" topLeftCell="B1" zoomScale="89" zoomScaleNormal="95" zoomScaleSheetLayoutView="89" workbookViewId="0">
      <selection activeCell="D12" sqref="D12:D14"/>
    </sheetView>
  </sheetViews>
  <sheetFormatPr defaultColWidth="9.109375" defaultRowHeight="17.399999999999999"/>
  <cols>
    <col min="1" max="1" width="1.6640625" style="211" customWidth="1"/>
    <col min="2" max="2" width="3" style="211" customWidth="1"/>
    <col min="3" max="3" width="14.33203125" style="212" customWidth="1"/>
    <col min="4" max="4" width="21.88671875" style="212" customWidth="1"/>
    <col min="5" max="5" width="16.33203125" style="212" customWidth="1"/>
    <col min="6" max="6" width="8.33203125" style="212" customWidth="1"/>
    <col min="7" max="7" width="13.109375" style="212" customWidth="1"/>
    <col min="8" max="9" width="28.33203125" style="212" customWidth="1"/>
    <col min="10" max="10" width="14.5546875" style="212" hidden="1" customWidth="1"/>
    <col min="11" max="11" width="8.88671875" style="212" customWidth="1"/>
    <col min="12" max="12" width="10.5546875" style="213" customWidth="1"/>
    <col min="13" max="13" width="16.109375" style="212" customWidth="1"/>
    <col min="14" max="14" width="16.33203125" style="212" customWidth="1"/>
    <col min="15" max="15" width="12.109375" style="212" customWidth="1"/>
    <col min="16" max="16" width="15.44140625" style="212" customWidth="1"/>
    <col min="17" max="16384" width="9.109375" style="212"/>
  </cols>
  <sheetData>
    <row r="1" spans="1:16" ht="14.25" customHeight="1" thickBot="1"/>
    <row r="2" spans="1:16" ht="42.75" customHeight="1" thickBot="1">
      <c r="C2" s="214"/>
      <c r="D2" s="215"/>
      <c r="E2" s="215"/>
      <c r="F2" s="215"/>
      <c r="G2" s="215"/>
      <c r="H2" s="262"/>
      <c r="I2" s="511" t="s">
        <v>25</v>
      </c>
      <c r="J2" s="511"/>
      <c r="K2" s="511"/>
      <c r="L2" s="511"/>
      <c r="M2" s="511"/>
      <c r="N2" s="511"/>
      <c r="O2" s="511"/>
      <c r="P2" s="512"/>
    </row>
    <row r="3" spans="1:16" s="224" customFormat="1" ht="13.8">
      <c r="A3" s="217"/>
      <c r="B3" s="217"/>
      <c r="C3" s="218" t="s">
        <v>0</v>
      </c>
      <c r="D3" s="513">
        <v>44341</v>
      </c>
      <c r="E3" s="514"/>
      <c r="F3" s="514"/>
      <c r="G3" s="515"/>
      <c r="H3" s="219" t="s">
        <v>1</v>
      </c>
      <c r="I3" s="220">
        <f>293/9.6</f>
        <v>30.520833333333336</v>
      </c>
      <c r="J3" s="221"/>
      <c r="K3" s="516" t="s">
        <v>2</v>
      </c>
      <c r="L3" s="517"/>
      <c r="M3" s="518"/>
      <c r="N3" s="222">
        <f>3600/I3</f>
        <v>117.95221843003412</v>
      </c>
      <c r="O3" s="219" t="s">
        <v>3</v>
      </c>
      <c r="P3" s="223">
        <f>MAX(L10:L52)</f>
        <v>108.49411764705883</v>
      </c>
    </row>
    <row r="4" spans="1:16" s="224" customFormat="1" ht="13.8">
      <c r="A4" s="217"/>
      <c r="B4" s="217"/>
      <c r="C4" s="225" t="s">
        <v>4</v>
      </c>
      <c r="D4" s="519">
        <v>221433</v>
      </c>
      <c r="E4" s="520"/>
      <c r="F4" s="520"/>
      <c r="G4" s="521"/>
      <c r="H4" s="30" t="s">
        <v>5</v>
      </c>
      <c r="I4" s="226">
        <f>3600/P3</f>
        <v>33.181522446324003</v>
      </c>
      <c r="J4" s="227"/>
      <c r="K4" s="522" t="s">
        <v>6</v>
      </c>
      <c r="L4" s="523"/>
      <c r="M4" s="524"/>
      <c r="N4" s="1">
        <f>I4/D6</f>
        <v>0.55914869988558091</v>
      </c>
      <c r="O4" s="228" t="s">
        <v>7</v>
      </c>
      <c r="P4" s="2">
        <f>N5/N6</f>
        <v>0.50959558341134648</v>
      </c>
    </row>
    <row r="5" spans="1:16" s="224" customFormat="1" ht="13.8">
      <c r="A5" s="217"/>
      <c r="B5" s="217"/>
      <c r="C5" s="225" t="s">
        <v>8</v>
      </c>
      <c r="D5" s="519"/>
      <c r="E5" s="520"/>
      <c r="F5" s="520"/>
      <c r="G5" s="521"/>
      <c r="H5" s="31" t="s">
        <v>9</v>
      </c>
      <c r="I5" s="229" t="s">
        <v>280</v>
      </c>
      <c r="J5" s="230">
        <f>+I5/60</f>
        <v>0.48868500000000004</v>
      </c>
      <c r="K5" s="519" t="s">
        <v>10</v>
      </c>
      <c r="L5" s="520"/>
      <c r="M5" s="520"/>
      <c r="N5" s="228">
        <f>SUM(L10:L52)</f>
        <v>1603.355572192514</v>
      </c>
      <c r="O5" s="228" t="s">
        <v>11</v>
      </c>
      <c r="P5" s="231">
        <f>I4/I6</f>
        <v>1.1441904291835863</v>
      </c>
    </row>
    <row r="6" spans="1:16" s="224" customFormat="1" ht="13.8">
      <c r="A6" s="217"/>
      <c r="B6" s="217"/>
      <c r="C6" s="225" t="s">
        <v>12</v>
      </c>
      <c r="D6" s="525">
        <f>(60/I5)*I6</f>
        <v>59.342930517613588</v>
      </c>
      <c r="E6" s="526"/>
      <c r="F6" s="526"/>
      <c r="G6" s="527"/>
      <c r="H6" s="31" t="s">
        <v>13</v>
      </c>
      <c r="I6" s="232">
        <f>D53</f>
        <v>29</v>
      </c>
      <c r="J6" s="226">
        <f>60/J5*I6*0.65</f>
        <v>2314.3742901869305</v>
      </c>
      <c r="K6" s="519" t="s">
        <v>14</v>
      </c>
      <c r="L6" s="520"/>
      <c r="M6" s="521"/>
      <c r="N6" s="228">
        <f>P3*I6</f>
        <v>3146.329411764706</v>
      </c>
      <c r="O6" s="228"/>
      <c r="P6" s="231"/>
    </row>
    <row r="7" spans="1:16" ht="12.75" customHeight="1">
      <c r="C7" s="528" t="s">
        <v>15</v>
      </c>
      <c r="D7" s="530" t="s">
        <v>16</v>
      </c>
      <c r="E7" s="530" t="s">
        <v>24</v>
      </c>
      <c r="F7" s="532" t="s">
        <v>31</v>
      </c>
      <c r="G7" s="533"/>
      <c r="H7" s="536" t="s">
        <v>17</v>
      </c>
      <c r="I7" s="536"/>
      <c r="J7" s="538" t="s">
        <v>18</v>
      </c>
      <c r="K7" s="530" t="s">
        <v>19</v>
      </c>
      <c r="L7" s="530"/>
      <c r="M7" s="530" t="s">
        <v>20</v>
      </c>
      <c r="N7" s="530" t="s">
        <v>11</v>
      </c>
      <c r="O7" s="548" t="s">
        <v>21</v>
      </c>
      <c r="P7" s="550" t="s">
        <v>22</v>
      </c>
    </row>
    <row r="8" spans="1:16" ht="13.2">
      <c r="C8" s="528"/>
      <c r="D8" s="530"/>
      <c r="E8" s="530"/>
      <c r="F8" s="534"/>
      <c r="G8" s="535"/>
      <c r="H8" s="536"/>
      <c r="I8" s="536"/>
      <c r="J8" s="538"/>
      <c r="K8" s="530"/>
      <c r="L8" s="530"/>
      <c r="M8" s="530"/>
      <c r="N8" s="530"/>
      <c r="O8" s="549"/>
      <c r="P8" s="551"/>
    </row>
    <row r="9" spans="1:16" ht="14.7" customHeight="1">
      <c r="C9" s="529"/>
      <c r="D9" s="531"/>
      <c r="E9" s="531"/>
      <c r="F9" s="233" t="s">
        <v>32</v>
      </c>
      <c r="G9" s="233" t="s">
        <v>28</v>
      </c>
      <c r="H9" s="537"/>
      <c r="I9" s="537"/>
      <c r="J9" s="539"/>
      <c r="K9" s="531"/>
      <c r="L9" s="531"/>
      <c r="M9" s="531"/>
      <c r="N9" s="531"/>
      <c r="O9" s="549"/>
      <c r="P9" s="551"/>
    </row>
    <row r="10" spans="1:16" s="240" customFormat="1" ht="104.25" customHeight="1" thickBot="1">
      <c r="A10" s="234">
        <f t="shared" ref="A10:A51" si="0">$P$3</f>
        <v>108.49411764705883</v>
      </c>
      <c r="B10" s="235">
        <f t="shared" ref="B10:B51" si="1">$N$3</f>
        <v>117.95221843003412</v>
      </c>
      <c r="C10" s="59" t="s">
        <v>289</v>
      </c>
      <c r="D10" s="542">
        <v>1</v>
      </c>
      <c r="E10" s="59"/>
      <c r="F10" s="544" t="s">
        <v>294</v>
      </c>
      <c r="G10" s="544" t="s">
        <v>293</v>
      </c>
      <c r="H10" s="540" t="s">
        <v>291</v>
      </c>
      <c r="I10" s="541"/>
      <c r="J10" s="236"/>
      <c r="K10" s="257">
        <f>1.9469/2</f>
        <v>0.97345000000000004</v>
      </c>
      <c r="L10" s="552">
        <f>((K10*60)/0.75)+((K11*60)/0.75)</f>
        <v>104.05200000000001</v>
      </c>
      <c r="M10" s="58">
        <f t="shared" ref="M10" si="2">IF(L10=0,"",L10/$P$3)</f>
        <v>0.95905660377358493</v>
      </c>
      <c r="N10" s="238">
        <f t="shared" ref="N10" si="3">IF(L10=0,"",3600/L10)</f>
        <v>34.598085572598315</v>
      </c>
      <c r="O10" s="239">
        <f t="shared" ref="O10" si="4">3600/L10</f>
        <v>34.598085572598315</v>
      </c>
      <c r="P10" s="239">
        <f t="shared" ref="P10" si="5">+O10</f>
        <v>34.598085572598315</v>
      </c>
    </row>
    <row r="11" spans="1:16" s="240" customFormat="1" ht="99" customHeight="1" thickBot="1">
      <c r="A11" s="234">
        <f t="shared" si="0"/>
        <v>108.49411764705883</v>
      </c>
      <c r="B11" s="235">
        <f t="shared" si="1"/>
        <v>117.95221843003412</v>
      </c>
      <c r="C11" s="59" t="s">
        <v>318</v>
      </c>
      <c r="D11" s="543"/>
      <c r="E11" s="59"/>
      <c r="F11" s="545"/>
      <c r="G11" s="545"/>
      <c r="H11" s="540" t="s">
        <v>319</v>
      </c>
      <c r="I11" s="541"/>
      <c r="J11" s="236"/>
      <c r="K11" s="236">
        <v>0.32719999999999999</v>
      </c>
      <c r="L11" s="553"/>
      <c r="M11" s="58"/>
      <c r="N11" s="238"/>
      <c r="O11" s="239"/>
      <c r="P11" s="239"/>
    </row>
    <row r="12" spans="1:16" s="240" customFormat="1" ht="63.75" customHeight="1" thickBot="1">
      <c r="A12" s="234">
        <f t="shared" si="0"/>
        <v>108.49411764705883</v>
      </c>
      <c r="B12" s="235">
        <f t="shared" si="1"/>
        <v>117.95221843003412</v>
      </c>
      <c r="C12" s="59">
        <v>1</v>
      </c>
      <c r="D12" s="542">
        <v>2</v>
      </c>
      <c r="E12" s="59"/>
      <c r="F12" s="544" t="s">
        <v>52</v>
      </c>
      <c r="G12" s="544" t="s">
        <v>275</v>
      </c>
      <c r="H12" s="540" t="s">
        <v>227</v>
      </c>
      <c r="I12" s="541"/>
      <c r="J12" s="236"/>
      <c r="K12" s="236">
        <v>0.63939999999999997</v>
      </c>
      <c r="L12" s="546">
        <f>((K12*60)/0.85)+((K13*60)/0.85)+((K14*60)/0.85)</f>
        <v>108.49411764705883</v>
      </c>
      <c r="M12" s="58">
        <f t="shared" ref="M12:M45" si="6">IF(L12=0,"",L12/$P$3)</f>
        <v>1</v>
      </c>
      <c r="N12" s="238">
        <f t="shared" ref="N12:N45" si="7">IF(L12=0,"",3600/L12)</f>
        <v>33.181522446324003</v>
      </c>
      <c r="O12" s="239">
        <f t="shared" ref="O12:O45" si="8">3600/L12</f>
        <v>33.181522446324003</v>
      </c>
      <c r="P12" s="239">
        <f t="shared" ref="P12:P45" si="9">+O12</f>
        <v>33.181522446324003</v>
      </c>
    </row>
    <row r="13" spans="1:16" s="240" customFormat="1" ht="67.5" customHeight="1" thickBot="1">
      <c r="A13" s="234">
        <f t="shared" si="0"/>
        <v>108.49411764705883</v>
      </c>
      <c r="B13" s="235">
        <f t="shared" si="1"/>
        <v>117.95221843003412</v>
      </c>
      <c r="C13" s="59">
        <v>4</v>
      </c>
      <c r="D13" s="563"/>
      <c r="E13" s="59"/>
      <c r="F13" s="608"/>
      <c r="G13" s="608"/>
      <c r="H13" s="540" t="s">
        <v>230</v>
      </c>
      <c r="I13" s="541"/>
      <c r="J13" s="236"/>
      <c r="K13" s="236">
        <v>0.625</v>
      </c>
      <c r="L13" s="612"/>
      <c r="M13" s="58"/>
      <c r="N13" s="238"/>
      <c r="O13" s="239"/>
      <c r="P13" s="239"/>
    </row>
    <row r="14" spans="1:16" s="240" customFormat="1" ht="107.25" customHeight="1" thickBot="1">
      <c r="A14" s="234">
        <f t="shared" si="0"/>
        <v>108.49411764705883</v>
      </c>
      <c r="B14" s="235">
        <f t="shared" si="1"/>
        <v>117.95221843003412</v>
      </c>
      <c r="C14" s="59">
        <v>24</v>
      </c>
      <c r="D14" s="543"/>
      <c r="E14" s="59"/>
      <c r="F14" s="545"/>
      <c r="G14" s="545"/>
      <c r="H14" s="540" t="s">
        <v>237</v>
      </c>
      <c r="I14" s="541"/>
      <c r="J14" s="236"/>
      <c r="K14" s="236">
        <v>0.27260000000000001</v>
      </c>
      <c r="L14" s="547"/>
      <c r="M14" s="58"/>
      <c r="N14" s="238"/>
      <c r="O14" s="239"/>
      <c r="P14" s="239"/>
    </row>
    <row r="15" spans="1:16" s="240" customFormat="1" ht="66" customHeight="1" thickBot="1">
      <c r="A15" s="234">
        <f t="shared" si="0"/>
        <v>108.49411764705883</v>
      </c>
      <c r="B15" s="235">
        <f t="shared" si="1"/>
        <v>117.95221843003412</v>
      </c>
      <c r="C15" s="59">
        <v>2</v>
      </c>
      <c r="D15" s="542">
        <v>3</v>
      </c>
      <c r="E15" s="59"/>
      <c r="F15" s="61" t="s">
        <v>142</v>
      </c>
      <c r="G15" s="61" t="s">
        <v>274</v>
      </c>
      <c r="H15" s="540" t="s">
        <v>228</v>
      </c>
      <c r="I15" s="541"/>
      <c r="J15" s="236"/>
      <c r="K15" s="236">
        <v>0.3548</v>
      </c>
      <c r="L15" s="552">
        <f>((K15*60)/0.75)+((K16*60)/0.75)</f>
        <v>69.096000000000004</v>
      </c>
      <c r="M15" s="58">
        <f t="shared" si="6"/>
        <v>0.63686402081977878</v>
      </c>
      <c r="N15" s="238">
        <f t="shared" si="7"/>
        <v>52.101424105592216</v>
      </c>
      <c r="O15" s="239">
        <f t="shared" si="8"/>
        <v>52.101424105592216</v>
      </c>
      <c r="P15" s="239">
        <f t="shared" si="9"/>
        <v>52.101424105592216</v>
      </c>
    </row>
    <row r="16" spans="1:16" s="240" customFormat="1" ht="77.25" customHeight="1" thickBot="1">
      <c r="A16" s="234">
        <f t="shared" si="0"/>
        <v>108.49411764705883</v>
      </c>
      <c r="B16" s="235">
        <f t="shared" si="1"/>
        <v>117.95221843003412</v>
      </c>
      <c r="C16" s="59">
        <v>5</v>
      </c>
      <c r="D16" s="543"/>
      <c r="E16" s="59"/>
      <c r="F16" s="61" t="s">
        <v>148</v>
      </c>
      <c r="G16" s="61" t="s">
        <v>274</v>
      </c>
      <c r="H16" s="540" t="s">
        <v>231</v>
      </c>
      <c r="I16" s="541"/>
      <c r="J16" s="236"/>
      <c r="K16" s="236">
        <v>0.50890000000000002</v>
      </c>
      <c r="L16" s="553"/>
      <c r="M16" s="58"/>
      <c r="N16" s="238"/>
      <c r="O16" s="239"/>
      <c r="P16" s="239"/>
    </row>
    <row r="17" spans="1:16" s="240" customFormat="1" ht="66" customHeight="1" thickBot="1">
      <c r="A17" s="234">
        <f t="shared" si="0"/>
        <v>108.49411764705883</v>
      </c>
      <c r="B17" s="235">
        <f t="shared" si="1"/>
        <v>117.95221843003412</v>
      </c>
      <c r="C17" s="59">
        <v>3</v>
      </c>
      <c r="D17" s="609">
        <v>4</v>
      </c>
      <c r="E17" s="59"/>
      <c r="F17" s="61" t="s">
        <v>57</v>
      </c>
      <c r="G17" s="61" t="s">
        <v>276</v>
      </c>
      <c r="H17" s="540" t="s">
        <v>229</v>
      </c>
      <c r="I17" s="541"/>
      <c r="J17" s="236"/>
      <c r="K17" s="236">
        <v>0.28799999999999998</v>
      </c>
      <c r="L17" s="552">
        <f>((K17*60)/0.75)+((K18*60)/0.75)+((K19*60)/0.75)</f>
        <v>69.263999999999996</v>
      </c>
      <c r="M17" s="58">
        <f t="shared" si="6"/>
        <v>0.63841249186727389</v>
      </c>
      <c r="N17" s="238">
        <f t="shared" si="7"/>
        <v>51.975051975051976</v>
      </c>
      <c r="O17" s="239">
        <f t="shared" si="8"/>
        <v>51.975051975051976</v>
      </c>
      <c r="P17" s="239">
        <f t="shared" si="9"/>
        <v>51.975051975051976</v>
      </c>
    </row>
    <row r="18" spans="1:16" s="240" customFormat="1" ht="68.25" customHeight="1" thickBot="1">
      <c r="A18" s="234">
        <f t="shared" si="0"/>
        <v>108.49411764705883</v>
      </c>
      <c r="B18" s="235">
        <f t="shared" si="1"/>
        <v>117.95221843003412</v>
      </c>
      <c r="C18" s="59">
        <v>6</v>
      </c>
      <c r="D18" s="609"/>
      <c r="E18" s="59"/>
      <c r="F18" s="544" t="s">
        <v>52</v>
      </c>
      <c r="G18" s="544" t="s">
        <v>275</v>
      </c>
      <c r="H18" s="540" t="s">
        <v>232</v>
      </c>
      <c r="I18" s="541"/>
      <c r="J18" s="236"/>
      <c r="K18" s="236">
        <v>0.31369999999999998</v>
      </c>
      <c r="L18" s="613"/>
      <c r="M18" s="58"/>
      <c r="N18" s="238"/>
      <c r="O18" s="239"/>
      <c r="P18" s="239"/>
    </row>
    <row r="19" spans="1:16" s="240" customFormat="1" ht="58.5" customHeight="1" thickBot="1">
      <c r="A19" s="234">
        <f t="shared" si="0"/>
        <v>108.49411764705883</v>
      </c>
      <c r="B19" s="235">
        <f t="shared" si="1"/>
        <v>117.95221843003412</v>
      </c>
      <c r="C19" s="59" t="s">
        <v>320</v>
      </c>
      <c r="D19" s="609"/>
      <c r="E19" s="59"/>
      <c r="F19" s="545"/>
      <c r="G19" s="545"/>
      <c r="H19" s="610" t="s">
        <v>305</v>
      </c>
      <c r="I19" s="611"/>
      <c r="J19" s="236"/>
      <c r="K19" s="236">
        <f>0.7923*1/3</f>
        <v>0.2641</v>
      </c>
      <c r="L19" s="553"/>
      <c r="M19" s="58"/>
      <c r="N19" s="238"/>
      <c r="O19" s="239"/>
      <c r="P19" s="239"/>
    </row>
    <row r="20" spans="1:16" s="240" customFormat="1" ht="50.25" customHeight="1" thickBot="1">
      <c r="A20" s="234">
        <f t="shared" si="0"/>
        <v>108.49411764705883</v>
      </c>
      <c r="B20" s="235">
        <f t="shared" si="1"/>
        <v>117.95221843003412</v>
      </c>
      <c r="C20" s="59" t="s">
        <v>306</v>
      </c>
      <c r="D20" s="263">
        <v>5</v>
      </c>
      <c r="E20" s="59"/>
      <c r="F20" s="61" t="s">
        <v>142</v>
      </c>
      <c r="G20" s="61" t="s">
        <v>274</v>
      </c>
      <c r="H20" s="540" t="s">
        <v>299</v>
      </c>
      <c r="I20" s="541"/>
      <c r="J20" s="236"/>
      <c r="K20" s="236"/>
      <c r="L20" s="237">
        <f t="shared" ref="L20:L44" si="10">((K20*60)/0.75)</f>
        <v>0</v>
      </c>
      <c r="M20" s="58"/>
      <c r="N20" s="238"/>
      <c r="O20" s="239"/>
      <c r="P20" s="239"/>
    </row>
    <row r="21" spans="1:16" s="240" customFormat="1" ht="50.25" customHeight="1" thickBot="1">
      <c r="A21" s="234">
        <f t="shared" si="0"/>
        <v>108.49411764705883</v>
      </c>
      <c r="B21" s="235">
        <f t="shared" si="1"/>
        <v>117.95221843003412</v>
      </c>
      <c r="C21" s="274" t="s">
        <v>306</v>
      </c>
      <c r="D21" s="263">
        <v>6</v>
      </c>
      <c r="E21" s="59"/>
      <c r="F21" s="61" t="s">
        <v>317</v>
      </c>
      <c r="G21" s="61" t="s">
        <v>276</v>
      </c>
      <c r="H21" s="540" t="s">
        <v>300</v>
      </c>
      <c r="I21" s="541"/>
      <c r="J21" s="236"/>
      <c r="K21" s="236"/>
      <c r="L21" s="237">
        <f t="shared" si="10"/>
        <v>0</v>
      </c>
      <c r="M21" s="58"/>
      <c r="N21" s="238"/>
      <c r="O21" s="239"/>
      <c r="P21" s="239"/>
    </row>
    <row r="22" spans="1:16" s="240" customFormat="1" ht="50.25" customHeight="1" thickBot="1">
      <c r="A22" s="234">
        <f t="shared" si="0"/>
        <v>108.49411764705883</v>
      </c>
      <c r="B22" s="235">
        <f t="shared" si="1"/>
        <v>117.95221843003412</v>
      </c>
      <c r="C22" s="274" t="s">
        <v>306</v>
      </c>
      <c r="D22" s="263">
        <v>7</v>
      </c>
      <c r="E22" s="59"/>
      <c r="F22" s="61" t="s">
        <v>301</v>
      </c>
      <c r="G22" s="61" t="s">
        <v>275</v>
      </c>
      <c r="H22" s="540" t="s">
        <v>302</v>
      </c>
      <c r="I22" s="541"/>
      <c r="J22" s="236"/>
      <c r="K22" s="236"/>
      <c r="L22" s="237">
        <f t="shared" si="10"/>
        <v>0</v>
      </c>
      <c r="M22" s="58"/>
      <c r="N22" s="238"/>
      <c r="O22" s="239"/>
      <c r="P22" s="239"/>
    </row>
    <row r="23" spans="1:16" s="240" customFormat="1" ht="53.25" customHeight="1" thickBot="1">
      <c r="A23" s="234">
        <f t="shared" si="0"/>
        <v>108.49411764705883</v>
      </c>
      <c r="B23" s="235">
        <f t="shared" si="1"/>
        <v>117.95221843003412</v>
      </c>
      <c r="C23" s="274" t="s">
        <v>306</v>
      </c>
      <c r="D23" s="263">
        <v>8</v>
      </c>
      <c r="E23" s="59"/>
      <c r="F23" s="61" t="s">
        <v>301</v>
      </c>
      <c r="G23" s="61" t="s">
        <v>275</v>
      </c>
      <c r="H23" s="540" t="s">
        <v>303</v>
      </c>
      <c r="I23" s="541"/>
      <c r="J23" s="236"/>
      <c r="K23" s="236"/>
      <c r="L23" s="237">
        <f t="shared" si="10"/>
        <v>0</v>
      </c>
      <c r="M23" s="58"/>
      <c r="N23" s="238"/>
      <c r="O23" s="239"/>
      <c r="P23" s="239"/>
    </row>
    <row r="24" spans="1:16" s="240" customFormat="1" ht="53.25" customHeight="1" thickBot="1">
      <c r="A24" s="234">
        <f t="shared" si="0"/>
        <v>108.49411764705883</v>
      </c>
      <c r="B24" s="235">
        <f t="shared" si="1"/>
        <v>117.95221843003412</v>
      </c>
      <c r="C24" s="274" t="s">
        <v>306</v>
      </c>
      <c r="D24" s="59">
        <v>9</v>
      </c>
      <c r="E24" s="59"/>
      <c r="F24" s="61" t="s">
        <v>142</v>
      </c>
      <c r="G24" s="61" t="s">
        <v>274</v>
      </c>
      <c r="H24" s="540" t="s">
        <v>304</v>
      </c>
      <c r="I24" s="541"/>
      <c r="J24" s="236"/>
      <c r="K24" s="236"/>
      <c r="L24" s="237">
        <f t="shared" si="10"/>
        <v>0</v>
      </c>
      <c r="M24" s="58"/>
      <c r="N24" s="238"/>
      <c r="O24" s="239"/>
      <c r="P24" s="239"/>
    </row>
    <row r="25" spans="1:16" s="240" customFormat="1" ht="54" customHeight="1" thickBot="1">
      <c r="A25" s="234"/>
      <c r="B25" s="235"/>
      <c r="C25" s="274" t="s">
        <v>306</v>
      </c>
      <c r="D25" s="263">
        <v>10</v>
      </c>
      <c r="E25" s="59"/>
      <c r="F25" s="264" t="s">
        <v>52</v>
      </c>
      <c r="G25" s="264" t="s">
        <v>297</v>
      </c>
      <c r="H25" s="540" t="s">
        <v>298</v>
      </c>
      <c r="I25" s="541"/>
      <c r="J25" s="236"/>
      <c r="K25" s="257"/>
      <c r="L25" s="237">
        <f t="shared" si="10"/>
        <v>0</v>
      </c>
      <c r="M25" s="58"/>
      <c r="N25" s="238"/>
      <c r="O25" s="239"/>
      <c r="P25" s="239"/>
    </row>
    <row r="26" spans="1:16" s="240" customFormat="1" ht="68.25" customHeight="1" thickBot="1">
      <c r="A26" s="234">
        <f t="shared" si="0"/>
        <v>108.49411764705883</v>
      </c>
      <c r="B26" s="235">
        <f t="shared" si="1"/>
        <v>117.95221843003412</v>
      </c>
      <c r="C26" s="59">
        <v>27</v>
      </c>
      <c r="D26" s="542">
        <v>11</v>
      </c>
      <c r="E26" s="59"/>
      <c r="F26" s="61" t="s">
        <v>142</v>
      </c>
      <c r="G26" s="61" t="s">
        <v>274</v>
      </c>
      <c r="H26" s="540" t="s">
        <v>240</v>
      </c>
      <c r="I26" s="541"/>
      <c r="J26" s="236"/>
      <c r="K26" s="236">
        <v>0.51839999999999997</v>
      </c>
      <c r="L26" s="552">
        <f>((K26*60)/0.75)+((K27*60)/0.75)</f>
        <v>72.75200000000001</v>
      </c>
      <c r="M26" s="58">
        <f t="shared" si="6"/>
        <v>0.67056170028193451</v>
      </c>
      <c r="N26" s="238">
        <f t="shared" si="7"/>
        <v>49.483175720255105</v>
      </c>
      <c r="O26" s="239">
        <f t="shared" si="8"/>
        <v>49.483175720255105</v>
      </c>
      <c r="P26" s="239">
        <f t="shared" si="9"/>
        <v>49.483175720255105</v>
      </c>
    </row>
    <row r="27" spans="1:16" s="240" customFormat="1" ht="60" customHeight="1" thickBot="1">
      <c r="A27" s="234">
        <f t="shared" si="0"/>
        <v>108.49411764705883</v>
      </c>
      <c r="B27" s="235">
        <f t="shared" si="1"/>
        <v>117.95221843003412</v>
      </c>
      <c r="C27" s="59">
        <v>28</v>
      </c>
      <c r="D27" s="543"/>
      <c r="E27" s="59"/>
      <c r="F27" s="61" t="s">
        <v>166</v>
      </c>
      <c r="G27" s="61" t="s">
        <v>277</v>
      </c>
      <c r="H27" s="540" t="s">
        <v>241</v>
      </c>
      <c r="I27" s="541"/>
      <c r="J27" s="236"/>
      <c r="K27" s="236">
        <v>0.39100000000000001</v>
      </c>
      <c r="L27" s="553"/>
      <c r="M27" s="58"/>
      <c r="N27" s="238"/>
      <c r="O27" s="239"/>
      <c r="P27" s="239"/>
    </row>
    <row r="28" spans="1:16" s="240" customFormat="1" ht="93.75" customHeight="1" thickBot="1">
      <c r="A28" s="234">
        <f t="shared" si="0"/>
        <v>108.49411764705883</v>
      </c>
      <c r="B28" s="235">
        <f t="shared" si="1"/>
        <v>117.95221843003412</v>
      </c>
      <c r="C28" s="59">
        <v>29</v>
      </c>
      <c r="D28" s="59">
        <v>12</v>
      </c>
      <c r="E28" s="59"/>
      <c r="F28" s="61" t="s">
        <v>142</v>
      </c>
      <c r="G28" s="61" t="s">
        <v>274</v>
      </c>
      <c r="H28" s="540" t="s">
        <v>242</v>
      </c>
      <c r="I28" s="541"/>
      <c r="J28" s="236"/>
      <c r="K28" s="236">
        <v>0.69330000000000003</v>
      </c>
      <c r="L28" s="237">
        <f t="shared" si="10"/>
        <v>55.463999999999999</v>
      </c>
      <c r="M28" s="58">
        <f t="shared" si="6"/>
        <v>0.51121665582303188</v>
      </c>
      <c r="N28" s="238">
        <f t="shared" si="7"/>
        <v>64.906966681090438</v>
      </c>
      <c r="O28" s="239">
        <f t="shared" si="8"/>
        <v>64.906966681090438</v>
      </c>
      <c r="P28" s="239">
        <f t="shared" si="9"/>
        <v>64.906966681090438</v>
      </c>
    </row>
    <row r="29" spans="1:16" s="240" customFormat="1" ht="96.75" customHeight="1" thickBot="1">
      <c r="A29" s="234">
        <f t="shared" si="0"/>
        <v>108.49411764705883</v>
      </c>
      <c r="B29" s="235">
        <f t="shared" si="1"/>
        <v>117.95221843003412</v>
      </c>
      <c r="C29" s="59">
        <v>30</v>
      </c>
      <c r="D29" s="59">
        <v>13</v>
      </c>
      <c r="E29" s="59"/>
      <c r="F29" s="61" t="s">
        <v>52</v>
      </c>
      <c r="G29" s="61" t="s">
        <v>275</v>
      </c>
      <c r="H29" s="540" t="s">
        <v>243</v>
      </c>
      <c r="I29" s="541"/>
      <c r="J29" s="236"/>
      <c r="K29" s="236">
        <v>0.50029999999999997</v>
      </c>
      <c r="L29" s="237">
        <f t="shared" si="10"/>
        <v>40.023999999999994</v>
      </c>
      <c r="M29" s="58">
        <f t="shared" si="6"/>
        <v>0.36890479288657552</v>
      </c>
      <c r="N29" s="238">
        <f t="shared" si="7"/>
        <v>89.946032380571665</v>
      </c>
      <c r="O29" s="239">
        <f t="shared" si="8"/>
        <v>89.946032380571665</v>
      </c>
      <c r="P29" s="239">
        <f t="shared" si="9"/>
        <v>89.946032380571665</v>
      </c>
    </row>
    <row r="30" spans="1:16" s="240" customFormat="1" ht="117" customHeight="1" thickBot="1">
      <c r="A30" s="234">
        <f t="shared" si="0"/>
        <v>108.49411764705883</v>
      </c>
      <c r="B30" s="235">
        <f t="shared" si="1"/>
        <v>117.95221843003412</v>
      </c>
      <c r="C30" s="59" t="s">
        <v>290</v>
      </c>
      <c r="D30" s="59">
        <v>14</v>
      </c>
      <c r="E30" s="59"/>
      <c r="F30" s="61" t="s">
        <v>52</v>
      </c>
      <c r="G30" s="61" t="s">
        <v>275</v>
      </c>
      <c r="H30" s="540" t="s">
        <v>292</v>
      </c>
      <c r="I30" s="541"/>
      <c r="J30" s="236"/>
      <c r="K30" s="257">
        <f>1.9469/2</f>
        <v>0.97345000000000004</v>
      </c>
      <c r="L30" s="237">
        <f t="shared" si="10"/>
        <v>77.876000000000005</v>
      </c>
      <c r="M30" s="58">
        <f t="shared" si="6"/>
        <v>0.71779006723053573</v>
      </c>
      <c r="N30" s="238">
        <f t="shared" si="7"/>
        <v>46.227335764548769</v>
      </c>
      <c r="O30" s="239">
        <f t="shared" si="8"/>
        <v>46.227335764548769</v>
      </c>
      <c r="P30" s="239">
        <f t="shared" si="9"/>
        <v>46.227335764548769</v>
      </c>
    </row>
    <row r="31" spans="1:16" s="240" customFormat="1" ht="71.25" customHeight="1" thickBot="1">
      <c r="A31" s="234">
        <f t="shared" si="0"/>
        <v>108.49411764705883</v>
      </c>
      <c r="B31" s="235">
        <f t="shared" si="1"/>
        <v>117.95221843003412</v>
      </c>
      <c r="C31" s="59">
        <v>32</v>
      </c>
      <c r="D31" s="59">
        <v>15</v>
      </c>
      <c r="E31" s="59"/>
      <c r="F31" s="61" t="s">
        <v>52</v>
      </c>
      <c r="G31" s="61" t="s">
        <v>275</v>
      </c>
      <c r="H31" s="540" t="s">
        <v>245</v>
      </c>
      <c r="I31" s="541"/>
      <c r="J31" s="236"/>
      <c r="K31" s="236">
        <v>0.57050000000000001</v>
      </c>
      <c r="L31" s="237">
        <f t="shared" si="10"/>
        <v>45.640000000000008</v>
      </c>
      <c r="M31" s="58">
        <f t="shared" si="6"/>
        <v>0.42066796790284106</v>
      </c>
      <c r="N31" s="238">
        <f t="shared" si="7"/>
        <v>78.878177037686228</v>
      </c>
      <c r="O31" s="239">
        <f t="shared" si="8"/>
        <v>78.878177037686228</v>
      </c>
      <c r="P31" s="239">
        <f t="shared" si="9"/>
        <v>78.878177037686228</v>
      </c>
    </row>
    <row r="32" spans="1:16" s="240" customFormat="1" ht="160.5" customHeight="1" thickBot="1">
      <c r="A32" s="234">
        <f t="shared" si="0"/>
        <v>108.49411764705883</v>
      </c>
      <c r="B32" s="235">
        <f t="shared" si="1"/>
        <v>117.95221843003412</v>
      </c>
      <c r="C32" s="59">
        <v>33</v>
      </c>
      <c r="D32" s="59">
        <v>16</v>
      </c>
      <c r="E32" s="59"/>
      <c r="F32" s="61" t="s">
        <v>57</v>
      </c>
      <c r="G32" s="61" t="s">
        <v>285</v>
      </c>
      <c r="H32" s="540" t="s">
        <v>339</v>
      </c>
      <c r="I32" s="541"/>
      <c r="J32" s="236"/>
      <c r="K32" s="236">
        <v>0.83320000000000005</v>
      </c>
      <c r="L32" s="237">
        <f t="shared" si="10"/>
        <v>66.656000000000006</v>
      </c>
      <c r="M32" s="58">
        <f t="shared" si="6"/>
        <v>0.61437432227282585</v>
      </c>
      <c r="N32" s="238">
        <f t="shared" si="7"/>
        <v>54.008641382621214</v>
      </c>
      <c r="O32" s="239">
        <f t="shared" si="8"/>
        <v>54.008641382621214</v>
      </c>
      <c r="P32" s="239">
        <f t="shared" si="9"/>
        <v>54.008641382621214</v>
      </c>
    </row>
    <row r="33" spans="1:16" s="240" customFormat="1" ht="68.25" customHeight="1" thickBot="1">
      <c r="A33" s="234">
        <f t="shared" si="0"/>
        <v>108.49411764705883</v>
      </c>
      <c r="B33" s="235">
        <f t="shared" si="1"/>
        <v>117.95221843003412</v>
      </c>
      <c r="C33" s="59">
        <v>35</v>
      </c>
      <c r="D33" s="59">
        <v>17</v>
      </c>
      <c r="E33" s="59"/>
      <c r="F33" s="61" t="s">
        <v>52</v>
      </c>
      <c r="G33" s="61" t="s">
        <v>275</v>
      </c>
      <c r="H33" s="540" t="s">
        <v>248</v>
      </c>
      <c r="I33" s="541"/>
      <c r="J33" s="236"/>
      <c r="K33" s="236">
        <v>0.34639999999999999</v>
      </c>
      <c r="L33" s="237">
        <f t="shared" si="10"/>
        <v>27.712</v>
      </c>
      <c r="M33" s="58">
        <f t="shared" si="6"/>
        <v>0.25542398612014744</v>
      </c>
      <c r="N33" s="238">
        <f t="shared" si="7"/>
        <v>129.90762124711316</v>
      </c>
      <c r="O33" s="239">
        <f t="shared" si="8"/>
        <v>129.90762124711316</v>
      </c>
      <c r="P33" s="239">
        <f t="shared" si="9"/>
        <v>129.90762124711316</v>
      </c>
    </row>
    <row r="34" spans="1:16" s="240" customFormat="1" ht="72.75" customHeight="1" thickBot="1">
      <c r="A34" s="234">
        <f t="shared" si="0"/>
        <v>108.49411764705883</v>
      </c>
      <c r="B34" s="235">
        <f t="shared" si="1"/>
        <v>117.95221843003412</v>
      </c>
      <c r="C34" s="59">
        <v>36</v>
      </c>
      <c r="D34" s="59">
        <v>18</v>
      </c>
      <c r="E34" s="59"/>
      <c r="F34" s="61" t="s">
        <v>52</v>
      </c>
      <c r="G34" s="61" t="s">
        <v>275</v>
      </c>
      <c r="H34" s="540" t="s">
        <v>249</v>
      </c>
      <c r="I34" s="541"/>
      <c r="J34" s="236"/>
      <c r="K34" s="236">
        <v>0.68920000000000003</v>
      </c>
      <c r="L34" s="237">
        <f t="shared" si="10"/>
        <v>55.136000000000003</v>
      </c>
      <c r="M34" s="58">
        <f t="shared" si="6"/>
        <v>0.50819345044458908</v>
      </c>
      <c r="N34" s="238">
        <f t="shared" si="7"/>
        <v>65.293093441671502</v>
      </c>
      <c r="O34" s="239">
        <f t="shared" si="8"/>
        <v>65.293093441671502</v>
      </c>
      <c r="P34" s="239">
        <f t="shared" si="9"/>
        <v>65.293093441671502</v>
      </c>
    </row>
    <row r="35" spans="1:16" s="240" customFormat="1" ht="69" customHeight="1" thickBot="1">
      <c r="A35" s="234">
        <f t="shared" si="0"/>
        <v>108.49411764705883</v>
      </c>
      <c r="B35" s="235">
        <f t="shared" si="1"/>
        <v>117.95221843003412</v>
      </c>
      <c r="C35" s="59">
        <v>34</v>
      </c>
      <c r="D35" s="542">
        <v>19</v>
      </c>
      <c r="E35" s="59"/>
      <c r="F35" s="544" t="s">
        <v>52</v>
      </c>
      <c r="G35" s="544" t="s">
        <v>275</v>
      </c>
      <c r="H35" s="540" t="s">
        <v>321</v>
      </c>
      <c r="I35" s="541"/>
      <c r="J35" s="236"/>
      <c r="K35" s="236">
        <v>0.35410000000000003</v>
      </c>
      <c r="L35" s="552">
        <f>((K35*60)/0.75)+((K36*60)/0.75)</f>
        <v>86.632000000000005</v>
      </c>
      <c r="M35" s="58">
        <f t="shared" si="6"/>
        <v>0.79849490349165042</v>
      </c>
      <c r="N35" s="238">
        <f t="shared" si="7"/>
        <v>41.555083571890293</v>
      </c>
      <c r="O35" s="239">
        <f t="shared" si="8"/>
        <v>41.555083571890293</v>
      </c>
      <c r="P35" s="239">
        <f t="shared" si="9"/>
        <v>41.555083571890293</v>
      </c>
    </row>
    <row r="36" spans="1:16" s="240" customFormat="1" ht="69" customHeight="1" thickBot="1">
      <c r="A36" s="234">
        <f t="shared" si="0"/>
        <v>108.49411764705883</v>
      </c>
      <c r="B36" s="235">
        <f t="shared" si="1"/>
        <v>117.95221843003412</v>
      </c>
      <c r="C36" s="59">
        <v>37</v>
      </c>
      <c r="D36" s="543"/>
      <c r="E36" s="59"/>
      <c r="F36" s="545"/>
      <c r="G36" s="545"/>
      <c r="H36" s="540" t="s">
        <v>250</v>
      </c>
      <c r="I36" s="541"/>
      <c r="J36" s="236"/>
      <c r="K36" s="236">
        <v>0.7288</v>
      </c>
      <c r="L36" s="553"/>
      <c r="M36" s="58"/>
      <c r="N36" s="238"/>
      <c r="O36" s="239"/>
      <c r="P36" s="239"/>
    </row>
    <row r="37" spans="1:16" s="240" customFormat="1" ht="79.5" customHeight="1" thickBot="1">
      <c r="A37" s="234">
        <f t="shared" si="0"/>
        <v>108.49411764705883</v>
      </c>
      <c r="B37" s="235">
        <f t="shared" si="1"/>
        <v>117.95221843003412</v>
      </c>
      <c r="C37" s="59">
        <v>22</v>
      </c>
      <c r="D37" s="59">
        <v>20</v>
      </c>
      <c r="E37" s="59"/>
      <c r="F37" s="61" t="s">
        <v>166</v>
      </c>
      <c r="G37" s="61" t="s">
        <v>277</v>
      </c>
      <c r="H37" s="540" t="s">
        <v>262</v>
      </c>
      <c r="I37" s="541"/>
      <c r="J37" s="236"/>
      <c r="K37" s="236">
        <v>0.78939999999999999</v>
      </c>
      <c r="L37" s="237">
        <f t="shared" si="10"/>
        <v>63.151999999999994</v>
      </c>
      <c r="M37" s="58">
        <f t="shared" si="6"/>
        <v>0.58207764042507038</v>
      </c>
      <c r="N37" s="238">
        <f t="shared" si="7"/>
        <v>57.005320496579685</v>
      </c>
      <c r="O37" s="239">
        <f t="shared" si="8"/>
        <v>57.005320496579685</v>
      </c>
      <c r="P37" s="239">
        <f t="shared" si="9"/>
        <v>57.005320496579685</v>
      </c>
    </row>
    <row r="38" spans="1:16" s="240" customFormat="1" ht="78" customHeight="1" thickBot="1">
      <c r="A38" s="234">
        <f t="shared" si="0"/>
        <v>108.49411764705883</v>
      </c>
      <c r="B38" s="235">
        <f t="shared" si="1"/>
        <v>117.95221843003412</v>
      </c>
      <c r="C38" s="59">
        <v>25</v>
      </c>
      <c r="D38" s="59">
        <v>21</v>
      </c>
      <c r="E38" s="59"/>
      <c r="F38" s="61" t="s">
        <v>166</v>
      </c>
      <c r="G38" s="61" t="s">
        <v>277</v>
      </c>
      <c r="H38" s="540" t="s">
        <v>263</v>
      </c>
      <c r="I38" s="541"/>
      <c r="J38" s="236"/>
      <c r="K38" s="236">
        <v>0.72440000000000004</v>
      </c>
      <c r="L38" s="237">
        <f t="shared" si="10"/>
        <v>57.952000000000005</v>
      </c>
      <c r="M38" s="58">
        <f t="shared" si="6"/>
        <v>0.53414877466926913</v>
      </c>
      <c r="N38" s="238">
        <f t="shared" si="7"/>
        <v>62.120375483158469</v>
      </c>
      <c r="O38" s="239">
        <f t="shared" si="8"/>
        <v>62.120375483158469</v>
      </c>
      <c r="P38" s="239">
        <f t="shared" si="9"/>
        <v>62.120375483158469</v>
      </c>
    </row>
    <row r="39" spans="1:16" s="240" customFormat="1" ht="69" customHeight="1" thickBot="1">
      <c r="A39" s="234">
        <f t="shared" si="0"/>
        <v>108.49411764705883</v>
      </c>
      <c r="B39" s="235">
        <f t="shared" si="1"/>
        <v>117.95221843003412</v>
      </c>
      <c r="C39" s="59">
        <v>26</v>
      </c>
      <c r="D39" s="59">
        <v>22</v>
      </c>
      <c r="E39" s="59"/>
      <c r="F39" s="61" t="s">
        <v>166</v>
      </c>
      <c r="G39" s="61" t="s">
        <v>277</v>
      </c>
      <c r="H39" s="540" t="s">
        <v>239</v>
      </c>
      <c r="I39" s="541"/>
      <c r="J39" s="236"/>
      <c r="K39" s="236">
        <v>0.9002</v>
      </c>
      <c r="L39" s="237">
        <f t="shared" si="10"/>
        <v>72.016000000000005</v>
      </c>
      <c r="M39" s="58">
        <f t="shared" si="6"/>
        <v>0.663777922359575</v>
      </c>
      <c r="N39" s="238">
        <f t="shared" si="7"/>
        <v>49.988891357476113</v>
      </c>
      <c r="O39" s="239">
        <f t="shared" si="8"/>
        <v>49.988891357476113</v>
      </c>
      <c r="P39" s="239">
        <f t="shared" si="9"/>
        <v>49.988891357476113</v>
      </c>
    </row>
    <row r="40" spans="1:16" s="240" customFormat="1" ht="70.5" customHeight="1" thickBot="1">
      <c r="A40" s="234">
        <f t="shared" si="0"/>
        <v>108.49411764705883</v>
      </c>
      <c r="B40" s="235">
        <f t="shared" si="1"/>
        <v>117.95221843003412</v>
      </c>
      <c r="C40" s="59">
        <v>38</v>
      </c>
      <c r="D40" s="59">
        <v>23</v>
      </c>
      <c r="E40" s="59"/>
      <c r="F40" s="61" t="s">
        <v>166</v>
      </c>
      <c r="G40" s="61" t="s">
        <v>277</v>
      </c>
      <c r="H40" s="540" t="s">
        <v>252</v>
      </c>
      <c r="I40" s="541"/>
      <c r="J40" s="236"/>
      <c r="K40" s="236">
        <v>1.3359000000000001</v>
      </c>
      <c r="L40" s="237">
        <f t="shared" si="10"/>
        <v>106.87200000000001</v>
      </c>
      <c r="M40" s="58">
        <f t="shared" si="6"/>
        <v>0.98504879635653875</v>
      </c>
      <c r="N40" s="238">
        <f t="shared" si="7"/>
        <v>33.685156074556474</v>
      </c>
      <c r="O40" s="239">
        <f t="shared" si="8"/>
        <v>33.685156074556474</v>
      </c>
      <c r="P40" s="239">
        <f t="shared" si="9"/>
        <v>33.685156074556474</v>
      </c>
    </row>
    <row r="41" spans="1:16" s="240" customFormat="1" ht="70.5" customHeight="1" thickBot="1">
      <c r="A41" s="234">
        <f t="shared" si="0"/>
        <v>108.49411764705883</v>
      </c>
      <c r="B41" s="235">
        <f t="shared" si="1"/>
        <v>117.95221843003412</v>
      </c>
      <c r="C41" s="275">
        <v>39</v>
      </c>
      <c r="D41" s="59">
        <v>24</v>
      </c>
      <c r="E41" s="59"/>
      <c r="F41" s="61" t="s">
        <v>166</v>
      </c>
      <c r="G41" s="61" t="s">
        <v>277</v>
      </c>
      <c r="H41" s="540" t="s">
        <v>251</v>
      </c>
      <c r="I41" s="541"/>
      <c r="J41" s="236"/>
      <c r="K41" s="236">
        <v>1.847</v>
      </c>
      <c r="L41" s="237">
        <f>((K41*60)/0.75)/2</f>
        <v>73.88</v>
      </c>
      <c r="M41" s="58">
        <f t="shared" si="6"/>
        <v>0.680958577315116</v>
      </c>
      <c r="N41" s="238">
        <f t="shared" si="7"/>
        <v>48.727666486193833</v>
      </c>
      <c r="O41" s="239">
        <f t="shared" si="8"/>
        <v>48.727666486193833</v>
      </c>
      <c r="P41" s="239">
        <f t="shared" si="9"/>
        <v>48.727666486193833</v>
      </c>
    </row>
    <row r="42" spans="1:16" s="240" customFormat="1" ht="70.5" customHeight="1" thickBot="1">
      <c r="A42" s="234">
        <f t="shared" si="0"/>
        <v>108.49411764705883</v>
      </c>
      <c r="B42" s="235">
        <f t="shared" si="1"/>
        <v>117.95221843003412</v>
      </c>
      <c r="C42" s="275">
        <v>39</v>
      </c>
      <c r="D42" s="59">
        <v>25</v>
      </c>
      <c r="E42" s="59"/>
      <c r="F42" s="61" t="s">
        <v>166</v>
      </c>
      <c r="G42" s="61" t="s">
        <v>277</v>
      </c>
      <c r="H42" s="540" t="s">
        <v>251</v>
      </c>
      <c r="I42" s="541"/>
      <c r="J42" s="236"/>
      <c r="K42" s="236">
        <v>1.847</v>
      </c>
      <c r="L42" s="237">
        <f>((K42*60)/0.75)/2</f>
        <v>73.88</v>
      </c>
      <c r="M42" s="58">
        <f t="shared" si="6"/>
        <v>0.680958577315116</v>
      </c>
      <c r="N42" s="238">
        <f t="shared" si="7"/>
        <v>48.727666486193833</v>
      </c>
      <c r="O42" s="239">
        <f t="shared" si="8"/>
        <v>48.727666486193833</v>
      </c>
      <c r="P42" s="239">
        <f t="shared" si="9"/>
        <v>48.727666486193833</v>
      </c>
    </row>
    <row r="43" spans="1:16" s="240" customFormat="1" ht="57.75" customHeight="1" thickBot="1">
      <c r="A43" s="234">
        <f t="shared" si="0"/>
        <v>108.49411764705883</v>
      </c>
      <c r="B43" s="235">
        <f t="shared" si="1"/>
        <v>117.95221843003412</v>
      </c>
      <c r="C43" s="59">
        <v>40</v>
      </c>
      <c r="D43" s="59">
        <v>26</v>
      </c>
      <c r="E43" s="59"/>
      <c r="F43" s="61" t="s">
        <v>142</v>
      </c>
      <c r="G43" s="61" t="s">
        <v>276</v>
      </c>
      <c r="H43" s="540" t="s">
        <v>253</v>
      </c>
      <c r="I43" s="541"/>
      <c r="J43" s="236"/>
      <c r="K43" s="236">
        <v>0.79549999999999998</v>
      </c>
      <c r="L43" s="237">
        <f t="shared" si="10"/>
        <v>63.639999999999993</v>
      </c>
      <c r="M43" s="58">
        <f t="shared" si="6"/>
        <v>0.58657558013446098</v>
      </c>
      <c r="N43" s="238">
        <f t="shared" si="7"/>
        <v>56.568196103079828</v>
      </c>
      <c r="O43" s="239">
        <f t="shared" si="8"/>
        <v>56.568196103079828</v>
      </c>
      <c r="P43" s="239">
        <f t="shared" si="9"/>
        <v>56.568196103079828</v>
      </c>
    </row>
    <row r="44" spans="1:16" s="240" customFormat="1" ht="81" customHeight="1" thickBot="1">
      <c r="A44" s="234">
        <f t="shared" si="0"/>
        <v>108.49411764705883</v>
      </c>
      <c r="B44" s="235">
        <f t="shared" si="1"/>
        <v>117.95221843003412</v>
      </c>
      <c r="C44" s="59">
        <v>41</v>
      </c>
      <c r="D44" s="59">
        <v>27</v>
      </c>
      <c r="E44" s="59"/>
      <c r="F44" s="61" t="s">
        <v>189</v>
      </c>
      <c r="G44" s="61" t="s">
        <v>278</v>
      </c>
      <c r="H44" s="540" t="s">
        <v>282</v>
      </c>
      <c r="I44" s="541"/>
      <c r="J44" s="236"/>
      <c r="K44" s="236">
        <v>0.7036</v>
      </c>
      <c r="L44" s="237">
        <f t="shared" si="10"/>
        <v>56.288000000000004</v>
      </c>
      <c r="M44" s="58">
        <f t="shared" si="6"/>
        <v>0.51881153762741272</v>
      </c>
      <c r="N44" s="238">
        <f t="shared" si="7"/>
        <v>63.956793632745871</v>
      </c>
      <c r="O44" s="239">
        <f t="shared" si="8"/>
        <v>63.956793632745871</v>
      </c>
      <c r="P44" s="239">
        <f t="shared" si="9"/>
        <v>63.956793632745871</v>
      </c>
    </row>
    <row r="45" spans="1:16" s="240" customFormat="1" ht="57.75" customHeight="1" thickBot="1">
      <c r="A45" s="234">
        <f t="shared" si="0"/>
        <v>108.49411764705883</v>
      </c>
      <c r="B45" s="235">
        <f t="shared" si="1"/>
        <v>117.95221843003412</v>
      </c>
      <c r="C45" s="59">
        <v>42</v>
      </c>
      <c r="D45" s="542">
        <v>28</v>
      </c>
      <c r="E45" s="59"/>
      <c r="F45" s="61" t="s">
        <v>189</v>
      </c>
      <c r="G45" s="61" t="s">
        <v>276</v>
      </c>
      <c r="H45" s="540" t="s">
        <v>255</v>
      </c>
      <c r="I45" s="541"/>
      <c r="J45" s="236"/>
      <c r="K45" s="236">
        <v>0.67479999999999996</v>
      </c>
      <c r="L45" s="552">
        <f>((K45*60)/0.75)+((K46*60)/0.75)</f>
        <v>78.75200000000001</v>
      </c>
      <c r="M45" s="58">
        <f t="shared" si="6"/>
        <v>0.72586423769247455</v>
      </c>
      <c r="N45" s="238">
        <f t="shared" si="7"/>
        <v>45.71312474603819</v>
      </c>
      <c r="O45" s="239">
        <f t="shared" si="8"/>
        <v>45.71312474603819</v>
      </c>
      <c r="P45" s="239">
        <f t="shared" si="9"/>
        <v>45.71312474603819</v>
      </c>
    </row>
    <row r="46" spans="1:16" s="240" customFormat="1" ht="69.75" customHeight="1" thickBot="1">
      <c r="A46" s="234">
        <f t="shared" si="0"/>
        <v>108.49411764705883</v>
      </c>
      <c r="B46" s="235">
        <f t="shared" si="1"/>
        <v>117.95221843003412</v>
      </c>
      <c r="C46" s="59">
        <v>43</v>
      </c>
      <c r="D46" s="543"/>
      <c r="E46" s="59"/>
      <c r="F46" s="61" t="s">
        <v>52</v>
      </c>
      <c r="G46" s="61" t="s">
        <v>275</v>
      </c>
      <c r="H46" s="540" t="s">
        <v>256</v>
      </c>
      <c r="I46" s="541"/>
      <c r="J46" s="236"/>
      <c r="K46" s="236">
        <v>0.30959999999999999</v>
      </c>
      <c r="L46" s="553"/>
      <c r="M46" s="58"/>
      <c r="N46" s="238"/>
      <c r="O46" s="239"/>
      <c r="P46" s="239"/>
    </row>
    <row r="47" spans="1:16" s="240" customFormat="1" ht="56.25" customHeight="1" thickBot="1">
      <c r="A47" s="234">
        <f t="shared" si="0"/>
        <v>108.49411764705883</v>
      </c>
      <c r="B47" s="235">
        <f t="shared" si="1"/>
        <v>117.95221843003412</v>
      </c>
      <c r="C47" s="59">
        <v>44</v>
      </c>
      <c r="D47" s="542">
        <v>29</v>
      </c>
      <c r="E47" s="59"/>
      <c r="F47" s="544" t="s">
        <v>147</v>
      </c>
      <c r="G47" s="544" t="s">
        <v>279</v>
      </c>
      <c r="H47" s="540" t="s">
        <v>257</v>
      </c>
      <c r="I47" s="541"/>
      <c r="J47" s="236"/>
      <c r="K47" s="236">
        <v>0.2243</v>
      </c>
      <c r="L47" s="546">
        <f>((K47*60)/1.1)+((K48*60)/1.1)</f>
        <v>78.125454545454545</v>
      </c>
      <c r="M47" s="58">
        <f t="shared" ref="M47" si="11">IF(L47=0,"",L47/$P$3)</f>
        <v>0.72008931211924054</v>
      </c>
      <c r="N47" s="238">
        <f t="shared" ref="N47" si="12">IF(L47=0,"",3600/L47)</f>
        <v>46.079731899741674</v>
      </c>
      <c r="O47" s="239">
        <f t="shared" ref="O47" si="13">3600/L47</f>
        <v>46.079731899741674</v>
      </c>
      <c r="P47" s="239">
        <f t="shared" ref="P47" si="14">+O47</f>
        <v>46.079731899741674</v>
      </c>
    </row>
    <row r="48" spans="1:16" s="240" customFormat="1" ht="105.75" customHeight="1" thickBot="1">
      <c r="A48" s="234">
        <f t="shared" si="0"/>
        <v>108.49411764705883</v>
      </c>
      <c r="B48" s="235">
        <f t="shared" si="1"/>
        <v>117.95221843003412</v>
      </c>
      <c r="C48" s="59">
        <v>45</v>
      </c>
      <c r="D48" s="543"/>
      <c r="E48" s="59"/>
      <c r="F48" s="545"/>
      <c r="G48" s="545"/>
      <c r="H48" s="540" t="s">
        <v>258</v>
      </c>
      <c r="I48" s="541"/>
      <c r="J48" s="236"/>
      <c r="K48" s="236">
        <v>1.208</v>
      </c>
      <c r="L48" s="547"/>
      <c r="M48" s="58"/>
      <c r="N48" s="238"/>
      <c r="O48" s="239"/>
      <c r="P48" s="239"/>
    </row>
    <row r="49" spans="1:16" s="240" customFormat="1" ht="57.75" customHeight="1" thickBot="1">
      <c r="A49" s="234">
        <f t="shared" si="0"/>
        <v>108.49411764705883</v>
      </c>
      <c r="B49" s="235">
        <f t="shared" si="1"/>
        <v>117.95221843003412</v>
      </c>
      <c r="C49" s="59">
        <v>46</v>
      </c>
      <c r="D49" s="59"/>
      <c r="E49" s="59"/>
      <c r="F49" s="61" t="s">
        <v>195</v>
      </c>
      <c r="G49" s="61" t="s">
        <v>273</v>
      </c>
      <c r="H49" s="540" t="s">
        <v>235</v>
      </c>
      <c r="I49" s="541"/>
      <c r="J49" s="236"/>
      <c r="K49" s="236">
        <v>0.12540000000000001</v>
      </c>
      <c r="L49" s="237"/>
      <c r="M49" s="58"/>
      <c r="N49" s="238"/>
      <c r="O49" s="239"/>
      <c r="P49" s="239"/>
    </row>
    <row r="50" spans="1:16" s="240" customFormat="1" ht="54.75" customHeight="1" thickBot="1">
      <c r="A50" s="234">
        <f t="shared" si="0"/>
        <v>108.49411764705883</v>
      </c>
      <c r="B50" s="235">
        <f t="shared" si="1"/>
        <v>117.95221843003412</v>
      </c>
      <c r="C50" s="59"/>
      <c r="D50" s="56"/>
      <c r="E50" s="59"/>
      <c r="F50" s="61"/>
      <c r="G50" s="61"/>
      <c r="H50" s="540"/>
      <c r="I50" s="541"/>
      <c r="J50" s="236"/>
      <c r="K50" s="236"/>
      <c r="L50" s="237"/>
      <c r="M50" s="58"/>
      <c r="N50" s="238"/>
      <c r="O50" s="239"/>
      <c r="P50" s="239"/>
    </row>
    <row r="51" spans="1:16" s="240" customFormat="1" ht="54.75" customHeight="1" thickBot="1">
      <c r="A51" s="234">
        <f t="shared" si="0"/>
        <v>108.49411764705883</v>
      </c>
      <c r="B51" s="235">
        <f t="shared" si="1"/>
        <v>117.95221843003412</v>
      </c>
      <c r="C51" s="59"/>
      <c r="D51" s="56"/>
      <c r="E51" s="59"/>
      <c r="F51" s="61"/>
      <c r="G51" s="61"/>
      <c r="H51" s="540"/>
      <c r="I51" s="541"/>
      <c r="J51" s="236"/>
      <c r="K51" s="236"/>
      <c r="L51" s="237"/>
      <c r="M51" s="58"/>
      <c r="N51" s="238"/>
      <c r="O51" s="239"/>
      <c r="P51" s="239"/>
    </row>
    <row r="52" spans="1:16" s="240" customFormat="1" ht="63.75" customHeight="1" thickBot="1">
      <c r="A52" s="234"/>
      <c r="B52" s="235"/>
      <c r="C52" s="59"/>
      <c r="D52" s="56"/>
      <c r="E52" s="56"/>
      <c r="F52" s="59"/>
      <c r="G52" s="56"/>
      <c r="H52" s="540"/>
      <c r="I52" s="541"/>
      <c r="J52" s="236"/>
      <c r="K52" s="236"/>
      <c r="L52" s="237"/>
      <c r="M52" s="58"/>
      <c r="N52" s="238"/>
      <c r="O52" s="239"/>
      <c r="P52" s="239"/>
    </row>
    <row r="53" spans="1:16" ht="28.5" customHeight="1">
      <c r="A53" s="241"/>
      <c r="B53" s="242"/>
      <c r="C53" s="243"/>
      <c r="D53" s="244">
        <f>COUNT(D10:D52)</f>
        <v>29</v>
      </c>
      <c r="E53" s="244">
        <f>COUNT(E52:E52)</f>
        <v>0</v>
      </c>
      <c r="F53" s="244">
        <f>COUNT(F52:F52)</f>
        <v>0</v>
      </c>
      <c r="G53" s="244">
        <f>SUM(G52:G52)</f>
        <v>0</v>
      </c>
      <c r="H53" s="554"/>
      <c r="I53" s="554"/>
      <c r="J53" s="554"/>
      <c r="K53" s="554"/>
      <c r="L53" s="554"/>
      <c r="M53" s="554"/>
      <c r="N53" s="554"/>
      <c r="O53" s="261"/>
      <c r="P53" s="246"/>
    </row>
    <row r="54" spans="1:16" ht="50.25" customHeight="1">
      <c r="A54" s="241"/>
      <c r="B54" s="242"/>
      <c r="C54" s="243"/>
      <c r="D54" s="247"/>
      <c r="E54" s="247"/>
      <c r="F54" s="247"/>
      <c r="G54" s="247"/>
      <c r="H54" s="247"/>
      <c r="I54" s="247"/>
      <c r="J54" s="247"/>
      <c r="K54" s="247"/>
      <c r="L54" s="248"/>
      <c r="M54" s="247"/>
      <c r="N54" s="247"/>
      <c r="O54" s="247"/>
      <c r="P54" s="246"/>
    </row>
    <row r="55" spans="1:16" ht="29.25" customHeight="1">
      <c r="A55" s="241"/>
      <c r="B55" s="242"/>
      <c r="C55" s="243"/>
      <c r="D55" s="247"/>
      <c r="E55" s="247"/>
      <c r="F55" s="247"/>
      <c r="G55" s="247"/>
      <c r="H55" s="247"/>
      <c r="I55" s="247"/>
      <c r="J55" s="247"/>
      <c r="K55" s="247"/>
      <c r="L55" s="248"/>
      <c r="M55" s="247"/>
      <c r="N55" s="247"/>
      <c r="O55" s="247"/>
      <c r="P55" s="246"/>
    </row>
    <row r="56" spans="1:16" ht="29.25" customHeight="1">
      <c r="A56" s="241"/>
      <c r="B56" s="242"/>
      <c r="C56" s="243"/>
      <c r="D56" s="247"/>
      <c r="E56" s="247"/>
      <c r="F56" s="247"/>
      <c r="G56" s="247"/>
      <c r="H56" s="247"/>
      <c r="I56" s="247"/>
      <c r="J56" s="247"/>
      <c r="K56" s="247"/>
      <c r="L56" s="248"/>
      <c r="M56" s="247"/>
      <c r="N56" s="247"/>
      <c r="O56" s="247"/>
      <c r="P56" s="246"/>
    </row>
    <row r="57" spans="1:16" ht="29.25" customHeight="1">
      <c r="A57" s="241"/>
      <c r="B57" s="242"/>
      <c r="C57" s="243"/>
      <c r="D57" s="261"/>
      <c r="E57" s="261"/>
      <c r="F57" s="261"/>
      <c r="G57" s="261"/>
      <c r="H57" s="554"/>
      <c r="I57" s="554"/>
      <c r="J57" s="554"/>
      <c r="K57" s="554"/>
      <c r="L57" s="554"/>
      <c r="M57" s="554"/>
      <c r="N57" s="554"/>
      <c r="O57" s="261"/>
      <c r="P57" s="246"/>
    </row>
    <row r="58" spans="1:16">
      <c r="A58" s="241"/>
      <c r="B58" s="242"/>
      <c r="C58" s="243"/>
      <c r="D58" s="247"/>
      <c r="E58" s="247"/>
      <c r="F58" s="247"/>
      <c r="G58" s="247"/>
      <c r="H58" s="247"/>
      <c r="I58" s="247"/>
      <c r="J58" s="247"/>
      <c r="K58" s="247"/>
      <c r="L58" s="248"/>
      <c r="M58" s="247"/>
      <c r="N58" s="247"/>
      <c r="O58" s="247"/>
      <c r="P58" s="246"/>
    </row>
    <row r="59" spans="1:16" ht="43.5" customHeight="1">
      <c r="A59" s="241"/>
      <c r="B59" s="242"/>
      <c r="C59" s="243"/>
      <c r="D59" s="247"/>
      <c r="E59" s="247"/>
      <c r="F59" s="247"/>
      <c r="G59" s="247"/>
      <c r="H59" s="247"/>
      <c r="I59" s="247"/>
      <c r="J59" s="247"/>
      <c r="K59" s="247"/>
      <c r="L59" s="248"/>
      <c r="M59" s="247"/>
      <c r="N59" s="247"/>
      <c r="O59" s="247"/>
      <c r="P59" s="246"/>
    </row>
    <row r="60" spans="1:16">
      <c r="A60" s="241"/>
      <c r="B60" s="242"/>
      <c r="C60" s="243"/>
      <c r="D60" s="247"/>
      <c r="E60" s="247"/>
      <c r="F60" s="247"/>
      <c r="G60" s="247"/>
      <c r="H60" s="247"/>
      <c r="I60" s="247"/>
      <c r="J60" s="247"/>
      <c r="K60" s="247"/>
      <c r="L60" s="248"/>
      <c r="M60" s="247"/>
      <c r="N60" s="247"/>
      <c r="O60" s="247"/>
      <c r="P60" s="246"/>
    </row>
    <row r="61" spans="1:16" ht="42" customHeight="1">
      <c r="C61" s="556" t="s">
        <v>79</v>
      </c>
      <c r="D61" s="556"/>
      <c r="E61" s="560" t="s">
        <v>80</v>
      </c>
      <c r="F61" s="561"/>
      <c r="G61" s="556" t="s">
        <v>81</v>
      </c>
      <c r="H61" s="556"/>
      <c r="I61" s="556" t="s">
        <v>82</v>
      </c>
      <c r="J61" s="556"/>
      <c r="K61" s="562" t="s">
        <v>83</v>
      </c>
      <c r="L61" s="562"/>
      <c r="M61" s="562"/>
      <c r="N61" s="556" t="s">
        <v>84</v>
      </c>
      <c r="O61" s="556"/>
      <c r="P61" s="556"/>
    </row>
    <row r="62" spans="1:16" ht="13.2">
      <c r="C62" s="559"/>
      <c r="D62" s="559"/>
      <c r="E62" s="559"/>
      <c r="F62" s="559"/>
      <c r="G62" s="559"/>
      <c r="H62" s="559"/>
      <c r="I62" s="559"/>
      <c r="J62" s="559"/>
      <c r="K62" s="559"/>
      <c r="L62" s="559"/>
      <c r="M62" s="559"/>
      <c r="N62" s="559"/>
      <c r="O62" s="559"/>
      <c r="P62" s="559"/>
    </row>
    <row r="63" spans="1:16" ht="13.2">
      <c r="C63" s="559"/>
      <c r="D63" s="559"/>
      <c r="E63" s="559"/>
      <c r="F63" s="559"/>
      <c r="G63" s="559"/>
      <c r="H63" s="559"/>
      <c r="I63" s="559"/>
      <c r="J63" s="559"/>
      <c r="K63" s="559"/>
      <c r="L63" s="559"/>
      <c r="M63" s="559"/>
      <c r="N63" s="559"/>
      <c r="O63" s="559"/>
      <c r="P63" s="559"/>
    </row>
    <row r="64" spans="1:16" s="250" customFormat="1" ht="57" customHeight="1">
      <c r="A64" s="249"/>
      <c r="B64" s="249"/>
      <c r="C64" s="559"/>
      <c r="D64" s="559"/>
      <c r="E64" s="559"/>
      <c r="F64" s="559"/>
      <c r="G64" s="559"/>
      <c r="H64" s="559"/>
      <c r="I64" s="559"/>
      <c r="J64" s="559"/>
      <c r="K64" s="559"/>
      <c r="L64" s="559"/>
      <c r="M64" s="559"/>
      <c r="N64" s="559"/>
      <c r="O64" s="559"/>
      <c r="P64" s="559"/>
    </row>
    <row r="65" spans="3:16" ht="42.75" customHeight="1">
      <c r="C65" s="556" t="s">
        <v>85</v>
      </c>
      <c r="D65" s="556"/>
      <c r="E65" s="556" t="s">
        <v>86</v>
      </c>
      <c r="F65" s="556"/>
      <c r="G65" s="556" t="s">
        <v>87</v>
      </c>
      <c r="H65" s="556"/>
      <c r="I65" s="557" t="s">
        <v>88</v>
      </c>
      <c r="J65" s="557"/>
      <c r="K65" s="558" t="s">
        <v>90</v>
      </c>
      <c r="L65" s="556"/>
      <c r="M65" s="556"/>
      <c r="N65" s="556" t="s">
        <v>89</v>
      </c>
      <c r="O65" s="556"/>
      <c r="P65" s="556"/>
    </row>
    <row r="66" spans="3:16" ht="13.2">
      <c r="C66" s="555"/>
      <c r="D66" s="555"/>
      <c r="E66" s="555"/>
      <c r="F66" s="555"/>
      <c r="G66" s="555"/>
      <c r="H66" s="555"/>
      <c r="I66" s="555"/>
      <c r="J66" s="555"/>
      <c r="K66" s="555"/>
      <c r="L66" s="555"/>
      <c r="M66" s="555"/>
      <c r="N66" s="555"/>
      <c r="O66" s="555"/>
      <c r="P66" s="555"/>
    </row>
    <row r="67" spans="3:16" ht="13.2">
      <c r="C67" s="555"/>
      <c r="D67" s="555"/>
      <c r="E67" s="555"/>
      <c r="F67" s="555"/>
      <c r="G67" s="555"/>
      <c r="H67" s="555"/>
      <c r="I67" s="555"/>
      <c r="J67" s="555"/>
      <c r="K67" s="555"/>
      <c r="L67" s="555"/>
      <c r="M67" s="555"/>
      <c r="N67" s="555"/>
      <c r="O67" s="555"/>
      <c r="P67" s="555"/>
    </row>
    <row r="68" spans="3:16" ht="62.25" customHeight="1">
      <c r="C68" s="555"/>
      <c r="D68" s="555"/>
      <c r="E68" s="555"/>
      <c r="F68" s="555"/>
      <c r="G68" s="555"/>
      <c r="H68" s="555"/>
      <c r="I68" s="555"/>
      <c r="J68" s="555"/>
      <c r="K68" s="555"/>
      <c r="L68" s="555"/>
      <c r="M68" s="555"/>
      <c r="N68" s="555"/>
      <c r="O68" s="555"/>
      <c r="P68" s="555"/>
    </row>
  </sheetData>
  <autoFilter ref="A9:P53">
    <filterColumn colId="7" showButton="0"/>
    <filterColumn colId="10" showButton="0"/>
  </autoFilter>
  <mergeCells count="115">
    <mergeCell ref="C66:D68"/>
    <mergeCell ref="E66:F68"/>
    <mergeCell ref="G66:H68"/>
    <mergeCell ref="I66:J68"/>
    <mergeCell ref="K66:M68"/>
    <mergeCell ref="N66:P68"/>
    <mergeCell ref="C65:D65"/>
    <mergeCell ref="E65:F65"/>
    <mergeCell ref="G65:H65"/>
    <mergeCell ref="I65:J65"/>
    <mergeCell ref="K65:M65"/>
    <mergeCell ref="N65:P65"/>
    <mergeCell ref="C62:D64"/>
    <mergeCell ref="E62:F64"/>
    <mergeCell ref="G62:H64"/>
    <mergeCell ref="I62:J64"/>
    <mergeCell ref="K62:M64"/>
    <mergeCell ref="N62:P64"/>
    <mergeCell ref="C61:D61"/>
    <mergeCell ref="E61:F61"/>
    <mergeCell ref="G61:H61"/>
    <mergeCell ref="I61:J61"/>
    <mergeCell ref="K61:M61"/>
    <mergeCell ref="N61:P61"/>
    <mergeCell ref="H49:I49"/>
    <mergeCell ref="H50:I50"/>
    <mergeCell ref="H51:I51"/>
    <mergeCell ref="H52:I52"/>
    <mergeCell ref="H53:N53"/>
    <mergeCell ref="H57:N57"/>
    <mergeCell ref="L45:L46"/>
    <mergeCell ref="H46:I46"/>
    <mergeCell ref="D47:D48"/>
    <mergeCell ref="F47:F48"/>
    <mergeCell ref="G47:G48"/>
    <mergeCell ref="H47:I47"/>
    <mergeCell ref="L47:L48"/>
    <mergeCell ref="H48:I48"/>
    <mergeCell ref="D45:D46"/>
    <mergeCell ref="H45:I45"/>
    <mergeCell ref="L10:L11"/>
    <mergeCell ref="L12:L14"/>
    <mergeCell ref="L15:L16"/>
    <mergeCell ref="L17:L19"/>
    <mergeCell ref="L35:L36"/>
    <mergeCell ref="H41:I41"/>
    <mergeCell ref="H42:I42"/>
    <mergeCell ref="H43:I43"/>
    <mergeCell ref="H44:I44"/>
    <mergeCell ref="H40:I40"/>
    <mergeCell ref="H37:I37"/>
    <mergeCell ref="H38:I38"/>
    <mergeCell ref="H39:I39"/>
    <mergeCell ref="H36:I36"/>
    <mergeCell ref="H12:I12"/>
    <mergeCell ref="H13:I13"/>
    <mergeCell ref="H25:I25"/>
    <mergeCell ref="H20:I20"/>
    <mergeCell ref="H21:I21"/>
    <mergeCell ref="H22:I22"/>
    <mergeCell ref="H23:I23"/>
    <mergeCell ref="H24:I24"/>
    <mergeCell ref="D26:D27"/>
    <mergeCell ref="H26:I26"/>
    <mergeCell ref="L26:L27"/>
    <mergeCell ref="H27:I27"/>
    <mergeCell ref="H31:I31"/>
    <mergeCell ref="H32:I32"/>
    <mergeCell ref="H33:I33"/>
    <mergeCell ref="H34:I34"/>
    <mergeCell ref="D35:D36"/>
    <mergeCell ref="F35:F36"/>
    <mergeCell ref="G35:G36"/>
    <mergeCell ref="H35:I35"/>
    <mergeCell ref="H28:I28"/>
    <mergeCell ref="H29:I29"/>
    <mergeCell ref="H30:I30"/>
    <mergeCell ref="D12:D14"/>
    <mergeCell ref="G12:G14"/>
    <mergeCell ref="F12:F14"/>
    <mergeCell ref="H15:I15"/>
    <mergeCell ref="H17:I17"/>
    <mergeCell ref="D15:D16"/>
    <mergeCell ref="H14:I14"/>
    <mergeCell ref="H16:I16"/>
    <mergeCell ref="C7:C9"/>
    <mergeCell ref="D7:D9"/>
    <mergeCell ref="E7:E9"/>
    <mergeCell ref="F7:G8"/>
    <mergeCell ref="H7:I9"/>
    <mergeCell ref="H11:I11"/>
    <mergeCell ref="G10:G11"/>
    <mergeCell ref="F10:F11"/>
    <mergeCell ref="D10:D11"/>
    <mergeCell ref="H10:I10"/>
    <mergeCell ref="D17:D19"/>
    <mergeCell ref="G18:G19"/>
    <mergeCell ref="F18:F19"/>
    <mergeCell ref="H18:I18"/>
    <mergeCell ref="H19:I19"/>
    <mergeCell ref="J7:J9"/>
    <mergeCell ref="K7:L9"/>
    <mergeCell ref="M7:M9"/>
    <mergeCell ref="O7:O9"/>
    <mergeCell ref="N7:N9"/>
    <mergeCell ref="I2:P2"/>
    <mergeCell ref="D3:G3"/>
    <mergeCell ref="K3:M3"/>
    <mergeCell ref="D4:G4"/>
    <mergeCell ref="K4:M4"/>
    <mergeCell ref="D5:G5"/>
    <mergeCell ref="K5:M5"/>
    <mergeCell ref="D6:G6"/>
    <mergeCell ref="K6:M6"/>
    <mergeCell ref="P7:P9"/>
  </mergeCells>
  <pageMargins left="0" right="0" top="0" bottom="0" header="0.31496062992126" footer="0.31496062992126"/>
  <pageSetup paperSize="9" scale="51" fitToHeight="0" orientation="portrait" r:id="rId1"/>
  <headerFooter alignWithMargins="0"/>
  <rowBreaks count="5" manualBreakCount="5">
    <brk id="9" min="2" max="15" man="1"/>
    <brk id="30" min="2" max="15" man="1"/>
    <brk id="34" min="2" max="15" man="1"/>
    <brk id="44" min="2" max="15" man="1"/>
    <brk id="50" min="2" max="15" man="1"/>
  </rowBreaks>
  <ignoredErrors>
    <ignoredError sqref="I3:I4 I6 K10 N3:P3 N6:P6 O4:P4 O5:P5 N4:N5 K30 Q30 L30:P30 L28:P29 L31:P34 L35:P46 L12:P12 M10:P10 L11:P11 L10 L13:P16 L17:P27" unlockedFormula="1"/>
  </ignoredError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N243"/>
  <sheetViews>
    <sheetView view="pageBreakPreview" topLeftCell="A16" zoomScale="70" zoomScaleNormal="80" zoomScaleSheetLayoutView="70" workbookViewId="0">
      <selection activeCell="S47" sqref="S47"/>
    </sheetView>
  </sheetViews>
  <sheetFormatPr defaultColWidth="9.109375" defaultRowHeight="13.2"/>
  <cols>
    <col min="1" max="1" width="6.6640625" style="55" customWidth="1"/>
    <col min="2" max="2" width="13" style="55" customWidth="1"/>
    <col min="3" max="3" width="10.33203125" style="55" customWidth="1"/>
    <col min="4" max="4" width="6.44140625" style="55" customWidth="1"/>
    <col min="5" max="5" width="20.44140625" style="55" customWidth="1"/>
    <col min="6" max="6" width="29.33203125" style="55" customWidth="1"/>
    <col min="7" max="7" width="14.44140625" style="55" customWidth="1"/>
    <col min="8" max="8" width="22.5546875" style="55" customWidth="1"/>
    <col min="9" max="9" width="13.88671875" style="55" customWidth="1"/>
    <col min="10" max="10" width="13" style="55" customWidth="1"/>
    <col min="11" max="11" width="9.44140625" style="55" customWidth="1"/>
    <col min="12" max="12" width="10.44140625" style="55" customWidth="1"/>
    <col min="13" max="16384" width="9.109375" style="55"/>
  </cols>
  <sheetData>
    <row r="1" spans="1:14" ht="7.5" customHeight="1" thickBot="1"/>
    <row r="2" spans="1:14" ht="42.75" customHeight="1" thickBot="1">
      <c r="B2" s="566"/>
      <c r="C2" s="567"/>
      <c r="D2" s="567"/>
      <c r="E2" s="567"/>
      <c r="F2" s="567"/>
      <c r="G2" s="567"/>
      <c r="H2" s="568"/>
      <c r="I2" s="567" t="s">
        <v>26</v>
      </c>
      <c r="J2" s="567"/>
      <c r="K2" s="567"/>
      <c r="L2" s="568"/>
    </row>
    <row r="3" spans="1:14" ht="32.25" customHeight="1">
      <c r="B3" s="11" t="s">
        <v>0</v>
      </c>
      <c r="C3" s="569"/>
      <c r="D3" s="569"/>
      <c r="E3" s="51" t="s">
        <v>98</v>
      </c>
      <c r="F3" s="13"/>
      <c r="G3" s="570" t="s">
        <v>2</v>
      </c>
      <c r="H3" s="571"/>
      <c r="I3" s="572"/>
      <c r="J3" s="14"/>
      <c r="K3" s="12" t="s">
        <v>3</v>
      </c>
      <c r="L3" s="15"/>
    </row>
    <row r="4" spans="1:14" ht="32.25" customHeight="1">
      <c r="B4" s="5" t="s">
        <v>4</v>
      </c>
      <c r="C4" s="573">
        <v>221433</v>
      </c>
      <c r="D4" s="573"/>
      <c r="E4" s="30"/>
      <c r="F4" s="22"/>
      <c r="G4" s="574" t="s">
        <v>6</v>
      </c>
      <c r="H4" s="575"/>
      <c r="I4" s="576"/>
      <c r="J4" s="16"/>
      <c r="K4" s="4" t="s">
        <v>7</v>
      </c>
      <c r="L4" s="17"/>
    </row>
    <row r="5" spans="1:14" ht="32.25" customHeight="1">
      <c r="B5" s="5" t="s">
        <v>8</v>
      </c>
      <c r="C5" s="577"/>
      <c r="D5" s="578"/>
      <c r="E5" s="31" t="s">
        <v>9</v>
      </c>
      <c r="F5" s="229" t="s">
        <v>280</v>
      </c>
      <c r="G5" s="579" t="s">
        <v>10</v>
      </c>
      <c r="H5" s="580"/>
      <c r="I5" s="580"/>
      <c r="J5" s="4"/>
      <c r="K5" s="4" t="s">
        <v>11</v>
      </c>
      <c r="L5" s="6"/>
    </row>
    <row r="6" spans="1:14" ht="32.25" customHeight="1" thickBot="1">
      <c r="B6" s="26" t="s">
        <v>12</v>
      </c>
      <c r="C6" s="581"/>
      <c r="D6" s="582"/>
      <c r="E6" s="31" t="s">
        <v>13</v>
      </c>
      <c r="F6" s="25">
        <v>29</v>
      </c>
      <c r="G6" s="579" t="s">
        <v>14</v>
      </c>
      <c r="H6" s="580"/>
      <c r="I6" s="583"/>
      <c r="J6" s="4"/>
      <c r="K6" s="4"/>
      <c r="L6" s="6"/>
    </row>
    <row r="7" spans="1:14" ht="18.75" customHeight="1">
      <c r="A7" s="7"/>
      <c r="B7" s="27"/>
      <c r="C7" s="32"/>
      <c r="D7" s="32"/>
      <c r="E7" s="267"/>
      <c r="F7" s="267"/>
      <c r="G7" s="34"/>
      <c r="H7" s="35"/>
      <c r="I7" s="23"/>
      <c r="J7" s="23"/>
      <c r="K7" s="23"/>
      <c r="L7" s="24"/>
    </row>
    <row r="8" spans="1:14" ht="99.75" customHeight="1">
      <c r="A8" s="7"/>
      <c r="B8" s="32"/>
      <c r="C8" s="32"/>
      <c r="D8" s="32"/>
      <c r="E8" s="267"/>
      <c r="F8" s="267"/>
      <c r="G8" s="34"/>
      <c r="H8" s="35"/>
      <c r="I8" s="18"/>
      <c r="J8" s="265"/>
      <c r="K8" s="265"/>
      <c r="L8" s="266"/>
      <c r="N8" s="8"/>
    </row>
    <row r="9" spans="1:14" ht="19.5" customHeight="1">
      <c r="A9" s="7"/>
      <c r="B9" s="32"/>
      <c r="C9" s="32"/>
      <c r="D9" s="32"/>
      <c r="E9" s="267"/>
      <c r="F9" s="267"/>
      <c r="G9" s="34"/>
      <c r="H9" s="35"/>
      <c r="I9" s="18"/>
      <c r="J9" s="265"/>
      <c r="K9" s="265"/>
      <c r="L9" s="266"/>
      <c r="N9" s="8"/>
    </row>
    <row r="10" spans="1:14" ht="18.75" customHeight="1">
      <c r="A10" s="7"/>
      <c r="B10" s="32"/>
      <c r="C10" s="32"/>
      <c r="D10" s="32"/>
      <c r="E10" s="267"/>
      <c r="F10" s="267"/>
      <c r="G10" s="34"/>
      <c r="H10" s="35"/>
      <c r="I10" s="18"/>
      <c r="J10" s="265"/>
      <c r="K10" s="265"/>
      <c r="L10" s="266"/>
      <c r="N10" s="8"/>
    </row>
    <row r="11" spans="1:14" ht="18.75" customHeight="1">
      <c r="A11" s="7"/>
      <c r="B11" s="32"/>
      <c r="C11" s="32"/>
      <c r="D11" s="32"/>
      <c r="E11" s="267"/>
      <c r="F11" s="267"/>
      <c r="G11" s="34"/>
      <c r="H11" s="35"/>
      <c r="I11" s="18"/>
      <c r="J11" s="265"/>
      <c r="K11" s="265"/>
      <c r="L11" s="266"/>
      <c r="N11" s="8"/>
    </row>
    <row r="12" spans="1:14" ht="15.75" customHeight="1">
      <c r="A12" s="7"/>
      <c r="B12" s="32"/>
      <c r="C12" s="32"/>
      <c r="D12" s="32"/>
      <c r="E12" s="267"/>
      <c r="F12" s="267"/>
      <c r="G12" s="34"/>
      <c r="H12" s="35"/>
      <c r="I12" s="18"/>
      <c r="J12" s="265"/>
      <c r="K12" s="265"/>
      <c r="L12" s="266"/>
      <c r="N12" s="8"/>
    </row>
    <row r="13" spans="1:14" ht="15.75" customHeight="1">
      <c r="A13" s="7"/>
      <c r="B13" s="32"/>
      <c r="C13" s="32"/>
      <c r="D13" s="32"/>
      <c r="E13" s="267"/>
      <c r="F13" s="267"/>
      <c r="G13" s="34"/>
      <c r="H13" s="35"/>
      <c r="I13" s="18"/>
      <c r="J13" s="265"/>
      <c r="K13" s="265"/>
      <c r="L13" s="266"/>
      <c r="N13" s="8"/>
    </row>
    <row r="14" spans="1:14" ht="18.75" customHeight="1">
      <c r="A14" s="7"/>
      <c r="B14" s="32"/>
      <c r="C14" s="32"/>
      <c r="D14" s="32"/>
      <c r="E14" s="267"/>
      <c r="F14" s="267"/>
      <c r="G14" s="34"/>
      <c r="H14" s="35"/>
      <c r="I14" s="18"/>
      <c r="J14" s="265"/>
      <c r="K14" s="265"/>
      <c r="L14" s="266"/>
      <c r="N14" s="8"/>
    </row>
    <row r="15" spans="1:14" ht="15.75" customHeight="1">
      <c r="A15" s="7"/>
      <c r="B15" s="32"/>
      <c r="C15" s="32"/>
      <c r="D15" s="32"/>
      <c r="E15" s="267"/>
      <c r="F15" s="267"/>
      <c r="G15" s="34"/>
      <c r="H15" s="35"/>
      <c r="I15" s="18"/>
      <c r="J15" s="265"/>
      <c r="K15" s="265"/>
      <c r="L15" s="266"/>
      <c r="N15" s="8"/>
    </row>
    <row r="16" spans="1:14" ht="18.75" customHeight="1">
      <c r="A16" s="7"/>
      <c r="B16" s="32"/>
      <c r="C16" s="32"/>
      <c r="D16" s="32"/>
      <c r="E16" s="267"/>
      <c r="F16" s="267"/>
      <c r="G16" s="34"/>
      <c r="H16" s="35"/>
      <c r="I16" s="18"/>
      <c r="J16" s="265"/>
      <c r="K16" s="265"/>
      <c r="L16" s="266"/>
      <c r="N16" s="8"/>
    </row>
    <row r="17" spans="1:14" ht="15.75" customHeight="1">
      <c r="A17" s="7"/>
      <c r="B17" s="32"/>
      <c r="C17" s="32"/>
      <c r="D17" s="32"/>
      <c r="E17" s="267"/>
      <c r="F17" s="267"/>
      <c r="G17" s="34"/>
      <c r="H17" s="35"/>
      <c r="I17" s="18"/>
      <c r="J17" s="265"/>
      <c r="K17" s="265"/>
      <c r="L17" s="266"/>
      <c r="N17" s="8"/>
    </row>
    <row r="18" spans="1:14" ht="18.75" customHeight="1">
      <c r="A18" s="7"/>
      <c r="B18" s="32"/>
      <c r="C18" s="32"/>
      <c r="D18" s="32"/>
      <c r="E18" s="267"/>
      <c r="F18" s="267"/>
      <c r="G18" s="34"/>
      <c r="H18" s="35"/>
      <c r="I18" s="18"/>
      <c r="J18" s="265"/>
      <c r="K18" s="265"/>
      <c r="L18" s="266"/>
      <c r="N18" s="8"/>
    </row>
    <row r="19" spans="1:14" ht="15.75" customHeight="1">
      <c r="A19" s="7"/>
      <c r="B19" s="32"/>
      <c r="C19" s="32"/>
      <c r="D19" s="32"/>
      <c r="E19" s="267"/>
      <c r="F19" s="267"/>
      <c r="G19" s="34"/>
      <c r="H19" s="35"/>
      <c r="I19" s="18"/>
      <c r="J19" s="265"/>
      <c r="K19" s="265"/>
      <c r="L19" s="266"/>
      <c r="N19" s="8"/>
    </row>
    <row r="20" spans="1:14" ht="18.75" customHeight="1">
      <c r="A20" s="7"/>
      <c r="B20" s="32"/>
      <c r="C20" s="32"/>
      <c r="D20" s="32"/>
      <c r="E20" s="267"/>
      <c r="F20" s="267"/>
      <c r="G20" s="34"/>
      <c r="H20" s="35"/>
      <c r="I20" s="18"/>
      <c r="J20" s="265"/>
      <c r="K20" s="265"/>
      <c r="L20" s="266"/>
      <c r="N20" s="8"/>
    </row>
    <row r="21" spans="1:14" ht="15.75" customHeight="1">
      <c r="A21" s="7"/>
      <c r="B21" s="32"/>
      <c r="C21" s="32"/>
      <c r="D21" s="32"/>
      <c r="E21" s="267"/>
      <c r="F21" s="267"/>
      <c r="G21" s="34"/>
      <c r="H21" s="35"/>
      <c r="I21" s="18"/>
      <c r="J21" s="265"/>
      <c r="K21" s="265"/>
      <c r="L21" s="266"/>
      <c r="N21" s="8"/>
    </row>
    <row r="22" spans="1:14" ht="18.75" customHeight="1">
      <c r="A22" s="7"/>
      <c r="B22" s="32"/>
      <c r="C22" s="32"/>
      <c r="D22" s="32"/>
      <c r="E22" s="267"/>
      <c r="F22" s="267"/>
      <c r="G22" s="34"/>
      <c r="H22" s="35"/>
      <c r="I22" s="18"/>
      <c r="J22" s="265"/>
      <c r="K22" s="265"/>
      <c r="L22" s="266"/>
      <c r="N22" s="8"/>
    </row>
    <row r="23" spans="1:14" ht="15.75" customHeight="1">
      <c r="A23" s="7"/>
      <c r="B23" s="32"/>
      <c r="C23" s="32"/>
      <c r="D23" s="32"/>
      <c r="E23" s="267"/>
      <c r="F23" s="267"/>
      <c r="G23" s="34"/>
      <c r="H23" s="35"/>
      <c r="I23" s="18"/>
      <c r="J23" s="265"/>
      <c r="K23" s="265"/>
      <c r="L23" s="266"/>
      <c r="N23" s="8"/>
    </row>
    <row r="24" spans="1:14" ht="18.75" customHeight="1">
      <c r="A24" s="7"/>
      <c r="B24" s="32"/>
      <c r="C24" s="32"/>
      <c r="D24" s="32"/>
      <c r="E24" s="267"/>
      <c r="F24" s="267"/>
      <c r="G24" s="34"/>
      <c r="H24" s="35"/>
      <c r="I24" s="18"/>
      <c r="J24" s="265"/>
      <c r="K24" s="265"/>
      <c r="L24" s="266"/>
      <c r="N24" s="8"/>
    </row>
    <row r="25" spans="1:14" ht="15.75" customHeight="1">
      <c r="A25" s="7"/>
      <c r="B25" s="32"/>
      <c r="C25" s="32"/>
      <c r="D25" s="32"/>
      <c r="E25" s="267"/>
      <c r="F25" s="267"/>
      <c r="G25" s="34"/>
      <c r="H25" s="35"/>
      <c r="I25" s="18"/>
      <c r="J25" s="265"/>
      <c r="K25" s="265"/>
      <c r="L25" s="266"/>
      <c r="N25" s="8"/>
    </row>
    <row r="26" spans="1:14" ht="18.75" customHeight="1">
      <c r="A26" s="7"/>
      <c r="B26" s="32"/>
      <c r="C26" s="32"/>
      <c r="D26" s="32"/>
      <c r="E26" s="267"/>
      <c r="F26" s="267"/>
      <c r="G26" s="34"/>
      <c r="H26" s="35"/>
      <c r="I26" s="18"/>
      <c r="J26" s="265"/>
      <c r="K26" s="265"/>
      <c r="L26" s="266"/>
      <c r="N26" s="8"/>
    </row>
    <row r="27" spans="1:14" ht="15.75" customHeight="1">
      <c r="A27" s="7"/>
      <c r="B27" s="32"/>
      <c r="C27" s="32"/>
      <c r="D27" s="32"/>
      <c r="E27" s="267"/>
      <c r="F27" s="267"/>
      <c r="G27" s="34"/>
      <c r="H27" s="35"/>
      <c r="I27" s="18"/>
      <c r="J27" s="265"/>
      <c r="K27" s="265"/>
      <c r="L27" s="266"/>
      <c r="N27" s="8"/>
    </row>
    <row r="28" spans="1:14" ht="18.75" customHeight="1">
      <c r="A28" s="7"/>
      <c r="B28" s="32"/>
      <c r="C28" s="32"/>
      <c r="D28" s="32"/>
      <c r="E28" s="267"/>
      <c r="F28" s="267"/>
      <c r="G28" s="34"/>
      <c r="H28" s="35"/>
      <c r="I28" s="18"/>
      <c r="J28" s="265"/>
      <c r="K28" s="265"/>
      <c r="L28" s="266"/>
      <c r="N28" s="8"/>
    </row>
    <row r="29" spans="1:14" ht="18.75" customHeight="1">
      <c r="A29" s="7"/>
      <c r="B29" s="32"/>
      <c r="C29" s="32"/>
      <c r="D29" s="32"/>
      <c r="E29" s="267"/>
      <c r="F29" s="267"/>
      <c r="G29" s="34"/>
      <c r="H29" s="35"/>
      <c r="I29" s="18"/>
      <c r="J29" s="265"/>
      <c r="K29" s="265"/>
      <c r="L29" s="266"/>
      <c r="N29" s="8"/>
    </row>
    <row r="30" spans="1:14" ht="15.75" customHeight="1">
      <c r="A30" s="7"/>
      <c r="B30" s="32"/>
      <c r="C30" s="32"/>
      <c r="D30" s="32"/>
      <c r="E30" s="267"/>
      <c r="F30" s="267"/>
      <c r="G30" s="34"/>
      <c r="H30" s="35"/>
      <c r="I30" s="18"/>
      <c r="J30" s="265"/>
      <c r="K30" s="265"/>
      <c r="L30" s="266"/>
      <c r="N30" s="8"/>
    </row>
    <row r="31" spans="1:14" ht="18.75" customHeight="1">
      <c r="A31" s="7"/>
      <c r="B31" s="32"/>
      <c r="C31" s="32"/>
      <c r="D31" s="32"/>
      <c r="E31" s="267"/>
      <c r="F31" s="267"/>
      <c r="G31" s="34"/>
      <c r="H31" s="35"/>
      <c r="I31" s="18"/>
      <c r="J31" s="265"/>
      <c r="K31" s="265"/>
      <c r="L31" s="266"/>
      <c r="N31" s="8"/>
    </row>
    <row r="32" spans="1:14" ht="15.75" customHeight="1">
      <c r="A32" s="7"/>
      <c r="B32" s="32"/>
      <c r="C32" s="32"/>
      <c r="D32" s="32"/>
      <c r="E32" s="267"/>
      <c r="F32" s="267"/>
      <c r="G32" s="34"/>
      <c r="H32" s="35"/>
      <c r="I32" s="18"/>
      <c r="J32" s="265"/>
      <c r="K32" s="265"/>
      <c r="L32" s="266"/>
      <c r="N32" s="8"/>
    </row>
    <row r="33" spans="1:14" ht="18.75" customHeight="1">
      <c r="A33" s="7"/>
      <c r="B33" s="32"/>
      <c r="C33" s="32"/>
      <c r="D33" s="32"/>
      <c r="E33" s="267"/>
      <c r="F33" s="267"/>
      <c r="G33" s="34"/>
      <c r="H33" s="35"/>
      <c r="I33" s="18"/>
      <c r="J33" s="265"/>
      <c r="K33" s="265"/>
      <c r="L33" s="266"/>
      <c r="N33" s="8"/>
    </row>
    <row r="34" spans="1:14" ht="15.75" customHeight="1">
      <c r="A34" s="7"/>
      <c r="B34" s="32"/>
      <c r="C34" s="32"/>
      <c r="D34" s="32"/>
      <c r="E34" s="267"/>
      <c r="F34" s="267"/>
      <c r="G34" s="34"/>
      <c r="H34" s="35"/>
      <c r="I34" s="18"/>
      <c r="J34" s="265"/>
      <c r="K34" s="265"/>
      <c r="L34" s="266"/>
      <c r="N34" s="8"/>
    </row>
    <row r="35" spans="1:14" ht="18.75" customHeight="1">
      <c r="A35" s="7"/>
      <c r="B35" s="32"/>
      <c r="C35" s="32"/>
      <c r="D35" s="32"/>
      <c r="E35" s="267"/>
      <c r="F35" s="267"/>
      <c r="G35" s="34"/>
      <c r="H35" s="35"/>
      <c r="I35" s="18"/>
      <c r="J35" s="265"/>
      <c r="K35" s="265"/>
      <c r="L35" s="266"/>
      <c r="N35" s="8"/>
    </row>
    <row r="36" spans="1:14" ht="18.75" customHeight="1">
      <c r="A36" s="7"/>
      <c r="B36" s="32"/>
      <c r="C36" s="32"/>
      <c r="D36" s="32"/>
      <c r="E36" s="267"/>
      <c r="F36" s="267"/>
      <c r="G36" s="34"/>
      <c r="H36" s="35"/>
      <c r="I36" s="18"/>
      <c r="J36" s="265"/>
      <c r="K36" s="265"/>
      <c r="L36" s="266"/>
      <c r="N36" s="8"/>
    </row>
    <row r="37" spans="1:14" ht="15.75" customHeight="1">
      <c r="A37" s="7"/>
      <c r="B37" s="32"/>
      <c r="C37" s="32"/>
      <c r="D37" s="32"/>
      <c r="E37" s="267"/>
      <c r="F37" s="267"/>
      <c r="G37" s="34"/>
      <c r="H37" s="35"/>
      <c r="I37" s="18"/>
      <c r="J37" s="265"/>
      <c r="K37" s="265"/>
      <c r="L37" s="266"/>
      <c r="N37" s="8"/>
    </row>
    <row r="38" spans="1:14" ht="18.75" customHeight="1">
      <c r="A38" s="7"/>
      <c r="B38" s="32"/>
      <c r="C38" s="32"/>
      <c r="D38" s="32"/>
      <c r="E38" s="267"/>
      <c r="F38" s="267"/>
      <c r="G38" s="34"/>
      <c r="H38" s="35"/>
      <c r="I38" s="18"/>
      <c r="J38" s="265"/>
      <c r="K38" s="265"/>
      <c r="L38" s="266"/>
      <c r="N38" s="8"/>
    </row>
    <row r="39" spans="1:14" ht="15.75" customHeight="1">
      <c r="A39" s="7"/>
      <c r="B39" s="32"/>
      <c r="C39" s="32"/>
      <c r="D39" s="32"/>
      <c r="E39" s="267"/>
      <c r="F39" s="267"/>
      <c r="G39" s="34"/>
      <c r="H39" s="35"/>
      <c r="I39" s="18"/>
      <c r="J39" s="265"/>
      <c r="K39" s="265"/>
      <c r="L39" s="266"/>
      <c r="N39" s="8"/>
    </row>
    <row r="40" spans="1:14" ht="18.75" customHeight="1">
      <c r="A40" s="7"/>
      <c r="B40" s="32"/>
      <c r="C40" s="32"/>
      <c r="D40" s="32"/>
      <c r="E40" s="267"/>
      <c r="F40" s="267"/>
      <c r="G40" s="34"/>
      <c r="H40" s="35"/>
      <c r="I40" s="18"/>
      <c r="J40" s="265"/>
      <c r="K40" s="265"/>
      <c r="L40" s="266"/>
      <c r="N40" s="8"/>
    </row>
    <row r="41" spans="1:14" ht="15.75" customHeight="1">
      <c r="A41" s="7"/>
      <c r="B41" s="32"/>
      <c r="C41" s="32"/>
      <c r="D41" s="32"/>
      <c r="E41" s="267"/>
      <c r="F41" s="267"/>
      <c r="G41" s="34"/>
      <c r="H41" s="35"/>
      <c r="I41" s="18"/>
      <c r="J41" s="265"/>
      <c r="K41" s="265"/>
      <c r="L41" s="266"/>
      <c r="N41" s="8"/>
    </row>
    <row r="42" spans="1:14" ht="18.75" customHeight="1">
      <c r="A42" s="7"/>
      <c r="B42" s="32"/>
      <c r="C42" s="32"/>
      <c r="D42" s="32"/>
      <c r="E42" s="267"/>
      <c r="F42" s="267"/>
      <c r="G42" s="34"/>
      <c r="H42" s="35"/>
      <c r="I42" s="18"/>
      <c r="J42" s="265"/>
      <c r="K42" s="265"/>
      <c r="L42" s="266"/>
      <c r="N42" s="8"/>
    </row>
    <row r="43" spans="1:14" ht="18.75" customHeight="1">
      <c r="A43" s="7"/>
      <c r="B43" s="32"/>
      <c r="C43" s="32"/>
      <c r="D43" s="32"/>
      <c r="E43" s="267"/>
      <c r="F43" s="267"/>
      <c r="G43" s="34"/>
      <c r="H43" s="35"/>
      <c r="I43" s="18"/>
      <c r="J43" s="265"/>
      <c r="K43" s="265"/>
      <c r="L43" s="266"/>
      <c r="N43" s="8"/>
    </row>
    <row r="44" spans="1:14" ht="15.75" customHeight="1">
      <c r="A44" s="7"/>
      <c r="B44" s="32"/>
      <c r="C44" s="32"/>
      <c r="D44" s="32"/>
      <c r="E44" s="267"/>
      <c r="F44" s="267"/>
      <c r="G44" s="34"/>
      <c r="H44" s="35"/>
      <c r="I44" s="18"/>
      <c r="J44" s="265"/>
      <c r="K44" s="265"/>
      <c r="L44" s="266"/>
      <c r="N44" s="8"/>
    </row>
    <row r="45" spans="1:14" ht="18.75" customHeight="1">
      <c r="A45" s="7"/>
      <c r="B45" s="32"/>
      <c r="C45" s="32"/>
      <c r="D45" s="32"/>
      <c r="E45" s="267"/>
      <c r="F45" s="267"/>
      <c r="G45" s="34"/>
      <c r="H45" s="35"/>
      <c r="I45" s="18"/>
      <c r="J45" s="265"/>
      <c r="K45" s="265"/>
      <c r="L45" s="266"/>
      <c r="N45" s="8"/>
    </row>
    <row r="46" spans="1:14" ht="15.75" customHeight="1">
      <c r="A46" s="7"/>
      <c r="B46" s="32"/>
      <c r="C46" s="32"/>
      <c r="D46" s="32"/>
      <c r="E46" s="267"/>
      <c r="F46" s="267"/>
      <c r="G46" s="34"/>
      <c r="H46" s="35"/>
      <c r="I46" s="18"/>
      <c r="J46" s="265"/>
      <c r="K46" s="265"/>
      <c r="L46" s="266"/>
      <c r="N46" s="8"/>
    </row>
    <row r="47" spans="1:14" ht="15.75" customHeight="1">
      <c r="A47" s="7"/>
      <c r="B47" s="32"/>
      <c r="C47" s="32"/>
      <c r="D47" s="32"/>
      <c r="E47" s="267"/>
      <c r="F47" s="267"/>
      <c r="G47" s="34"/>
      <c r="H47" s="35"/>
      <c r="I47" s="18"/>
      <c r="J47" s="265"/>
      <c r="K47" s="265"/>
      <c r="L47" s="266"/>
      <c r="N47" s="8"/>
    </row>
    <row r="48" spans="1:14" ht="18.75" customHeight="1">
      <c r="A48" s="7"/>
      <c r="B48" s="32"/>
      <c r="C48" s="32"/>
      <c r="D48" s="32"/>
      <c r="E48" s="267"/>
      <c r="F48" s="267"/>
      <c r="G48" s="34"/>
      <c r="H48" s="35"/>
      <c r="I48" s="18"/>
      <c r="J48" s="265"/>
      <c r="K48" s="265"/>
      <c r="L48" s="266"/>
      <c r="N48" s="8"/>
    </row>
    <row r="49" spans="1:14" ht="18.75" customHeight="1">
      <c r="A49" s="7"/>
      <c r="B49" s="32"/>
      <c r="C49" s="32"/>
      <c r="D49" s="32"/>
      <c r="E49" s="267"/>
      <c r="F49" s="267"/>
      <c r="G49" s="34"/>
      <c r="H49" s="35"/>
      <c r="I49" s="18"/>
      <c r="J49" s="265"/>
      <c r="K49" s="265"/>
      <c r="L49" s="266"/>
      <c r="N49" s="8"/>
    </row>
    <row r="50" spans="1:14" ht="15.75" customHeight="1">
      <c r="A50" s="7"/>
      <c r="B50" s="32"/>
      <c r="C50" s="32"/>
      <c r="D50" s="32"/>
      <c r="E50" s="267"/>
      <c r="F50" s="267"/>
      <c r="G50" s="34"/>
      <c r="H50" s="35"/>
      <c r="I50" s="18"/>
      <c r="J50" s="265"/>
      <c r="K50" s="265"/>
      <c r="L50" s="266"/>
      <c r="N50" s="8"/>
    </row>
    <row r="51" spans="1:14" ht="18.75" customHeight="1">
      <c r="A51" s="7"/>
      <c r="B51" s="32"/>
      <c r="C51" s="32"/>
      <c r="D51" s="32"/>
      <c r="E51" s="267"/>
      <c r="F51" s="267"/>
      <c r="G51" s="34"/>
      <c r="H51" s="35"/>
      <c r="I51" s="18"/>
      <c r="J51" s="265"/>
      <c r="K51" s="265"/>
      <c r="L51" s="266"/>
      <c r="N51" s="8"/>
    </row>
    <row r="52" spans="1:14" ht="15.75" customHeight="1">
      <c r="A52" s="7"/>
      <c r="B52" s="32"/>
      <c r="C52" s="32"/>
      <c r="D52" s="32"/>
      <c r="E52" s="267"/>
      <c r="F52" s="267"/>
      <c r="G52" s="34"/>
      <c r="H52" s="35"/>
      <c r="I52" s="18"/>
      <c r="J52" s="265"/>
      <c r="K52" s="265"/>
      <c r="L52" s="266"/>
      <c r="N52" s="8"/>
    </row>
    <row r="53" spans="1:14" ht="18.75" customHeight="1">
      <c r="A53" s="7"/>
      <c r="B53" s="32"/>
      <c r="C53" s="32"/>
      <c r="D53" s="32"/>
      <c r="E53" s="267"/>
      <c r="F53" s="267"/>
      <c r="G53" s="34"/>
      <c r="H53" s="35"/>
      <c r="I53" s="18"/>
      <c r="J53" s="265"/>
      <c r="K53" s="265"/>
      <c r="L53" s="266"/>
      <c r="N53" s="8"/>
    </row>
    <row r="54" spans="1:14" ht="18.75" customHeight="1">
      <c r="A54" s="7"/>
      <c r="B54" s="32"/>
      <c r="C54" s="32"/>
      <c r="D54" s="32"/>
      <c r="E54" s="267"/>
      <c r="F54" s="267"/>
      <c r="G54" s="34"/>
      <c r="H54" s="35"/>
      <c r="I54" s="18"/>
      <c r="J54" s="265"/>
      <c r="K54" s="265"/>
      <c r="L54" s="266"/>
      <c r="N54" s="8"/>
    </row>
    <row r="55" spans="1:14" ht="15.75" customHeight="1">
      <c r="A55" s="7"/>
      <c r="B55" s="32"/>
      <c r="C55" s="32"/>
      <c r="D55" s="32"/>
      <c r="E55" s="267"/>
      <c r="F55" s="267"/>
      <c r="G55" s="34"/>
      <c r="H55" s="35"/>
      <c r="I55" s="18"/>
      <c r="J55" s="265"/>
      <c r="K55" s="265"/>
      <c r="L55" s="266"/>
      <c r="N55" s="8"/>
    </row>
    <row r="56" spans="1:14" ht="18.75" customHeight="1">
      <c r="A56" s="7"/>
      <c r="B56" s="32"/>
      <c r="C56" s="32"/>
      <c r="D56" s="32"/>
      <c r="E56" s="267"/>
      <c r="F56" s="267"/>
      <c r="G56" s="34"/>
      <c r="H56" s="35"/>
      <c r="I56" s="18"/>
      <c r="J56" s="265"/>
      <c r="K56" s="265"/>
      <c r="L56" s="266"/>
      <c r="N56" s="8"/>
    </row>
    <row r="57" spans="1:14" ht="18.75" customHeight="1">
      <c r="A57" s="7"/>
      <c r="B57" s="32"/>
      <c r="C57" s="32"/>
      <c r="D57" s="32"/>
      <c r="E57" s="267"/>
      <c r="F57" s="267"/>
      <c r="G57" s="34"/>
      <c r="H57" s="35"/>
      <c r="I57" s="18"/>
      <c r="J57" s="265"/>
      <c r="K57" s="265"/>
      <c r="L57" s="266"/>
      <c r="N57" s="8"/>
    </row>
    <row r="58" spans="1:14" ht="15.75" customHeight="1">
      <c r="A58" s="7"/>
      <c r="B58" s="32"/>
      <c r="C58" s="32"/>
      <c r="D58" s="32"/>
      <c r="E58" s="267"/>
      <c r="F58" s="267"/>
      <c r="G58" s="34"/>
      <c r="H58" s="35"/>
      <c r="I58" s="18"/>
      <c r="J58" s="265"/>
      <c r="K58" s="265"/>
      <c r="L58" s="266"/>
      <c r="N58" s="8"/>
    </row>
    <row r="59" spans="1:14" ht="18.75" customHeight="1">
      <c r="A59" s="7"/>
      <c r="B59" s="32"/>
      <c r="C59" s="32"/>
      <c r="D59" s="32"/>
      <c r="E59" s="267"/>
      <c r="F59" s="267"/>
      <c r="G59" s="34"/>
      <c r="H59" s="35"/>
      <c r="I59" s="18"/>
      <c r="J59" s="265"/>
      <c r="K59" s="265"/>
      <c r="L59" s="266"/>
      <c r="N59" s="8"/>
    </row>
    <row r="60" spans="1:14" ht="15.75" customHeight="1">
      <c r="A60" s="7"/>
      <c r="B60" s="32"/>
      <c r="C60" s="32"/>
      <c r="D60" s="32"/>
      <c r="E60" s="267"/>
      <c r="F60" s="267"/>
      <c r="G60" s="34"/>
      <c r="H60" s="35"/>
      <c r="I60" s="18"/>
      <c r="J60" s="265"/>
      <c r="K60" s="265"/>
      <c r="L60" s="266"/>
      <c r="N60" s="8"/>
    </row>
    <row r="61" spans="1:14" ht="18.75" customHeight="1">
      <c r="A61" s="7"/>
      <c r="B61" s="32"/>
      <c r="C61" s="32"/>
      <c r="D61" s="32"/>
      <c r="E61" s="267"/>
      <c r="F61" s="267"/>
      <c r="G61" s="34"/>
      <c r="H61" s="35"/>
      <c r="I61" s="18"/>
      <c r="J61" s="265"/>
      <c r="K61" s="265"/>
      <c r="L61" s="266"/>
      <c r="N61" s="8"/>
    </row>
    <row r="62" spans="1:14" ht="18.75" customHeight="1">
      <c r="A62" s="7"/>
      <c r="B62" s="32"/>
      <c r="C62" s="32"/>
      <c r="D62" s="32"/>
      <c r="E62" s="267"/>
      <c r="F62" s="267"/>
      <c r="G62" s="34"/>
      <c r="H62" s="35"/>
      <c r="I62" s="18"/>
      <c r="J62" s="265"/>
      <c r="K62" s="265"/>
      <c r="L62" s="266"/>
      <c r="N62" s="8"/>
    </row>
    <row r="63" spans="1:14" ht="15.75" customHeight="1">
      <c r="A63" s="7"/>
      <c r="B63" s="32"/>
      <c r="C63" s="32"/>
      <c r="D63" s="32"/>
      <c r="E63" s="267"/>
      <c r="F63" s="267"/>
      <c r="G63" s="34"/>
      <c r="H63" s="35"/>
      <c r="I63" s="18"/>
      <c r="J63" s="265"/>
      <c r="K63" s="265"/>
      <c r="L63" s="266"/>
      <c r="N63" s="8"/>
    </row>
    <row r="64" spans="1:14" ht="18.75" customHeight="1">
      <c r="A64" s="7"/>
      <c r="B64" s="32"/>
      <c r="C64" s="32"/>
      <c r="D64" s="32"/>
      <c r="E64" s="267"/>
      <c r="F64" s="267"/>
      <c r="G64" s="34"/>
      <c r="H64" s="35"/>
      <c r="I64" s="18"/>
      <c r="J64" s="265"/>
      <c r="K64" s="265"/>
      <c r="L64" s="266"/>
      <c r="N64" s="8"/>
    </row>
    <row r="65" spans="1:14" ht="15.75" customHeight="1">
      <c r="A65" s="7"/>
      <c r="B65" s="32"/>
      <c r="C65" s="32"/>
      <c r="D65" s="32"/>
      <c r="E65" s="267"/>
      <c r="F65" s="267"/>
      <c r="G65" s="34"/>
      <c r="H65" s="35"/>
      <c r="I65" s="18"/>
      <c r="J65" s="265"/>
      <c r="K65" s="265"/>
      <c r="L65" s="266"/>
      <c r="N65" s="8"/>
    </row>
    <row r="66" spans="1:14" ht="18.75" customHeight="1">
      <c r="A66" s="7"/>
      <c r="B66" s="32"/>
      <c r="C66" s="32"/>
      <c r="D66" s="32"/>
      <c r="E66" s="267"/>
      <c r="F66" s="267"/>
      <c r="G66" s="34"/>
      <c r="H66" s="35"/>
      <c r="I66" s="18"/>
      <c r="J66" s="265"/>
      <c r="K66" s="265"/>
      <c r="L66" s="266"/>
      <c r="N66" s="8"/>
    </row>
    <row r="67" spans="1:14" ht="15.75" customHeight="1">
      <c r="A67" s="7"/>
      <c r="B67" s="32"/>
      <c r="C67" s="32"/>
      <c r="D67" s="32"/>
      <c r="E67" s="267"/>
      <c r="F67" s="267"/>
      <c r="G67" s="34"/>
      <c r="H67" s="35"/>
      <c r="I67" s="18"/>
      <c r="J67" s="265"/>
      <c r="K67" s="265"/>
      <c r="L67" s="266"/>
      <c r="N67" s="8"/>
    </row>
    <row r="68" spans="1:14" ht="18.75" customHeight="1">
      <c r="A68" s="7"/>
      <c r="B68" s="32"/>
      <c r="C68" s="32"/>
      <c r="D68" s="32"/>
      <c r="E68" s="267"/>
      <c r="F68" s="267"/>
      <c r="G68" s="34"/>
      <c r="H68" s="35"/>
      <c r="I68" s="18"/>
      <c r="J68" s="265"/>
      <c r="K68" s="265"/>
      <c r="L68" s="266"/>
      <c r="N68" s="8"/>
    </row>
    <row r="69" spans="1:14" ht="18.75" customHeight="1">
      <c r="A69" s="7"/>
      <c r="B69" s="32"/>
      <c r="C69" s="32"/>
      <c r="D69" s="32"/>
      <c r="E69" s="267"/>
      <c r="F69" s="267"/>
      <c r="G69" s="34"/>
      <c r="H69" s="35"/>
      <c r="I69" s="18"/>
      <c r="J69" s="265"/>
      <c r="K69" s="265"/>
      <c r="L69" s="266"/>
      <c r="N69" s="8"/>
    </row>
    <row r="70" spans="1:14" ht="15.75" customHeight="1">
      <c r="A70" s="7"/>
      <c r="B70" s="32"/>
      <c r="C70" s="32"/>
      <c r="D70" s="32"/>
      <c r="E70" s="267"/>
      <c r="F70" s="267"/>
      <c r="G70" s="34"/>
      <c r="H70" s="35"/>
      <c r="I70" s="18"/>
      <c r="J70" s="265"/>
      <c r="K70" s="265"/>
      <c r="L70" s="266"/>
      <c r="N70" s="8"/>
    </row>
    <row r="71" spans="1:14" ht="18.75" customHeight="1">
      <c r="A71" s="7"/>
      <c r="B71" s="32"/>
      <c r="C71" s="32"/>
      <c r="D71" s="32"/>
      <c r="E71" s="267"/>
      <c r="F71" s="267"/>
      <c r="G71" s="34"/>
      <c r="H71" s="35"/>
      <c r="I71" s="18"/>
      <c r="J71" s="265"/>
      <c r="K71" s="265"/>
      <c r="L71" s="266"/>
      <c r="N71" s="8"/>
    </row>
    <row r="72" spans="1:14" ht="15.75" customHeight="1">
      <c r="A72" s="7"/>
      <c r="B72" s="32"/>
      <c r="C72" s="32"/>
      <c r="D72" s="32"/>
      <c r="E72" s="267"/>
      <c r="F72" s="267"/>
      <c r="G72" s="34"/>
      <c r="H72" s="35"/>
      <c r="I72" s="18"/>
      <c r="J72" s="265"/>
      <c r="K72" s="265"/>
      <c r="L72" s="266"/>
      <c r="N72" s="8"/>
    </row>
    <row r="73" spans="1:14" ht="18.75" customHeight="1">
      <c r="A73" s="7"/>
      <c r="B73" s="32"/>
      <c r="C73" s="32"/>
      <c r="D73" s="32"/>
      <c r="E73" s="267"/>
      <c r="F73" s="267"/>
      <c r="G73" s="34"/>
      <c r="H73" s="35"/>
      <c r="I73" s="18"/>
      <c r="J73" s="265"/>
      <c r="K73" s="265"/>
      <c r="L73" s="266"/>
      <c r="N73" s="8"/>
    </row>
    <row r="74" spans="1:14" ht="15.75" customHeight="1">
      <c r="A74" s="7"/>
      <c r="B74" s="32"/>
      <c r="C74" s="32"/>
      <c r="D74" s="32"/>
      <c r="E74" s="267"/>
      <c r="F74" s="267"/>
      <c r="G74" s="34"/>
      <c r="H74" s="35"/>
      <c r="I74" s="18"/>
      <c r="J74" s="265"/>
      <c r="K74" s="265"/>
      <c r="L74" s="266"/>
      <c r="N74" s="8"/>
    </row>
    <row r="75" spans="1:14" ht="18.75" customHeight="1">
      <c r="A75" s="7"/>
      <c r="B75" s="32"/>
      <c r="C75" s="32"/>
      <c r="D75" s="32"/>
      <c r="E75" s="267"/>
      <c r="F75" s="267"/>
      <c r="G75" s="34"/>
      <c r="H75" s="35"/>
      <c r="I75" s="18"/>
      <c r="J75" s="265"/>
      <c r="K75" s="265"/>
      <c r="L75" s="266"/>
      <c r="N75" s="8"/>
    </row>
    <row r="76" spans="1:14" ht="15.75" customHeight="1">
      <c r="A76" s="7"/>
      <c r="B76" s="32"/>
      <c r="C76" s="32"/>
      <c r="D76" s="32"/>
      <c r="E76" s="267"/>
      <c r="F76" s="267"/>
      <c r="G76" s="34"/>
      <c r="H76" s="35"/>
      <c r="I76" s="18"/>
      <c r="J76" s="265"/>
      <c r="K76" s="265"/>
      <c r="L76" s="266"/>
      <c r="N76" s="8"/>
    </row>
    <row r="77" spans="1:14" ht="18.75" customHeight="1">
      <c r="A77" s="7"/>
      <c r="B77" s="32"/>
      <c r="C77" s="32"/>
      <c r="D77" s="32"/>
      <c r="E77" s="267"/>
      <c r="F77" s="267"/>
      <c r="G77" s="34"/>
      <c r="H77" s="35"/>
      <c r="I77" s="18"/>
      <c r="J77" s="265"/>
      <c r="K77" s="265"/>
      <c r="L77" s="266"/>
      <c r="N77" s="8"/>
    </row>
    <row r="78" spans="1:14" ht="18.75" customHeight="1">
      <c r="A78" s="7"/>
      <c r="B78" s="32"/>
      <c r="C78" s="32"/>
      <c r="D78" s="32"/>
      <c r="E78" s="267"/>
      <c r="F78" s="267"/>
      <c r="G78" s="34"/>
      <c r="H78" s="35"/>
      <c r="I78" s="18"/>
      <c r="J78" s="265"/>
      <c r="K78" s="265"/>
      <c r="L78" s="266"/>
      <c r="N78" s="8"/>
    </row>
    <row r="79" spans="1:14" ht="15.75" customHeight="1">
      <c r="A79" s="7"/>
      <c r="B79" s="32"/>
      <c r="C79" s="32"/>
      <c r="D79" s="32"/>
      <c r="E79" s="267"/>
      <c r="F79" s="267"/>
      <c r="G79" s="34"/>
      <c r="H79" s="35"/>
      <c r="I79" s="18"/>
      <c r="J79" s="265"/>
      <c r="K79" s="265"/>
      <c r="L79" s="266"/>
      <c r="N79" s="8"/>
    </row>
    <row r="80" spans="1:14" ht="18.75" customHeight="1">
      <c r="A80" s="7"/>
      <c r="B80" s="32"/>
      <c r="C80" s="32"/>
      <c r="D80" s="32"/>
      <c r="E80" s="267"/>
      <c r="F80" s="267"/>
      <c r="G80" s="34"/>
      <c r="H80" s="35"/>
      <c r="I80" s="18"/>
      <c r="J80" s="265"/>
      <c r="K80" s="265"/>
      <c r="L80" s="266"/>
      <c r="N80" s="8"/>
    </row>
    <row r="81" spans="1:14" ht="15.75" customHeight="1">
      <c r="A81" s="7"/>
      <c r="B81" s="32"/>
      <c r="C81" s="32"/>
      <c r="D81" s="32"/>
      <c r="E81" s="267"/>
      <c r="F81" s="267"/>
      <c r="G81" s="34"/>
      <c r="H81" s="35"/>
      <c r="I81" s="18"/>
      <c r="J81" s="265"/>
      <c r="K81" s="265"/>
      <c r="L81" s="266"/>
      <c r="N81" s="8"/>
    </row>
    <row r="82" spans="1:14" ht="18.75" customHeight="1">
      <c r="A82" s="7"/>
      <c r="B82" s="32"/>
      <c r="C82" s="32"/>
      <c r="D82" s="32"/>
      <c r="E82" s="267"/>
      <c r="F82" s="267"/>
      <c r="G82" s="34"/>
      <c r="H82" s="35"/>
      <c r="I82" s="18"/>
      <c r="J82" s="265"/>
      <c r="K82" s="265"/>
      <c r="L82" s="266"/>
      <c r="N82" s="8"/>
    </row>
    <row r="83" spans="1:14" ht="15.75" customHeight="1">
      <c r="A83" s="7"/>
      <c r="B83" s="32"/>
      <c r="C83" s="32"/>
      <c r="D83" s="32"/>
      <c r="E83" s="267"/>
      <c r="F83" s="267"/>
      <c r="G83" s="34"/>
      <c r="H83" s="35"/>
      <c r="I83" s="18"/>
      <c r="J83" s="265"/>
      <c r="K83" s="265"/>
      <c r="L83" s="266"/>
      <c r="N83" s="8"/>
    </row>
    <row r="84" spans="1:14" ht="18.75" customHeight="1">
      <c r="A84" s="7"/>
      <c r="B84" s="32"/>
      <c r="C84" s="32"/>
      <c r="D84" s="32"/>
      <c r="E84" s="267"/>
      <c r="F84" s="267"/>
      <c r="G84" s="34"/>
      <c r="H84" s="35"/>
      <c r="I84" s="18"/>
      <c r="J84" s="265"/>
      <c r="K84" s="265"/>
      <c r="L84" s="266"/>
      <c r="N84" s="8"/>
    </row>
    <row r="85" spans="1:14" ht="15.75" customHeight="1">
      <c r="A85" s="7"/>
      <c r="B85" s="32"/>
      <c r="C85" s="32"/>
      <c r="D85" s="32"/>
      <c r="E85" s="267"/>
      <c r="F85" s="267"/>
      <c r="G85" s="34"/>
      <c r="H85" s="35"/>
      <c r="I85" s="18"/>
      <c r="J85" s="265"/>
      <c r="K85" s="265"/>
      <c r="L85" s="266"/>
      <c r="N85" s="8"/>
    </row>
    <row r="86" spans="1:14" ht="18.75" customHeight="1">
      <c r="A86" s="7"/>
      <c r="B86" s="32"/>
      <c r="C86" s="32"/>
      <c r="D86" s="32"/>
      <c r="E86" s="267"/>
      <c r="F86" s="267"/>
      <c r="G86" s="34"/>
      <c r="H86" s="35"/>
      <c r="I86" s="18"/>
      <c r="J86" s="265"/>
      <c r="K86" s="265"/>
      <c r="L86" s="266"/>
      <c r="N86" s="8"/>
    </row>
    <row r="87" spans="1:14" ht="15.75" customHeight="1">
      <c r="A87" s="7"/>
      <c r="B87" s="32"/>
      <c r="C87" s="32"/>
      <c r="D87" s="32"/>
      <c r="E87" s="267"/>
      <c r="F87" s="267"/>
      <c r="G87" s="34"/>
      <c r="H87" s="35"/>
      <c r="I87" s="18"/>
      <c r="J87" s="265"/>
      <c r="K87" s="265"/>
      <c r="L87" s="266"/>
      <c r="N87" s="8"/>
    </row>
    <row r="88" spans="1:14" ht="18.75" customHeight="1">
      <c r="A88" s="7"/>
      <c r="B88" s="32"/>
      <c r="C88" s="32"/>
      <c r="D88" s="32"/>
      <c r="E88" s="267"/>
      <c r="F88" s="267"/>
      <c r="G88" s="34"/>
      <c r="H88" s="35"/>
      <c r="I88" s="18"/>
      <c r="J88" s="265"/>
      <c r="K88" s="265"/>
      <c r="L88" s="266"/>
      <c r="N88" s="8"/>
    </row>
    <row r="89" spans="1:14" ht="18.75" customHeight="1">
      <c r="A89" s="7"/>
      <c r="B89" s="32"/>
      <c r="C89" s="32"/>
      <c r="D89" s="32"/>
      <c r="E89" s="267"/>
      <c r="F89" s="267"/>
      <c r="G89" s="34"/>
      <c r="H89" s="35"/>
      <c r="I89" s="18"/>
      <c r="J89" s="265"/>
      <c r="K89" s="265"/>
      <c r="L89" s="266"/>
      <c r="N89" s="8"/>
    </row>
    <row r="90" spans="1:14" ht="15.75" customHeight="1">
      <c r="A90" s="7"/>
      <c r="B90" s="32"/>
      <c r="C90" s="32"/>
      <c r="D90" s="32"/>
      <c r="E90" s="267"/>
      <c r="F90" s="267"/>
      <c r="G90" s="34"/>
      <c r="H90" s="35"/>
      <c r="I90" s="18"/>
      <c r="J90" s="265"/>
      <c r="K90" s="265"/>
      <c r="L90" s="266"/>
      <c r="N90" s="8"/>
    </row>
    <row r="91" spans="1:14" ht="18.75" customHeight="1">
      <c r="A91" s="7"/>
      <c r="B91" s="32"/>
      <c r="C91" s="32"/>
      <c r="D91" s="32"/>
      <c r="E91" s="267"/>
      <c r="F91" s="267"/>
      <c r="G91" s="34"/>
      <c r="H91" s="35"/>
      <c r="I91" s="18"/>
      <c r="J91" s="265"/>
      <c r="K91" s="265"/>
      <c r="L91" s="266"/>
      <c r="N91" s="8"/>
    </row>
    <row r="92" spans="1:14" ht="15.75" customHeight="1">
      <c r="A92" s="7"/>
      <c r="B92" s="32"/>
      <c r="C92" s="32"/>
      <c r="D92" s="32"/>
      <c r="E92" s="267"/>
      <c r="F92" s="267"/>
      <c r="G92" s="34"/>
      <c r="H92" s="35"/>
      <c r="I92" s="18"/>
      <c r="J92" s="265"/>
      <c r="K92" s="265"/>
      <c r="L92" s="266"/>
      <c r="N92" s="8"/>
    </row>
    <row r="93" spans="1:14" ht="18.75" customHeight="1">
      <c r="A93" s="7"/>
      <c r="B93" s="32"/>
      <c r="C93" s="32"/>
      <c r="D93" s="32"/>
      <c r="E93" s="267"/>
      <c r="F93" s="267"/>
      <c r="G93" s="34"/>
      <c r="H93" s="35"/>
      <c r="I93" s="18"/>
      <c r="J93" s="265"/>
      <c r="K93" s="265"/>
      <c r="L93" s="266"/>
      <c r="N93" s="8"/>
    </row>
    <row r="94" spans="1:14" ht="15.75" customHeight="1">
      <c r="A94" s="7"/>
      <c r="B94" s="32"/>
      <c r="C94" s="32"/>
      <c r="D94" s="32"/>
      <c r="E94" s="267"/>
      <c r="F94" s="267"/>
      <c r="G94" s="34"/>
      <c r="H94" s="35"/>
      <c r="I94" s="18"/>
      <c r="J94" s="265"/>
      <c r="K94" s="265"/>
      <c r="L94" s="266"/>
      <c r="N94" s="8"/>
    </row>
    <row r="95" spans="1:14" ht="18.75" customHeight="1">
      <c r="A95" s="7"/>
      <c r="B95" s="32"/>
      <c r="C95" s="32"/>
      <c r="D95" s="32"/>
      <c r="E95" s="267"/>
      <c r="F95" s="267"/>
      <c r="G95" s="34"/>
      <c r="H95" s="35"/>
      <c r="I95" s="18"/>
      <c r="J95" s="265"/>
      <c r="K95" s="265"/>
      <c r="L95" s="266"/>
      <c r="N95" s="8"/>
    </row>
    <row r="96" spans="1:14" ht="15.75" customHeight="1">
      <c r="A96" s="7"/>
      <c r="B96" s="32"/>
      <c r="C96" s="32"/>
      <c r="D96" s="32"/>
      <c r="E96" s="267"/>
      <c r="F96" s="267"/>
      <c r="G96" s="34"/>
      <c r="H96" s="35"/>
      <c r="I96" s="18"/>
      <c r="J96" s="265"/>
      <c r="K96" s="265"/>
      <c r="L96" s="266"/>
      <c r="N96" s="8"/>
    </row>
    <row r="97" spans="1:14" ht="18.75" customHeight="1">
      <c r="A97" s="7"/>
      <c r="B97" s="32"/>
      <c r="C97" s="32"/>
      <c r="D97" s="32"/>
      <c r="E97" s="267"/>
      <c r="F97" s="267"/>
      <c r="G97" s="34"/>
      <c r="H97" s="35"/>
      <c r="I97" s="18"/>
      <c r="J97" s="265"/>
      <c r="K97" s="265"/>
      <c r="L97" s="266"/>
      <c r="N97" s="8"/>
    </row>
    <row r="98" spans="1:14" ht="15.75" customHeight="1">
      <c r="A98" s="7"/>
      <c r="B98" s="32"/>
      <c r="C98" s="32"/>
      <c r="D98" s="32"/>
      <c r="E98" s="267"/>
      <c r="F98" s="267"/>
      <c r="G98" s="34"/>
      <c r="H98" s="35"/>
      <c r="I98" s="18"/>
      <c r="J98" s="265"/>
      <c r="K98" s="265"/>
      <c r="L98" s="266"/>
      <c r="N98" s="8"/>
    </row>
    <row r="99" spans="1:14" ht="18.75" customHeight="1">
      <c r="A99" s="7"/>
      <c r="B99" s="32"/>
      <c r="C99" s="32"/>
      <c r="D99" s="32"/>
      <c r="E99" s="267"/>
      <c r="F99" s="267"/>
      <c r="G99" s="34"/>
      <c r="H99" s="35"/>
      <c r="I99" s="18"/>
      <c r="J99" s="265"/>
      <c r="K99" s="265"/>
      <c r="L99" s="266"/>
      <c r="N99" s="8"/>
    </row>
    <row r="100" spans="1:14" ht="15.75" customHeight="1">
      <c r="A100" s="7"/>
      <c r="B100" s="32"/>
      <c r="C100" s="32"/>
      <c r="D100" s="32"/>
      <c r="E100" s="267"/>
      <c r="F100" s="267"/>
      <c r="G100" s="34"/>
      <c r="H100" s="35"/>
      <c r="I100" s="18"/>
      <c r="J100" s="265"/>
      <c r="K100" s="265"/>
      <c r="L100" s="266"/>
      <c r="N100" s="8"/>
    </row>
    <row r="101" spans="1:14" ht="18.75" customHeight="1">
      <c r="A101" s="7"/>
      <c r="B101" s="32"/>
      <c r="C101" s="32"/>
      <c r="D101" s="32"/>
      <c r="E101" s="267"/>
      <c r="F101" s="267"/>
      <c r="G101" s="34"/>
      <c r="H101" s="35"/>
      <c r="I101" s="18"/>
      <c r="J101" s="265"/>
      <c r="K101" s="265"/>
      <c r="L101" s="266"/>
      <c r="N101" s="8"/>
    </row>
    <row r="102" spans="1:14" ht="18.75" customHeight="1">
      <c r="A102" s="7"/>
      <c r="B102" s="32"/>
      <c r="C102" s="32"/>
      <c r="D102" s="32"/>
      <c r="E102" s="267"/>
      <c r="F102" s="267"/>
      <c r="G102" s="34"/>
      <c r="H102" s="35"/>
      <c r="I102" s="18"/>
      <c r="J102" s="265"/>
      <c r="K102" s="265"/>
      <c r="L102" s="266"/>
      <c r="N102" s="8"/>
    </row>
    <row r="103" spans="1:14" ht="15.75" customHeight="1">
      <c r="A103" s="7"/>
      <c r="B103" s="32"/>
      <c r="C103" s="32"/>
      <c r="D103" s="32"/>
      <c r="E103" s="267"/>
      <c r="F103" s="267"/>
      <c r="G103" s="34"/>
      <c r="H103" s="35"/>
      <c r="I103" s="18"/>
      <c r="J103" s="265"/>
      <c r="K103" s="265"/>
      <c r="L103" s="266"/>
      <c r="N103" s="8"/>
    </row>
    <row r="104" spans="1:14" ht="18.75" customHeight="1">
      <c r="A104" s="7"/>
      <c r="B104" s="32"/>
      <c r="C104" s="32"/>
      <c r="D104" s="32"/>
      <c r="E104" s="267"/>
      <c r="F104" s="267"/>
      <c r="G104" s="34"/>
      <c r="H104" s="35"/>
      <c r="I104" s="18"/>
      <c r="J104" s="265"/>
      <c r="K104" s="265"/>
      <c r="L104" s="266"/>
      <c r="N104" s="8"/>
    </row>
    <row r="105" spans="1:14" ht="15.75" customHeight="1">
      <c r="A105" s="7"/>
      <c r="B105" s="32"/>
      <c r="C105" s="32"/>
      <c r="D105" s="32"/>
      <c r="E105" s="267"/>
      <c r="F105" s="267"/>
      <c r="G105" s="34"/>
      <c r="H105" s="35"/>
      <c r="I105" s="18"/>
      <c r="J105" s="265"/>
      <c r="K105" s="265"/>
      <c r="L105" s="266"/>
      <c r="N105" s="8"/>
    </row>
    <row r="106" spans="1:14" ht="18.75" customHeight="1">
      <c r="A106" s="7"/>
      <c r="B106" s="32"/>
      <c r="C106" s="32"/>
      <c r="D106" s="32"/>
      <c r="E106" s="267"/>
      <c r="F106" s="267"/>
      <c r="G106" s="34"/>
      <c r="H106" s="35"/>
      <c r="I106" s="18"/>
      <c r="J106" s="265"/>
      <c r="K106" s="265"/>
      <c r="L106" s="266"/>
      <c r="N106" s="8"/>
    </row>
    <row r="107" spans="1:14" ht="15.75" customHeight="1">
      <c r="A107" s="7"/>
      <c r="B107" s="32"/>
      <c r="C107" s="32"/>
      <c r="D107" s="32"/>
      <c r="E107" s="267"/>
      <c r="F107" s="267"/>
      <c r="G107" s="34"/>
      <c r="H107" s="35"/>
      <c r="I107" s="18"/>
      <c r="J107" s="265"/>
      <c r="K107" s="265"/>
      <c r="L107" s="266"/>
      <c r="N107" s="8"/>
    </row>
    <row r="108" spans="1:14" ht="18.75" customHeight="1">
      <c r="A108" s="7"/>
      <c r="B108" s="32"/>
      <c r="C108" s="32"/>
      <c r="D108" s="32"/>
      <c r="E108" s="267"/>
      <c r="F108" s="267"/>
      <c r="G108" s="34"/>
      <c r="H108" s="35"/>
      <c r="I108" s="18"/>
      <c r="J108" s="265"/>
      <c r="K108" s="265"/>
      <c r="L108" s="266"/>
      <c r="N108" s="8"/>
    </row>
    <row r="109" spans="1:14" ht="15.75" customHeight="1">
      <c r="A109" s="7"/>
      <c r="B109" s="32"/>
      <c r="C109" s="32"/>
      <c r="D109" s="32"/>
      <c r="E109" s="267"/>
      <c r="F109" s="267"/>
      <c r="G109" s="34"/>
      <c r="H109" s="35"/>
      <c r="I109" s="18"/>
      <c r="J109" s="265"/>
      <c r="K109" s="265"/>
      <c r="L109" s="266"/>
      <c r="N109" s="8"/>
    </row>
    <row r="110" spans="1:14" ht="18.75" customHeight="1">
      <c r="A110" s="7"/>
      <c r="B110" s="32"/>
      <c r="C110" s="32"/>
      <c r="D110" s="32"/>
      <c r="E110" s="267"/>
      <c r="F110" s="267"/>
      <c r="G110" s="34"/>
      <c r="H110" s="35"/>
      <c r="I110" s="18"/>
      <c r="J110" s="265"/>
      <c r="K110" s="265"/>
      <c r="L110" s="266"/>
      <c r="N110" s="8"/>
    </row>
    <row r="111" spans="1:14" ht="15.75" customHeight="1">
      <c r="A111" s="7"/>
      <c r="B111" s="32"/>
      <c r="C111" s="32"/>
      <c r="D111" s="32"/>
      <c r="E111" s="267"/>
      <c r="F111" s="267"/>
      <c r="G111" s="34"/>
      <c r="H111" s="35"/>
      <c r="I111" s="18"/>
      <c r="J111" s="265"/>
      <c r="K111" s="265"/>
      <c r="L111" s="266"/>
      <c r="N111" s="8"/>
    </row>
    <row r="112" spans="1:14" ht="18.75" customHeight="1">
      <c r="A112" s="7"/>
      <c r="B112" s="32"/>
      <c r="C112" s="32"/>
      <c r="D112" s="32"/>
      <c r="E112" s="267"/>
      <c r="F112" s="267"/>
      <c r="G112" s="34"/>
      <c r="H112" s="35"/>
      <c r="I112" s="18"/>
      <c r="J112" s="265"/>
      <c r="K112" s="265"/>
      <c r="L112" s="266"/>
      <c r="N112" s="8"/>
    </row>
    <row r="113" spans="1:14" ht="15.75" customHeight="1">
      <c r="A113" s="7"/>
      <c r="B113" s="32"/>
      <c r="C113" s="32"/>
      <c r="D113" s="32"/>
      <c r="E113" s="267"/>
      <c r="F113" s="267"/>
      <c r="G113" s="34"/>
      <c r="H113" s="35"/>
      <c r="I113" s="18"/>
      <c r="J113" s="265"/>
      <c r="K113" s="265"/>
      <c r="L113" s="266"/>
      <c r="N113" s="8"/>
    </row>
    <row r="114" spans="1:14" ht="15.75" customHeight="1">
      <c r="A114" s="7"/>
      <c r="B114" s="32"/>
      <c r="C114" s="32"/>
      <c r="D114" s="32"/>
      <c r="E114" s="267"/>
      <c r="F114" s="267"/>
      <c r="G114" s="34"/>
      <c r="H114" s="35"/>
      <c r="I114" s="18"/>
      <c r="J114" s="265"/>
      <c r="K114" s="265"/>
      <c r="L114" s="266"/>
      <c r="N114" s="8"/>
    </row>
    <row r="115" spans="1:14" ht="18.75" customHeight="1">
      <c r="A115" s="7"/>
      <c r="B115" s="32"/>
      <c r="C115" s="32"/>
      <c r="D115" s="32"/>
      <c r="E115" s="267"/>
      <c r="F115" s="267"/>
      <c r="G115" s="34"/>
      <c r="H115" s="35"/>
      <c r="I115" s="18"/>
      <c r="J115" s="265"/>
      <c r="K115" s="265"/>
      <c r="L115" s="266"/>
      <c r="N115" s="8"/>
    </row>
    <row r="116" spans="1:14" ht="15.75" customHeight="1">
      <c r="A116" s="7"/>
      <c r="B116" s="32"/>
      <c r="C116" s="32"/>
      <c r="D116" s="32"/>
      <c r="E116" s="267"/>
      <c r="F116" s="267"/>
      <c r="G116" s="34"/>
      <c r="H116" s="35"/>
      <c r="I116" s="18"/>
      <c r="J116" s="265"/>
      <c r="K116" s="265"/>
      <c r="L116" s="266"/>
      <c r="N116" s="8"/>
    </row>
    <row r="117" spans="1:14" ht="18.75" customHeight="1">
      <c r="A117" s="7"/>
      <c r="B117" s="32"/>
      <c r="C117" s="32"/>
      <c r="D117" s="32"/>
      <c r="E117" s="267"/>
      <c r="F117" s="267"/>
      <c r="G117" s="34"/>
      <c r="H117" s="35"/>
      <c r="I117" s="18"/>
      <c r="J117" s="265"/>
      <c r="K117" s="265"/>
      <c r="L117" s="266"/>
      <c r="N117" s="8"/>
    </row>
    <row r="118" spans="1:14" ht="15.75" customHeight="1">
      <c r="A118" s="7"/>
      <c r="B118" s="32"/>
      <c r="C118" s="32"/>
      <c r="D118" s="32"/>
      <c r="E118" s="267"/>
      <c r="F118" s="267"/>
      <c r="G118" s="34"/>
      <c r="H118" s="35"/>
      <c r="I118" s="18"/>
      <c r="J118" s="265"/>
      <c r="K118" s="265"/>
      <c r="L118" s="266"/>
      <c r="N118" s="8"/>
    </row>
    <row r="119" spans="1:14" ht="18.75" customHeight="1">
      <c r="A119" s="7"/>
      <c r="B119" s="32"/>
      <c r="C119" s="32"/>
      <c r="D119" s="32"/>
      <c r="E119" s="267"/>
      <c r="F119" s="267"/>
      <c r="G119" s="34"/>
      <c r="H119" s="35"/>
      <c r="I119" s="18"/>
      <c r="J119" s="265"/>
      <c r="K119" s="265"/>
      <c r="L119" s="266"/>
      <c r="N119" s="8"/>
    </row>
    <row r="120" spans="1:14" ht="15.75" customHeight="1">
      <c r="A120" s="7"/>
      <c r="B120" s="32"/>
      <c r="C120" s="32"/>
      <c r="D120" s="32"/>
      <c r="E120" s="267"/>
      <c r="F120" s="267"/>
      <c r="G120" s="34"/>
      <c r="H120" s="35"/>
      <c r="I120" s="18"/>
      <c r="J120" s="265"/>
      <c r="K120" s="265"/>
      <c r="L120" s="266"/>
      <c r="N120" s="8"/>
    </row>
    <row r="121" spans="1:14" ht="15.75" customHeight="1">
      <c r="A121" s="7"/>
      <c r="B121" s="32"/>
      <c r="C121" s="32"/>
      <c r="D121" s="32"/>
      <c r="E121" s="267"/>
      <c r="F121" s="267"/>
      <c r="G121" s="34"/>
      <c r="H121" s="35"/>
      <c r="I121" s="18"/>
      <c r="J121" s="265"/>
      <c r="K121" s="265"/>
      <c r="L121" s="266"/>
      <c r="N121" s="8"/>
    </row>
    <row r="122" spans="1:14" ht="18.75" customHeight="1">
      <c r="A122" s="7"/>
      <c r="B122" s="32"/>
      <c r="C122" s="32"/>
      <c r="D122" s="32"/>
      <c r="E122" s="267"/>
      <c r="F122" s="267"/>
      <c r="G122" s="34"/>
      <c r="H122" s="35"/>
      <c r="I122" s="18"/>
      <c r="J122" s="265"/>
      <c r="K122" s="265"/>
      <c r="L122" s="266"/>
      <c r="N122" s="8"/>
    </row>
    <row r="123" spans="1:14" ht="18.75" customHeight="1">
      <c r="A123" s="7"/>
      <c r="B123" s="32"/>
      <c r="C123" s="32"/>
      <c r="D123" s="32"/>
      <c r="E123" s="267"/>
      <c r="F123" s="267"/>
      <c r="G123" s="34"/>
      <c r="H123" s="35"/>
      <c r="I123" s="18"/>
      <c r="J123" s="265"/>
      <c r="K123" s="265"/>
      <c r="L123" s="266"/>
      <c r="N123" s="8"/>
    </row>
    <row r="124" spans="1:14" ht="15.75" customHeight="1">
      <c r="A124" s="7"/>
      <c r="B124" s="32"/>
      <c r="C124" s="32"/>
      <c r="D124" s="32"/>
      <c r="E124" s="267"/>
      <c r="F124" s="267"/>
      <c r="G124" s="34"/>
      <c r="H124" s="35"/>
      <c r="I124" s="18"/>
      <c r="J124" s="265"/>
      <c r="K124" s="265"/>
      <c r="L124" s="266"/>
      <c r="N124" s="8"/>
    </row>
    <row r="125" spans="1:14" ht="18.75" customHeight="1">
      <c r="A125" s="7"/>
      <c r="B125" s="32"/>
      <c r="C125" s="32"/>
      <c r="D125" s="32"/>
      <c r="E125" s="267"/>
      <c r="F125" s="267"/>
      <c r="G125" s="34"/>
      <c r="H125" s="35"/>
      <c r="I125" s="18"/>
      <c r="J125" s="265"/>
      <c r="K125" s="265"/>
      <c r="L125" s="266"/>
      <c r="N125" s="8"/>
    </row>
    <row r="126" spans="1:14" ht="15.75" customHeight="1">
      <c r="A126" s="7"/>
      <c r="B126" s="32"/>
      <c r="C126" s="32"/>
      <c r="D126" s="32"/>
      <c r="E126" s="267"/>
      <c r="F126" s="267"/>
      <c r="G126" s="34"/>
      <c r="H126" s="35"/>
      <c r="I126" s="18"/>
      <c r="J126" s="265"/>
      <c r="K126" s="265"/>
      <c r="L126" s="266"/>
      <c r="N126" s="8"/>
    </row>
    <row r="127" spans="1:14" ht="18.75" customHeight="1">
      <c r="A127" s="7"/>
      <c r="B127" s="32"/>
      <c r="C127" s="32"/>
      <c r="D127" s="32"/>
      <c r="E127" s="267"/>
      <c r="F127" s="267"/>
      <c r="G127" s="34"/>
      <c r="H127" s="35"/>
      <c r="I127" s="18"/>
      <c r="J127" s="265"/>
      <c r="K127" s="265"/>
      <c r="L127" s="266"/>
      <c r="N127" s="8"/>
    </row>
    <row r="128" spans="1:14" ht="15.75" customHeight="1">
      <c r="A128" s="7"/>
      <c r="B128" s="32"/>
      <c r="C128" s="32"/>
      <c r="D128" s="32"/>
      <c r="E128" s="267"/>
      <c r="F128" s="267"/>
      <c r="G128" s="34"/>
      <c r="H128" s="35"/>
      <c r="I128" s="18"/>
      <c r="J128" s="265"/>
      <c r="K128" s="265"/>
      <c r="L128" s="266"/>
      <c r="N128" s="8"/>
    </row>
    <row r="129" spans="1:14" ht="15.75" customHeight="1">
      <c r="A129" s="7"/>
      <c r="B129" s="32"/>
      <c r="C129" s="32"/>
      <c r="D129" s="32"/>
      <c r="E129" s="267"/>
      <c r="F129" s="267"/>
      <c r="G129" s="34"/>
      <c r="H129" s="35"/>
      <c r="I129" s="18"/>
      <c r="J129" s="265"/>
      <c r="K129" s="265"/>
      <c r="L129" s="266"/>
      <c r="N129" s="8"/>
    </row>
    <row r="130" spans="1:14" ht="18.75" customHeight="1">
      <c r="A130" s="7"/>
      <c r="B130" s="32"/>
      <c r="C130" s="32"/>
      <c r="D130" s="32"/>
      <c r="E130" s="267"/>
      <c r="F130" s="267"/>
      <c r="G130" s="34"/>
      <c r="H130" s="35"/>
      <c r="I130" s="18"/>
      <c r="J130" s="265"/>
      <c r="K130" s="265"/>
      <c r="L130" s="266"/>
      <c r="N130" s="8"/>
    </row>
    <row r="131" spans="1:14" ht="15.75" customHeight="1">
      <c r="A131" s="7"/>
      <c r="B131" s="32"/>
      <c r="C131" s="32"/>
      <c r="D131" s="32"/>
      <c r="E131" s="267"/>
      <c r="F131" s="267"/>
      <c r="G131" s="34"/>
      <c r="H131" s="35"/>
      <c r="I131" s="18"/>
      <c r="J131" s="265"/>
      <c r="K131" s="265"/>
      <c r="L131" s="266"/>
      <c r="N131" s="8"/>
    </row>
    <row r="132" spans="1:14" ht="18.75" customHeight="1">
      <c r="A132" s="7"/>
      <c r="B132" s="32"/>
      <c r="C132" s="32"/>
      <c r="D132" s="32"/>
      <c r="E132" s="267"/>
      <c r="F132" s="267"/>
      <c r="G132" s="34"/>
      <c r="H132" s="35"/>
      <c r="I132" s="18"/>
      <c r="J132" s="265"/>
      <c r="K132" s="265"/>
      <c r="L132" s="266"/>
      <c r="N132" s="8"/>
    </row>
    <row r="133" spans="1:14" ht="15.75" customHeight="1">
      <c r="A133" s="7"/>
      <c r="B133" s="32"/>
      <c r="C133" s="32"/>
      <c r="D133" s="32"/>
      <c r="E133" s="267"/>
      <c r="F133" s="267"/>
      <c r="G133" s="34"/>
      <c r="H133" s="35"/>
      <c r="I133" s="18"/>
      <c r="J133" s="265"/>
      <c r="K133" s="265"/>
      <c r="L133" s="266"/>
      <c r="N133" s="8"/>
    </row>
    <row r="134" spans="1:14" ht="18.75" customHeight="1">
      <c r="A134" s="7"/>
      <c r="B134" s="32"/>
      <c r="C134" s="32"/>
      <c r="D134" s="32"/>
      <c r="E134" s="267"/>
      <c r="F134" s="267"/>
      <c r="G134" s="34"/>
      <c r="H134" s="35"/>
      <c r="I134" s="18"/>
      <c r="J134" s="265"/>
      <c r="K134" s="265"/>
      <c r="L134" s="266"/>
      <c r="N134" s="8"/>
    </row>
    <row r="135" spans="1:14" ht="15.75" customHeight="1">
      <c r="A135" s="7"/>
      <c r="B135" s="32"/>
      <c r="C135" s="32"/>
      <c r="D135" s="32"/>
      <c r="E135" s="267"/>
      <c r="F135" s="267"/>
      <c r="G135" s="34"/>
      <c r="H135" s="35"/>
      <c r="I135" s="18"/>
      <c r="J135" s="265"/>
      <c r="K135" s="265"/>
      <c r="L135" s="266"/>
      <c r="N135" s="8"/>
    </row>
    <row r="136" spans="1:14" ht="18.75" customHeight="1">
      <c r="A136" s="7"/>
      <c r="B136" s="32"/>
      <c r="C136" s="32"/>
      <c r="D136" s="32"/>
      <c r="E136" s="267"/>
      <c r="F136" s="267"/>
      <c r="G136" s="34"/>
      <c r="H136" s="35"/>
      <c r="I136" s="18"/>
      <c r="J136" s="265"/>
      <c r="K136" s="265"/>
      <c r="L136" s="266"/>
      <c r="N136" s="8"/>
    </row>
    <row r="137" spans="1:14" ht="15.75" customHeight="1">
      <c r="A137" s="7"/>
      <c r="B137" s="32"/>
      <c r="C137" s="32"/>
      <c r="D137" s="32"/>
      <c r="E137" s="267"/>
      <c r="F137" s="267"/>
      <c r="G137" s="34"/>
      <c r="H137" s="35"/>
      <c r="I137" s="18"/>
      <c r="J137" s="265"/>
      <c r="K137" s="265"/>
      <c r="L137" s="266"/>
      <c r="N137" s="8"/>
    </row>
    <row r="138" spans="1:14" ht="18.75" customHeight="1">
      <c r="A138" s="7"/>
      <c r="B138" s="32"/>
      <c r="C138" s="32"/>
      <c r="D138" s="32"/>
      <c r="E138" s="267"/>
      <c r="F138" s="267"/>
      <c r="G138" s="34"/>
      <c r="H138" s="35"/>
      <c r="I138" s="18"/>
      <c r="J138" s="265"/>
      <c r="K138" s="265"/>
      <c r="L138" s="266"/>
      <c r="N138" s="8"/>
    </row>
    <row r="139" spans="1:14" ht="15.75" customHeight="1">
      <c r="A139" s="7"/>
      <c r="B139" s="32"/>
      <c r="C139" s="32"/>
      <c r="D139" s="32"/>
      <c r="E139" s="267"/>
      <c r="F139" s="267"/>
      <c r="G139" s="34"/>
      <c r="H139" s="35"/>
      <c r="I139" s="18"/>
      <c r="J139" s="265"/>
      <c r="K139" s="265"/>
      <c r="L139" s="266"/>
      <c r="N139" s="8"/>
    </row>
    <row r="140" spans="1:14" ht="18.75" customHeight="1">
      <c r="A140" s="7"/>
      <c r="B140" s="32"/>
      <c r="C140" s="32"/>
      <c r="D140" s="32"/>
      <c r="E140" s="267"/>
      <c r="F140" s="267"/>
      <c r="G140" s="34"/>
      <c r="H140" s="35"/>
      <c r="I140" s="18"/>
      <c r="J140" s="265"/>
      <c r="K140" s="265"/>
      <c r="L140" s="266"/>
      <c r="N140" s="8"/>
    </row>
    <row r="141" spans="1:14" ht="13.5" hidden="1" customHeight="1">
      <c r="A141" s="7"/>
      <c r="B141" s="32"/>
      <c r="C141" s="32"/>
      <c r="D141" s="32"/>
      <c r="E141" s="267"/>
      <c r="F141" s="267"/>
      <c r="G141" s="34"/>
      <c r="H141" s="35"/>
      <c r="I141" s="18"/>
      <c r="J141" s="265"/>
      <c r="K141" s="265"/>
      <c r="L141" s="266"/>
      <c r="N141" s="8"/>
    </row>
    <row r="142" spans="1:14" ht="19.5" customHeight="1">
      <c r="A142" s="7"/>
      <c r="B142" s="32"/>
      <c r="C142" s="32"/>
      <c r="D142" s="32"/>
      <c r="E142" s="267"/>
      <c r="F142" s="267"/>
      <c r="G142" s="34"/>
      <c r="H142" s="35"/>
      <c r="I142" s="18"/>
      <c r="J142" s="265"/>
      <c r="K142" s="265"/>
      <c r="L142" s="266"/>
      <c r="N142" s="8"/>
    </row>
    <row r="143" spans="1:14" ht="20.100000000000001" customHeight="1">
      <c r="A143" s="7"/>
      <c r="B143" s="32"/>
      <c r="C143" s="32"/>
      <c r="D143" s="32"/>
      <c r="E143" s="267"/>
      <c r="F143" s="267"/>
      <c r="G143" s="34"/>
      <c r="H143" s="35"/>
      <c r="I143" s="18"/>
      <c r="J143" s="265"/>
      <c r="K143" s="265"/>
      <c r="L143" s="266"/>
      <c r="N143" s="8"/>
    </row>
    <row r="144" spans="1:14" ht="27" customHeight="1">
      <c r="A144" s="7"/>
      <c r="B144" s="32"/>
      <c r="C144" s="32"/>
      <c r="D144" s="32"/>
      <c r="E144" s="267"/>
      <c r="F144" s="267"/>
      <c r="G144" s="34"/>
      <c r="H144" s="35"/>
      <c r="I144" s="18"/>
      <c r="J144" s="265"/>
      <c r="K144" s="265"/>
      <c r="L144" s="266"/>
      <c r="N144" s="8"/>
    </row>
    <row r="145" spans="1:14" ht="20.100000000000001" customHeight="1">
      <c r="A145" s="7"/>
      <c r="B145" s="32"/>
      <c r="C145" s="32"/>
      <c r="D145" s="32"/>
      <c r="E145" s="267"/>
      <c r="F145" s="267"/>
      <c r="G145" s="34"/>
      <c r="H145" s="35"/>
      <c r="I145" s="18"/>
      <c r="J145" s="265"/>
      <c r="K145" s="265"/>
      <c r="L145" s="266"/>
      <c r="N145" s="8"/>
    </row>
    <row r="146" spans="1:14" ht="20.100000000000001" customHeight="1">
      <c r="A146" s="7"/>
      <c r="B146" s="32"/>
      <c r="C146" s="32"/>
      <c r="D146" s="32"/>
      <c r="E146" s="267"/>
      <c r="F146" s="267"/>
      <c r="G146" s="34"/>
      <c r="H146" s="35"/>
      <c r="I146" s="18"/>
      <c r="J146" s="265"/>
      <c r="K146" s="265"/>
      <c r="L146" s="266"/>
      <c r="N146" s="8"/>
    </row>
    <row r="147" spans="1:14" ht="20.100000000000001" customHeight="1">
      <c r="A147" s="7"/>
      <c r="B147" s="32"/>
      <c r="C147" s="32"/>
      <c r="D147" s="32"/>
      <c r="E147" s="267"/>
      <c r="F147" s="267"/>
      <c r="G147" s="34"/>
      <c r="H147" s="35"/>
      <c r="I147" s="18"/>
      <c r="J147" s="265"/>
      <c r="K147" s="265"/>
      <c r="L147" s="266"/>
      <c r="N147" s="8"/>
    </row>
    <row r="148" spans="1:14" ht="39.75" customHeight="1">
      <c r="A148" s="7"/>
      <c r="B148" s="32"/>
      <c r="C148" s="32"/>
      <c r="D148" s="32"/>
      <c r="E148" s="267"/>
      <c r="F148" s="267"/>
      <c r="G148" s="34"/>
      <c r="H148" s="35"/>
      <c r="I148" s="18"/>
      <c r="J148" s="265"/>
      <c r="K148" s="265"/>
      <c r="L148" s="266"/>
      <c r="N148" s="8"/>
    </row>
    <row r="149" spans="1:14" ht="28.5" customHeight="1">
      <c r="A149" s="7"/>
      <c r="B149" s="32"/>
      <c r="C149" s="32"/>
      <c r="D149" s="32"/>
      <c r="E149" s="267"/>
      <c r="F149" s="267"/>
      <c r="G149" s="34"/>
      <c r="H149" s="35"/>
      <c r="I149" s="18"/>
      <c r="J149" s="265"/>
      <c r="K149" s="265"/>
      <c r="L149" s="266"/>
      <c r="N149" s="8"/>
    </row>
    <row r="150" spans="1:14" ht="3" customHeight="1">
      <c r="A150" s="7"/>
      <c r="B150" s="32"/>
      <c r="C150" s="32"/>
      <c r="D150" s="32"/>
      <c r="E150" s="267"/>
      <c r="F150" s="267"/>
      <c r="G150" s="34"/>
      <c r="H150" s="35"/>
      <c r="I150" s="18"/>
      <c r="J150" s="265"/>
      <c r="K150" s="265"/>
      <c r="L150" s="266"/>
      <c r="N150" s="8"/>
    </row>
    <row r="151" spans="1:14" ht="19.5" customHeight="1">
      <c r="A151" s="7"/>
      <c r="B151" s="32"/>
      <c r="C151" s="32"/>
      <c r="D151" s="32"/>
      <c r="E151" s="267"/>
      <c r="F151" s="267"/>
      <c r="G151" s="34"/>
      <c r="H151" s="35"/>
      <c r="I151" s="18"/>
      <c r="J151" s="265"/>
      <c r="K151" s="265"/>
      <c r="L151" s="266"/>
      <c r="N151" s="8"/>
    </row>
    <row r="152" spans="1:14" ht="20.100000000000001" customHeight="1">
      <c r="A152" s="7"/>
      <c r="B152" s="32"/>
      <c r="C152" s="32"/>
      <c r="D152" s="32"/>
      <c r="E152" s="267"/>
      <c r="F152" s="267"/>
      <c r="G152" s="34"/>
      <c r="H152" s="35"/>
      <c r="I152" s="18"/>
      <c r="J152" s="265"/>
      <c r="K152" s="265"/>
      <c r="L152" s="266"/>
      <c r="N152" s="8"/>
    </row>
    <row r="153" spans="1:14" ht="20.100000000000001" customHeight="1">
      <c r="A153" s="7"/>
      <c r="B153" s="32"/>
      <c r="C153" s="32"/>
      <c r="D153" s="32"/>
      <c r="E153" s="267"/>
      <c r="F153" s="267"/>
      <c r="G153" s="34"/>
      <c r="H153" s="35"/>
      <c r="I153" s="18"/>
      <c r="J153" s="265"/>
      <c r="K153" s="265"/>
      <c r="L153" s="266"/>
      <c r="N153" s="8"/>
    </row>
    <row r="154" spans="1:14" ht="20.100000000000001" customHeight="1">
      <c r="A154" s="7"/>
      <c r="B154" s="32"/>
      <c r="C154" s="32"/>
      <c r="D154" s="32"/>
      <c r="E154" s="267"/>
      <c r="F154" s="267"/>
      <c r="G154" s="34"/>
      <c r="H154" s="35"/>
      <c r="I154" s="18"/>
      <c r="J154" s="265"/>
      <c r="K154" s="265"/>
      <c r="L154" s="266"/>
      <c r="N154" s="8"/>
    </row>
    <row r="155" spans="1:14" ht="20.100000000000001" customHeight="1">
      <c r="A155" s="7"/>
      <c r="B155" s="32"/>
      <c r="C155" s="32"/>
      <c r="D155" s="32"/>
      <c r="E155" s="267"/>
      <c r="F155" s="267"/>
      <c r="G155" s="34"/>
      <c r="H155" s="35"/>
      <c r="I155" s="18"/>
      <c r="J155" s="265"/>
      <c r="K155" s="265"/>
      <c r="L155" s="266"/>
      <c r="N155" s="8"/>
    </row>
    <row r="156" spans="1:14" ht="19.5" customHeight="1">
      <c r="A156" s="7"/>
      <c r="B156" s="32"/>
      <c r="C156" s="32"/>
      <c r="D156" s="32"/>
      <c r="E156" s="584"/>
      <c r="F156" s="584"/>
      <c r="G156" s="34"/>
      <c r="H156" s="35"/>
      <c r="I156" s="18"/>
      <c r="J156" s="265"/>
      <c r="K156" s="564"/>
      <c r="L156" s="565"/>
      <c r="N156" s="8"/>
    </row>
    <row r="157" spans="1:14" ht="1.5" hidden="1" customHeight="1">
      <c r="A157" s="7"/>
      <c r="B157" s="32"/>
      <c r="C157" s="32"/>
      <c r="D157" s="32"/>
      <c r="E157" s="267"/>
      <c r="F157" s="267"/>
      <c r="G157" s="34"/>
      <c r="H157" s="35"/>
      <c r="I157" s="18"/>
      <c r="J157" s="265"/>
      <c r="K157" s="265"/>
      <c r="L157" s="266"/>
      <c r="N157" s="8"/>
    </row>
    <row r="158" spans="1:14" ht="19.5" hidden="1" customHeight="1">
      <c r="A158" s="7"/>
      <c r="B158" s="32"/>
      <c r="C158" s="32"/>
      <c r="D158" s="32"/>
      <c r="E158" s="267"/>
      <c r="F158" s="267"/>
      <c r="G158" s="34"/>
      <c r="H158" s="35"/>
      <c r="I158" s="18"/>
      <c r="J158" s="265"/>
      <c r="K158" s="265"/>
      <c r="L158" s="266"/>
      <c r="N158" s="8"/>
    </row>
    <row r="159" spans="1:14" ht="22.5" customHeight="1">
      <c r="A159" s="7"/>
      <c r="B159" s="32"/>
      <c r="C159" s="32"/>
      <c r="D159" s="32"/>
      <c r="E159" s="267"/>
      <c r="F159" s="267"/>
      <c r="G159" s="34"/>
      <c r="H159" s="35"/>
      <c r="I159" s="18"/>
      <c r="J159" s="265"/>
      <c r="K159" s="265"/>
      <c r="L159" s="266"/>
      <c r="N159" s="9"/>
    </row>
    <row r="160" spans="1:14" ht="22.5" customHeight="1">
      <c r="A160" s="7"/>
      <c r="B160" s="32"/>
      <c r="C160" s="32"/>
      <c r="D160" s="32"/>
      <c r="E160" s="267"/>
      <c r="F160" s="267"/>
      <c r="G160" s="34"/>
      <c r="H160" s="35"/>
      <c r="I160" s="18"/>
      <c r="J160" s="265"/>
      <c r="K160" s="265"/>
      <c r="L160" s="266"/>
      <c r="N160" s="9"/>
    </row>
    <row r="161" spans="1:14" ht="22.5" customHeight="1">
      <c r="A161" s="7"/>
      <c r="B161" s="32"/>
      <c r="C161" s="32"/>
      <c r="D161" s="32"/>
      <c r="E161" s="267"/>
      <c r="F161" s="267"/>
      <c r="G161" s="34"/>
      <c r="H161" s="35"/>
      <c r="I161" s="18"/>
      <c r="J161" s="265"/>
      <c r="K161" s="265"/>
      <c r="L161" s="266"/>
      <c r="N161" s="9"/>
    </row>
    <row r="162" spans="1:14" ht="22.5" customHeight="1">
      <c r="A162" s="7"/>
      <c r="B162" s="32"/>
      <c r="C162" s="32"/>
      <c r="D162" s="32"/>
      <c r="E162" s="267"/>
      <c r="F162" s="267"/>
      <c r="G162" s="34"/>
      <c r="H162" s="35"/>
      <c r="I162" s="18"/>
      <c r="J162" s="265"/>
      <c r="K162" s="265"/>
      <c r="L162" s="266"/>
      <c r="N162" s="9"/>
    </row>
    <row r="163" spans="1:14" ht="7.5" customHeight="1">
      <c r="A163" s="7"/>
      <c r="B163" s="32"/>
      <c r="C163" s="32"/>
      <c r="D163" s="32"/>
      <c r="E163" s="267"/>
      <c r="F163" s="267"/>
      <c r="G163" s="34"/>
      <c r="H163" s="35"/>
      <c r="I163" s="18"/>
      <c r="J163" s="265"/>
      <c r="K163" s="265"/>
      <c r="L163" s="266"/>
      <c r="N163" s="9"/>
    </row>
    <row r="164" spans="1:14" ht="15.75" customHeight="1">
      <c r="A164" s="7"/>
      <c r="B164" s="32"/>
      <c r="C164" s="32"/>
      <c r="D164" s="32"/>
      <c r="E164" s="267"/>
      <c r="G164" s="34"/>
      <c r="H164" s="35"/>
      <c r="I164" s="18"/>
      <c r="J164" s="265"/>
      <c r="K164" s="265"/>
      <c r="L164" s="266"/>
      <c r="N164" s="9"/>
    </row>
    <row r="165" spans="1:14" ht="29.25" customHeight="1">
      <c r="A165" s="7"/>
      <c r="B165" s="32"/>
      <c r="C165" s="32"/>
      <c r="D165" s="32"/>
      <c r="E165" s="267"/>
      <c r="F165" s="267"/>
      <c r="G165" s="34"/>
      <c r="H165" s="35"/>
      <c r="I165" s="18"/>
      <c r="J165" s="265"/>
      <c r="K165" s="265"/>
      <c r="L165" s="266"/>
      <c r="N165" s="9"/>
    </row>
    <row r="166" spans="1:14" ht="22.5" customHeight="1">
      <c r="A166" s="7"/>
      <c r="B166" s="32"/>
      <c r="C166" s="32"/>
      <c r="D166" s="32"/>
      <c r="E166" s="267"/>
      <c r="F166" s="267"/>
      <c r="G166" s="34"/>
      <c r="H166" s="35"/>
      <c r="I166" s="18"/>
      <c r="J166" s="265"/>
      <c r="K166" s="265"/>
      <c r="L166" s="266"/>
      <c r="N166" s="9"/>
    </row>
    <row r="167" spans="1:14" ht="29.25" customHeight="1">
      <c r="A167" s="7"/>
      <c r="B167" s="32"/>
      <c r="C167" s="32"/>
      <c r="D167" s="32"/>
      <c r="E167" s="267"/>
      <c r="F167" s="267"/>
      <c r="G167" s="34"/>
      <c r="H167" s="35"/>
      <c r="I167" s="18"/>
      <c r="J167" s="265"/>
      <c r="K167" s="265"/>
      <c r="L167" s="266"/>
      <c r="N167" s="9"/>
    </row>
    <row r="168" spans="1:14" ht="27.75" customHeight="1">
      <c r="A168" s="7"/>
      <c r="B168" s="32"/>
      <c r="C168" s="32"/>
      <c r="D168" s="32"/>
      <c r="E168" s="267"/>
      <c r="F168" s="267"/>
      <c r="G168" s="34"/>
      <c r="H168" s="35"/>
      <c r="I168" s="18"/>
      <c r="J168" s="265"/>
      <c r="K168" s="265"/>
      <c r="L168" s="266"/>
    </row>
    <row r="169" spans="1:14" ht="22.5" customHeight="1">
      <c r="A169" s="7"/>
      <c r="B169" s="32"/>
      <c r="C169" s="32"/>
      <c r="D169" s="32"/>
      <c r="E169" s="267"/>
      <c r="F169" s="267"/>
      <c r="G169" s="34"/>
      <c r="H169" s="35"/>
      <c r="I169" s="18"/>
      <c r="J169" s="265"/>
      <c r="K169" s="265"/>
      <c r="L169" s="265"/>
    </row>
    <row r="170" spans="1:14" ht="22.5" customHeight="1">
      <c r="A170" s="7"/>
      <c r="B170" s="32"/>
      <c r="C170" s="32"/>
      <c r="D170" s="32"/>
      <c r="E170" s="267"/>
      <c r="F170" s="267"/>
      <c r="G170" s="34"/>
      <c r="H170" s="35"/>
      <c r="I170" s="18"/>
      <c r="J170" s="265"/>
      <c r="K170" s="265"/>
      <c r="L170" s="265"/>
    </row>
    <row r="171" spans="1:14" ht="19.5" customHeight="1">
      <c r="A171" s="7"/>
      <c r="B171" s="32"/>
      <c r="C171" s="32"/>
      <c r="D171" s="32"/>
      <c r="E171" s="267"/>
      <c r="F171" s="267"/>
      <c r="G171" s="34"/>
      <c r="H171" s="35"/>
      <c r="I171" s="20"/>
      <c r="J171" s="21"/>
      <c r="K171" s="21"/>
      <c r="L171" s="265"/>
    </row>
    <row r="172" spans="1:14" ht="38.25" customHeight="1">
      <c r="A172" s="7"/>
      <c r="B172" s="32"/>
      <c r="C172" s="32"/>
      <c r="D172" s="32"/>
      <c r="E172" s="267"/>
      <c r="F172" s="267"/>
      <c r="G172" s="34"/>
      <c r="H172" s="35"/>
      <c r="I172" s="21"/>
      <c r="J172" s="21"/>
      <c r="K172" s="21"/>
      <c r="L172" s="265"/>
    </row>
    <row r="173" spans="1:14" ht="18" customHeight="1">
      <c r="A173" s="7"/>
      <c r="B173" s="32"/>
      <c r="C173" s="32"/>
      <c r="D173" s="32"/>
      <c r="E173" s="267"/>
      <c r="F173" s="267"/>
      <c r="G173" s="34"/>
      <c r="H173" s="35"/>
      <c r="I173" s="21"/>
      <c r="J173" s="21"/>
      <c r="K173" s="21"/>
      <c r="L173" s="265"/>
    </row>
    <row r="174" spans="1:14" ht="22.5" customHeight="1">
      <c r="A174" s="7"/>
      <c r="B174" s="32"/>
      <c r="C174" s="32"/>
      <c r="D174" s="32"/>
      <c r="E174" s="267"/>
      <c r="F174" s="267"/>
      <c r="G174" s="34"/>
      <c r="H174" s="35"/>
      <c r="I174" s="18"/>
      <c r="J174" s="265"/>
      <c r="K174" s="265"/>
      <c r="L174" s="265"/>
    </row>
    <row r="175" spans="1:14" ht="22.5" customHeight="1">
      <c r="A175" s="7"/>
      <c r="B175" s="32"/>
      <c r="C175" s="32"/>
      <c r="D175" s="32"/>
      <c r="E175" s="267"/>
      <c r="F175" s="267"/>
      <c r="G175" s="34"/>
      <c r="H175" s="35"/>
      <c r="I175" s="19"/>
      <c r="J175" s="265"/>
      <c r="K175" s="265"/>
      <c r="L175" s="266"/>
    </row>
    <row r="176" spans="1:14" ht="22.5" customHeight="1">
      <c r="A176" s="7"/>
      <c r="B176" s="32"/>
      <c r="C176" s="32"/>
      <c r="D176" s="32"/>
      <c r="E176" s="584"/>
      <c r="F176" s="584"/>
      <c r="G176" s="34"/>
      <c r="H176" s="35"/>
      <c r="I176" s="18"/>
      <c r="J176" s="265"/>
      <c r="K176" s="564"/>
      <c r="L176" s="565"/>
    </row>
    <row r="177" spans="1:12" ht="22.5" customHeight="1">
      <c r="A177" s="7"/>
      <c r="B177" s="32"/>
      <c r="C177" s="32"/>
      <c r="D177" s="32"/>
      <c r="E177" s="584"/>
      <c r="F177" s="584"/>
      <c r="G177" s="34"/>
      <c r="H177" s="35"/>
      <c r="I177" s="18"/>
      <c r="J177" s="265"/>
      <c r="K177" s="564"/>
      <c r="L177" s="565"/>
    </row>
    <row r="178" spans="1:12" ht="34.5" customHeight="1">
      <c r="A178" s="7"/>
      <c r="B178" s="32"/>
      <c r="C178" s="32"/>
      <c r="D178" s="32"/>
      <c r="E178" s="584"/>
      <c r="F178" s="584"/>
      <c r="G178" s="34"/>
      <c r="H178" s="35"/>
      <c r="I178" s="18"/>
      <c r="J178" s="265"/>
      <c r="K178" s="564"/>
      <c r="L178" s="565"/>
    </row>
    <row r="179" spans="1:12" ht="18" customHeight="1">
      <c r="A179" s="7"/>
      <c r="B179" s="32"/>
      <c r="C179" s="32"/>
      <c r="D179" s="32"/>
      <c r="E179" s="267"/>
      <c r="F179" s="267"/>
      <c r="G179" s="34"/>
      <c r="H179" s="35"/>
      <c r="I179" s="21"/>
      <c r="J179" s="21"/>
      <c r="K179" s="21"/>
      <c r="L179" s="265"/>
    </row>
    <row r="180" spans="1:12" ht="22.5" customHeight="1">
      <c r="A180" s="7"/>
      <c r="B180" s="32"/>
      <c r="C180" s="32"/>
      <c r="D180" s="32"/>
      <c r="E180" s="267"/>
      <c r="F180" s="267"/>
      <c r="G180" s="34"/>
      <c r="H180" s="35"/>
      <c r="I180" s="18"/>
      <c r="J180" s="265"/>
      <c r="K180" s="265"/>
      <c r="L180" s="265"/>
    </row>
    <row r="181" spans="1:12" ht="22.5" customHeight="1">
      <c r="A181" s="7"/>
      <c r="B181" s="32"/>
      <c r="C181" s="32"/>
      <c r="D181" s="32"/>
      <c r="E181" s="267"/>
      <c r="F181" s="267"/>
      <c r="G181" s="34"/>
      <c r="H181" s="35"/>
      <c r="I181" s="19"/>
      <c r="J181" s="265"/>
      <c r="K181" s="265"/>
      <c r="L181" s="266"/>
    </row>
    <row r="182" spans="1:12" ht="19.5" hidden="1" customHeight="1">
      <c r="A182" s="7"/>
      <c r="B182" s="32"/>
      <c r="C182" s="32"/>
      <c r="D182" s="32"/>
      <c r="E182" s="584"/>
      <c r="F182" s="584"/>
      <c r="G182" s="34"/>
      <c r="H182" s="35"/>
      <c r="I182" s="18"/>
      <c r="J182" s="265"/>
      <c r="K182" s="564"/>
      <c r="L182" s="565"/>
    </row>
    <row r="183" spans="1:12" ht="35.25" customHeight="1">
      <c r="A183" s="585" t="s">
        <v>29</v>
      </c>
      <c r="B183" s="585"/>
      <c r="C183" s="268" t="s">
        <v>30</v>
      </c>
      <c r="D183" s="585" t="s">
        <v>27</v>
      </c>
      <c r="E183" s="585"/>
      <c r="F183" s="268" t="s">
        <v>23</v>
      </c>
      <c r="G183" s="585" t="s">
        <v>29</v>
      </c>
      <c r="H183" s="585"/>
      <c r="I183" s="268" t="s">
        <v>30</v>
      </c>
      <c r="J183" s="585" t="s">
        <v>27</v>
      </c>
      <c r="K183" s="585"/>
      <c r="L183" s="268" t="s">
        <v>23</v>
      </c>
    </row>
    <row r="184" spans="1:12" ht="35.25" customHeight="1">
      <c r="A184" s="586" t="s">
        <v>33</v>
      </c>
      <c r="B184" s="586"/>
      <c r="C184" s="591" t="s">
        <v>52</v>
      </c>
      <c r="D184" s="587" t="s">
        <v>58</v>
      </c>
      <c r="E184" s="586"/>
      <c r="F184" s="254">
        <v>12</v>
      </c>
      <c r="G184" s="592" t="s">
        <v>39</v>
      </c>
      <c r="H184" s="593"/>
      <c r="I184" s="596" t="s">
        <v>53</v>
      </c>
      <c r="J184" s="269" t="s">
        <v>38</v>
      </c>
      <c r="K184" s="40"/>
      <c r="L184" s="254"/>
    </row>
    <row r="185" spans="1:12" ht="35.25" customHeight="1">
      <c r="A185" s="586"/>
      <c r="B185" s="586"/>
      <c r="C185" s="591"/>
      <c r="D185" s="587" t="s">
        <v>59</v>
      </c>
      <c r="E185" s="586"/>
      <c r="F185" s="255"/>
      <c r="G185" s="594"/>
      <c r="H185" s="595"/>
      <c r="I185" s="597"/>
      <c r="J185" s="272" t="s">
        <v>72</v>
      </c>
      <c r="K185" s="40"/>
      <c r="L185" s="255">
        <v>7</v>
      </c>
    </row>
    <row r="186" spans="1:12" ht="35.25" customHeight="1">
      <c r="A186" s="586"/>
      <c r="B186" s="586"/>
      <c r="C186" s="271" t="s">
        <v>57</v>
      </c>
      <c r="D186" s="587" t="s">
        <v>60</v>
      </c>
      <c r="E186" s="586"/>
      <c r="F186" s="255"/>
      <c r="G186" s="598" t="s">
        <v>42</v>
      </c>
      <c r="H186" s="599"/>
      <c r="I186" s="43" t="s">
        <v>73</v>
      </c>
      <c r="J186" s="44"/>
      <c r="K186" s="40"/>
      <c r="L186" s="255">
        <v>1</v>
      </c>
    </row>
    <row r="187" spans="1:12" ht="35.25" customHeight="1">
      <c r="A187" s="586" t="s">
        <v>34</v>
      </c>
      <c r="B187" s="586"/>
      <c r="C187" s="45" t="s">
        <v>54</v>
      </c>
      <c r="D187" s="587" t="s">
        <v>61</v>
      </c>
      <c r="E187" s="586"/>
      <c r="F187" s="254"/>
      <c r="G187" s="588" t="s">
        <v>43</v>
      </c>
      <c r="H187" s="589"/>
      <c r="I187" s="46" t="s">
        <v>74</v>
      </c>
      <c r="J187" s="44"/>
      <c r="K187" s="40"/>
      <c r="L187" s="254"/>
    </row>
    <row r="188" spans="1:12" ht="35.25" customHeight="1">
      <c r="A188" s="586"/>
      <c r="B188" s="586"/>
      <c r="C188" s="45" t="s">
        <v>55</v>
      </c>
      <c r="D188" s="590" t="s">
        <v>62</v>
      </c>
      <c r="E188" s="591"/>
      <c r="F188" s="255"/>
      <c r="G188" s="588" t="s">
        <v>44</v>
      </c>
      <c r="H188" s="589"/>
      <c r="I188" s="46" t="s">
        <v>75</v>
      </c>
      <c r="J188" s="47"/>
      <c r="K188" s="48"/>
      <c r="L188" s="255"/>
    </row>
    <row r="189" spans="1:12" ht="35.25" customHeight="1">
      <c r="A189" s="586" t="s">
        <v>35</v>
      </c>
      <c r="B189" s="586"/>
      <c r="C189" s="591" t="s">
        <v>36</v>
      </c>
      <c r="D189" s="587" t="s">
        <v>63</v>
      </c>
      <c r="E189" s="586"/>
      <c r="F189" s="256">
        <v>6</v>
      </c>
      <c r="G189" s="600" t="s">
        <v>41</v>
      </c>
      <c r="H189" s="601"/>
      <c r="I189" s="46" t="s">
        <v>76</v>
      </c>
      <c r="J189" s="44"/>
      <c r="K189" s="40"/>
      <c r="L189" s="256"/>
    </row>
    <row r="190" spans="1:12" ht="35.25" customHeight="1">
      <c r="A190" s="586"/>
      <c r="B190" s="586"/>
      <c r="C190" s="591"/>
      <c r="D190" s="590" t="s">
        <v>64</v>
      </c>
      <c r="E190" s="591"/>
      <c r="F190" s="28">
        <v>1</v>
      </c>
      <c r="G190" s="600" t="s">
        <v>45</v>
      </c>
      <c r="H190" s="601"/>
      <c r="I190" s="49" t="s">
        <v>40</v>
      </c>
      <c r="J190" s="47"/>
      <c r="K190" s="48"/>
      <c r="L190" s="28"/>
    </row>
    <row r="191" spans="1:12" ht="35.25" customHeight="1">
      <c r="A191" s="586"/>
      <c r="B191" s="586"/>
      <c r="C191" s="591"/>
      <c r="D191" s="587" t="s">
        <v>65</v>
      </c>
      <c r="E191" s="586"/>
      <c r="F191" s="28"/>
      <c r="G191" s="600" t="s">
        <v>46</v>
      </c>
      <c r="H191" s="601"/>
      <c r="I191" s="49" t="s">
        <v>50</v>
      </c>
      <c r="J191" s="44"/>
      <c r="K191" s="40"/>
      <c r="L191" s="28"/>
    </row>
    <row r="192" spans="1:12" ht="35.25" customHeight="1">
      <c r="A192" s="586"/>
      <c r="B192" s="586"/>
      <c r="C192" s="591"/>
      <c r="D192" s="587" t="s">
        <v>66</v>
      </c>
      <c r="E192" s="586"/>
      <c r="F192" s="28"/>
      <c r="G192" s="588" t="s">
        <v>47</v>
      </c>
      <c r="H192" s="589"/>
      <c r="I192" s="46" t="s">
        <v>99</v>
      </c>
      <c r="J192" s="44"/>
      <c r="K192" s="40"/>
      <c r="L192" s="28"/>
    </row>
    <row r="193" spans="1:12" ht="45" customHeight="1">
      <c r="A193" s="587" t="s">
        <v>37</v>
      </c>
      <c r="B193" s="587"/>
      <c r="C193" s="591" t="s">
        <v>56</v>
      </c>
      <c r="D193" s="587" t="s">
        <v>67</v>
      </c>
      <c r="E193" s="586"/>
      <c r="F193" s="28"/>
      <c r="G193" s="588" t="s">
        <v>47</v>
      </c>
      <c r="H193" s="589"/>
      <c r="I193" s="46" t="s">
        <v>100</v>
      </c>
      <c r="J193" s="44"/>
      <c r="K193" s="40"/>
      <c r="L193" s="28"/>
    </row>
    <row r="194" spans="1:12" ht="35.25" customHeight="1">
      <c r="A194" s="587"/>
      <c r="B194" s="587"/>
      <c r="C194" s="591"/>
      <c r="D194" s="587" t="s">
        <v>68</v>
      </c>
      <c r="E194" s="586"/>
      <c r="F194" s="28">
        <v>3</v>
      </c>
      <c r="G194" s="588" t="s">
        <v>47</v>
      </c>
      <c r="H194" s="589"/>
      <c r="I194" s="270" t="s">
        <v>101</v>
      </c>
      <c r="J194" s="44"/>
      <c r="K194" s="40"/>
      <c r="L194" s="28"/>
    </row>
    <row r="195" spans="1:12" ht="54.75" customHeight="1">
      <c r="A195" s="587"/>
      <c r="B195" s="587"/>
      <c r="C195" s="591"/>
      <c r="D195" s="587" t="s">
        <v>69</v>
      </c>
      <c r="E195" s="586"/>
      <c r="F195" s="28">
        <v>1</v>
      </c>
      <c r="G195" s="588" t="s">
        <v>48</v>
      </c>
      <c r="H195" s="589"/>
      <c r="I195" s="46" t="s">
        <v>77</v>
      </c>
      <c r="J195" s="44"/>
      <c r="K195" s="40"/>
      <c r="L195" s="28"/>
    </row>
    <row r="196" spans="1:12" ht="35.25" customHeight="1">
      <c r="A196" s="587"/>
      <c r="B196" s="587"/>
      <c r="C196" s="591"/>
      <c r="D196" s="587" t="s">
        <v>70</v>
      </c>
      <c r="E196" s="586"/>
      <c r="F196" s="28"/>
      <c r="G196" s="606" t="s">
        <v>49</v>
      </c>
      <c r="H196" s="607"/>
      <c r="I196" s="270" t="s">
        <v>78</v>
      </c>
      <c r="J196" s="44"/>
      <c r="K196" s="40"/>
      <c r="L196" s="28">
        <v>1</v>
      </c>
    </row>
    <row r="197" spans="1:12" ht="35.25" customHeight="1">
      <c r="A197" s="587"/>
      <c r="B197" s="587"/>
      <c r="C197" s="591"/>
      <c r="D197" s="587" t="s">
        <v>71</v>
      </c>
      <c r="E197" s="586"/>
      <c r="F197" s="28">
        <v>1</v>
      </c>
      <c r="G197" s="604"/>
      <c r="H197" s="605"/>
      <c r="I197" s="48"/>
      <c r="J197" s="44"/>
      <c r="K197" s="40"/>
      <c r="L197" s="28"/>
    </row>
    <row r="198" spans="1:12" ht="30" customHeight="1">
      <c r="G198" s="10" t="s">
        <v>51</v>
      </c>
      <c r="H198" s="10"/>
      <c r="I198" s="10"/>
      <c r="J198" s="603">
        <f>SUM(F184:F197)+SUM(L184:L197)</f>
        <v>33</v>
      </c>
      <c r="K198" s="603"/>
    </row>
    <row r="199" spans="1:12" ht="30" customHeight="1">
      <c r="A199" s="602" t="s">
        <v>79</v>
      </c>
      <c r="B199" s="602"/>
      <c r="C199" s="602" t="s">
        <v>91</v>
      </c>
      <c r="D199" s="602"/>
      <c r="E199" s="602"/>
      <c r="F199" s="273" t="s">
        <v>81</v>
      </c>
      <c r="G199" s="602" t="s">
        <v>92</v>
      </c>
      <c r="H199" s="602"/>
      <c r="I199" s="602" t="s">
        <v>84</v>
      </c>
      <c r="J199" s="602"/>
      <c r="K199" s="602"/>
      <c r="L199" s="273"/>
    </row>
    <row r="200" spans="1:12" ht="74.25" customHeight="1">
      <c r="A200" s="273"/>
      <c r="B200" s="273"/>
      <c r="C200" s="273"/>
      <c r="D200" s="273"/>
      <c r="E200" s="273"/>
      <c r="F200" s="273"/>
      <c r="G200" s="273"/>
      <c r="H200" s="273"/>
      <c r="I200" s="273"/>
      <c r="J200" s="273"/>
      <c r="K200" s="273"/>
      <c r="L200" s="273"/>
    </row>
    <row r="201" spans="1:12" ht="30" customHeight="1">
      <c r="A201" s="602" t="s">
        <v>93</v>
      </c>
      <c r="B201" s="602"/>
      <c r="C201" s="602" t="s">
        <v>94</v>
      </c>
      <c r="D201" s="602"/>
      <c r="E201" s="602"/>
      <c r="F201" s="273" t="s">
        <v>95</v>
      </c>
      <c r="G201" s="602" t="s">
        <v>96</v>
      </c>
      <c r="H201" s="602"/>
      <c r="I201" s="602" t="s">
        <v>97</v>
      </c>
      <c r="J201" s="602"/>
      <c r="K201" s="602"/>
      <c r="L201" s="273"/>
    </row>
    <row r="202" spans="1:12" ht="30" customHeight="1"/>
    <row r="203" spans="1:12" ht="30" customHeight="1"/>
    <row r="204" spans="1:12" ht="30" customHeight="1"/>
    <row r="205" spans="1:12" ht="30" customHeight="1"/>
    <row r="206" spans="1:12" ht="30" customHeight="1"/>
    <row r="207" spans="1:12" ht="30" customHeight="1"/>
    <row r="208" spans="1:12"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sheetData>
  <mergeCells count="68">
    <mergeCell ref="K156:L156"/>
    <mergeCell ref="B2:H2"/>
    <mergeCell ref="I2:L2"/>
    <mergeCell ref="C3:D3"/>
    <mergeCell ref="G3:I3"/>
    <mergeCell ref="C4:D4"/>
    <mergeCell ref="G4:I4"/>
    <mergeCell ref="C5:D5"/>
    <mergeCell ref="G5:I5"/>
    <mergeCell ref="C6:D6"/>
    <mergeCell ref="G6:I6"/>
    <mergeCell ref="E156:F156"/>
    <mergeCell ref="E182:F182"/>
    <mergeCell ref="K182:L182"/>
    <mergeCell ref="A183:B183"/>
    <mergeCell ref="D183:E183"/>
    <mergeCell ref="G183:H183"/>
    <mergeCell ref="J183:K183"/>
    <mergeCell ref="A184:B186"/>
    <mergeCell ref="C184:C185"/>
    <mergeCell ref="D184:E184"/>
    <mergeCell ref="G184:H185"/>
    <mergeCell ref="I184:I185"/>
    <mergeCell ref="D185:E185"/>
    <mergeCell ref="D186:E186"/>
    <mergeCell ref="G186:H186"/>
    <mergeCell ref="A189:B192"/>
    <mergeCell ref="C189:C192"/>
    <mergeCell ref="D189:E189"/>
    <mergeCell ref="G189:H189"/>
    <mergeCell ref="D190:E190"/>
    <mergeCell ref="G190:H190"/>
    <mergeCell ref="D191:E191"/>
    <mergeCell ref="G191:H191"/>
    <mergeCell ref="D192:E192"/>
    <mergeCell ref="G192:H192"/>
    <mergeCell ref="A187:B188"/>
    <mergeCell ref="D187:E187"/>
    <mergeCell ref="G187:H187"/>
    <mergeCell ref="D188:E188"/>
    <mergeCell ref="G188:H188"/>
    <mergeCell ref="A201:B201"/>
    <mergeCell ref="C201:E201"/>
    <mergeCell ref="G201:H201"/>
    <mergeCell ref="I201:K201"/>
    <mergeCell ref="G194:H194"/>
    <mergeCell ref="D195:E195"/>
    <mergeCell ref="G195:H195"/>
    <mergeCell ref="D196:E196"/>
    <mergeCell ref="G196:H196"/>
    <mergeCell ref="D197:E197"/>
    <mergeCell ref="G197:H197"/>
    <mergeCell ref="A193:B197"/>
    <mergeCell ref="C193:C197"/>
    <mergeCell ref="D193:E193"/>
    <mergeCell ref="G193:H193"/>
    <mergeCell ref="D194:E194"/>
    <mergeCell ref="J198:K198"/>
    <mergeCell ref="A199:B199"/>
    <mergeCell ref="C199:E199"/>
    <mergeCell ref="G199:H199"/>
    <mergeCell ref="I199:K199"/>
    <mergeCell ref="E176:F176"/>
    <mergeCell ref="K176:L176"/>
    <mergeCell ref="E177:F177"/>
    <mergeCell ref="K177:L177"/>
    <mergeCell ref="E178:F178"/>
    <mergeCell ref="K178:L178"/>
  </mergeCells>
  <conditionalFormatting sqref="H7 H172 H141:H170 H182 H11">
    <cfRule type="cellIs" dxfId="339" priority="120" stopIfTrue="1" operator="greaterThan">
      <formula>$I$5</formula>
    </cfRule>
  </conditionalFormatting>
  <conditionalFormatting sqref="H181">
    <cfRule type="cellIs" dxfId="338" priority="119" stopIfTrue="1" operator="greaterThan">
      <formula>$I$5</formula>
    </cfRule>
  </conditionalFormatting>
  <conditionalFormatting sqref="H179:H180">
    <cfRule type="cellIs" dxfId="337" priority="118" stopIfTrue="1" operator="greaterThan">
      <formula>$I$5</formula>
    </cfRule>
  </conditionalFormatting>
  <conditionalFormatting sqref="H171">
    <cfRule type="cellIs" dxfId="336" priority="117" stopIfTrue="1" operator="greaterThan">
      <formula>$I$5</formula>
    </cfRule>
  </conditionalFormatting>
  <conditionalFormatting sqref="H139:H140">
    <cfRule type="cellIs" dxfId="335" priority="116" stopIfTrue="1" operator="greaterThan">
      <formula>$I$5</formula>
    </cfRule>
  </conditionalFormatting>
  <conditionalFormatting sqref="H9">
    <cfRule type="cellIs" dxfId="334" priority="115" stopIfTrue="1" operator="greaterThan">
      <formula>$I$5</formula>
    </cfRule>
  </conditionalFormatting>
  <conditionalFormatting sqref="H8">
    <cfRule type="cellIs" dxfId="333" priority="114" stopIfTrue="1" operator="greaterThan">
      <formula>$I$5</formula>
    </cfRule>
  </conditionalFormatting>
  <conditionalFormatting sqref="H137:H138">
    <cfRule type="cellIs" dxfId="332" priority="112" stopIfTrue="1" operator="greaterThan">
      <formula>$I$5</formula>
    </cfRule>
  </conditionalFormatting>
  <conditionalFormatting sqref="H135:H136">
    <cfRule type="cellIs" dxfId="331" priority="111" stopIfTrue="1" operator="greaterThan">
      <formula>$I$5</formula>
    </cfRule>
  </conditionalFormatting>
  <conditionalFormatting sqref="H126:H127">
    <cfRule type="cellIs" dxfId="330" priority="106" stopIfTrue="1" operator="greaterThan">
      <formula>$I$5</formula>
    </cfRule>
  </conditionalFormatting>
  <conditionalFormatting sqref="H124:H125">
    <cfRule type="cellIs" dxfId="329" priority="105" stopIfTrue="1" operator="greaterThan">
      <formula>$I$5</formula>
    </cfRule>
  </conditionalFormatting>
  <conditionalFormatting sqref="H133:H134">
    <cfRule type="cellIs" dxfId="328" priority="110" stopIfTrue="1" operator="greaterThan">
      <formula>$I$5</formula>
    </cfRule>
  </conditionalFormatting>
  <conditionalFormatting sqref="H131:H132">
    <cfRule type="cellIs" dxfId="327" priority="109" stopIfTrue="1" operator="greaterThan">
      <formula>$I$5</formula>
    </cfRule>
  </conditionalFormatting>
  <conditionalFormatting sqref="H129:H130">
    <cfRule type="cellIs" dxfId="326" priority="108" stopIfTrue="1" operator="greaterThan">
      <formula>$I$5</formula>
    </cfRule>
  </conditionalFormatting>
  <conditionalFormatting sqref="H128">
    <cfRule type="cellIs" dxfId="325" priority="107" stopIfTrue="1" operator="greaterThan">
      <formula>$I$5</formula>
    </cfRule>
  </conditionalFormatting>
  <conditionalFormatting sqref="H114 H123">
    <cfRule type="cellIs" dxfId="324" priority="104" stopIfTrue="1" operator="greaterThan">
      <formula>$I$5</formula>
    </cfRule>
  </conditionalFormatting>
  <conditionalFormatting sqref="H121:H122">
    <cfRule type="cellIs" dxfId="323" priority="103" stopIfTrue="1" operator="greaterThan">
      <formula>$I$5</formula>
    </cfRule>
  </conditionalFormatting>
  <conditionalFormatting sqref="H120">
    <cfRule type="cellIs" dxfId="322" priority="102" stopIfTrue="1" operator="greaterThan">
      <formula>$I$5</formula>
    </cfRule>
  </conditionalFormatting>
  <conditionalFormatting sqref="H118:H119">
    <cfRule type="cellIs" dxfId="321" priority="101" stopIfTrue="1" operator="greaterThan">
      <formula>$I$5</formula>
    </cfRule>
  </conditionalFormatting>
  <conditionalFormatting sqref="H116:H117">
    <cfRule type="cellIs" dxfId="320" priority="100" stopIfTrue="1" operator="greaterThan">
      <formula>$I$5</formula>
    </cfRule>
  </conditionalFormatting>
  <conditionalFormatting sqref="H115">
    <cfRule type="cellIs" dxfId="319" priority="99" stopIfTrue="1" operator="greaterThan">
      <formula>$I$5</formula>
    </cfRule>
  </conditionalFormatting>
  <conditionalFormatting sqref="H105:H106">
    <cfRule type="cellIs" dxfId="318" priority="97" stopIfTrue="1" operator="greaterThan">
      <formula>$I$5</formula>
    </cfRule>
  </conditionalFormatting>
  <conditionalFormatting sqref="H103:H104">
    <cfRule type="cellIs" dxfId="317" priority="96" stopIfTrue="1" operator="greaterThan">
      <formula>$I$5</formula>
    </cfRule>
  </conditionalFormatting>
  <conditionalFormatting sqref="H102">
    <cfRule type="cellIs" dxfId="316" priority="95" stopIfTrue="1" operator="greaterThan">
      <formula>$I$5</formula>
    </cfRule>
  </conditionalFormatting>
  <conditionalFormatting sqref="H98">
    <cfRule type="cellIs" dxfId="315" priority="94" stopIfTrue="1" operator="greaterThan">
      <formula>$I$5</formula>
    </cfRule>
  </conditionalFormatting>
  <conditionalFormatting sqref="H100:H101">
    <cfRule type="cellIs" dxfId="314" priority="93" stopIfTrue="1" operator="greaterThan">
      <formula>$I$5</formula>
    </cfRule>
  </conditionalFormatting>
  <conditionalFormatting sqref="H99">
    <cfRule type="cellIs" dxfId="313" priority="92" stopIfTrue="1" operator="greaterThan">
      <formula>$I$5</formula>
    </cfRule>
  </conditionalFormatting>
  <conditionalFormatting sqref="H96:H97">
    <cfRule type="cellIs" dxfId="312" priority="91" stopIfTrue="1" operator="greaterThan">
      <formula>$I$5</formula>
    </cfRule>
  </conditionalFormatting>
  <conditionalFormatting sqref="H94:H95">
    <cfRule type="cellIs" dxfId="311" priority="90" stopIfTrue="1" operator="greaterThan">
      <formula>$I$5</formula>
    </cfRule>
  </conditionalFormatting>
  <conditionalFormatting sqref="H93">
    <cfRule type="cellIs" dxfId="310" priority="89" stopIfTrue="1" operator="greaterThan">
      <formula>$I$5</formula>
    </cfRule>
  </conditionalFormatting>
  <conditionalFormatting sqref="H92">
    <cfRule type="cellIs" dxfId="309" priority="88" stopIfTrue="1" operator="greaterThan">
      <formula>$I$5</formula>
    </cfRule>
  </conditionalFormatting>
  <conditionalFormatting sqref="H90:H91">
    <cfRule type="cellIs" dxfId="308" priority="87" stopIfTrue="1" operator="greaterThan">
      <formula>$I$5</formula>
    </cfRule>
  </conditionalFormatting>
  <conditionalFormatting sqref="H89">
    <cfRule type="cellIs" dxfId="307" priority="86" stopIfTrue="1" operator="greaterThan">
      <formula>$I$5</formula>
    </cfRule>
  </conditionalFormatting>
  <conditionalFormatting sqref="H85">
    <cfRule type="cellIs" dxfId="306" priority="85" stopIfTrue="1" operator="greaterThan">
      <formula>$I$5</formula>
    </cfRule>
  </conditionalFormatting>
  <conditionalFormatting sqref="H87:H88">
    <cfRule type="cellIs" dxfId="305" priority="84" stopIfTrue="1" operator="greaterThan">
      <formula>$I$5</formula>
    </cfRule>
  </conditionalFormatting>
  <conditionalFormatting sqref="H86">
    <cfRule type="cellIs" dxfId="304" priority="83" stopIfTrue="1" operator="greaterThan">
      <formula>$I$5</formula>
    </cfRule>
  </conditionalFormatting>
  <conditionalFormatting sqref="H83:H84">
    <cfRule type="cellIs" dxfId="303" priority="82" stopIfTrue="1" operator="greaterThan">
      <formula>$I$5</formula>
    </cfRule>
  </conditionalFormatting>
  <conditionalFormatting sqref="H81:H82">
    <cfRule type="cellIs" dxfId="302" priority="81" stopIfTrue="1" operator="greaterThan">
      <formula>$I$5</formula>
    </cfRule>
  </conditionalFormatting>
  <conditionalFormatting sqref="H69">
    <cfRule type="cellIs" dxfId="301" priority="80" stopIfTrue="1" operator="greaterThan">
      <formula>$I$5</formula>
    </cfRule>
  </conditionalFormatting>
  <conditionalFormatting sqref="H79:H80">
    <cfRule type="cellIs" dxfId="300" priority="79" stopIfTrue="1" operator="greaterThan">
      <formula>$I$5</formula>
    </cfRule>
  </conditionalFormatting>
  <conditionalFormatting sqref="H78">
    <cfRule type="cellIs" dxfId="299" priority="78" stopIfTrue="1" operator="greaterThan">
      <formula>$I$5</formula>
    </cfRule>
  </conditionalFormatting>
  <conditionalFormatting sqref="H74">
    <cfRule type="cellIs" dxfId="298" priority="77" stopIfTrue="1" operator="greaterThan">
      <formula>$I$5</formula>
    </cfRule>
  </conditionalFormatting>
  <conditionalFormatting sqref="H76:H77">
    <cfRule type="cellIs" dxfId="297" priority="76" stopIfTrue="1" operator="greaterThan">
      <formula>$I$5</formula>
    </cfRule>
  </conditionalFormatting>
  <conditionalFormatting sqref="H75">
    <cfRule type="cellIs" dxfId="296" priority="75" stopIfTrue="1" operator="greaterThan">
      <formula>$I$5</formula>
    </cfRule>
  </conditionalFormatting>
  <conditionalFormatting sqref="H72:H73">
    <cfRule type="cellIs" dxfId="295" priority="74" stopIfTrue="1" operator="greaterThan">
      <formula>$I$5</formula>
    </cfRule>
  </conditionalFormatting>
  <conditionalFormatting sqref="H70:H71">
    <cfRule type="cellIs" dxfId="294" priority="73" stopIfTrue="1" operator="greaterThan">
      <formula>$I$5</formula>
    </cfRule>
  </conditionalFormatting>
  <conditionalFormatting sqref="H62">
    <cfRule type="cellIs" dxfId="293" priority="72" stopIfTrue="1" operator="greaterThan">
      <formula>$I$5</formula>
    </cfRule>
  </conditionalFormatting>
  <conditionalFormatting sqref="H67">
    <cfRule type="cellIs" dxfId="292" priority="71" stopIfTrue="1" operator="greaterThan">
      <formula>$I$5</formula>
    </cfRule>
  </conditionalFormatting>
  <conditionalFormatting sqref="H68">
    <cfRule type="cellIs" dxfId="291" priority="70" stopIfTrue="1" operator="greaterThan">
      <formula>$I$5</formula>
    </cfRule>
  </conditionalFormatting>
  <conditionalFormatting sqref="H65:H66">
    <cfRule type="cellIs" dxfId="290" priority="69" stopIfTrue="1" operator="greaterThan">
      <formula>$I$5</formula>
    </cfRule>
  </conditionalFormatting>
  <conditionalFormatting sqref="H63:H64">
    <cfRule type="cellIs" dxfId="289" priority="68" stopIfTrue="1" operator="greaterThan">
      <formula>$I$5</formula>
    </cfRule>
  </conditionalFormatting>
  <conditionalFormatting sqref="H57">
    <cfRule type="cellIs" dxfId="288" priority="67" stopIfTrue="1" operator="greaterThan">
      <formula>$I$5</formula>
    </cfRule>
  </conditionalFormatting>
  <conditionalFormatting sqref="H60:H61">
    <cfRule type="cellIs" dxfId="287" priority="66" stopIfTrue="1" operator="greaterThan">
      <formula>$I$5</formula>
    </cfRule>
  </conditionalFormatting>
  <conditionalFormatting sqref="H58:H59">
    <cfRule type="cellIs" dxfId="286" priority="65" stopIfTrue="1" operator="greaterThan">
      <formula>$I$5</formula>
    </cfRule>
  </conditionalFormatting>
  <conditionalFormatting sqref="H54">
    <cfRule type="cellIs" dxfId="285" priority="64" stopIfTrue="1" operator="greaterThan">
      <formula>$I$5</formula>
    </cfRule>
  </conditionalFormatting>
  <conditionalFormatting sqref="H55:H56">
    <cfRule type="cellIs" dxfId="284" priority="63" stopIfTrue="1" operator="greaterThan">
      <formula>$I$5</formula>
    </cfRule>
  </conditionalFormatting>
  <conditionalFormatting sqref="H52:H53">
    <cfRule type="cellIs" dxfId="283" priority="62" stopIfTrue="1" operator="greaterThan">
      <formula>$I$5</formula>
    </cfRule>
  </conditionalFormatting>
  <conditionalFormatting sqref="H50:H51">
    <cfRule type="cellIs" dxfId="282" priority="61" stopIfTrue="1" operator="greaterThan">
      <formula>$I$5</formula>
    </cfRule>
  </conditionalFormatting>
  <conditionalFormatting sqref="H49">
    <cfRule type="cellIs" dxfId="281" priority="60" stopIfTrue="1" operator="greaterThan">
      <formula>$I$5</formula>
    </cfRule>
  </conditionalFormatting>
  <conditionalFormatting sqref="H47:H48">
    <cfRule type="cellIs" dxfId="280" priority="59" stopIfTrue="1" operator="greaterThan">
      <formula>$I$5</formula>
    </cfRule>
  </conditionalFormatting>
  <conditionalFormatting sqref="H39:H40">
    <cfRule type="cellIs" dxfId="279" priority="58" stopIfTrue="1" operator="greaterThan">
      <formula>$I$5</formula>
    </cfRule>
  </conditionalFormatting>
  <conditionalFormatting sqref="H46">
    <cfRule type="cellIs" dxfId="278" priority="57" stopIfTrue="1" operator="greaterThan">
      <formula>$I$5</formula>
    </cfRule>
  </conditionalFormatting>
  <conditionalFormatting sqref="H44:H45">
    <cfRule type="cellIs" dxfId="277" priority="56" stopIfTrue="1" operator="greaterThan">
      <formula>$I$5</formula>
    </cfRule>
  </conditionalFormatting>
  <conditionalFormatting sqref="H43">
    <cfRule type="cellIs" dxfId="276" priority="55" stopIfTrue="1" operator="greaterThan">
      <formula>$I$5</formula>
    </cfRule>
  </conditionalFormatting>
  <conditionalFormatting sqref="H41:H42">
    <cfRule type="cellIs" dxfId="275" priority="54" stopIfTrue="1" operator="greaterThan">
      <formula>$I$5</formula>
    </cfRule>
  </conditionalFormatting>
  <conditionalFormatting sqref="H37:H38">
    <cfRule type="cellIs" dxfId="274" priority="53" stopIfTrue="1" operator="greaterThan">
      <formula>$I$5</formula>
    </cfRule>
  </conditionalFormatting>
  <conditionalFormatting sqref="H23 H36">
    <cfRule type="cellIs" dxfId="273" priority="52" stopIfTrue="1" operator="greaterThan">
      <formula>$I$5</formula>
    </cfRule>
  </conditionalFormatting>
  <conditionalFormatting sqref="H21:H22">
    <cfRule type="cellIs" dxfId="272" priority="51" stopIfTrue="1" operator="greaterThan">
      <formula>$I$5</formula>
    </cfRule>
  </conditionalFormatting>
  <conditionalFormatting sqref="H34:H35">
    <cfRule type="cellIs" dxfId="271" priority="50" stopIfTrue="1" operator="greaterThan">
      <formula>$I$5</formula>
    </cfRule>
  </conditionalFormatting>
  <conditionalFormatting sqref="H32:H33">
    <cfRule type="cellIs" dxfId="270" priority="49" stopIfTrue="1" operator="greaterThan">
      <formula>$I$5</formula>
    </cfRule>
  </conditionalFormatting>
  <conditionalFormatting sqref="H31">
    <cfRule type="cellIs" dxfId="269" priority="48" stopIfTrue="1" operator="greaterThan">
      <formula>$I$5</formula>
    </cfRule>
  </conditionalFormatting>
  <conditionalFormatting sqref="H30">
    <cfRule type="cellIs" dxfId="268" priority="47" stopIfTrue="1" operator="greaterThan">
      <formula>$I$5</formula>
    </cfRule>
  </conditionalFormatting>
  <conditionalFormatting sqref="H29">
    <cfRule type="cellIs" dxfId="267" priority="46" stopIfTrue="1" operator="greaterThan">
      <formula>$I$5</formula>
    </cfRule>
  </conditionalFormatting>
  <conditionalFormatting sqref="H27:H28">
    <cfRule type="cellIs" dxfId="266" priority="45" stopIfTrue="1" operator="greaterThan">
      <formula>$I$5</formula>
    </cfRule>
  </conditionalFormatting>
  <conditionalFormatting sqref="H25:H26">
    <cfRule type="cellIs" dxfId="265" priority="44" stopIfTrue="1" operator="greaterThan">
      <formula>$I$5</formula>
    </cfRule>
  </conditionalFormatting>
  <conditionalFormatting sqref="H24">
    <cfRule type="cellIs" dxfId="264" priority="43" stopIfTrue="1" operator="greaterThan">
      <formula>$I$5</formula>
    </cfRule>
  </conditionalFormatting>
  <conditionalFormatting sqref="H15">
    <cfRule type="cellIs" dxfId="263" priority="42" stopIfTrue="1" operator="greaterThan">
      <formula>$I$5</formula>
    </cfRule>
  </conditionalFormatting>
  <conditionalFormatting sqref="H13:H14">
    <cfRule type="cellIs" dxfId="262" priority="41" stopIfTrue="1" operator="greaterThan">
      <formula>$I$5</formula>
    </cfRule>
  </conditionalFormatting>
  <conditionalFormatting sqref="H19:H20">
    <cfRule type="cellIs" dxfId="261" priority="40" stopIfTrue="1" operator="greaterThan">
      <formula>$I$5</formula>
    </cfRule>
  </conditionalFormatting>
  <conditionalFormatting sqref="H17:H18">
    <cfRule type="cellIs" dxfId="260" priority="39" stopIfTrue="1" operator="greaterThan">
      <formula>$I$5</formula>
    </cfRule>
  </conditionalFormatting>
  <conditionalFormatting sqref="H16">
    <cfRule type="cellIs" dxfId="259" priority="38" stopIfTrue="1" operator="greaterThan">
      <formula>$I$5</formula>
    </cfRule>
  </conditionalFormatting>
  <conditionalFormatting sqref="H12">
    <cfRule type="cellIs" dxfId="258" priority="35" stopIfTrue="1" operator="greaterThan">
      <formula>$I$5</formula>
    </cfRule>
  </conditionalFormatting>
  <conditionalFormatting sqref="H10">
    <cfRule type="cellIs" dxfId="257" priority="16" stopIfTrue="1" operator="greaterThan">
      <formula>$I$5</formula>
    </cfRule>
  </conditionalFormatting>
  <conditionalFormatting sqref="H107">
    <cfRule type="cellIs" dxfId="256" priority="15" stopIfTrue="1" operator="greaterThan">
      <formula>$I$5</formula>
    </cfRule>
  </conditionalFormatting>
  <conditionalFormatting sqref="H113">
    <cfRule type="cellIs" dxfId="255" priority="14" stopIfTrue="1" operator="greaterThan">
      <formula>$I$5</formula>
    </cfRule>
  </conditionalFormatting>
  <conditionalFormatting sqref="H111:H112">
    <cfRule type="cellIs" dxfId="254" priority="13" stopIfTrue="1" operator="greaterThan">
      <formula>$I$5</formula>
    </cfRule>
  </conditionalFormatting>
  <conditionalFormatting sqref="H109:H110">
    <cfRule type="cellIs" dxfId="253" priority="12" stopIfTrue="1" operator="greaterThan">
      <formula>$I$5</formula>
    </cfRule>
  </conditionalFormatting>
  <conditionalFormatting sqref="H108">
    <cfRule type="cellIs" dxfId="252" priority="11" stopIfTrue="1" operator="greaterThan">
      <formula>$I$5</formula>
    </cfRule>
  </conditionalFormatting>
  <conditionalFormatting sqref="H176:H178">
    <cfRule type="cellIs" dxfId="251" priority="3" stopIfTrue="1" operator="greaterThan">
      <formula>$I$5</formula>
    </cfRule>
  </conditionalFormatting>
  <conditionalFormatting sqref="H175">
    <cfRule type="cellIs" dxfId="250" priority="2" stopIfTrue="1" operator="greaterThan">
      <formula>$I$5</formula>
    </cfRule>
  </conditionalFormatting>
  <conditionalFormatting sqref="H173:H174">
    <cfRule type="cellIs" dxfId="249" priority="1" stopIfTrue="1" operator="greaterThan">
      <formula>$I$5</formula>
    </cfRule>
  </conditionalFormatting>
  <printOptions horizontalCentered="1"/>
  <pageMargins left="0.24" right="0.25" top="0.17" bottom="0.35" header="0.17" footer="0.17"/>
  <pageSetup paperSize="9" scale="46" orientation="portrait" r:id="rId1"/>
  <rowBreaks count="3" manualBreakCount="3">
    <brk id="93" max="11" man="1"/>
    <brk id="181" max="11" man="1"/>
    <brk id="202" max="11"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23</vt:i4>
      </vt:variant>
    </vt:vector>
  </HeadingPairs>
  <TitlesOfParts>
    <vt:vector size="40" baseType="lpstr">
      <vt:lpstr>Sheet1</vt:lpstr>
      <vt:lpstr>L13</vt:lpstr>
      <vt:lpstr>L11</vt:lpstr>
      <vt:lpstr>Sheet12</vt:lpstr>
      <vt:lpstr>Bulk CO</vt:lpstr>
      <vt:lpstr>PRE-BALANCING</vt:lpstr>
      <vt:lpstr>PRE-LAYOUT</vt:lpstr>
      <vt:lpstr>PRE-BALANCING_L13_MT_Jun-22</vt:lpstr>
      <vt:lpstr>PRE-LAYOUT_L13_MT_Jun-22</vt:lpstr>
      <vt:lpstr>PRE-BALANCING_L11_MT_Jul-02</vt:lpstr>
      <vt:lpstr>PRE-LAYOUT_L11_MT_Jul-02</vt:lpstr>
      <vt:lpstr>ACTUAL LINE13</vt:lpstr>
      <vt:lpstr>PROPOSAL LINE13</vt:lpstr>
      <vt:lpstr>ACTUAL LINE11</vt:lpstr>
      <vt:lpstr>PROPOSAL</vt:lpstr>
      <vt:lpstr>PRE-LAYOUT_L13 NEW 1.1</vt:lpstr>
      <vt:lpstr>PRE-LAYOUT_L13 NEW 1.2</vt:lpstr>
      <vt:lpstr>'Bulk CO'!OB</vt:lpstr>
      <vt:lpstr>'ACTUAL LINE11'!Print_Area</vt:lpstr>
      <vt:lpstr>'ACTUAL LINE13'!Print_Area</vt:lpstr>
      <vt:lpstr>'Bulk CO'!Print_Area</vt:lpstr>
      <vt:lpstr>'PRE-BALANCING'!Print_Area</vt:lpstr>
      <vt:lpstr>'PRE-BALANCING_L11_MT_Jul-02'!Print_Area</vt:lpstr>
      <vt:lpstr>'PRE-BALANCING_L13_MT_Jun-22'!Print_Area</vt:lpstr>
      <vt:lpstr>'PRE-LAYOUT'!Print_Area</vt:lpstr>
      <vt:lpstr>'PRE-LAYOUT_L11_MT_Jul-02'!Print_Area</vt:lpstr>
      <vt:lpstr>'PRE-LAYOUT_L13 NEW 1.1'!Print_Area</vt:lpstr>
      <vt:lpstr>'PRE-LAYOUT_L13 NEW 1.2'!Print_Area</vt:lpstr>
      <vt:lpstr>'PRE-LAYOUT_L13_MT_Jun-22'!Print_Area</vt:lpstr>
      <vt:lpstr>PROPOSAL!Print_Area</vt:lpstr>
      <vt:lpstr>'PROPOSAL LINE13'!Print_Area</vt:lpstr>
      <vt:lpstr>'ACTUAL LINE11'!Print_Titles</vt:lpstr>
      <vt:lpstr>'ACTUAL LINE13'!Print_Titles</vt:lpstr>
      <vt:lpstr>'Bulk CO'!Print_Titles</vt:lpstr>
      <vt:lpstr>'PRE-BALANCING'!Print_Titles</vt:lpstr>
      <vt:lpstr>'PRE-BALANCING_L11_MT_Jul-02'!Print_Titles</vt:lpstr>
      <vt:lpstr>'PRE-BALANCING_L13_MT_Jun-22'!Print_Titles</vt:lpstr>
      <vt:lpstr>PROPOSAL!Print_Titles</vt:lpstr>
      <vt:lpstr>'PROPOSAL LINE13'!Print_Titles</vt:lpstr>
      <vt:lpstr>'Bulk CO'!SMV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Kristine</dc:creator>
  <cp:lastModifiedBy>Pham Minh Kha</cp:lastModifiedBy>
  <cp:lastPrinted>2021-10-04T06:12:14Z</cp:lastPrinted>
  <dcterms:created xsi:type="dcterms:W3CDTF">2018-12-26T02:18:46Z</dcterms:created>
  <dcterms:modified xsi:type="dcterms:W3CDTF">2021-10-05T04:15:54Z</dcterms:modified>
</cp:coreProperties>
</file>