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inhv\OneDrive\Documents\GitHub\cre\"/>
    </mc:Choice>
  </mc:AlternateContent>
  <xr:revisionPtr revIDLastSave="0" documentId="13_ncr:1_{7EEF4CF0-EB16-4C99-A9FB-65340C803BEA}" xr6:coauthVersionLast="47" xr6:coauthVersionMax="47" xr10:uidLastSave="{00000000-0000-0000-0000-000000000000}"/>
  <bookViews>
    <workbookView xWindow="0" yWindow="0" windowWidth="28800" windowHeight="15600" xr2:uid="{7A873A23-259D-4B7A-963D-AC41161A29D2}"/>
  </bookViews>
  <sheets>
    <sheet name="Sensitivity Calculation" sheetId="1" r:id="rId1"/>
    <sheet name="Partnership Distribu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F7" i="2" s="1"/>
  <c r="G7" i="2" s="1"/>
  <c r="H7" i="2" s="1"/>
  <c r="I7" i="2" s="1"/>
  <c r="J7" i="2" s="1"/>
  <c r="K7" i="2" s="1"/>
  <c r="L7" i="2" s="1"/>
  <c r="M7" i="2" s="1"/>
  <c r="D6" i="2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F33" i="1"/>
  <c r="F32" i="1"/>
  <c r="F31" i="1"/>
  <c r="F30" i="1"/>
  <c r="F29" i="1"/>
  <c r="F28" i="1"/>
  <c r="F27" i="1"/>
  <c r="K26" i="1"/>
  <c r="J26" i="1"/>
  <c r="I26" i="1"/>
  <c r="H26" i="1"/>
  <c r="G26" i="1"/>
  <c r="C10" i="2"/>
  <c r="C5" i="2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C21" i="1"/>
  <c r="C20" i="1"/>
  <c r="C19" i="1"/>
  <c r="D2" i="2"/>
  <c r="E2" i="2" s="1"/>
  <c r="F2" i="2" s="1"/>
  <c r="G2" i="2" s="1"/>
  <c r="H2" i="2" s="1"/>
  <c r="I2" i="2" s="1"/>
  <c r="J2" i="2" s="1"/>
  <c r="K2" i="2" s="1"/>
  <c r="L2" i="2" s="1"/>
  <c r="M2" i="2" s="1"/>
  <c r="D9" i="2"/>
  <c r="E9" i="2" s="1"/>
  <c r="F9" i="2" s="1"/>
  <c r="G9" i="2" s="1"/>
  <c r="H9" i="2" s="1"/>
  <c r="I9" i="2" s="1"/>
  <c r="J9" i="2" s="1"/>
  <c r="K9" i="2" s="1"/>
  <c r="L9" i="2" s="1"/>
  <c r="M9" i="2" s="1"/>
  <c r="F10" i="1"/>
  <c r="F11" i="1" s="1"/>
  <c r="I4" i="1"/>
  <c r="J4" i="1" s="1"/>
  <c r="K4" i="1" s="1"/>
  <c r="K22" i="1" s="1"/>
  <c r="C15" i="1"/>
  <c r="C12" i="1"/>
  <c r="C13" i="1"/>
  <c r="C5" i="1"/>
  <c r="C3" i="2" l="1"/>
  <c r="D3" i="2" s="1"/>
  <c r="E3" i="2" s="1"/>
  <c r="F3" i="2" s="1"/>
  <c r="G3" i="2" s="1"/>
  <c r="H3" i="2" s="1"/>
  <c r="I3" i="2" s="1"/>
  <c r="J3" i="2" s="1"/>
  <c r="K3" i="2" s="1"/>
  <c r="L3" i="2" s="1"/>
  <c r="M3" i="2" s="1"/>
  <c r="I21" i="1"/>
  <c r="C6" i="2"/>
  <c r="J21" i="1"/>
  <c r="K21" i="1"/>
  <c r="I22" i="1"/>
  <c r="J22" i="1"/>
  <c r="F22" i="1"/>
  <c r="I15" i="1"/>
  <c r="J15" i="1"/>
  <c r="K15" i="1"/>
  <c r="F9" i="1"/>
  <c r="I20" i="1" s="1"/>
  <c r="F21" i="1"/>
  <c r="C14" i="1"/>
  <c r="H4" i="1"/>
  <c r="E6" i="2" l="1"/>
  <c r="E5" i="2" s="1"/>
  <c r="D5" i="2"/>
  <c r="D10" i="2" s="1"/>
  <c r="C22" i="1"/>
  <c r="J20" i="1"/>
  <c r="C8" i="2"/>
  <c r="I8" i="2"/>
  <c r="K8" i="2"/>
  <c r="L8" i="2"/>
  <c r="J8" i="2"/>
  <c r="F8" i="2"/>
  <c r="E8" i="2"/>
  <c r="H8" i="2"/>
  <c r="H22" i="1"/>
  <c r="H20" i="1"/>
  <c r="H21" i="1"/>
  <c r="G8" i="2"/>
  <c r="D8" i="2"/>
  <c r="K20" i="1"/>
  <c r="M8" i="2"/>
  <c r="F8" i="1"/>
  <c r="H19" i="1" s="1"/>
  <c r="F20" i="1"/>
  <c r="G4" i="1"/>
  <c r="H15" i="1"/>
  <c r="E10" i="2" l="1"/>
  <c r="E11" i="2" s="1"/>
  <c r="E15" i="2" s="1"/>
  <c r="F6" i="2"/>
  <c r="F5" i="2" s="1"/>
  <c r="D11" i="2"/>
  <c r="D15" i="2" s="1"/>
  <c r="G19" i="1"/>
  <c r="G22" i="1"/>
  <c r="G21" i="1"/>
  <c r="G20" i="1"/>
  <c r="K19" i="1"/>
  <c r="J19" i="1"/>
  <c r="I19" i="1"/>
  <c r="G15" i="1"/>
  <c r="F7" i="1"/>
  <c r="F19" i="1"/>
  <c r="F10" i="2" l="1"/>
  <c r="F11" i="2" s="1"/>
  <c r="G6" i="2"/>
  <c r="G5" i="2" s="1"/>
  <c r="D16" i="2"/>
  <c r="E16" i="2"/>
  <c r="J18" i="1"/>
  <c r="I18" i="1"/>
  <c r="K18" i="1"/>
  <c r="H18" i="1"/>
  <c r="G18" i="1"/>
  <c r="F6" i="1"/>
  <c r="F18" i="1"/>
  <c r="G10" i="2" l="1"/>
  <c r="F15" i="2"/>
  <c r="F16" i="2"/>
  <c r="H6" i="2"/>
  <c r="H5" i="2" s="1"/>
  <c r="J17" i="1"/>
  <c r="K17" i="1"/>
  <c r="I17" i="1"/>
  <c r="H17" i="1"/>
  <c r="G17" i="1"/>
  <c r="F5" i="1"/>
  <c r="F17" i="1"/>
  <c r="H10" i="2" l="1"/>
  <c r="H11" i="2" s="1"/>
  <c r="H15" i="2" s="1"/>
  <c r="I6" i="2"/>
  <c r="I5" i="2" s="1"/>
  <c r="G11" i="2"/>
  <c r="G15" i="2" s="1"/>
  <c r="J16" i="1"/>
  <c r="I16" i="1"/>
  <c r="K16" i="1"/>
  <c r="H16" i="1"/>
  <c r="G16" i="1"/>
  <c r="F16" i="1"/>
  <c r="I10" i="2" l="1"/>
  <c r="I11" i="2" s="1"/>
  <c r="I15" i="2" s="1"/>
  <c r="J6" i="2"/>
  <c r="J5" i="2" s="1"/>
  <c r="G16" i="2"/>
  <c r="H16" i="2"/>
  <c r="J10" i="2" l="1"/>
  <c r="J11" i="2" s="1"/>
  <c r="J15" i="2" s="1"/>
  <c r="K6" i="2"/>
  <c r="K5" i="2" s="1"/>
  <c r="I16" i="2"/>
  <c r="J16" i="2" l="1"/>
  <c r="K10" i="2"/>
  <c r="K11" i="2" s="1"/>
  <c r="K15" i="2" s="1"/>
  <c r="L6" i="2"/>
  <c r="L5" i="2" s="1"/>
  <c r="L10" i="2" l="1"/>
  <c r="L11" i="2" s="1"/>
  <c r="L15" i="2" s="1"/>
  <c r="K16" i="2"/>
  <c r="M6" i="2"/>
  <c r="M5" i="2" s="1"/>
  <c r="L16" i="2" l="1"/>
  <c r="M10" i="2"/>
  <c r="M11" i="2" s="1"/>
  <c r="M15" i="2" s="1"/>
  <c r="M16" i="2" l="1"/>
</calcChain>
</file>

<file path=xl/sharedStrings.xml><?xml version="1.0" encoding="utf-8"?>
<sst xmlns="http://schemas.openxmlformats.org/spreadsheetml/2006/main" count="46" uniqueCount="38">
  <si>
    <t>Purchase Price</t>
  </si>
  <si>
    <t>Rent Price</t>
  </si>
  <si>
    <t>Expenses</t>
  </si>
  <si>
    <t>Total Price</t>
  </si>
  <si>
    <t>Occupancy Rate</t>
  </si>
  <si>
    <t>Rent</t>
  </si>
  <si>
    <t>HOA</t>
  </si>
  <si>
    <t>Utilities</t>
  </si>
  <si>
    <t>Utilities Covered?</t>
  </si>
  <si>
    <t>No</t>
  </si>
  <si>
    <t>HOA Covered?</t>
  </si>
  <si>
    <t>Monthly Utilities Expense</t>
  </si>
  <si>
    <t>Cap Rate Sensitivity Table</t>
  </si>
  <si>
    <t>Monthly HOA Expense</t>
  </si>
  <si>
    <t>Monthly Renter's Expense</t>
  </si>
  <si>
    <t>Property Income</t>
  </si>
  <si>
    <t>Total Annual Income</t>
  </si>
  <si>
    <t>Cap Rate</t>
  </si>
  <si>
    <t>All amount $US. Unless stated otherwise.</t>
  </si>
  <si>
    <t>Property Appreciation Rate (GDP pegged)</t>
  </si>
  <si>
    <t>Cap Rate Sensitivity Table + Property Appreciation Consideration</t>
  </si>
  <si>
    <t>Dividends</t>
  </si>
  <si>
    <t>Growth %</t>
  </si>
  <si>
    <t>Capitalization Rate</t>
  </si>
  <si>
    <t>Property Value</t>
  </si>
  <si>
    <t>Accumulated Dividends (Reinvested)</t>
  </si>
  <si>
    <t>Exit Value</t>
  </si>
  <si>
    <t>IRR</t>
  </si>
  <si>
    <t>ROIC</t>
  </si>
  <si>
    <t>Equivalent Bond Yield</t>
  </si>
  <si>
    <t>Discount Factor</t>
  </si>
  <si>
    <t>**Not accounting for selling broker fee. Probably 5-6% of the selling price?</t>
  </si>
  <si>
    <t>Insurance</t>
  </si>
  <si>
    <t>Less: Insurance</t>
  </si>
  <si>
    <t>Less: Property Tax</t>
  </si>
  <si>
    <t>Property Tax Rate</t>
  </si>
  <si>
    <t>Post Tax-Sensitivity Table</t>
  </si>
  <si>
    <t>Massachusetts' Income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</si>
</sst>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FF"/>
      <name val="Calibri"/>
      <family val="2"/>
    </font>
    <font>
      <i/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43" fontId="3" fillId="2" borderId="2" xfId="1" applyFont="1" applyFill="1" applyBorder="1"/>
    <xf numFmtId="43" fontId="0" fillId="0" borderId="0" xfId="0" applyNumberFormat="1"/>
    <xf numFmtId="0" fontId="2" fillId="0" borderId="0" xfId="0" applyFont="1"/>
    <xf numFmtId="43" fontId="2" fillId="0" borderId="0" xfId="0" applyNumberFormat="1" applyFont="1"/>
    <xf numFmtId="0" fontId="0" fillId="0" borderId="3" xfId="0" applyBorder="1"/>
    <xf numFmtId="43" fontId="3" fillId="2" borderId="4" xfId="1" applyFont="1" applyFill="1" applyBorder="1"/>
    <xf numFmtId="43" fontId="3" fillId="2" borderId="1" xfId="1" applyFont="1" applyFill="1" applyBorder="1" applyAlignment="1">
      <alignment horizontal="right"/>
    </xf>
    <xf numFmtId="0" fontId="4" fillId="0" borderId="3" xfId="0" applyFont="1" applyBorder="1" applyAlignment="1">
      <alignment horizontal="left" indent="1"/>
    </xf>
    <xf numFmtId="43" fontId="3" fillId="2" borderId="4" xfId="1" applyFont="1" applyFill="1" applyBorder="1" applyAlignment="1">
      <alignment horizontal="right"/>
    </xf>
    <xf numFmtId="0" fontId="2" fillId="0" borderId="5" xfId="0" applyFont="1" applyBorder="1"/>
    <xf numFmtId="43" fontId="2" fillId="0" borderId="5" xfId="0" applyNumberFormat="1" applyFont="1" applyBorder="1"/>
    <xf numFmtId="0" fontId="4" fillId="0" borderId="0" xfId="0" applyFont="1" applyAlignment="1">
      <alignment horizontal="left" indent="1"/>
    </xf>
    <xf numFmtId="10" fontId="3" fillId="2" borderId="4" xfId="0" applyNumberFormat="1" applyFont="1" applyFill="1" applyBorder="1"/>
    <xf numFmtId="0" fontId="0" fillId="0" borderId="5" xfId="0" applyBorder="1"/>
    <xf numFmtId="43" fontId="1" fillId="0" borderId="5" xfId="1" applyFont="1" applyBorder="1"/>
    <xf numFmtId="10" fontId="0" fillId="0" borderId="0" xfId="0" applyNumberFormat="1"/>
    <xf numFmtId="10" fontId="2" fillId="0" borderId="0" xfId="0" applyNumberFormat="1" applyFont="1"/>
    <xf numFmtId="10" fontId="0" fillId="0" borderId="11" xfId="1" applyNumberFormat="1" applyFont="1" applyBorder="1"/>
    <xf numFmtId="10" fontId="0" fillId="0" borderId="12" xfId="1" applyNumberFormat="1" applyFont="1" applyBorder="1"/>
    <xf numFmtId="10" fontId="0" fillId="0" borderId="13" xfId="1" applyNumberFormat="1" applyFont="1" applyBorder="1"/>
    <xf numFmtId="10" fontId="0" fillId="0" borderId="14" xfId="1" applyNumberFormat="1" applyFont="1" applyBorder="1"/>
    <xf numFmtId="10" fontId="0" fillId="0" borderId="0" xfId="1" applyNumberFormat="1" applyFont="1" applyBorder="1"/>
    <xf numFmtId="10" fontId="0" fillId="0" borderId="15" xfId="1" applyNumberFormat="1" applyFont="1" applyBorder="1"/>
    <xf numFmtId="10" fontId="0" fillId="0" borderId="16" xfId="1" applyNumberFormat="1" applyFont="1" applyBorder="1"/>
    <xf numFmtId="10" fontId="0" fillId="0" borderId="3" xfId="1" applyNumberFormat="1" applyFont="1" applyBorder="1"/>
    <xf numFmtId="10" fontId="0" fillId="0" borderId="17" xfId="1" applyNumberFormat="1" applyFont="1" applyBorder="1"/>
    <xf numFmtId="0" fontId="4" fillId="0" borderId="0" xfId="0" applyFont="1" applyAlignment="1">
      <alignment horizontal="right"/>
    </xf>
    <xf numFmtId="43" fontId="0" fillId="0" borderId="0" xfId="1" applyFont="1"/>
    <xf numFmtId="44" fontId="3" fillId="2" borderId="2" xfId="1" applyNumberFormat="1" applyFont="1" applyFill="1" applyBorder="1"/>
    <xf numFmtId="0" fontId="4" fillId="0" borderId="0" xfId="0" applyFont="1"/>
    <xf numFmtId="10" fontId="3" fillId="2" borderId="1" xfId="1" applyNumberFormat="1" applyFont="1" applyFill="1" applyBorder="1" applyAlignment="1">
      <alignment horizontal="right"/>
    </xf>
    <xf numFmtId="10" fontId="3" fillId="2" borderId="1" xfId="0" applyNumberFormat="1" applyFont="1" applyFill="1" applyBorder="1"/>
    <xf numFmtId="0" fontId="0" fillId="0" borderId="0" xfId="0" applyAlignment="1">
      <alignment horizontal="left"/>
    </xf>
    <xf numFmtId="43" fontId="0" fillId="0" borderId="3" xfId="0" applyNumberFormat="1" applyBorder="1"/>
    <xf numFmtId="0" fontId="2" fillId="0" borderId="11" xfId="0" applyFont="1" applyBorder="1"/>
    <xf numFmtId="0" fontId="0" fillId="0" borderId="12" xfId="0" applyBorder="1"/>
    <xf numFmtId="0" fontId="2" fillId="0" borderId="16" xfId="0" applyFont="1" applyBorder="1"/>
    <xf numFmtId="10" fontId="2" fillId="0" borderId="3" xfId="0" applyNumberFormat="1" applyFont="1" applyBorder="1"/>
    <xf numFmtId="10" fontId="2" fillId="0" borderId="17" xfId="0" applyNumberFormat="1" applyFont="1" applyBorder="1"/>
    <xf numFmtId="43" fontId="4" fillId="0" borderId="0" xfId="1" applyFont="1"/>
    <xf numFmtId="10" fontId="2" fillId="0" borderId="12" xfId="0" applyNumberFormat="1" applyFont="1" applyBorder="1"/>
    <xf numFmtId="10" fontId="2" fillId="0" borderId="13" xfId="0" applyNumberFormat="1" applyFont="1" applyBorder="1"/>
    <xf numFmtId="44" fontId="0" fillId="0" borderId="0" xfId="0" applyNumberFormat="1"/>
    <xf numFmtId="44" fontId="0" fillId="0" borderId="3" xfId="0" applyNumberFormat="1" applyBorder="1"/>
    <xf numFmtId="43" fontId="5" fillId="0" borderId="3" xfId="0" applyNumberFormat="1" applyFont="1" applyBorder="1"/>
    <xf numFmtId="43" fontId="3" fillId="2" borderId="18" xfId="1" applyFont="1" applyFill="1" applyBorder="1"/>
    <xf numFmtId="43" fontId="0" fillId="0" borderId="5" xfId="0" applyNumberFormat="1" applyBorder="1"/>
    <xf numFmtId="0" fontId="0" fillId="0" borderId="8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695324</xdr:colOff>
      <xdr:row>6</xdr:row>
      <xdr:rowOff>152401</xdr:rowOff>
    </xdr:from>
    <xdr:to>
      <xdr:col>10</xdr:col>
      <xdr:colOff>76199</xdr:colOff>
      <xdr:row>11</xdr:row>
      <xdr:rowOff>38101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496058B-C295-C906-95E3-FA104B34E0C4}"/>
            </a:ext>
          </a:extLst>
        </xdr:cNvPr>
        <xdr:cNvSpPr/>
      </xdr:nvSpPr>
      <xdr:spPr>
        <a:xfrm>
          <a:off x="4952999" y="1104901"/>
          <a:ext cx="2200275" cy="838200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96716</xdr:colOff>
      <xdr:row>4</xdr:row>
      <xdr:rowOff>2198</xdr:rowOff>
    </xdr:from>
    <xdr:to>
      <xdr:col>14</xdr:col>
      <xdr:colOff>183907</xdr:colOff>
      <xdr:row>7</xdr:row>
      <xdr:rowOff>58616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FE8AA17-7F4D-F12B-9F20-6B86F601040B}"/>
            </a:ext>
          </a:extLst>
        </xdr:cNvPr>
        <xdr:cNvSpPr txBox="1"/>
      </xdr:nvSpPr>
      <xdr:spPr>
        <a:xfrm>
          <a:off x="7921870" y="573698"/>
          <a:ext cx="1911595" cy="62791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Broker assures we</a:t>
          </a:r>
          <a:r>
            <a:rPr lang="en-US" sz="1100" baseline="0"/>
            <a:t> can hit this range. Easily. I didn't factor in the property appreciation.</a:t>
          </a:r>
        </a:p>
        <a:p>
          <a:endParaRPr lang="en-US" sz="1100"/>
        </a:p>
      </xdr:txBody>
    </xdr:sp>
    <xdr:clientData/>
  </xdr:twoCellAnchor>
  <xdr:twoCellAnchor>
    <xdr:from>
      <xdr:col>10</xdr:col>
      <xdr:colOff>76199</xdr:colOff>
      <xdr:row>5</xdr:row>
      <xdr:rowOff>125657</xdr:rowOff>
    </xdr:from>
    <xdr:to>
      <xdr:col>11</xdr:col>
      <xdr:colOff>96716</xdr:colOff>
      <xdr:row>9</xdr:row>
      <xdr:rowOff>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528A6B5-7FA1-B094-3272-DDE3799F83E6}"/>
            </a:ext>
          </a:extLst>
        </xdr:cNvPr>
        <xdr:cNvCxnSpPr>
          <a:stCxn id="3" idx="1"/>
          <a:endCxn id="2" idx="3"/>
        </xdr:cNvCxnSpPr>
      </xdr:nvCxnSpPr>
      <xdr:spPr>
        <a:xfrm flipH="1">
          <a:off x="7197968" y="887657"/>
          <a:ext cx="723902" cy="636344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96716</xdr:colOff>
      <xdr:row>7</xdr:row>
      <xdr:rowOff>178044</xdr:rowOff>
    </xdr:from>
    <xdr:to>
      <xdr:col>14</xdr:col>
      <xdr:colOff>183907</xdr:colOff>
      <xdr:row>12</xdr:row>
      <xdr:rowOff>21981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A31BF95-4447-FC90-049A-76EE831414A3}"/>
            </a:ext>
          </a:extLst>
        </xdr:cNvPr>
        <xdr:cNvSpPr txBox="1"/>
      </xdr:nvSpPr>
      <xdr:spPr>
        <a:xfrm>
          <a:off x="7921870" y="1321044"/>
          <a:ext cx="1911595" cy="79643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/>
            <a:t>I want to aim for the bottom </a:t>
          </a:r>
          <a:r>
            <a:rPr lang="en-US" sz="1100" baseline="0">
              <a:solidFill>
                <a:sysClr val="windowText" lastClr="000000"/>
              </a:solidFill>
            </a:rPr>
            <a:t>here. And then assist it with the property appreciation which is 2% a year?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11</xdr:col>
      <xdr:colOff>96716</xdr:colOff>
      <xdr:row>17</xdr:row>
      <xdr:rowOff>145806</xdr:rowOff>
    </xdr:from>
    <xdr:to>
      <xdr:col>14</xdr:col>
      <xdr:colOff>183907</xdr:colOff>
      <xdr:row>21</xdr:row>
      <xdr:rowOff>180243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D9E2CD-A44A-22D2-8105-ADB646D6945F}"/>
            </a:ext>
          </a:extLst>
        </xdr:cNvPr>
        <xdr:cNvSpPr txBox="1"/>
      </xdr:nvSpPr>
      <xdr:spPr>
        <a:xfrm>
          <a:off x="7992941" y="3384306"/>
          <a:ext cx="1915991" cy="79643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/>
            <a:t>We are at least milking a stable rate compared to the current Treasury Bond yield. And it's ratherly stable.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DD06-7325-47FF-B14A-6233C127E75E}">
  <dimension ref="B2:K34"/>
  <sheetViews>
    <sheetView showGridLines="0" tabSelected="1" zoomScaleNormal="100" workbookViewId="0">
      <selection activeCell="M32" sqref="M32"/>
    </sheetView>
  </sheetViews>
  <sheetFormatPr defaultRowHeight="15" x14ac:dyDescent="0.25"/>
  <cols>
    <col min="1" max="1" width="1.7109375" customWidth="1"/>
    <col min="2" max="2" width="24.7109375" bestFit="1" customWidth="1"/>
    <col min="3" max="3" width="13.28515625" bestFit="1" customWidth="1"/>
    <col min="4" max="4" width="11.5703125" customWidth="1"/>
    <col min="5" max="5" width="5.140625" customWidth="1"/>
    <col min="7" max="11" width="10.5703125" bestFit="1" customWidth="1"/>
  </cols>
  <sheetData>
    <row r="2" spans="2:11" x14ac:dyDescent="0.25">
      <c r="B2" s="30" t="s">
        <v>18</v>
      </c>
    </row>
    <row r="3" spans="2:11" x14ac:dyDescent="0.25">
      <c r="B3" t="s">
        <v>0</v>
      </c>
      <c r="C3" s="29">
        <v>400000</v>
      </c>
      <c r="G3" s="51" t="s">
        <v>1</v>
      </c>
      <c r="H3" s="52"/>
      <c r="I3" s="52"/>
      <c r="J3" s="52"/>
      <c r="K3" s="53"/>
    </row>
    <row r="4" spans="2:11" x14ac:dyDescent="0.25">
      <c r="B4" s="5" t="s">
        <v>2</v>
      </c>
      <c r="C4" s="6">
        <v>0</v>
      </c>
      <c r="G4" s="2">
        <f>+H4-150</f>
        <v>2100</v>
      </c>
      <c r="H4" s="2">
        <f>+I4-150</f>
        <v>2250</v>
      </c>
      <c r="I4" s="2">
        <f>+C7</f>
        <v>2400</v>
      </c>
      <c r="J4" s="2">
        <f>+I4+150</f>
        <v>2550</v>
      </c>
      <c r="K4" s="2">
        <f t="shared" ref="K4" si="0">+J4+150</f>
        <v>2700</v>
      </c>
    </row>
    <row r="5" spans="2:11" x14ac:dyDescent="0.25">
      <c r="B5" s="3" t="s">
        <v>3</v>
      </c>
      <c r="C5" s="4">
        <f>+C3+C4</f>
        <v>400000</v>
      </c>
      <c r="E5" s="48" t="s">
        <v>4</v>
      </c>
      <c r="F5" s="16">
        <f>+F6-0.1</f>
        <v>0.40000000000000013</v>
      </c>
      <c r="G5" s="18">
        <f>((+G$4*$F5*12)-$C$16-$C$20)/$C$5</f>
        <v>1.0460000000000009E-2</v>
      </c>
      <c r="H5" s="19">
        <f t="shared" ref="H5:K11" si="1">((+H$4*$F5*12)-$C$16-$C$20)/$C$5</f>
        <v>1.2260000000000009E-2</v>
      </c>
      <c r="I5" s="19">
        <f t="shared" si="1"/>
        <v>1.4060000000000008E-2</v>
      </c>
      <c r="J5" s="19">
        <f t="shared" si="1"/>
        <v>1.586000000000001E-2</v>
      </c>
      <c r="K5" s="20">
        <f t="shared" si="1"/>
        <v>1.7660000000000012E-2</v>
      </c>
    </row>
    <row r="6" spans="2:11" x14ac:dyDescent="0.25">
      <c r="E6" s="49"/>
      <c r="F6" s="16">
        <f>+F7-0.1</f>
        <v>0.50000000000000011</v>
      </c>
      <c r="G6" s="21">
        <f t="shared" ref="G6:G11" si="2">((+G$4*$F6*12)-$C$16-$C$20)/$C$5</f>
        <v>1.6760000000000008E-2</v>
      </c>
      <c r="H6" s="22">
        <f t="shared" si="1"/>
        <v>1.901000000000001E-2</v>
      </c>
      <c r="I6" s="22">
        <f t="shared" si="1"/>
        <v>2.1260000000000008E-2</v>
      </c>
      <c r="J6" s="22">
        <f t="shared" si="1"/>
        <v>2.351000000000001E-2</v>
      </c>
      <c r="K6" s="23">
        <f t="shared" si="1"/>
        <v>2.5760000000000009E-2</v>
      </c>
    </row>
    <row r="7" spans="2:11" x14ac:dyDescent="0.25">
      <c r="B7" t="s">
        <v>5</v>
      </c>
      <c r="C7" s="1">
        <v>2400</v>
      </c>
      <c r="E7" s="49"/>
      <c r="F7" s="16">
        <f>+F8-0.1</f>
        <v>0.60000000000000009</v>
      </c>
      <c r="G7" s="21">
        <f t="shared" si="2"/>
        <v>2.3060000000000008E-2</v>
      </c>
      <c r="H7" s="22">
        <f t="shared" si="1"/>
        <v>2.5760000000000009E-2</v>
      </c>
      <c r="I7" s="22">
        <f t="shared" si="1"/>
        <v>2.846000000000001E-2</v>
      </c>
      <c r="J7" s="22">
        <f t="shared" si="1"/>
        <v>3.1160000000000011E-2</v>
      </c>
      <c r="K7" s="23">
        <f t="shared" si="1"/>
        <v>3.3860000000000008E-2</v>
      </c>
    </row>
    <row r="8" spans="2:11" x14ac:dyDescent="0.25">
      <c r="B8" t="s">
        <v>6</v>
      </c>
      <c r="C8" s="1">
        <v>217</v>
      </c>
      <c r="E8" s="49"/>
      <c r="F8" s="16">
        <f>+F9-0.1</f>
        <v>0.70000000000000007</v>
      </c>
      <c r="G8" s="21">
        <f t="shared" si="2"/>
        <v>2.9360000000000008E-2</v>
      </c>
      <c r="H8" s="22">
        <f t="shared" si="1"/>
        <v>3.2510000000000011E-2</v>
      </c>
      <c r="I8" s="22">
        <f t="shared" si="1"/>
        <v>3.5660000000000011E-2</v>
      </c>
      <c r="J8" s="22">
        <f t="shared" si="1"/>
        <v>3.8810000000000011E-2</v>
      </c>
      <c r="K8" s="23">
        <f t="shared" si="1"/>
        <v>4.1960000000000011E-2</v>
      </c>
    </row>
    <row r="9" spans="2:11" x14ac:dyDescent="0.25">
      <c r="B9" t="s">
        <v>7</v>
      </c>
      <c r="C9" s="1">
        <v>150</v>
      </c>
      <c r="E9" s="49"/>
      <c r="F9" s="16">
        <f>+F10-0.1</f>
        <v>0.8</v>
      </c>
      <c r="G9" s="21">
        <f t="shared" si="2"/>
        <v>3.5659999999999997E-2</v>
      </c>
      <c r="H9" s="22">
        <f t="shared" si="1"/>
        <v>3.9260000000000003E-2</v>
      </c>
      <c r="I9" s="22">
        <f t="shared" si="1"/>
        <v>4.2860000000000002E-2</v>
      </c>
      <c r="J9" s="22">
        <f t="shared" si="1"/>
        <v>4.6460000000000001E-2</v>
      </c>
      <c r="K9" s="23">
        <f t="shared" si="1"/>
        <v>5.006E-2</v>
      </c>
    </row>
    <row r="10" spans="2:11" x14ac:dyDescent="0.25">
      <c r="B10" s="12" t="s">
        <v>8</v>
      </c>
      <c r="C10" s="7" t="s">
        <v>9</v>
      </c>
      <c r="E10" s="49"/>
      <c r="F10" s="16">
        <f>+C18</f>
        <v>0.9</v>
      </c>
      <c r="G10" s="21">
        <f t="shared" si="2"/>
        <v>4.1959999999999997E-2</v>
      </c>
      <c r="H10" s="22">
        <f t="shared" si="1"/>
        <v>4.6010000000000002E-2</v>
      </c>
      <c r="I10" s="22">
        <f t="shared" si="1"/>
        <v>5.006E-2</v>
      </c>
      <c r="J10" s="22">
        <f t="shared" si="1"/>
        <v>5.4109999999999998E-2</v>
      </c>
      <c r="K10" s="23">
        <f t="shared" si="1"/>
        <v>5.8160000000000003E-2</v>
      </c>
    </row>
    <row r="11" spans="2:11" x14ac:dyDescent="0.25">
      <c r="B11" s="8" t="s">
        <v>10</v>
      </c>
      <c r="C11" s="9" t="s">
        <v>9</v>
      </c>
      <c r="E11" s="50"/>
      <c r="F11" s="16">
        <f>+F10+0.1</f>
        <v>1</v>
      </c>
      <c r="G11" s="24">
        <f t="shared" si="2"/>
        <v>4.8259999999999997E-2</v>
      </c>
      <c r="H11" s="25">
        <f t="shared" si="1"/>
        <v>5.2760000000000001E-2</v>
      </c>
      <c r="I11" s="25">
        <f t="shared" si="1"/>
        <v>5.7259999999999998E-2</v>
      </c>
      <c r="J11" s="25">
        <f t="shared" si="1"/>
        <v>6.1760000000000002E-2</v>
      </c>
      <c r="K11" s="26">
        <f t="shared" si="1"/>
        <v>6.6259999999999999E-2</v>
      </c>
    </row>
    <row r="12" spans="2:11" x14ac:dyDescent="0.25">
      <c r="B12" s="14" t="s">
        <v>11</v>
      </c>
      <c r="C12" s="47">
        <f>+IF(LOWER(C10)="no",C9,C8)</f>
        <v>150</v>
      </c>
      <c r="K12" s="27" t="s">
        <v>12</v>
      </c>
    </row>
    <row r="13" spans="2:11" x14ac:dyDescent="0.25">
      <c r="B13" s="14" t="s">
        <v>13</v>
      </c>
      <c r="C13" s="47">
        <f>+IF(LOWER(C11)="no",C8,0)</f>
        <v>217</v>
      </c>
      <c r="K13" s="27"/>
    </row>
    <row r="14" spans="2:11" x14ac:dyDescent="0.25">
      <c r="B14" s="14" t="s">
        <v>14</v>
      </c>
      <c r="C14" s="47">
        <f>+C7+SUM(C12:C13)</f>
        <v>2767</v>
      </c>
      <c r="G14" s="51" t="s">
        <v>1</v>
      </c>
      <c r="H14" s="52"/>
      <c r="I14" s="52"/>
      <c r="J14" s="52"/>
      <c r="K14" s="53"/>
    </row>
    <row r="15" spans="2:11" x14ac:dyDescent="0.25">
      <c r="B15" s="10" t="s">
        <v>15</v>
      </c>
      <c r="C15" s="11">
        <f>+IF(LOWER(C10)="no", 0, -C8)+IF(LOWER(C11)="no",0,-C9)+C7</f>
        <v>2400</v>
      </c>
      <c r="G15" s="2">
        <f>+G4</f>
        <v>2100</v>
      </c>
      <c r="H15" s="2">
        <f>+H4</f>
        <v>2250</v>
      </c>
      <c r="I15" s="2">
        <f>+I4</f>
        <v>2400</v>
      </c>
      <c r="J15" s="2">
        <f>+J4</f>
        <v>2550</v>
      </c>
      <c r="K15" s="2">
        <f>+K4</f>
        <v>2700</v>
      </c>
    </row>
    <row r="16" spans="2:11" ht="15" customHeight="1" x14ac:dyDescent="0.25">
      <c r="B16" t="s">
        <v>32</v>
      </c>
      <c r="C16" s="46">
        <v>1600</v>
      </c>
      <c r="E16" s="48" t="s">
        <v>4</v>
      </c>
      <c r="F16" s="16">
        <f t="shared" ref="F16:F22" si="3">+F5</f>
        <v>0.40000000000000013</v>
      </c>
      <c r="G16" s="18">
        <f>+G5+$C$24</f>
        <v>5.0460000000000012E-2</v>
      </c>
      <c r="H16" s="19">
        <f t="shared" ref="H16:K16" si="4">+H5+$C$24</f>
        <v>5.2260000000000008E-2</v>
      </c>
      <c r="I16" s="19">
        <f t="shared" si="4"/>
        <v>5.4060000000000011E-2</v>
      </c>
      <c r="J16" s="19">
        <f t="shared" si="4"/>
        <v>5.5860000000000007E-2</v>
      </c>
      <c r="K16" s="20">
        <f t="shared" si="4"/>
        <v>5.7660000000000017E-2</v>
      </c>
    </row>
    <row r="17" spans="2:11" ht="15" customHeight="1" x14ac:dyDescent="0.25">
      <c r="E17" s="49"/>
      <c r="F17" s="16">
        <f t="shared" si="3"/>
        <v>0.50000000000000011</v>
      </c>
      <c r="G17" s="21">
        <f t="shared" ref="G17:K17" si="5">+G6+$C$24</f>
        <v>5.6760000000000005E-2</v>
      </c>
      <c r="H17" s="22">
        <f t="shared" si="5"/>
        <v>5.9010000000000007E-2</v>
      </c>
      <c r="I17" s="22">
        <f t="shared" si="5"/>
        <v>6.1260000000000009E-2</v>
      </c>
      <c r="J17" s="22">
        <f t="shared" si="5"/>
        <v>6.3510000000000011E-2</v>
      </c>
      <c r="K17" s="23">
        <f t="shared" si="5"/>
        <v>6.5760000000000013E-2</v>
      </c>
    </row>
    <row r="18" spans="2:11" x14ac:dyDescent="0.25">
      <c r="B18" s="5" t="s">
        <v>4</v>
      </c>
      <c r="C18" s="13">
        <v>0.9</v>
      </c>
      <c r="E18" s="49"/>
      <c r="F18" s="16">
        <f t="shared" si="3"/>
        <v>0.60000000000000009</v>
      </c>
      <c r="G18" s="21">
        <f t="shared" ref="G18:K18" si="6">+G7+$C$24</f>
        <v>6.3060000000000005E-2</v>
      </c>
      <c r="H18" s="22">
        <f t="shared" si="6"/>
        <v>6.5760000000000013E-2</v>
      </c>
      <c r="I18" s="22">
        <f t="shared" si="6"/>
        <v>6.8460000000000007E-2</v>
      </c>
      <c r="J18" s="22">
        <f t="shared" si="6"/>
        <v>7.1160000000000015E-2</v>
      </c>
      <c r="K18" s="23">
        <f t="shared" si="6"/>
        <v>7.3860000000000009E-2</v>
      </c>
    </row>
    <row r="19" spans="2:11" x14ac:dyDescent="0.25">
      <c r="B19" s="5" t="s">
        <v>33</v>
      </c>
      <c r="C19" s="45">
        <f>+C16</f>
        <v>1600</v>
      </c>
      <c r="E19" s="49"/>
      <c r="F19" s="16">
        <f t="shared" si="3"/>
        <v>0.70000000000000007</v>
      </c>
      <c r="G19" s="21">
        <f t="shared" ref="G19:K19" si="7">+G8+$C$24</f>
        <v>6.9360000000000005E-2</v>
      </c>
      <c r="H19" s="22">
        <f t="shared" si="7"/>
        <v>7.2510000000000019E-2</v>
      </c>
      <c r="I19" s="22">
        <f t="shared" si="7"/>
        <v>7.5660000000000005E-2</v>
      </c>
      <c r="J19" s="22">
        <f t="shared" si="7"/>
        <v>7.8810000000000019E-2</v>
      </c>
      <c r="K19" s="23">
        <f t="shared" si="7"/>
        <v>8.1960000000000005E-2</v>
      </c>
    </row>
    <row r="20" spans="2:11" x14ac:dyDescent="0.25">
      <c r="B20" s="5" t="s">
        <v>34</v>
      </c>
      <c r="C20" s="45">
        <f>+C5*C25</f>
        <v>4296</v>
      </c>
      <c r="E20" s="49"/>
      <c r="F20" s="16">
        <f t="shared" si="3"/>
        <v>0.8</v>
      </c>
      <c r="G20" s="21">
        <f t="shared" ref="G20:K22" si="8">+G9+$C$24</f>
        <v>7.5660000000000005E-2</v>
      </c>
      <c r="H20" s="22">
        <f t="shared" si="8"/>
        <v>7.9259999999999997E-2</v>
      </c>
      <c r="I20" s="22">
        <f t="shared" si="8"/>
        <v>8.2860000000000003E-2</v>
      </c>
      <c r="J20" s="22">
        <f t="shared" si="8"/>
        <v>8.6460000000000009E-2</v>
      </c>
      <c r="K20" s="23">
        <f t="shared" si="8"/>
        <v>9.0060000000000001E-2</v>
      </c>
    </row>
    <row r="21" spans="2:11" x14ac:dyDescent="0.25">
      <c r="B21" s="14" t="s">
        <v>16</v>
      </c>
      <c r="C21" s="15">
        <f>+((C15*C18)*12)-C19-C20</f>
        <v>20024</v>
      </c>
      <c r="E21" s="49"/>
      <c r="F21" s="16">
        <f t="shared" si="3"/>
        <v>0.9</v>
      </c>
      <c r="G21" s="21">
        <f t="shared" si="8"/>
        <v>8.1960000000000005E-2</v>
      </c>
      <c r="H21" s="22">
        <f t="shared" si="8"/>
        <v>8.6010000000000003E-2</v>
      </c>
      <c r="I21" s="22">
        <f t="shared" si="8"/>
        <v>9.0060000000000001E-2</v>
      </c>
      <c r="J21" s="22">
        <f t="shared" si="8"/>
        <v>9.4109999999999999E-2</v>
      </c>
      <c r="K21" s="23">
        <f t="shared" si="8"/>
        <v>9.8159999999999997E-2</v>
      </c>
    </row>
    <row r="22" spans="2:11" x14ac:dyDescent="0.25">
      <c r="B22" s="3" t="s">
        <v>17</v>
      </c>
      <c r="C22" s="17">
        <f>+C21/C5</f>
        <v>5.006E-2</v>
      </c>
      <c r="E22" s="50"/>
      <c r="F22" s="16">
        <f t="shared" si="3"/>
        <v>1</v>
      </c>
      <c r="G22" s="24">
        <f t="shared" si="8"/>
        <v>8.8260000000000005E-2</v>
      </c>
      <c r="H22" s="25">
        <f t="shared" si="8"/>
        <v>9.2760000000000009E-2</v>
      </c>
      <c r="I22" s="25">
        <f t="shared" si="8"/>
        <v>9.7259999999999999E-2</v>
      </c>
      <c r="J22" s="25">
        <f t="shared" si="8"/>
        <v>0.10176</v>
      </c>
      <c r="K22" s="26">
        <f t="shared" si="8"/>
        <v>0.10625999999999999</v>
      </c>
    </row>
    <row r="23" spans="2:11" x14ac:dyDescent="0.25">
      <c r="K23" s="27" t="s">
        <v>20</v>
      </c>
    </row>
    <row r="24" spans="2:11" x14ac:dyDescent="0.25">
      <c r="B24" t="s">
        <v>19</v>
      </c>
      <c r="C24" s="31">
        <v>0.04</v>
      </c>
    </row>
    <row r="25" spans="2:11" x14ac:dyDescent="0.25">
      <c r="B25" t="s">
        <v>35</v>
      </c>
      <c r="C25" s="31">
        <v>1.074E-2</v>
      </c>
      <c r="G25" s="51" t="s">
        <v>1</v>
      </c>
      <c r="H25" s="52"/>
      <c r="I25" s="52"/>
      <c r="J25" s="52"/>
      <c r="K25" s="53"/>
    </row>
    <row r="26" spans="2:11" x14ac:dyDescent="0.25">
      <c r="B26" t="s">
        <v>37</v>
      </c>
      <c r="C26" s="31">
        <v>0.187967</v>
      </c>
      <c r="G26" s="2">
        <f>+G15</f>
        <v>2100</v>
      </c>
      <c r="H26" s="2">
        <f>+H15</f>
        <v>2250</v>
      </c>
      <c r="I26" s="2">
        <f>+I15</f>
        <v>2400</v>
      </c>
      <c r="J26" s="2">
        <f>+J15</f>
        <v>2550</v>
      </c>
      <c r="K26" s="2">
        <f>+K15</f>
        <v>2700</v>
      </c>
    </row>
    <row r="27" spans="2:11" x14ac:dyDescent="0.25">
      <c r="E27" s="48" t="s">
        <v>4</v>
      </c>
      <c r="F27" s="16">
        <f t="shared" ref="F27:F33" si="9">+F16</f>
        <v>0.40000000000000013</v>
      </c>
      <c r="G27" s="18">
        <f>+(G5*(1-$C$26))+$C$24</f>
        <v>4.8493865180000012E-2</v>
      </c>
      <c r="H27" s="19">
        <f t="shared" ref="H27:K27" si="10">+(H5*(1-$C$26))+$C$24</f>
        <v>4.9955524580000008E-2</v>
      </c>
      <c r="I27" s="19">
        <f t="shared" si="10"/>
        <v>5.141718398000001E-2</v>
      </c>
      <c r="J27" s="19">
        <f t="shared" si="10"/>
        <v>5.2878843380000012E-2</v>
      </c>
      <c r="K27" s="20">
        <f t="shared" si="10"/>
        <v>5.4340502780000008E-2</v>
      </c>
    </row>
    <row r="28" spans="2:11" x14ac:dyDescent="0.25">
      <c r="E28" s="49"/>
      <c r="F28" s="16">
        <f t="shared" si="9"/>
        <v>0.50000000000000011</v>
      </c>
      <c r="G28" s="21">
        <f t="shared" ref="G28:K28" si="11">+(G6*(1-$C$26))+$C$24</f>
        <v>5.3609673080000003E-2</v>
      </c>
      <c r="H28" s="22">
        <f t="shared" si="11"/>
        <v>5.5436747330000008E-2</v>
      </c>
      <c r="I28" s="22">
        <f t="shared" si="11"/>
        <v>5.7263821580000006E-2</v>
      </c>
      <c r="J28" s="22">
        <f t="shared" si="11"/>
        <v>5.9090895830000011E-2</v>
      </c>
      <c r="K28" s="23">
        <f t="shared" si="11"/>
        <v>6.0917970080000008E-2</v>
      </c>
    </row>
    <row r="29" spans="2:11" x14ac:dyDescent="0.25">
      <c r="E29" s="49"/>
      <c r="F29" s="16">
        <f t="shared" si="9"/>
        <v>0.60000000000000009</v>
      </c>
      <c r="G29" s="21">
        <f t="shared" ref="G29:K29" si="12">+(G7*(1-$C$26))+$C$24</f>
        <v>5.8725480980000008E-2</v>
      </c>
      <c r="H29" s="22">
        <f t="shared" si="12"/>
        <v>6.0917970080000008E-2</v>
      </c>
      <c r="I29" s="22">
        <f t="shared" si="12"/>
        <v>6.3110459180000009E-2</v>
      </c>
      <c r="J29" s="22">
        <f t="shared" si="12"/>
        <v>6.5302948280000009E-2</v>
      </c>
      <c r="K29" s="23">
        <f t="shared" si="12"/>
        <v>6.7495437380000009E-2</v>
      </c>
    </row>
    <row r="30" spans="2:11" x14ac:dyDescent="0.25">
      <c r="E30" s="49"/>
      <c r="F30" s="16">
        <f t="shared" si="9"/>
        <v>0.70000000000000007</v>
      </c>
      <c r="G30" s="21">
        <f t="shared" ref="G30:K30" si="13">+(G8*(1-$C$26))+$C$24</f>
        <v>6.3841288880000013E-2</v>
      </c>
      <c r="H30" s="22">
        <f t="shared" si="13"/>
        <v>6.6399192830000009E-2</v>
      </c>
      <c r="I30" s="22">
        <f t="shared" si="13"/>
        <v>6.8957096780000005E-2</v>
      </c>
      <c r="J30" s="22">
        <f t="shared" si="13"/>
        <v>7.151500073E-2</v>
      </c>
      <c r="K30" s="23">
        <f t="shared" si="13"/>
        <v>7.407290468000001E-2</v>
      </c>
    </row>
    <row r="31" spans="2:11" x14ac:dyDescent="0.25">
      <c r="E31" s="49"/>
      <c r="F31" s="16">
        <f t="shared" si="9"/>
        <v>0.8</v>
      </c>
      <c r="G31" s="21">
        <f t="shared" ref="G31:K31" si="14">+(G9*(1-$C$26))+$C$24</f>
        <v>6.8957096780000005E-2</v>
      </c>
      <c r="H31" s="22">
        <f t="shared" si="14"/>
        <v>7.1880415579999996E-2</v>
      </c>
      <c r="I31" s="22">
        <f t="shared" si="14"/>
        <v>7.480373438E-2</v>
      </c>
      <c r="J31" s="22">
        <f t="shared" si="14"/>
        <v>7.7727053180000005E-2</v>
      </c>
      <c r="K31" s="23">
        <f t="shared" si="14"/>
        <v>8.0650371979999996E-2</v>
      </c>
    </row>
    <row r="32" spans="2:11" x14ac:dyDescent="0.25">
      <c r="E32" s="49"/>
      <c r="F32" s="16">
        <f t="shared" si="9"/>
        <v>0.9</v>
      </c>
      <c r="G32" s="21">
        <f t="shared" ref="G32:K32" si="15">+(G10*(1-$C$26))+$C$24</f>
        <v>7.4072904679999996E-2</v>
      </c>
      <c r="H32" s="22">
        <f t="shared" si="15"/>
        <v>7.736163833000001E-2</v>
      </c>
      <c r="I32" s="22">
        <f t="shared" si="15"/>
        <v>8.0650371979999996E-2</v>
      </c>
      <c r="J32" s="22">
        <f t="shared" si="15"/>
        <v>8.3939105629999997E-2</v>
      </c>
      <c r="K32" s="23">
        <f t="shared" si="15"/>
        <v>8.7227839279999997E-2</v>
      </c>
    </row>
    <row r="33" spans="5:11" x14ac:dyDescent="0.25">
      <c r="E33" s="50"/>
      <c r="F33" s="16">
        <f t="shared" si="9"/>
        <v>1</v>
      </c>
      <c r="G33" s="24">
        <f t="shared" ref="G33:K33" si="16">+(G11*(1-$C$26))+$C$24</f>
        <v>7.9188712580000001E-2</v>
      </c>
      <c r="H33" s="25">
        <f t="shared" si="16"/>
        <v>8.2842861079999996E-2</v>
      </c>
      <c r="I33" s="25">
        <f t="shared" si="16"/>
        <v>8.6497009580000006E-2</v>
      </c>
      <c r="J33" s="25">
        <f t="shared" si="16"/>
        <v>9.0151158080000002E-2</v>
      </c>
      <c r="K33" s="26">
        <f t="shared" si="16"/>
        <v>9.3805306579999997E-2</v>
      </c>
    </row>
    <row r="34" spans="5:11" x14ac:dyDescent="0.25">
      <c r="K34" s="27" t="s">
        <v>36</v>
      </c>
    </row>
  </sheetData>
  <mergeCells count="6">
    <mergeCell ref="E27:E33"/>
    <mergeCell ref="E16:E22"/>
    <mergeCell ref="G3:K3"/>
    <mergeCell ref="E5:E11"/>
    <mergeCell ref="G14:K14"/>
    <mergeCell ref="G25:K25"/>
  </mergeCells>
  <conditionalFormatting sqref="G5:K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K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K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454E-0A8B-4165-9454-0DD93CF26789}">
  <dimension ref="B2:N31"/>
  <sheetViews>
    <sheetView showGridLines="0" workbookViewId="0">
      <selection activeCell="D8" sqref="D8"/>
    </sheetView>
  </sheetViews>
  <sheetFormatPr defaultRowHeight="15" x14ac:dyDescent="0.25"/>
  <cols>
    <col min="1" max="1" width="1.7109375" customWidth="1"/>
    <col min="2" max="2" width="34.5703125" bestFit="1" customWidth="1"/>
    <col min="3" max="3" width="12.28515625" bestFit="1" customWidth="1"/>
    <col min="4" max="4" width="12.5703125" customWidth="1"/>
    <col min="5" max="11" width="11.5703125" bestFit="1" customWidth="1"/>
    <col min="12" max="13" width="13.28515625" bestFit="1" customWidth="1"/>
    <col min="14" max="14" width="11.5703125" bestFit="1" customWidth="1"/>
  </cols>
  <sheetData>
    <row r="2" spans="2:14" x14ac:dyDescent="0.25">
      <c r="C2">
        <v>2024</v>
      </c>
      <c r="D2">
        <f>+C2+1</f>
        <v>2025</v>
      </c>
      <c r="E2">
        <f t="shared" ref="E2:M2" si="0">+D2+1</f>
        <v>2026</v>
      </c>
      <c r="F2">
        <f t="shared" si="0"/>
        <v>2027</v>
      </c>
      <c r="G2">
        <f t="shared" si="0"/>
        <v>2028</v>
      </c>
      <c r="H2">
        <f t="shared" si="0"/>
        <v>2029</v>
      </c>
      <c r="I2">
        <f t="shared" si="0"/>
        <v>2030</v>
      </c>
      <c r="J2">
        <f t="shared" si="0"/>
        <v>2031</v>
      </c>
      <c r="K2">
        <f t="shared" si="0"/>
        <v>2032</v>
      </c>
      <c r="L2">
        <f t="shared" si="0"/>
        <v>2033</v>
      </c>
      <c r="M2">
        <f t="shared" si="0"/>
        <v>2034</v>
      </c>
    </row>
    <row r="3" spans="2:14" x14ac:dyDescent="0.25">
      <c r="B3" t="s">
        <v>21</v>
      </c>
      <c r="C3" s="43">
        <f>+'Sensitivity Calculation'!C21</f>
        <v>20024</v>
      </c>
      <c r="D3" s="2">
        <f>+C3*(1+D4)</f>
        <v>20324.359999999997</v>
      </c>
      <c r="E3" s="2">
        <f t="shared" ref="E3:M3" si="1">+D3*(1+E4)</f>
        <v>20629.225399999996</v>
      </c>
      <c r="F3" s="2">
        <f t="shared" si="1"/>
        <v>20938.663780999992</v>
      </c>
      <c r="G3" s="2">
        <f t="shared" si="1"/>
        <v>21252.743737714991</v>
      </c>
      <c r="H3" s="2">
        <f t="shared" si="1"/>
        <v>21571.534893780714</v>
      </c>
      <c r="I3" s="2">
        <f t="shared" si="1"/>
        <v>21895.107917187423</v>
      </c>
      <c r="J3" s="2">
        <f t="shared" si="1"/>
        <v>22223.534535945233</v>
      </c>
      <c r="K3" s="2">
        <f t="shared" si="1"/>
        <v>22556.887553984408</v>
      </c>
      <c r="L3" s="2">
        <f t="shared" si="1"/>
        <v>22895.240867294171</v>
      </c>
      <c r="M3" s="2">
        <f t="shared" si="1"/>
        <v>23238.669480303583</v>
      </c>
    </row>
    <row r="4" spans="2:14" x14ac:dyDescent="0.25">
      <c r="B4" s="12" t="s">
        <v>22</v>
      </c>
      <c r="D4" s="32">
        <v>1.4999999999999999E-2</v>
      </c>
      <c r="E4" s="32">
        <v>1.4999999999999999E-2</v>
      </c>
      <c r="F4" s="32">
        <v>1.4999999999999999E-2</v>
      </c>
      <c r="G4" s="32">
        <v>1.4999999999999999E-2</v>
      </c>
      <c r="H4" s="32">
        <v>1.4999999999999999E-2</v>
      </c>
      <c r="I4" s="32">
        <v>1.4999999999999999E-2</v>
      </c>
      <c r="J4" s="32">
        <v>1.4999999999999999E-2</v>
      </c>
      <c r="K4" s="32">
        <v>1.4999999999999999E-2</v>
      </c>
      <c r="L4" s="32">
        <v>1.4999999999999999E-2</v>
      </c>
      <c r="M4" s="32">
        <v>1.4999999999999999E-2</v>
      </c>
    </row>
    <row r="5" spans="2:14" x14ac:dyDescent="0.25">
      <c r="B5" s="33" t="s">
        <v>34</v>
      </c>
      <c r="C5" s="28">
        <f>+C6*'Sensitivity Calculation'!$C$25</f>
        <v>4296</v>
      </c>
      <c r="D5" s="28">
        <f>+D6*'Sensitivity Calculation'!$C$25</f>
        <v>4467.84</v>
      </c>
      <c r="E5" s="28">
        <f>+E6*'Sensitivity Calculation'!$C$25</f>
        <v>4646.5536000000002</v>
      </c>
      <c r="F5" s="28">
        <f>+F6*'Sensitivity Calculation'!$C$25</f>
        <v>4832.4157439999999</v>
      </c>
      <c r="G5" s="28">
        <f>+G6*'Sensitivity Calculation'!$C$25</f>
        <v>5025.7123737600004</v>
      </c>
      <c r="H5" s="28">
        <f>+H6*'Sensitivity Calculation'!$C$25</f>
        <v>5226.7408687104007</v>
      </c>
      <c r="I5" s="28">
        <f>+I6*'Sensitivity Calculation'!$C$25</f>
        <v>5435.810503458817</v>
      </c>
      <c r="J5" s="28">
        <f>+J6*'Sensitivity Calculation'!$C$25</f>
        <v>5653.2429235971704</v>
      </c>
      <c r="K5" s="28">
        <f>+K6*'Sensitivity Calculation'!$C$25</f>
        <v>5879.3726405410571</v>
      </c>
      <c r="L5" s="28">
        <f>+L6*'Sensitivity Calculation'!$C$25</f>
        <v>6114.5475461626993</v>
      </c>
      <c r="M5" s="28">
        <f>+M6*'Sensitivity Calculation'!$C$25</f>
        <v>6359.1294480092083</v>
      </c>
    </row>
    <row r="6" spans="2:14" x14ac:dyDescent="0.25">
      <c r="B6" s="33" t="s">
        <v>24</v>
      </c>
      <c r="C6" s="43">
        <f>+'Sensitivity Calculation'!C5</f>
        <v>400000</v>
      </c>
      <c r="D6" s="2">
        <f t="shared" ref="D6:M6" si="2">+C6*(1+D7)</f>
        <v>416000</v>
      </c>
      <c r="E6" s="2">
        <f t="shared" si="2"/>
        <v>432640</v>
      </c>
      <c r="F6" s="2">
        <f t="shared" si="2"/>
        <v>449945.60000000003</v>
      </c>
      <c r="G6" s="2">
        <f t="shared" si="2"/>
        <v>467943.42400000006</v>
      </c>
      <c r="H6" s="2">
        <f t="shared" si="2"/>
        <v>486661.16096000007</v>
      </c>
      <c r="I6" s="2">
        <f t="shared" si="2"/>
        <v>506127.60739840008</v>
      </c>
      <c r="J6" s="2">
        <f t="shared" si="2"/>
        <v>526372.71169433615</v>
      </c>
      <c r="K6" s="2">
        <f t="shared" si="2"/>
        <v>547427.62016210961</v>
      </c>
      <c r="L6" s="2">
        <f t="shared" si="2"/>
        <v>569324.72496859403</v>
      </c>
      <c r="M6" s="2">
        <f t="shared" si="2"/>
        <v>592097.71396733786</v>
      </c>
    </row>
    <row r="7" spans="2:14" x14ac:dyDescent="0.25">
      <c r="B7" s="12" t="s">
        <v>22</v>
      </c>
      <c r="D7" s="32">
        <v>0.04</v>
      </c>
      <c r="E7" s="32">
        <f>+D7</f>
        <v>0.04</v>
      </c>
      <c r="F7" s="32">
        <f t="shared" ref="F7:M7" si="3">+E7</f>
        <v>0.04</v>
      </c>
      <c r="G7" s="32">
        <f t="shared" si="3"/>
        <v>0.04</v>
      </c>
      <c r="H7" s="32">
        <f t="shared" si="3"/>
        <v>0.04</v>
      </c>
      <c r="I7" s="32">
        <f t="shared" si="3"/>
        <v>0.04</v>
      </c>
      <c r="J7" s="32">
        <f t="shared" si="3"/>
        <v>0.04</v>
      </c>
      <c r="K7" s="32">
        <f t="shared" si="3"/>
        <v>0.04</v>
      </c>
      <c r="L7" s="32">
        <f t="shared" si="3"/>
        <v>0.04</v>
      </c>
      <c r="M7" s="32">
        <f t="shared" si="3"/>
        <v>0.04</v>
      </c>
    </row>
    <row r="8" spans="2:14" x14ac:dyDescent="0.25">
      <c r="B8" t="s">
        <v>23</v>
      </c>
      <c r="C8" s="16">
        <f>+C3/$C$6</f>
        <v>5.006E-2</v>
      </c>
      <c r="D8" s="16">
        <f t="shared" ref="D8:M8" si="4">+D3/$C$6</f>
        <v>5.0810899999999992E-2</v>
      </c>
      <c r="E8" s="16">
        <f t="shared" si="4"/>
        <v>5.1573063499999988E-2</v>
      </c>
      <c r="F8" s="16">
        <f t="shared" si="4"/>
        <v>5.2346659452499979E-2</v>
      </c>
      <c r="G8" s="16">
        <f t="shared" si="4"/>
        <v>5.3131859344287477E-2</v>
      </c>
      <c r="H8" s="16">
        <f t="shared" si="4"/>
        <v>5.3928837234451785E-2</v>
      </c>
      <c r="I8" s="16">
        <f t="shared" si="4"/>
        <v>5.4737769792968557E-2</v>
      </c>
      <c r="J8" s="16">
        <f t="shared" si="4"/>
        <v>5.5558836339863082E-2</v>
      </c>
      <c r="K8" s="16">
        <f t="shared" si="4"/>
        <v>5.6392218884961022E-2</v>
      </c>
      <c r="L8" s="16">
        <f t="shared" si="4"/>
        <v>5.7238102168235425E-2</v>
      </c>
      <c r="M8" s="16">
        <f t="shared" si="4"/>
        <v>5.8096673700758959E-2</v>
      </c>
    </row>
    <row r="9" spans="2:14" x14ac:dyDescent="0.25">
      <c r="B9" t="s">
        <v>30</v>
      </c>
      <c r="C9" s="40">
        <v>0</v>
      </c>
      <c r="D9" s="40">
        <f t="shared" ref="D9:M9" si="5">+C9+1</f>
        <v>1</v>
      </c>
      <c r="E9" s="40">
        <f t="shared" si="5"/>
        <v>2</v>
      </c>
      <c r="F9" s="40">
        <f t="shared" si="5"/>
        <v>3</v>
      </c>
      <c r="G9" s="40">
        <f t="shared" si="5"/>
        <v>4</v>
      </c>
      <c r="H9" s="40">
        <f t="shared" si="5"/>
        <v>5</v>
      </c>
      <c r="I9" s="40">
        <f t="shared" si="5"/>
        <v>6</v>
      </c>
      <c r="J9" s="40">
        <f t="shared" si="5"/>
        <v>7</v>
      </c>
      <c r="K9" s="40">
        <f t="shared" si="5"/>
        <v>8</v>
      </c>
      <c r="L9" s="40">
        <f t="shared" si="5"/>
        <v>9</v>
      </c>
      <c r="M9" s="40">
        <f t="shared" si="5"/>
        <v>10</v>
      </c>
    </row>
    <row r="10" spans="2:14" x14ac:dyDescent="0.25">
      <c r="B10" s="5" t="s">
        <v>25</v>
      </c>
      <c r="C10" s="44">
        <f>+C3*(1+((C9-$C$9)*$C$13))-C5</f>
        <v>15728</v>
      </c>
      <c r="D10" s="34">
        <f>+(C10*(1+$C$13)+D3)-D5</f>
        <v>32606.839999999993</v>
      </c>
      <c r="E10" s="34">
        <f t="shared" ref="E10:M10" si="6">+(D10*(1+$C$13)+E3)-E5</f>
        <v>50708.956399999988</v>
      </c>
      <c r="F10" s="34">
        <f t="shared" si="6"/>
        <v>70111.286602999986</v>
      </c>
      <c r="G10" s="34">
        <f t="shared" si="6"/>
        <v>90895.551596149962</v>
      </c>
      <c r="H10" s="34">
        <f t="shared" si="6"/>
        <v>113148.55647497001</v>
      </c>
      <c r="I10" s="34">
        <f t="shared" si="6"/>
        <v>136962.51005957168</v>
      </c>
      <c r="J10" s="34">
        <f t="shared" si="6"/>
        <v>162435.36482579191</v>
      </c>
      <c r="K10" s="34">
        <f t="shared" si="6"/>
        <v>189671.17845291173</v>
      </c>
      <c r="L10" s="34">
        <f t="shared" si="6"/>
        <v>218780.49837348243</v>
      </c>
      <c r="M10" s="34">
        <f t="shared" si="6"/>
        <v>249880.77080005314</v>
      </c>
      <c r="N10" s="2"/>
    </row>
    <row r="11" spans="2:14" x14ac:dyDescent="0.25">
      <c r="B11" s="3" t="s">
        <v>26</v>
      </c>
      <c r="C11" s="28"/>
      <c r="D11" s="43">
        <f t="shared" ref="D11:L11" si="7">+D10+D6</f>
        <v>448606.83999999997</v>
      </c>
      <c r="E11" s="2">
        <f t="shared" si="7"/>
        <v>483348.95639999997</v>
      </c>
      <c r="F11" s="2">
        <f t="shared" si="7"/>
        <v>520056.88660299999</v>
      </c>
      <c r="G11" s="2">
        <f t="shared" si="7"/>
        <v>558838.97559615003</v>
      </c>
      <c r="H11" s="2">
        <f t="shared" si="7"/>
        <v>599809.71743497008</v>
      </c>
      <c r="I11" s="2">
        <f t="shared" si="7"/>
        <v>643090.11745797179</v>
      </c>
      <c r="J11" s="2">
        <f t="shared" si="7"/>
        <v>688808.07652012806</v>
      </c>
      <c r="K11" s="2">
        <f t="shared" si="7"/>
        <v>737098.7986150214</v>
      </c>
      <c r="L11" s="2">
        <f t="shared" si="7"/>
        <v>788105.22334207641</v>
      </c>
      <c r="M11" s="2">
        <f>+M10+M6</f>
        <v>841978.484767391</v>
      </c>
    </row>
    <row r="12" spans="2:14" x14ac:dyDescent="0.25">
      <c r="B12" s="3"/>
      <c r="C12" s="28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2:14" x14ac:dyDescent="0.25">
      <c r="B13" s="3" t="s">
        <v>29</v>
      </c>
      <c r="C13" s="32">
        <v>6.5000000000000002E-2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2:14" x14ac:dyDescent="0.25">
      <c r="M14" s="27" t="s">
        <v>31</v>
      </c>
    </row>
    <row r="15" spans="2:14" x14ac:dyDescent="0.25">
      <c r="B15" s="35" t="s">
        <v>27</v>
      </c>
      <c r="C15" s="36"/>
      <c r="D15" s="41">
        <f t="shared" ref="D15:M15" si="8">+(D11/$C$6)^(1/(D9))-1</f>
        <v>0.12151709999999993</v>
      </c>
      <c r="E15" s="41">
        <f t="shared" si="8"/>
        <v>9.9259928770261352E-2</v>
      </c>
      <c r="F15" s="41">
        <f t="shared" si="8"/>
        <v>9.1432680093024299E-2</v>
      </c>
      <c r="G15" s="41">
        <f t="shared" si="8"/>
        <v>8.7193066720410162E-2</v>
      </c>
      <c r="H15" s="41">
        <f t="shared" si="8"/>
        <v>8.4402977113493094E-2</v>
      </c>
      <c r="I15" s="41">
        <f t="shared" si="8"/>
        <v>8.2352290957572016E-2</v>
      </c>
      <c r="J15" s="41">
        <f t="shared" si="8"/>
        <v>8.0736323885628236E-2</v>
      </c>
      <c r="K15" s="41">
        <f t="shared" si="8"/>
        <v>7.9401989010337903E-2</v>
      </c>
      <c r="L15" s="41">
        <f t="shared" si="8"/>
        <v>7.8263520990292879E-2</v>
      </c>
      <c r="M15" s="42">
        <f t="shared" si="8"/>
        <v>7.7268845483371429E-2</v>
      </c>
    </row>
    <row r="16" spans="2:14" x14ac:dyDescent="0.25">
      <c r="B16" s="37" t="s">
        <v>28</v>
      </c>
      <c r="C16" s="5"/>
      <c r="D16" s="38">
        <f>+D11/$C$6-1</f>
        <v>0.12151709999999993</v>
      </c>
      <c r="E16" s="38">
        <f t="shared" ref="E16:M16" si="9">+E11/$C$6-1</f>
        <v>0.20837239099999993</v>
      </c>
      <c r="F16" s="38">
        <f t="shared" si="9"/>
        <v>0.30014221650750006</v>
      </c>
      <c r="G16" s="38">
        <f t="shared" si="9"/>
        <v>0.3970974389903752</v>
      </c>
      <c r="H16" s="38">
        <f t="shared" si="9"/>
        <v>0.49952429358742512</v>
      </c>
      <c r="I16" s="38">
        <f t="shared" si="9"/>
        <v>0.60772529364492955</v>
      </c>
      <c r="J16" s="38">
        <f t="shared" si="9"/>
        <v>0.72202019130032014</v>
      </c>
      <c r="K16" s="38">
        <f t="shared" si="9"/>
        <v>0.84274699653755358</v>
      </c>
      <c r="L16" s="38">
        <f t="shared" si="9"/>
        <v>0.970263058355191</v>
      </c>
      <c r="M16" s="39">
        <f t="shared" si="9"/>
        <v>1.1049462119184774</v>
      </c>
    </row>
    <row r="19" spans="3:14" x14ac:dyDescent="0.25"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3:14" ht="15" customHeight="1" x14ac:dyDescent="0.25"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"/>
    </row>
    <row r="21" spans="3:14" x14ac:dyDescent="0.25"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</row>
    <row r="22" spans="3:14" x14ac:dyDescent="0.25"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</row>
    <row r="23" spans="3:14" x14ac:dyDescent="0.25"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</row>
    <row r="24" spans="3:14" x14ac:dyDescent="0.25"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</row>
    <row r="25" spans="3:14" x14ac:dyDescent="0.25"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</row>
    <row r="26" spans="3:14" x14ac:dyDescent="0.25"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</row>
    <row r="27" spans="3:14" x14ac:dyDescent="0.25"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</row>
    <row r="28" spans="3:14" x14ac:dyDescent="0.25"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</row>
    <row r="29" spans="3:14" x14ac:dyDescent="0.25"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</row>
    <row r="31" spans="3:14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43"/>
      <c r="N31" s="2"/>
    </row>
  </sheetData>
  <conditionalFormatting sqref="D15:M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Calculation</vt:lpstr>
      <vt:lpstr>Partnership Distribution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Minh Nguyen Viet Quang</dc:creator>
  <cp:keywords/>
  <dc:description/>
  <cp:lastModifiedBy>Minh Nguyen Viet Quang</cp:lastModifiedBy>
  <cp:revision/>
  <dcterms:created xsi:type="dcterms:W3CDTF">2024-05-22T03:31:30Z</dcterms:created>
  <dcterms:modified xsi:type="dcterms:W3CDTF">2024-05-27T05:24:46Z</dcterms:modified>
  <cp:category/>
  <cp:contentStatus/>
</cp:coreProperties>
</file>