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minhv\OneDrive\Desktop\"/>
    </mc:Choice>
  </mc:AlternateContent>
  <xr:revisionPtr revIDLastSave="0" documentId="8_{729DE3C5-8EFB-4F0F-A3D1-E97A90561616}" xr6:coauthVersionLast="47" xr6:coauthVersionMax="47" xr10:uidLastSave="{00000000-0000-0000-0000-000000000000}"/>
  <bookViews>
    <workbookView xWindow="-120" yWindow="-120" windowWidth="57840" windowHeight="15840" activeTab="1" xr2:uid="{7A873A23-259D-4B7A-963D-AC41161A29D2}"/>
  </bookViews>
  <sheets>
    <sheet name="Sensitivity Calculation" sheetId="1" r:id="rId1"/>
    <sheet name="Partnership Distribu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8" i="2" s="1"/>
  <c r="D8" i="2" s="1"/>
  <c r="E8" i="2" s="1"/>
  <c r="F8" i="2" s="1"/>
  <c r="G8" i="2" s="1"/>
  <c r="H8" i="2" s="1"/>
  <c r="I8" i="2" s="1"/>
  <c r="J8" i="2" s="1"/>
  <c r="K8" i="2" s="1"/>
  <c r="L8" i="2" s="1"/>
  <c r="M8" i="2" s="1"/>
  <c r="M7" i="2"/>
  <c r="L7" i="2"/>
  <c r="K7" i="2"/>
  <c r="J7" i="2"/>
  <c r="I7" i="2"/>
  <c r="H7" i="2"/>
  <c r="G7" i="2"/>
  <c r="F7" i="2"/>
  <c r="E7" i="2"/>
  <c r="D7" i="2"/>
  <c r="D5" i="2"/>
  <c r="E6" i="2"/>
  <c r="F6" i="2" s="1"/>
  <c r="G6" i="2" s="1"/>
  <c r="H6" i="2" s="1"/>
  <c r="I6" i="2" s="1"/>
  <c r="J6" i="2" s="1"/>
  <c r="K6" i="2" s="1"/>
  <c r="L6" i="2" s="1"/>
  <c r="M6" i="2" s="1"/>
  <c r="C5" i="2"/>
  <c r="C3" i="2"/>
  <c r="D3" i="2" s="1"/>
  <c r="E3" i="2" s="1"/>
  <c r="F3" i="2" s="1"/>
  <c r="G3" i="2" s="1"/>
  <c r="H3" i="2" s="1"/>
  <c r="I3" i="2" s="1"/>
  <c r="J3" i="2" s="1"/>
  <c r="K3" i="2" s="1"/>
  <c r="L3" i="2" s="1"/>
  <c r="M3" i="2" s="1"/>
  <c r="D2" i="2"/>
  <c r="E2" i="2" s="1"/>
  <c r="F2" i="2" s="1"/>
  <c r="G2" i="2" s="1"/>
  <c r="H2" i="2" s="1"/>
  <c r="I2" i="2" s="1"/>
  <c r="J2" i="2" s="1"/>
  <c r="K2" i="2" s="1"/>
  <c r="L2" i="2" s="1"/>
  <c r="M2" i="2" s="1"/>
  <c r="F10" i="1"/>
  <c r="F11" i="1" s="1"/>
  <c r="I4" i="1"/>
  <c r="J4" i="1" s="1"/>
  <c r="K4" i="1" s="1"/>
  <c r="C15" i="1"/>
  <c r="C18" i="1" s="1"/>
  <c r="C12" i="1"/>
  <c r="C13" i="1"/>
  <c r="C5" i="1"/>
  <c r="J22" i="1" s="1"/>
  <c r="D9" i="2" l="1"/>
  <c r="D11" i="2" s="1"/>
  <c r="E5" i="2"/>
  <c r="K22" i="1"/>
  <c r="I16" i="1"/>
  <c r="J19" i="1"/>
  <c r="G20" i="1"/>
  <c r="J20" i="1"/>
  <c r="H20" i="1"/>
  <c r="K20" i="1"/>
  <c r="I20" i="1"/>
  <c r="K17" i="1"/>
  <c r="G21" i="1"/>
  <c r="K16" i="1"/>
  <c r="I21" i="1"/>
  <c r="K19" i="1"/>
  <c r="J17" i="1"/>
  <c r="H21" i="1"/>
  <c r="H18" i="1"/>
  <c r="I18" i="1"/>
  <c r="J21" i="1"/>
  <c r="H17" i="1"/>
  <c r="G18" i="1"/>
  <c r="J18" i="1"/>
  <c r="K21" i="1"/>
  <c r="G22" i="1"/>
  <c r="G19" i="1"/>
  <c r="H22" i="1"/>
  <c r="J16" i="1"/>
  <c r="I17" i="1"/>
  <c r="H19" i="1"/>
  <c r="I22" i="1"/>
  <c r="G17" i="1"/>
  <c r="K18" i="1"/>
  <c r="G16" i="1"/>
  <c r="H16" i="1"/>
  <c r="I19" i="1"/>
  <c r="F22" i="1"/>
  <c r="I11" i="1"/>
  <c r="J11" i="1"/>
  <c r="I15" i="1"/>
  <c r="K11" i="1"/>
  <c r="J15" i="1"/>
  <c r="K15" i="1"/>
  <c r="I10" i="1"/>
  <c r="J10" i="1"/>
  <c r="F9" i="1"/>
  <c r="I9" i="1" s="1"/>
  <c r="K10" i="1"/>
  <c r="F21" i="1"/>
  <c r="C14" i="1"/>
  <c r="C19" i="1"/>
  <c r="H4" i="1"/>
  <c r="D12" i="2" l="1"/>
  <c r="F5" i="2"/>
  <c r="E9" i="2"/>
  <c r="J9" i="1"/>
  <c r="F8" i="1"/>
  <c r="F20" i="1"/>
  <c r="G4" i="1"/>
  <c r="H10" i="1"/>
  <c r="H8" i="1"/>
  <c r="H9" i="1"/>
  <c r="H15" i="1"/>
  <c r="H11" i="1"/>
  <c r="K9" i="1"/>
  <c r="G5" i="2" l="1"/>
  <c r="F9" i="2"/>
  <c r="E11" i="2"/>
  <c r="E12" i="2"/>
  <c r="G11" i="1"/>
  <c r="G10" i="1"/>
  <c r="G8" i="1"/>
  <c r="G9" i="1"/>
  <c r="G15" i="1"/>
  <c r="F7" i="1"/>
  <c r="G7" i="1" s="1"/>
  <c r="F19" i="1"/>
  <c r="I8" i="1"/>
  <c r="J8" i="1"/>
  <c r="K8" i="1"/>
  <c r="F11" i="2" l="1"/>
  <c r="F12" i="2"/>
  <c r="H5" i="2"/>
  <c r="G9" i="2"/>
  <c r="F6" i="1"/>
  <c r="F18" i="1"/>
  <c r="K7" i="1"/>
  <c r="I7" i="1"/>
  <c r="J7" i="1"/>
  <c r="H7" i="1"/>
  <c r="I5" i="2" l="1"/>
  <c r="H9" i="2"/>
  <c r="G12" i="2"/>
  <c r="G11" i="2"/>
  <c r="F5" i="1"/>
  <c r="F17" i="1"/>
  <c r="J6" i="1"/>
  <c r="K6" i="1"/>
  <c r="I6" i="1"/>
  <c r="H6" i="1"/>
  <c r="G6" i="1"/>
  <c r="J5" i="2" l="1"/>
  <c r="I9" i="2"/>
  <c r="H12" i="2"/>
  <c r="H11" i="2"/>
  <c r="F16" i="1"/>
  <c r="K5" i="1"/>
  <c r="I5" i="1"/>
  <c r="J5" i="1"/>
  <c r="H5" i="1"/>
  <c r="G5" i="1"/>
  <c r="I12" i="2" l="1"/>
  <c r="I11" i="2"/>
  <c r="K5" i="2"/>
  <c r="J9" i="2"/>
  <c r="J12" i="2" l="1"/>
  <c r="J11" i="2"/>
  <c r="L5" i="2"/>
  <c r="K9" i="2"/>
  <c r="K12" i="2" l="1"/>
  <c r="K11" i="2"/>
  <c r="M5" i="2"/>
  <c r="M9" i="2" s="1"/>
  <c r="L9" i="2"/>
  <c r="L12" i="2" l="1"/>
  <c r="L11" i="2"/>
  <c r="M11" i="2"/>
  <c r="M12" i="2"/>
</calcChain>
</file>

<file path=xl/sharedStrings.xml><?xml version="1.0" encoding="utf-8"?>
<sst xmlns="http://schemas.openxmlformats.org/spreadsheetml/2006/main" count="35" uniqueCount="30">
  <si>
    <t>Purchase Price</t>
  </si>
  <si>
    <t>Rent Price</t>
  </si>
  <si>
    <t>Expenses</t>
  </si>
  <si>
    <t>Total Price</t>
  </si>
  <si>
    <t>Occupancy Rate</t>
  </si>
  <si>
    <t>Rent</t>
  </si>
  <si>
    <t>HOA</t>
  </si>
  <si>
    <t>Utilities</t>
  </si>
  <si>
    <t>Utilities Covered?</t>
  </si>
  <si>
    <t>No</t>
  </si>
  <si>
    <t>HOA Covered?</t>
  </si>
  <si>
    <t>Monthly Utilities Expense</t>
  </si>
  <si>
    <t>Cap Rate Sensitivity Table</t>
  </si>
  <si>
    <t>Monthly HOA Expense</t>
  </si>
  <si>
    <t>Monthly Renter's Expense</t>
  </si>
  <si>
    <t>Property Income</t>
  </si>
  <si>
    <t>Total Annual Income</t>
  </si>
  <si>
    <t>Cap Rate</t>
  </si>
  <si>
    <t>All amount $US. Unless stated otherwise.</t>
  </si>
  <si>
    <t>Property Appreciation Rate (GDP pegged)</t>
  </si>
  <si>
    <t>Cap Rate Sensitivity Table + Property Appreciation Consideration</t>
  </si>
  <si>
    <t>Dividends</t>
  </si>
  <si>
    <t>Growth %</t>
  </si>
  <si>
    <t>Capitalization Rate</t>
  </si>
  <si>
    <t>Property Value</t>
  </si>
  <si>
    <t>Accumulated Dividends (Reinvested)</t>
  </si>
  <si>
    <t>Exit Value</t>
  </si>
  <si>
    <t>**Not accounting for selling broker fee.</t>
  </si>
  <si>
    <t>IRR</t>
  </si>
  <si>
    <t>ROIC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</si>
</sst>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FF"/>
      <name val="Calibri"/>
      <family val="2"/>
    </font>
    <font>
      <i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43" fontId="3" fillId="2" borderId="2" xfId="1" applyFont="1" applyFill="1" applyBorder="1"/>
    <xf numFmtId="43" fontId="0" fillId="0" borderId="0" xfId="0" applyNumberFormat="1"/>
    <xf numFmtId="0" fontId="2" fillId="0" borderId="0" xfId="0" applyFont="1"/>
    <xf numFmtId="43" fontId="2" fillId="0" borderId="0" xfId="0" applyNumberFormat="1" applyFont="1"/>
    <xf numFmtId="0" fontId="0" fillId="0" borderId="3" xfId="0" applyBorder="1"/>
    <xf numFmtId="43" fontId="3" fillId="2" borderId="4" xfId="1" applyFont="1" applyFill="1" applyBorder="1"/>
    <xf numFmtId="43" fontId="3" fillId="2" borderId="1" xfId="1" applyFont="1" applyFill="1" applyBorder="1" applyAlignment="1">
      <alignment horizontal="right"/>
    </xf>
    <xf numFmtId="0" fontId="4" fillId="0" borderId="3" xfId="0" applyFont="1" applyBorder="1" applyAlignment="1">
      <alignment horizontal="left" indent="1"/>
    </xf>
    <xf numFmtId="43" fontId="3" fillId="2" borderId="4" xfId="1" applyFont="1" applyFill="1" applyBorder="1" applyAlignment="1">
      <alignment horizontal="right"/>
    </xf>
    <xf numFmtId="0" fontId="2" fillId="0" borderId="5" xfId="0" applyFont="1" applyBorder="1"/>
    <xf numFmtId="43" fontId="2" fillId="0" borderId="5" xfId="0" applyNumberFormat="1" applyFont="1" applyBorder="1"/>
    <xf numFmtId="0" fontId="4" fillId="0" borderId="0" xfId="0" applyFont="1" applyAlignment="1">
      <alignment horizontal="left" indent="1"/>
    </xf>
    <xf numFmtId="10" fontId="3" fillId="2" borderId="4" xfId="0" applyNumberFormat="1" applyFont="1" applyFill="1" applyBorder="1"/>
    <xf numFmtId="0" fontId="0" fillId="0" borderId="5" xfId="0" applyBorder="1"/>
    <xf numFmtId="43" fontId="1" fillId="0" borderId="5" xfId="1" applyFont="1" applyBorder="1"/>
    <xf numFmtId="10" fontId="0" fillId="0" borderId="0" xfId="0" applyNumberFormat="1"/>
    <xf numFmtId="10" fontId="2" fillId="0" borderId="0" xfId="0" applyNumberFormat="1" applyFont="1"/>
    <xf numFmtId="10" fontId="0" fillId="0" borderId="11" xfId="1" applyNumberFormat="1" applyFont="1" applyBorder="1"/>
    <xf numFmtId="10" fontId="0" fillId="0" borderId="12" xfId="1" applyNumberFormat="1" applyFont="1" applyBorder="1"/>
    <xf numFmtId="10" fontId="0" fillId="0" borderId="13" xfId="1" applyNumberFormat="1" applyFont="1" applyBorder="1"/>
    <xf numFmtId="10" fontId="0" fillId="0" borderId="14" xfId="1" applyNumberFormat="1" applyFont="1" applyBorder="1"/>
    <xf numFmtId="10" fontId="0" fillId="0" borderId="0" xfId="1" applyNumberFormat="1" applyFont="1" applyBorder="1"/>
    <xf numFmtId="10" fontId="0" fillId="0" borderId="15" xfId="1" applyNumberFormat="1" applyFont="1" applyBorder="1"/>
    <xf numFmtId="10" fontId="0" fillId="0" borderId="16" xfId="1" applyNumberFormat="1" applyFont="1" applyBorder="1"/>
    <xf numFmtId="10" fontId="0" fillId="0" borderId="3" xfId="1" applyNumberFormat="1" applyFont="1" applyBorder="1"/>
    <xf numFmtId="10" fontId="0" fillId="0" borderId="17" xfId="1" applyNumberFormat="1" applyFont="1" applyBorder="1"/>
    <xf numFmtId="0" fontId="4" fillId="0" borderId="0" xfId="0" applyFont="1" applyAlignment="1">
      <alignment horizontal="right"/>
    </xf>
    <xf numFmtId="43" fontId="0" fillId="0" borderId="0" xfId="1" applyFont="1"/>
    <xf numFmtId="44" fontId="3" fillId="2" borderId="2" xfId="1" applyNumberFormat="1" applyFont="1" applyFill="1" applyBorder="1"/>
    <xf numFmtId="0" fontId="4" fillId="0" borderId="0" xfId="0" applyFont="1"/>
    <xf numFmtId="10" fontId="3" fillId="2" borderId="1" xfId="1" applyNumberFormat="1" applyFont="1" applyFill="1" applyBorder="1" applyAlignment="1">
      <alignment horizontal="right"/>
    </xf>
    <xf numFmtId="10" fontId="3" fillId="2" borderId="1" xfId="0" applyNumberFormat="1" applyFont="1" applyFill="1" applyBorder="1"/>
    <xf numFmtId="0" fontId="0" fillId="0" borderId="0" xfId="0" applyAlignment="1">
      <alignment horizontal="left"/>
    </xf>
    <xf numFmtId="43" fontId="0" fillId="0" borderId="3" xfId="0" applyNumberFormat="1" applyBorder="1"/>
    <xf numFmtId="0" fontId="2" fillId="0" borderId="11" xfId="0" applyFont="1" applyBorder="1"/>
    <xf numFmtId="0" fontId="0" fillId="0" borderId="12" xfId="0" applyBorder="1"/>
    <xf numFmtId="9" fontId="2" fillId="0" borderId="12" xfId="0" applyNumberFormat="1" applyFont="1" applyBorder="1"/>
    <xf numFmtId="9" fontId="2" fillId="0" borderId="13" xfId="0" applyNumberFormat="1" applyFont="1" applyBorder="1"/>
    <xf numFmtId="0" fontId="2" fillId="0" borderId="16" xfId="0" applyFont="1" applyBorder="1"/>
    <xf numFmtId="10" fontId="2" fillId="0" borderId="3" xfId="0" applyNumberFormat="1" applyFont="1" applyBorder="1"/>
    <xf numFmtId="10" fontId="2" fillId="0" borderId="17" xfId="0" applyNumberFormat="1" applyFont="1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 textRotation="90" wrapText="1"/>
    </xf>
    <xf numFmtId="0" fontId="0" fillId="0" borderId="9" xfId="0" applyBorder="1" applyAlignment="1">
      <alignment horizontal="center" vertical="center" textRotation="90" wrapText="1"/>
    </xf>
    <xf numFmtId="0" fontId="0" fillId="0" borderId="10" xfId="0" applyBorder="1" applyAlignment="1">
      <alignment horizontal="center" vertical="center" textRotation="90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695324</xdr:colOff>
      <xdr:row>6</xdr:row>
      <xdr:rowOff>152401</xdr:rowOff>
    </xdr:from>
    <xdr:to>
      <xdr:col>10</xdr:col>
      <xdr:colOff>76199</xdr:colOff>
      <xdr:row>11</xdr:row>
      <xdr:rowOff>38101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496058B-C295-C906-95E3-FA104B34E0C4}"/>
            </a:ext>
          </a:extLst>
        </xdr:cNvPr>
        <xdr:cNvSpPr/>
      </xdr:nvSpPr>
      <xdr:spPr>
        <a:xfrm>
          <a:off x="4952999" y="1104901"/>
          <a:ext cx="2200275" cy="838200"/>
        </a:xfrm>
        <a:prstGeom prst="rect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96716</xdr:colOff>
      <xdr:row>4</xdr:row>
      <xdr:rowOff>2198</xdr:rowOff>
    </xdr:from>
    <xdr:to>
      <xdr:col>14</xdr:col>
      <xdr:colOff>183907</xdr:colOff>
      <xdr:row>7</xdr:row>
      <xdr:rowOff>58616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FE8AA17-7F4D-F12B-9F20-6B86F601040B}"/>
            </a:ext>
          </a:extLst>
        </xdr:cNvPr>
        <xdr:cNvSpPr txBox="1"/>
      </xdr:nvSpPr>
      <xdr:spPr>
        <a:xfrm>
          <a:off x="7921870" y="573698"/>
          <a:ext cx="1911595" cy="62791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Broker assures we</a:t>
          </a:r>
          <a:r>
            <a:rPr lang="en-US" sz="1100" baseline="0"/>
            <a:t> can hit this range. Easily. I didn't factor in the property appreciation.</a:t>
          </a:r>
        </a:p>
        <a:p>
          <a:endParaRPr lang="en-US" sz="1100"/>
        </a:p>
      </xdr:txBody>
    </xdr:sp>
    <xdr:clientData/>
  </xdr:twoCellAnchor>
  <xdr:twoCellAnchor>
    <xdr:from>
      <xdr:col>10</xdr:col>
      <xdr:colOff>76199</xdr:colOff>
      <xdr:row>5</xdr:row>
      <xdr:rowOff>125657</xdr:rowOff>
    </xdr:from>
    <xdr:to>
      <xdr:col>11</xdr:col>
      <xdr:colOff>96716</xdr:colOff>
      <xdr:row>9</xdr:row>
      <xdr:rowOff>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528A6B5-7FA1-B094-3272-DDE3799F83E6}"/>
            </a:ext>
          </a:extLst>
        </xdr:cNvPr>
        <xdr:cNvCxnSpPr>
          <a:stCxn id="3" idx="1"/>
          <a:endCxn id="2" idx="3"/>
        </xdr:cNvCxnSpPr>
      </xdr:nvCxnSpPr>
      <xdr:spPr>
        <a:xfrm flipH="1">
          <a:off x="7197968" y="887657"/>
          <a:ext cx="723902" cy="636344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96716</xdr:colOff>
      <xdr:row>7</xdr:row>
      <xdr:rowOff>178044</xdr:rowOff>
    </xdr:from>
    <xdr:to>
      <xdr:col>14</xdr:col>
      <xdr:colOff>183907</xdr:colOff>
      <xdr:row>12</xdr:row>
      <xdr:rowOff>21981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A31BF95-4447-FC90-049A-76EE831414A3}"/>
            </a:ext>
          </a:extLst>
        </xdr:cNvPr>
        <xdr:cNvSpPr txBox="1"/>
      </xdr:nvSpPr>
      <xdr:spPr>
        <a:xfrm>
          <a:off x="7921870" y="1321044"/>
          <a:ext cx="1911595" cy="79643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aseline="0"/>
            <a:t>I want to aim for the bottom </a:t>
          </a:r>
          <a:r>
            <a:rPr lang="en-US" sz="1100" baseline="0">
              <a:solidFill>
                <a:sysClr val="windowText" lastClr="000000"/>
              </a:solidFill>
            </a:rPr>
            <a:t>here. And then assist it with the property appreciation which is 2% a year?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11</xdr:col>
      <xdr:colOff>96716</xdr:colOff>
      <xdr:row>17</xdr:row>
      <xdr:rowOff>126756</xdr:rowOff>
    </xdr:from>
    <xdr:to>
      <xdr:col>14</xdr:col>
      <xdr:colOff>183907</xdr:colOff>
      <xdr:row>21</xdr:row>
      <xdr:rowOff>161193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3D9E2CD-A44A-22D2-8105-ADB646D6945F}"/>
            </a:ext>
          </a:extLst>
        </xdr:cNvPr>
        <xdr:cNvSpPr txBox="1"/>
      </xdr:nvSpPr>
      <xdr:spPr>
        <a:xfrm>
          <a:off x="7987812" y="3365256"/>
          <a:ext cx="1911595" cy="79643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aseline="0"/>
            <a:t>We are at least milking a stable rate compared to the current Treasury Bond yield. And it's ratherly stable.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DD06-7325-47FF-B14A-6233C127E75E}">
  <dimension ref="B2:K23"/>
  <sheetViews>
    <sheetView showGridLines="0" zoomScale="130" zoomScaleNormal="130" workbookViewId="0">
      <selection activeCell="D25" sqref="D25"/>
    </sheetView>
  </sheetViews>
  <sheetFormatPr defaultRowHeight="15" x14ac:dyDescent="0.25"/>
  <cols>
    <col min="1" max="1" width="1.7109375" customWidth="1"/>
    <col min="2" max="2" width="24.7109375" bestFit="1" customWidth="1"/>
    <col min="3" max="3" width="13.28515625" bestFit="1" customWidth="1"/>
    <col min="4" max="4" width="11.5703125" customWidth="1"/>
    <col min="5" max="5" width="5.140625" customWidth="1"/>
    <col min="7" max="11" width="10.5703125" bestFit="1" customWidth="1"/>
  </cols>
  <sheetData>
    <row r="2" spans="2:11" x14ac:dyDescent="0.25">
      <c r="B2" s="30" t="s">
        <v>18</v>
      </c>
    </row>
    <row r="3" spans="2:11" x14ac:dyDescent="0.25">
      <c r="B3" t="s">
        <v>0</v>
      </c>
      <c r="C3" s="29">
        <v>400000</v>
      </c>
      <c r="G3" s="42" t="s">
        <v>1</v>
      </c>
      <c r="H3" s="43"/>
      <c r="I3" s="43"/>
      <c r="J3" s="43"/>
      <c r="K3" s="44"/>
    </row>
    <row r="4" spans="2:11" x14ac:dyDescent="0.25">
      <c r="B4" s="5" t="s">
        <v>2</v>
      </c>
      <c r="C4" s="6">
        <v>0</v>
      </c>
      <c r="G4" s="2">
        <f>+H4-150</f>
        <v>2100</v>
      </c>
      <c r="H4" s="2">
        <f>+I4-150</f>
        <v>2250</v>
      </c>
      <c r="I4" s="2">
        <f>+C7</f>
        <v>2400</v>
      </c>
      <c r="J4" s="2">
        <f>+I4+150</f>
        <v>2550</v>
      </c>
      <c r="K4" s="2">
        <f t="shared" ref="K4" si="0">+J4+150</f>
        <v>2700</v>
      </c>
    </row>
    <row r="5" spans="2:11" x14ac:dyDescent="0.25">
      <c r="B5" s="3" t="s">
        <v>3</v>
      </c>
      <c r="C5" s="4">
        <f>+C3+C4</f>
        <v>400000</v>
      </c>
      <c r="E5" s="45" t="s">
        <v>4</v>
      </c>
      <c r="F5" s="16">
        <f>+F6-0.1</f>
        <v>0.40000000000000013</v>
      </c>
      <c r="G5" s="18">
        <f>(+G$4*$F5*12/$C$5)</f>
        <v>2.5200000000000011E-2</v>
      </c>
      <c r="H5" s="19">
        <f t="shared" ref="H5:K11" si="1">(+H$4*$F5*12/$C$5)</f>
        <v>2.700000000000001E-2</v>
      </c>
      <c r="I5" s="19">
        <f t="shared" si="1"/>
        <v>2.880000000000001E-2</v>
      </c>
      <c r="J5" s="19">
        <f t="shared" si="1"/>
        <v>3.0600000000000009E-2</v>
      </c>
      <c r="K5" s="20">
        <f t="shared" si="1"/>
        <v>3.2400000000000012E-2</v>
      </c>
    </row>
    <row r="6" spans="2:11" x14ac:dyDescent="0.25">
      <c r="E6" s="46"/>
      <c r="F6" s="16">
        <f>+F7-0.1</f>
        <v>0.50000000000000011</v>
      </c>
      <c r="G6" s="21">
        <f t="shared" ref="G6:G11" si="2">(+G$4*$F6*12/$C$5)</f>
        <v>3.1500000000000007E-2</v>
      </c>
      <c r="H6" s="22">
        <f t="shared" si="1"/>
        <v>3.3750000000000009E-2</v>
      </c>
      <c r="I6" s="22">
        <f t="shared" si="1"/>
        <v>3.6000000000000011E-2</v>
      </c>
      <c r="J6" s="22">
        <f t="shared" si="1"/>
        <v>3.8250000000000006E-2</v>
      </c>
      <c r="K6" s="23">
        <f t="shared" si="1"/>
        <v>4.0500000000000008E-2</v>
      </c>
    </row>
    <row r="7" spans="2:11" x14ac:dyDescent="0.25">
      <c r="B7" t="s">
        <v>5</v>
      </c>
      <c r="C7" s="1">
        <v>2400</v>
      </c>
      <c r="E7" s="46"/>
      <c r="F7" s="16">
        <f>+F8-0.1</f>
        <v>0.60000000000000009</v>
      </c>
      <c r="G7" s="21">
        <f t="shared" si="2"/>
        <v>3.7800000000000007E-2</v>
      </c>
      <c r="H7" s="22">
        <f t="shared" si="1"/>
        <v>4.0500000000000008E-2</v>
      </c>
      <c r="I7" s="22">
        <f t="shared" si="1"/>
        <v>4.3200000000000009E-2</v>
      </c>
      <c r="J7" s="22">
        <f t="shared" si="1"/>
        <v>4.590000000000001E-2</v>
      </c>
      <c r="K7" s="23">
        <f t="shared" si="1"/>
        <v>4.8600000000000011E-2</v>
      </c>
    </row>
    <row r="8" spans="2:11" x14ac:dyDescent="0.25">
      <c r="B8" t="s">
        <v>6</v>
      </c>
      <c r="C8" s="1">
        <v>250</v>
      </c>
      <c r="E8" s="46"/>
      <c r="F8" s="16">
        <f>+F9-0.1</f>
        <v>0.70000000000000007</v>
      </c>
      <c r="G8" s="21">
        <f t="shared" si="2"/>
        <v>4.4100000000000007E-2</v>
      </c>
      <c r="H8" s="22">
        <f t="shared" si="1"/>
        <v>4.7250000000000007E-2</v>
      </c>
      <c r="I8" s="22">
        <f t="shared" si="1"/>
        <v>5.0400000000000007E-2</v>
      </c>
      <c r="J8" s="22">
        <f t="shared" si="1"/>
        <v>5.3550000000000007E-2</v>
      </c>
      <c r="K8" s="23">
        <f t="shared" si="1"/>
        <v>5.6700000000000007E-2</v>
      </c>
    </row>
    <row r="9" spans="2:11" x14ac:dyDescent="0.25">
      <c r="B9" t="s">
        <v>7</v>
      </c>
      <c r="C9" s="1">
        <v>150</v>
      </c>
      <c r="E9" s="46"/>
      <c r="F9" s="16">
        <f>+F10-0.1</f>
        <v>0.8</v>
      </c>
      <c r="G9" s="21">
        <f t="shared" si="2"/>
        <v>5.04E-2</v>
      </c>
      <c r="H9" s="22">
        <f t="shared" si="1"/>
        <v>5.3999999999999999E-2</v>
      </c>
      <c r="I9" s="22">
        <f t="shared" si="1"/>
        <v>5.7599999999999998E-2</v>
      </c>
      <c r="J9" s="22">
        <f t="shared" si="1"/>
        <v>6.1199999999999997E-2</v>
      </c>
      <c r="K9" s="23">
        <f t="shared" si="1"/>
        <v>6.4799999999999996E-2</v>
      </c>
    </row>
    <row r="10" spans="2:11" x14ac:dyDescent="0.25">
      <c r="B10" s="12" t="s">
        <v>8</v>
      </c>
      <c r="C10" s="7" t="s">
        <v>9</v>
      </c>
      <c r="E10" s="46"/>
      <c r="F10" s="16">
        <f>+C17</f>
        <v>0.9</v>
      </c>
      <c r="G10" s="21">
        <f t="shared" si="2"/>
        <v>5.67E-2</v>
      </c>
      <c r="H10" s="22">
        <f t="shared" si="1"/>
        <v>6.0749999999999998E-2</v>
      </c>
      <c r="I10" s="22">
        <f t="shared" si="1"/>
        <v>6.4799999999999996E-2</v>
      </c>
      <c r="J10" s="22">
        <f t="shared" si="1"/>
        <v>6.8849999999999995E-2</v>
      </c>
      <c r="K10" s="23">
        <f t="shared" si="1"/>
        <v>7.2900000000000006E-2</v>
      </c>
    </row>
    <row r="11" spans="2:11" x14ac:dyDescent="0.25">
      <c r="B11" s="8" t="s">
        <v>10</v>
      </c>
      <c r="C11" s="9" t="s">
        <v>9</v>
      </c>
      <c r="E11" s="47"/>
      <c r="F11" s="16">
        <f>+F10+0.1</f>
        <v>1</v>
      </c>
      <c r="G11" s="24">
        <f t="shared" si="2"/>
        <v>6.3E-2</v>
      </c>
      <c r="H11" s="25">
        <f t="shared" si="1"/>
        <v>6.7500000000000004E-2</v>
      </c>
      <c r="I11" s="25">
        <f t="shared" si="1"/>
        <v>7.1999999999999995E-2</v>
      </c>
      <c r="J11" s="25">
        <f t="shared" si="1"/>
        <v>7.6499999999999999E-2</v>
      </c>
      <c r="K11" s="26">
        <f t="shared" si="1"/>
        <v>8.1000000000000003E-2</v>
      </c>
    </row>
    <row r="12" spans="2:11" x14ac:dyDescent="0.25">
      <c r="B12" s="10" t="s">
        <v>11</v>
      </c>
      <c r="C12" s="11">
        <f>+IF(LOWER(C10)="no",C9,C8)</f>
        <v>150</v>
      </c>
      <c r="K12" s="27" t="s">
        <v>12</v>
      </c>
    </row>
    <row r="13" spans="2:11" x14ac:dyDescent="0.25">
      <c r="B13" s="10" t="s">
        <v>13</v>
      </c>
      <c r="C13" s="11">
        <f>+IF(LOWER(C11)="no",C8,0)</f>
        <v>250</v>
      </c>
      <c r="K13" s="27"/>
    </row>
    <row r="14" spans="2:11" x14ac:dyDescent="0.25">
      <c r="B14" s="10" t="s">
        <v>14</v>
      </c>
      <c r="C14" s="11">
        <f>+C7+SUM(C12:C13)</f>
        <v>2800</v>
      </c>
      <c r="G14" s="42" t="s">
        <v>1</v>
      </c>
      <c r="H14" s="43"/>
      <c r="I14" s="43"/>
      <c r="J14" s="43"/>
      <c r="K14" s="44"/>
    </row>
    <row r="15" spans="2:11" x14ac:dyDescent="0.25">
      <c r="B15" s="3" t="s">
        <v>15</v>
      </c>
      <c r="C15" s="4">
        <f>+IF(LOWER(C10)="no", 0, -C8)+IF(LOWER(C11)="no",0,-C9)+C7</f>
        <v>2400</v>
      </c>
      <c r="G15" s="2">
        <f>+G4</f>
        <v>2100</v>
      </c>
      <c r="H15" s="2">
        <f>+H4</f>
        <v>2250</v>
      </c>
      <c r="I15" s="2">
        <f>+I4</f>
        <v>2400</v>
      </c>
      <c r="J15" s="2">
        <f>+J4</f>
        <v>2550</v>
      </c>
      <c r="K15" s="2">
        <f>+K4</f>
        <v>2700</v>
      </c>
    </row>
    <row r="16" spans="2:11" ht="15" customHeight="1" x14ac:dyDescent="0.25">
      <c r="E16" s="45" t="s">
        <v>4</v>
      </c>
      <c r="F16" s="16">
        <f t="shared" ref="F16:F22" si="3">+F5</f>
        <v>0.40000000000000013</v>
      </c>
      <c r="G16" s="18">
        <f>(+G$4*$F16*12/$C$5)+$C$21</f>
        <v>4.5200000000000011E-2</v>
      </c>
      <c r="H16" s="19">
        <f t="shared" ref="H16:K22" si="4">(+H$4*$F16*12/$C$5)+$C$21</f>
        <v>4.7000000000000014E-2</v>
      </c>
      <c r="I16" s="19">
        <f t="shared" si="4"/>
        <v>4.880000000000001E-2</v>
      </c>
      <c r="J16" s="19">
        <f t="shared" si="4"/>
        <v>5.0600000000000006E-2</v>
      </c>
      <c r="K16" s="20">
        <f t="shared" si="4"/>
        <v>5.2400000000000016E-2</v>
      </c>
    </row>
    <row r="17" spans="2:11" x14ac:dyDescent="0.25">
      <c r="B17" s="5" t="s">
        <v>4</v>
      </c>
      <c r="C17" s="13">
        <v>0.9</v>
      </c>
      <c r="E17" s="46"/>
      <c r="F17" s="16">
        <f t="shared" si="3"/>
        <v>0.50000000000000011</v>
      </c>
      <c r="G17" s="21">
        <f t="shared" ref="G17:G22" si="5">(+G$4*$F17*12/$C$5)+$C$21</f>
        <v>5.1500000000000004E-2</v>
      </c>
      <c r="H17" s="22">
        <f t="shared" si="4"/>
        <v>5.3750000000000006E-2</v>
      </c>
      <c r="I17" s="22">
        <f t="shared" si="4"/>
        <v>5.6000000000000008E-2</v>
      </c>
      <c r="J17" s="22">
        <f t="shared" si="4"/>
        <v>5.825000000000001E-2</v>
      </c>
      <c r="K17" s="23">
        <f t="shared" si="4"/>
        <v>6.0500000000000012E-2</v>
      </c>
    </row>
    <row r="18" spans="2:11" x14ac:dyDescent="0.25">
      <c r="B18" s="14" t="s">
        <v>16</v>
      </c>
      <c r="C18" s="15">
        <f>+(C15*C17)*12</f>
        <v>25920</v>
      </c>
      <c r="E18" s="46"/>
      <c r="F18" s="16">
        <f t="shared" si="3"/>
        <v>0.60000000000000009</v>
      </c>
      <c r="G18" s="21">
        <f t="shared" si="5"/>
        <v>5.7800000000000004E-2</v>
      </c>
      <c r="H18" s="22">
        <f t="shared" si="4"/>
        <v>6.0500000000000012E-2</v>
      </c>
      <c r="I18" s="22">
        <f t="shared" si="4"/>
        <v>6.3200000000000006E-2</v>
      </c>
      <c r="J18" s="22">
        <f t="shared" si="4"/>
        <v>6.5900000000000014E-2</v>
      </c>
      <c r="K18" s="23">
        <f t="shared" si="4"/>
        <v>6.8600000000000008E-2</v>
      </c>
    </row>
    <row r="19" spans="2:11" x14ac:dyDescent="0.25">
      <c r="B19" s="3" t="s">
        <v>17</v>
      </c>
      <c r="C19" s="17">
        <f>+C18/C5</f>
        <v>6.4799999999999996E-2</v>
      </c>
      <c r="E19" s="46"/>
      <c r="F19" s="16">
        <f t="shared" si="3"/>
        <v>0.70000000000000007</v>
      </c>
      <c r="G19" s="21">
        <f t="shared" si="5"/>
        <v>6.4100000000000004E-2</v>
      </c>
      <c r="H19" s="22">
        <f t="shared" si="4"/>
        <v>6.7250000000000004E-2</v>
      </c>
      <c r="I19" s="22">
        <f t="shared" si="4"/>
        <v>7.0400000000000004E-2</v>
      </c>
      <c r="J19" s="22">
        <f t="shared" si="4"/>
        <v>7.3550000000000004E-2</v>
      </c>
      <c r="K19" s="23">
        <f t="shared" si="4"/>
        <v>7.6700000000000004E-2</v>
      </c>
    </row>
    <row r="20" spans="2:11" x14ac:dyDescent="0.25">
      <c r="E20" s="46"/>
      <c r="F20" s="16">
        <f t="shared" si="3"/>
        <v>0.8</v>
      </c>
      <c r="G20" s="21">
        <f t="shared" si="5"/>
        <v>7.0400000000000004E-2</v>
      </c>
      <c r="H20" s="22">
        <f t="shared" si="4"/>
        <v>7.3999999999999996E-2</v>
      </c>
      <c r="I20" s="22">
        <f t="shared" si="4"/>
        <v>7.7600000000000002E-2</v>
      </c>
      <c r="J20" s="22">
        <f t="shared" si="4"/>
        <v>8.1199999999999994E-2</v>
      </c>
      <c r="K20" s="23">
        <f t="shared" si="4"/>
        <v>8.48E-2</v>
      </c>
    </row>
    <row r="21" spans="2:11" x14ac:dyDescent="0.25">
      <c r="B21" t="s">
        <v>19</v>
      </c>
      <c r="C21" s="31">
        <v>0.02</v>
      </c>
      <c r="E21" s="46"/>
      <c r="F21" s="16">
        <f t="shared" si="3"/>
        <v>0.9</v>
      </c>
      <c r="G21" s="21">
        <f t="shared" si="5"/>
        <v>7.6700000000000004E-2</v>
      </c>
      <c r="H21" s="22">
        <f t="shared" si="4"/>
        <v>8.0750000000000002E-2</v>
      </c>
      <c r="I21" s="22">
        <f t="shared" si="4"/>
        <v>8.48E-2</v>
      </c>
      <c r="J21" s="22">
        <f t="shared" si="4"/>
        <v>8.8849999999999998E-2</v>
      </c>
      <c r="K21" s="23">
        <f t="shared" si="4"/>
        <v>9.290000000000001E-2</v>
      </c>
    </row>
    <row r="22" spans="2:11" x14ac:dyDescent="0.25">
      <c r="E22" s="47"/>
      <c r="F22" s="16">
        <f t="shared" si="3"/>
        <v>1</v>
      </c>
      <c r="G22" s="24">
        <f t="shared" si="5"/>
        <v>8.3000000000000004E-2</v>
      </c>
      <c r="H22" s="25">
        <f t="shared" si="4"/>
        <v>8.7500000000000008E-2</v>
      </c>
      <c r="I22" s="25">
        <f t="shared" si="4"/>
        <v>9.1999999999999998E-2</v>
      </c>
      <c r="J22" s="25">
        <f t="shared" si="4"/>
        <v>9.6500000000000002E-2</v>
      </c>
      <c r="K22" s="26">
        <f t="shared" si="4"/>
        <v>0.10100000000000001</v>
      </c>
    </row>
    <row r="23" spans="2:11" x14ac:dyDescent="0.25">
      <c r="K23" s="27" t="s">
        <v>20</v>
      </c>
    </row>
  </sheetData>
  <mergeCells count="4">
    <mergeCell ref="G3:K3"/>
    <mergeCell ref="E5:E11"/>
    <mergeCell ref="G14:K14"/>
    <mergeCell ref="E16:E22"/>
  </mergeCells>
  <conditionalFormatting sqref="G5:K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K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0454E-0A8B-4165-9454-0DD93CF26789}">
  <dimension ref="B2:M12"/>
  <sheetViews>
    <sheetView showGridLines="0" tabSelected="1" workbookViewId="0">
      <selection activeCell="I25" sqref="I25"/>
    </sheetView>
  </sheetViews>
  <sheetFormatPr defaultRowHeight="15" x14ac:dyDescent="0.25"/>
  <cols>
    <col min="1" max="1" width="1.7109375" customWidth="1"/>
    <col min="2" max="2" width="33" bestFit="1" customWidth="1"/>
    <col min="3" max="3" width="12.28515625" bestFit="1" customWidth="1"/>
    <col min="4" max="5" width="11.5703125" bestFit="1" customWidth="1"/>
    <col min="6" max="9" width="11.5703125" customWidth="1"/>
    <col min="10" max="13" width="13.28515625" bestFit="1" customWidth="1"/>
  </cols>
  <sheetData>
    <row r="2" spans="2:13" x14ac:dyDescent="0.25">
      <c r="C2">
        <v>2024</v>
      </c>
      <c r="D2">
        <f t="shared" ref="D2:M2" si="0">+C2+1</f>
        <v>2025</v>
      </c>
      <c r="E2">
        <f t="shared" si="0"/>
        <v>2026</v>
      </c>
      <c r="F2">
        <f t="shared" si="0"/>
        <v>2027</v>
      </c>
      <c r="G2">
        <f t="shared" si="0"/>
        <v>2028</v>
      </c>
      <c r="H2">
        <f t="shared" si="0"/>
        <v>2029</v>
      </c>
      <c r="I2">
        <f t="shared" si="0"/>
        <v>2030</v>
      </c>
      <c r="J2">
        <f t="shared" si="0"/>
        <v>2031</v>
      </c>
      <c r="K2">
        <f t="shared" si="0"/>
        <v>2032</v>
      </c>
      <c r="L2">
        <f t="shared" si="0"/>
        <v>2033</v>
      </c>
      <c r="M2">
        <f t="shared" si="0"/>
        <v>2034</v>
      </c>
    </row>
    <row r="3" spans="2:13" x14ac:dyDescent="0.25">
      <c r="B3" t="s">
        <v>21</v>
      </c>
      <c r="C3" s="2">
        <f>+'Sensitivity Calculation'!C18</f>
        <v>25920</v>
      </c>
      <c r="D3" s="2">
        <f>+C3*(1+D4)</f>
        <v>26308.799999999999</v>
      </c>
      <c r="E3" s="2">
        <f t="shared" ref="E3:M3" si="1">+D3*(1+E4)</f>
        <v>26703.431999999997</v>
      </c>
      <c r="F3" s="2">
        <f t="shared" si="1"/>
        <v>27103.983479999995</v>
      </c>
      <c r="G3" s="2">
        <f t="shared" si="1"/>
        <v>27510.543232199994</v>
      </c>
      <c r="H3" s="2">
        <f t="shared" si="1"/>
        <v>27923.201380682993</v>
      </c>
      <c r="I3" s="2">
        <f t="shared" si="1"/>
        <v>28342.049401393237</v>
      </c>
      <c r="J3" s="2">
        <f t="shared" si="1"/>
        <v>28767.180142414134</v>
      </c>
      <c r="K3" s="2">
        <f t="shared" si="1"/>
        <v>29198.687844550343</v>
      </c>
      <c r="L3" s="2">
        <f t="shared" si="1"/>
        <v>29636.668162218593</v>
      </c>
      <c r="M3" s="2">
        <f t="shared" si="1"/>
        <v>30081.218184651869</v>
      </c>
    </row>
    <row r="4" spans="2:13" x14ac:dyDescent="0.25">
      <c r="B4" s="12" t="s">
        <v>22</v>
      </c>
      <c r="D4" s="32">
        <v>1.4999999999999999E-2</v>
      </c>
      <c r="E4" s="32">
        <v>1.4999999999999999E-2</v>
      </c>
      <c r="F4" s="32">
        <v>1.4999999999999999E-2</v>
      </c>
      <c r="G4" s="32">
        <v>1.4999999999999999E-2</v>
      </c>
      <c r="H4" s="32">
        <v>1.4999999999999999E-2</v>
      </c>
      <c r="I4" s="32">
        <v>1.4999999999999999E-2</v>
      </c>
      <c r="J4" s="32">
        <v>1.4999999999999999E-2</v>
      </c>
      <c r="K4" s="32">
        <v>1.4999999999999999E-2</v>
      </c>
      <c r="L4" s="32">
        <v>1.4999999999999999E-2</v>
      </c>
      <c r="M4" s="32">
        <v>1.4999999999999999E-2</v>
      </c>
    </row>
    <row r="5" spans="2:13" x14ac:dyDescent="0.25">
      <c r="B5" s="33" t="s">
        <v>24</v>
      </c>
      <c r="C5" s="2">
        <f>+'Sensitivity Calculation'!C5</f>
        <v>400000</v>
      </c>
      <c r="D5" s="2">
        <f>+C5*(1+D6)</f>
        <v>404000</v>
      </c>
      <c r="E5" s="2">
        <f t="shared" ref="E5:M5" si="2">+D5*(1+E6)</f>
        <v>408040</v>
      </c>
      <c r="F5" s="2">
        <f t="shared" si="2"/>
        <v>412120.4</v>
      </c>
      <c r="G5" s="2">
        <f t="shared" si="2"/>
        <v>416241.60400000005</v>
      </c>
      <c r="H5" s="2">
        <f t="shared" si="2"/>
        <v>420404.02004000003</v>
      </c>
      <c r="I5" s="2">
        <f t="shared" si="2"/>
        <v>424608.06024040002</v>
      </c>
      <c r="J5" s="2">
        <f t="shared" si="2"/>
        <v>428854.14084280404</v>
      </c>
      <c r="K5" s="2">
        <f t="shared" si="2"/>
        <v>433142.68225123209</v>
      </c>
      <c r="L5" s="2">
        <f t="shared" si="2"/>
        <v>437474.10907374445</v>
      </c>
      <c r="M5" s="2">
        <f t="shared" si="2"/>
        <v>441848.8501644819</v>
      </c>
    </row>
    <row r="6" spans="2:13" x14ac:dyDescent="0.25">
      <c r="B6" s="12" t="s">
        <v>22</v>
      </c>
      <c r="D6" s="32">
        <v>0.01</v>
      </c>
      <c r="E6" s="32">
        <f>+D6</f>
        <v>0.01</v>
      </c>
      <c r="F6" s="32">
        <f t="shared" ref="F6:M6" si="3">+E6</f>
        <v>0.01</v>
      </c>
      <c r="G6" s="32">
        <f t="shared" si="3"/>
        <v>0.01</v>
      </c>
      <c r="H6" s="32">
        <f t="shared" si="3"/>
        <v>0.01</v>
      </c>
      <c r="I6" s="32">
        <f t="shared" si="3"/>
        <v>0.01</v>
      </c>
      <c r="J6" s="32">
        <f t="shared" si="3"/>
        <v>0.01</v>
      </c>
      <c r="K6" s="32">
        <f t="shared" si="3"/>
        <v>0.01</v>
      </c>
      <c r="L6" s="32">
        <f t="shared" si="3"/>
        <v>0.01</v>
      </c>
      <c r="M6" s="32">
        <f t="shared" si="3"/>
        <v>0.01</v>
      </c>
    </row>
    <row r="7" spans="2:13" x14ac:dyDescent="0.25">
      <c r="B7" t="s">
        <v>23</v>
      </c>
      <c r="C7" s="16">
        <f>+C3/$C$5</f>
        <v>6.4799999999999996E-2</v>
      </c>
      <c r="D7" s="16">
        <f t="shared" ref="D7:M7" si="4">+D3/$C$5</f>
        <v>6.5771999999999997E-2</v>
      </c>
      <c r="E7" s="16">
        <f t="shared" si="4"/>
        <v>6.6758579999999998E-2</v>
      </c>
      <c r="F7" s="16">
        <f t="shared" si="4"/>
        <v>6.7759958699999984E-2</v>
      </c>
      <c r="G7" s="16">
        <f t="shared" si="4"/>
        <v>6.8776358080499991E-2</v>
      </c>
      <c r="H7" s="16">
        <f t="shared" si="4"/>
        <v>6.9808003451707484E-2</v>
      </c>
      <c r="I7" s="16">
        <f t="shared" si="4"/>
        <v>7.0855123503483095E-2</v>
      </c>
      <c r="J7" s="16">
        <f t="shared" si="4"/>
        <v>7.1917950356035334E-2</v>
      </c>
      <c r="K7" s="16">
        <f t="shared" si="4"/>
        <v>7.2996719611375854E-2</v>
      </c>
      <c r="L7" s="16">
        <f t="shared" si="4"/>
        <v>7.4091670405546484E-2</v>
      </c>
      <c r="M7" s="16">
        <f t="shared" si="4"/>
        <v>7.5203045461629675E-2</v>
      </c>
    </row>
    <row r="8" spans="2:13" x14ac:dyDescent="0.25">
      <c r="B8" s="5" t="s">
        <v>25</v>
      </c>
      <c r="C8" s="34">
        <f>+C3*(1+((C2-$C$2)*$C$7))</f>
        <v>25920</v>
      </c>
      <c r="D8" s="34">
        <f>+(C8*(1+((D2-$C$2)*$C$7)))+D3</f>
        <v>53908.415999999997</v>
      </c>
      <c r="E8" s="34">
        <f t="shared" ref="E8:M8" si="5">+(D8*(1+((E2-$C$2)*$C$7)))+E3</f>
        <v>87598.378713599988</v>
      </c>
      <c r="F8" s="34">
        <f t="shared" si="5"/>
        <v>131731.48701552383</v>
      </c>
      <c r="G8" s="34">
        <f t="shared" si="5"/>
        <v>193386.8316821476</v>
      </c>
      <c r="H8" s="34">
        <f t="shared" si="5"/>
        <v>283967.36652784643</v>
      </c>
      <c r="I8" s="34">
        <f t="shared" si="5"/>
        <v>422715.92803526635</v>
      </c>
      <c r="J8" s="34">
        <f t="shared" si="5"/>
        <v>643227.05313447735</v>
      </c>
      <c r="K8" s="34">
        <f t="shared" si="5"/>
        <v>1005874.6453239408</v>
      </c>
      <c r="L8" s="34">
        <f t="shared" si="5"/>
        <v>1622137.4066390814</v>
      </c>
      <c r="M8" s="34">
        <f t="shared" si="5"/>
        <v>2703363.664325858</v>
      </c>
    </row>
    <row r="9" spans="2:13" x14ac:dyDescent="0.25">
      <c r="B9" s="3" t="s">
        <v>26</v>
      </c>
      <c r="C9" s="28"/>
      <c r="D9" s="2">
        <f t="shared" ref="D9:L9" si="6">+D8+D5</f>
        <v>457908.41599999997</v>
      </c>
      <c r="E9" s="2">
        <f t="shared" si="6"/>
        <v>495638.37871359999</v>
      </c>
      <c r="F9" s="2">
        <f t="shared" si="6"/>
        <v>543851.88701552385</v>
      </c>
      <c r="G9" s="2">
        <f t="shared" si="6"/>
        <v>609628.43568214762</v>
      </c>
      <c r="H9" s="2">
        <f t="shared" si="6"/>
        <v>704371.38656784641</v>
      </c>
      <c r="I9" s="2">
        <f t="shared" si="6"/>
        <v>847323.98827566637</v>
      </c>
      <c r="J9" s="2">
        <f t="shared" si="6"/>
        <v>1072081.1939772815</v>
      </c>
      <c r="K9" s="2">
        <f t="shared" si="6"/>
        <v>1439017.3275751728</v>
      </c>
      <c r="L9" s="2">
        <f t="shared" si="6"/>
        <v>2059611.5157128258</v>
      </c>
      <c r="M9" s="2">
        <f>+M8+M5</f>
        <v>3145212.5144903399</v>
      </c>
    </row>
    <row r="10" spans="2:13" x14ac:dyDescent="0.25">
      <c r="M10" s="27" t="s">
        <v>27</v>
      </c>
    </row>
    <row r="11" spans="2:13" x14ac:dyDescent="0.25">
      <c r="B11" s="35" t="s">
        <v>28</v>
      </c>
      <c r="C11" s="36"/>
      <c r="D11" s="37">
        <f>+(D9/$C$5)^(1/(D2-$C$2))-1</f>
        <v>0.14477103999999996</v>
      </c>
      <c r="E11" s="37">
        <f t="shared" ref="E11:M11" si="7">+(E9/$C$5)^(1/(E2-$C$2))-1</f>
        <v>0.11314686667303686</v>
      </c>
      <c r="F11" s="37">
        <f t="shared" si="7"/>
        <v>0.10783109132722646</v>
      </c>
      <c r="G11" s="37">
        <f t="shared" si="7"/>
        <v>0.11109528900305721</v>
      </c>
      <c r="H11" s="37">
        <f t="shared" si="7"/>
        <v>0.11982031739343668</v>
      </c>
      <c r="I11" s="37">
        <f t="shared" si="7"/>
        <v>0.13326528426356576</v>
      </c>
      <c r="J11" s="37">
        <f t="shared" si="7"/>
        <v>0.15124249587983241</v>
      </c>
      <c r="K11" s="37">
        <f t="shared" si="7"/>
        <v>0.17354771997411467</v>
      </c>
      <c r="L11" s="37">
        <f t="shared" si="7"/>
        <v>0.19972191237898995</v>
      </c>
      <c r="M11" s="38">
        <f t="shared" si="7"/>
        <v>0.22902014176423924</v>
      </c>
    </row>
    <row r="12" spans="2:13" x14ac:dyDescent="0.25">
      <c r="B12" s="39" t="s">
        <v>29</v>
      </c>
      <c r="C12" s="5"/>
      <c r="D12" s="40">
        <f>+D9/$C$5-1</f>
        <v>0.14477103999999996</v>
      </c>
      <c r="E12" s="40">
        <f t="shared" ref="E12:M12" si="8">+E9/$C$5-1</f>
        <v>0.23909594678399992</v>
      </c>
      <c r="F12" s="40">
        <f t="shared" si="8"/>
        <v>0.35962971753880968</v>
      </c>
      <c r="G12" s="40">
        <f t="shared" si="8"/>
        <v>0.52407108920536905</v>
      </c>
      <c r="H12" s="40">
        <f t="shared" si="8"/>
        <v>0.76092846641961609</v>
      </c>
      <c r="I12" s="40">
        <f t="shared" si="8"/>
        <v>1.1183099706891659</v>
      </c>
      <c r="J12" s="40">
        <f t="shared" si="8"/>
        <v>1.6802029849432034</v>
      </c>
      <c r="K12" s="40">
        <f t="shared" si="8"/>
        <v>2.597543318937932</v>
      </c>
      <c r="L12" s="40">
        <f t="shared" si="8"/>
        <v>4.149028789282065</v>
      </c>
      <c r="M12" s="41">
        <f t="shared" si="8"/>
        <v>6.8630312862258496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Calculation</vt:lpstr>
      <vt:lpstr>Partnership Distribution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Minh Nguyen Viet Quang</dc:creator>
  <cp:keywords/>
  <dc:description/>
  <cp:lastModifiedBy>Minh Nguyen Viet Quang</cp:lastModifiedBy>
  <cp:revision/>
  <dcterms:created xsi:type="dcterms:W3CDTF">2024-05-22T03:31:30Z</dcterms:created>
  <dcterms:modified xsi:type="dcterms:W3CDTF">2024-05-22T06:35:54Z</dcterms:modified>
  <cp:category/>
  <cp:contentStatus/>
</cp:coreProperties>
</file>