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hv\OneDrive\Documents\GitHub\modelz\"/>
    </mc:Choice>
  </mc:AlternateContent>
  <xr:revisionPtr revIDLastSave="0" documentId="13_ncr:1_{63EC388C-2A56-4480-A812-EC889DED01EC}" xr6:coauthVersionLast="47" xr6:coauthVersionMax="47" xr10:uidLastSave="{00000000-0000-0000-0000-000000000000}"/>
  <bookViews>
    <workbookView xWindow="4200" yWindow="4200" windowWidth="43200" windowHeight="11340" xr2:uid="{00000000-000D-0000-FFFF-FFFF00000000}"/>
  </bookViews>
  <sheets>
    <sheet name="DCF" sheetId="1" r:id="rId1"/>
    <sheet name="Financial Statement" sheetId="3" r:id="rId2"/>
    <sheet name="Debt Schedule" sheetId="5" r:id="rId3"/>
    <sheet name="Reference" sheetId="4" r:id="rId4"/>
    <sheet name="df" sheetId="7" r:id="rId5"/>
  </sheets>
  <definedNames>
    <definedName name="_xlnm._FilterDatabase" localSheetId="4" hidden="1">df!$A$1:$C$756</definedName>
    <definedName name="AV">'Financial Statement'!$C$166:$G$166</definedName>
    <definedName name="DCAI">'Financial Statement'!$C$163:$G$163</definedName>
    <definedName name="forecastSALES">'Financial Statement'!$H$40:$L$40</definedName>
    <definedName name="FORTax">'Financial Statement'!$H$183:$L$183</definedName>
    <definedName name="FX">'Financial Statement'!$C$165:$G$165</definedName>
    <definedName name="GFX">'Financial Statement'!$C$164:$G$164</definedName>
    <definedName name="GPUprices">'Financial Statement'!$H$17:$L$17</definedName>
    <definedName name="GROSS">'Financial Statement'!$C$172:$G$172</definedName>
    <definedName name="historicalREV">'Financial Statement'!$C$169:$F$169</definedName>
    <definedName name="OEMO">'Financial Statement'!$C$167:$G$167</definedName>
    <definedName name="RD">'Financial Statement'!$C$173:$G$173</definedName>
    <definedName name="Revenue">'Financial Statement'!$C$169:$G$169</definedName>
    <definedName name="sensitivityTEV">DCF!$E$25:$I$25</definedName>
    <definedName name="sensitivityTV">DCF!$E$23:$I$23</definedName>
    <definedName name="SGA">'Financial Statement'!$C$174:$G$174</definedName>
    <definedName name="USTax">'Financial Statement'!$H$67:$L$67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  <c r="G14" i="1"/>
  <c r="F14" i="1"/>
  <c r="E14" i="1"/>
  <c r="D14" i="1"/>
  <c r="C35" i="1"/>
  <c r="C27" i="1"/>
  <c r="C6" i="1"/>
  <c r="L184" i="3"/>
  <c r="K184" i="3"/>
  <c r="J184" i="3"/>
  <c r="I184" i="3"/>
  <c r="H184" i="3"/>
  <c r="G184" i="3"/>
  <c r="J178" i="3"/>
  <c r="L178" i="3" s="1"/>
  <c r="I178" i="3"/>
  <c r="K178" i="3" s="1"/>
  <c r="H178" i="3"/>
  <c r="K15" i="3"/>
  <c r="K17" i="3" s="1"/>
  <c r="J15" i="3"/>
  <c r="J17" i="3" s="1"/>
  <c r="L40" i="3"/>
  <c r="K40" i="3"/>
  <c r="J40" i="3"/>
  <c r="I40" i="3"/>
  <c r="H40" i="3"/>
  <c r="I17" i="3"/>
  <c r="H17" i="3"/>
  <c r="G17" i="3"/>
  <c r="F23" i="1"/>
  <c r="G23" i="1" s="1"/>
  <c r="H23" i="1" s="1"/>
  <c r="I23" i="1" s="1"/>
  <c r="L15" i="3" l="1"/>
  <c r="L17" i="3" s="1"/>
  <c r="H163" i="3" a="1"/>
  <c r="H163" i="3" s="1"/>
  <c r="C23" i="1" l="1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D755" i="7"/>
  <c r="D754" i="7"/>
  <c r="D753" i="7"/>
  <c r="D752" i="7"/>
  <c r="D751" i="7"/>
  <c r="D750" i="7"/>
  <c r="D749" i="7"/>
  <c r="D748" i="7"/>
  <c r="D747" i="7"/>
  <c r="D746" i="7"/>
  <c r="D745" i="7"/>
  <c r="D744" i="7"/>
  <c r="D743" i="7"/>
  <c r="D742" i="7"/>
  <c r="D741" i="7"/>
  <c r="D740" i="7"/>
  <c r="D739" i="7"/>
  <c r="D738" i="7"/>
  <c r="D737" i="7"/>
  <c r="D736" i="7"/>
  <c r="D735" i="7"/>
  <c r="D734" i="7"/>
  <c r="D733" i="7"/>
  <c r="D732" i="7"/>
  <c r="D731" i="7"/>
  <c r="D730" i="7"/>
  <c r="D729" i="7"/>
  <c r="D728" i="7"/>
  <c r="D727" i="7"/>
  <c r="D726" i="7"/>
  <c r="D725" i="7"/>
  <c r="D724" i="7"/>
  <c r="D723" i="7"/>
  <c r="D722" i="7"/>
  <c r="D721" i="7"/>
  <c r="D720" i="7"/>
  <c r="D719" i="7"/>
  <c r="D718" i="7"/>
  <c r="D717" i="7"/>
  <c r="D716" i="7"/>
  <c r="D715" i="7"/>
  <c r="D714" i="7"/>
  <c r="D713" i="7"/>
  <c r="D712" i="7"/>
  <c r="D711" i="7"/>
  <c r="D710" i="7"/>
  <c r="D709" i="7"/>
  <c r="D708" i="7"/>
  <c r="D707" i="7"/>
  <c r="D706" i="7"/>
  <c r="D705" i="7"/>
  <c r="D704" i="7"/>
  <c r="D703" i="7"/>
  <c r="D702" i="7"/>
  <c r="D701" i="7"/>
  <c r="D700" i="7"/>
  <c r="D699" i="7"/>
  <c r="D698" i="7"/>
  <c r="D697" i="7"/>
  <c r="D696" i="7"/>
  <c r="D695" i="7"/>
  <c r="D694" i="7"/>
  <c r="D693" i="7"/>
  <c r="D692" i="7"/>
  <c r="D691" i="7"/>
  <c r="D690" i="7"/>
  <c r="D689" i="7"/>
  <c r="D688" i="7"/>
  <c r="D687" i="7"/>
  <c r="D686" i="7"/>
  <c r="D685" i="7"/>
  <c r="D684" i="7"/>
  <c r="D683" i="7"/>
  <c r="D682" i="7"/>
  <c r="D681" i="7"/>
  <c r="D680" i="7"/>
  <c r="D679" i="7"/>
  <c r="D678" i="7"/>
  <c r="D677" i="7"/>
  <c r="D676" i="7"/>
  <c r="D675" i="7"/>
  <c r="D674" i="7"/>
  <c r="D673" i="7"/>
  <c r="D672" i="7"/>
  <c r="D671" i="7"/>
  <c r="D670" i="7"/>
  <c r="D669" i="7"/>
  <c r="D668" i="7"/>
  <c r="D667" i="7"/>
  <c r="D666" i="7"/>
  <c r="D665" i="7"/>
  <c r="D664" i="7"/>
  <c r="D663" i="7"/>
  <c r="D662" i="7"/>
  <c r="D661" i="7"/>
  <c r="D660" i="7"/>
  <c r="D659" i="7"/>
  <c r="D658" i="7"/>
  <c r="D657" i="7"/>
  <c r="D656" i="7"/>
  <c r="D655" i="7"/>
  <c r="D654" i="7"/>
  <c r="D653" i="7"/>
  <c r="D652" i="7"/>
  <c r="D651" i="7"/>
  <c r="D650" i="7"/>
  <c r="D649" i="7"/>
  <c r="D648" i="7"/>
  <c r="D647" i="7"/>
  <c r="D646" i="7"/>
  <c r="D645" i="7"/>
  <c r="D644" i="7"/>
  <c r="D643" i="7"/>
  <c r="D642" i="7"/>
  <c r="D641" i="7"/>
  <c r="D640" i="7"/>
  <c r="D639" i="7"/>
  <c r="D638" i="7"/>
  <c r="D637" i="7"/>
  <c r="D636" i="7"/>
  <c r="D635" i="7"/>
  <c r="D634" i="7"/>
  <c r="D633" i="7"/>
  <c r="D632" i="7"/>
  <c r="D631" i="7"/>
  <c r="D630" i="7"/>
  <c r="D629" i="7"/>
  <c r="D628" i="7"/>
  <c r="D627" i="7"/>
  <c r="D626" i="7"/>
  <c r="D625" i="7"/>
  <c r="D624" i="7"/>
  <c r="D623" i="7"/>
  <c r="D622" i="7"/>
  <c r="D621" i="7"/>
  <c r="D620" i="7"/>
  <c r="D619" i="7"/>
  <c r="D618" i="7"/>
  <c r="D617" i="7"/>
  <c r="D616" i="7"/>
  <c r="D615" i="7"/>
  <c r="D614" i="7"/>
  <c r="D613" i="7"/>
  <c r="D612" i="7"/>
  <c r="D611" i="7"/>
  <c r="D610" i="7"/>
  <c r="D609" i="7"/>
  <c r="D608" i="7"/>
  <c r="D607" i="7"/>
  <c r="D606" i="7"/>
  <c r="D605" i="7"/>
  <c r="D604" i="7"/>
  <c r="D603" i="7"/>
  <c r="D602" i="7"/>
  <c r="D601" i="7"/>
  <c r="D600" i="7"/>
  <c r="D599" i="7"/>
  <c r="D598" i="7"/>
  <c r="D597" i="7"/>
  <c r="D596" i="7"/>
  <c r="D595" i="7"/>
  <c r="D594" i="7"/>
  <c r="D593" i="7"/>
  <c r="D592" i="7"/>
  <c r="D591" i="7"/>
  <c r="D590" i="7"/>
  <c r="D589" i="7"/>
  <c r="D588" i="7"/>
  <c r="D587" i="7"/>
  <c r="D586" i="7"/>
  <c r="D585" i="7"/>
  <c r="D584" i="7"/>
  <c r="D583" i="7"/>
  <c r="D582" i="7"/>
  <c r="D581" i="7"/>
  <c r="D580" i="7"/>
  <c r="D579" i="7"/>
  <c r="D578" i="7"/>
  <c r="D577" i="7"/>
  <c r="D576" i="7"/>
  <c r="D575" i="7"/>
  <c r="D574" i="7"/>
  <c r="D573" i="7"/>
  <c r="D572" i="7"/>
  <c r="D571" i="7"/>
  <c r="D570" i="7"/>
  <c r="D569" i="7"/>
  <c r="D568" i="7"/>
  <c r="D567" i="7"/>
  <c r="D566" i="7"/>
  <c r="D565" i="7"/>
  <c r="D564" i="7"/>
  <c r="D563" i="7"/>
  <c r="D562" i="7"/>
  <c r="D561" i="7"/>
  <c r="D560" i="7"/>
  <c r="D559" i="7"/>
  <c r="D558" i="7"/>
  <c r="D557" i="7"/>
  <c r="D556" i="7"/>
  <c r="D555" i="7"/>
  <c r="D554" i="7"/>
  <c r="D553" i="7"/>
  <c r="D552" i="7"/>
  <c r="D551" i="7"/>
  <c r="D550" i="7"/>
  <c r="D549" i="7"/>
  <c r="D548" i="7"/>
  <c r="D547" i="7"/>
  <c r="D546" i="7"/>
  <c r="D545" i="7"/>
  <c r="D544" i="7"/>
  <c r="D543" i="7"/>
  <c r="D542" i="7"/>
  <c r="D541" i="7"/>
  <c r="D540" i="7"/>
  <c r="D539" i="7"/>
  <c r="D538" i="7"/>
  <c r="D537" i="7"/>
  <c r="D536" i="7"/>
  <c r="D535" i="7"/>
  <c r="D534" i="7"/>
  <c r="D533" i="7"/>
  <c r="D532" i="7"/>
  <c r="D531" i="7"/>
  <c r="D530" i="7"/>
  <c r="D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10" i="7"/>
  <c r="D509" i="7"/>
  <c r="D508" i="7"/>
  <c r="D507" i="7"/>
  <c r="D506" i="7"/>
  <c r="D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G40" i="3"/>
  <c r="B43" i="3"/>
  <c r="B44" i="3"/>
  <c r="B45" i="3"/>
  <c r="B46" i="3"/>
  <c r="B47" i="3"/>
  <c r="C28" i="1" l="1"/>
  <c r="C26" i="1" l="1"/>
  <c r="C21" i="1"/>
  <c r="C25" i="1" s="1"/>
  <c r="H116" i="3"/>
  <c r="D218" i="3"/>
  <c r="E218" i="3"/>
  <c r="F218" i="3"/>
  <c r="G218" i="3"/>
  <c r="C218" i="3"/>
  <c r="H12" i="1"/>
  <c r="G12" i="1"/>
  <c r="F12" i="1"/>
  <c r="E12" i="1"/>
  <c r="D12" i="1"/>
  <c r="H11" i="1"/>
  <c r="G11" i="1"/>
  <c r="F11" i="1"/>
  <c r="E11" i="1"/>
  <c r="D11" i="1"/>
  <c r="E15" i="1"/>
  <c r="F15" i="1" s="1"/>
  <c r="G15" i="1" s="1"/>
  <c r="H15" i="1" s="1"/>
  <c r="D3" i="1"/>
  <c r="E3" i="1" s="1"/>
  <c r="F3" i="1" s="1"/>
  <c r="G3" i="1" s="1"/>
  <c r="H3" i="1" s="1"/>
  <c r="I116" i="3" l="1"/>
  <c r="J116" i="3" s="1"/>
  <c r="K116" i="3" s="1"/>
  <c r="L116" i="3" l="1"/>
  <c r="G193" i="3" l="1"/>
  <c r="H189" i="3"/>
  <c r="I189" i="3" s="1"/>
  <c r="J189" i="3" s="1"/>
  <c r="K189" i="3" s="1"/>
  <c r="L189" i="3" s="1"/>
  <c r="H190" i="3"/>
  <c r="I190" i="3" s="1"/>
  <c r="J190" i="3" s="1"/>
  <c r="K190" i="3" s="1"/>
  <c r="L190" i="3" s="1"/>
  <c r="H191" i="3"/>
  <c r="I191" i="3" s="1"/>
  <c r="J191" i="3" s="1"/>
  <c r="K191" i="3" s="1"/>
  <c r="L191" i="3" s="1"/>
  <c r="F66" i="3"/>
  <c r="E66" i="3"/>
  <c r="D66" i="3"/>
  <c r="C66" i="3"/>
  <c r="G66" i="3"/>
  <c r="H66" i="3" s="1"/>
  <c r="I66" i="3" s="1"/>
  <c r="J66" i="3" s="1"/>
  <c r="K66" i="3" s="1"/>
  <c r="L66" i="3" s="1"/>
  <c r="B62" i="3"/>
  <c r="B61" i="3"/>
  <c r="F58" i="3"/>
  <c r="E58" i="3"/>
  <c r="D58" i="3"/>
  <c r="C58" i="3"/>
  <c r="F57" i="3"/>
  <c r="E57" i="3"/>
  <c r="D57" i="3"/>
  <c r="C57" i="3"/>
  <c r="H96" i="3"/>
  <c r="I96" i="3" s="1"/>
  <c r="J96" i="3" s="1"/>
  <c r="K96" i="3" s="1"/>
  <c r="L96" i="3" s="1"/>
  <c r="H95" i="3"/>
  <c r="I95" i="3" s="1"/>
  <c r="J95" i="3" s="1"/>
  <c r="K95" i="3" s="1"/>
  <c r="L95" i="3" s="1"/>
  <c r="H92" i="3"/>
  <c r="I92" i="3" s="1"/>
  <c r="J92" i="3" s="1"/>
  <c r="K92" i="3" s="1"/>
  <c r="L92" i="3" s="1"/>
  <c r="H90" i="3"/>
  <c r="I90" i="3" s="1"/>
  <c r="J90" i="3" s="1"/>
  <c r="K90" i="3" s="1"/>
  <c r="L90" i="3" s="1"/>
  <c r="H86" i="3"/>
  <c r="H83" i="3"/>
  <c r="I83" i="3" s="1"/>
  <c r="J83" i="3" s="1"/>
  <c r="K83" i="3" s="1"/>
  <c r="L83" i="3" s="1"/>
  <c r="H82" i="3"/>
  <c r="H81" i="3"/>
  <c r="G68" i="3"/>
  <c r="H68" i="3" s="1"/>
  <c r="I68" i="3" s="1"/>
  <c r="J68" i="3" s="1"/>
  <c r="K68" i="3" s="1"/>
  <c r="L68" i="3" s="1"/>
  <c r="F68" i="3"/>
  <c r="E68" i="3"/>
  <c r="D68" i="3"/>
  <c r="C68" i="3"/>
  <c r="F67" i="3"/>
  <c r="E67" i="3"/>
  <c r="D67" i="3"/>
  <c r="C67" i="3"/>
  <c r="G67" i="3"/>
  <c r="G181" i="3"/>
  <c r="L179" i="3"/>
  <c r="K179" i="3"/>
  <c r="J179" i="3"/>
  <c r="I179" i="3"/>
  <c r="H179" i="3"/>
  <c r="H167" i="3"/>
  <c r="H166" i="3"/>
  <c r="I166" i="3" s="1"/>
  <c r="H165" i="3"/>
  <c r="I165" i="3" s="1"/>
  <c r="H164" i="3"/>
  <c r="I164" i="3" s="1"/>
  <c r="B13" i="5"/>
  <c r="C25" i="5"/>
  <c r="C31" i="5" s="1"/>
  <c r="C23" i="5"/>
  <c r="C29" i="5" s="1"/>
  <c r="C30" i="5"/>
  <c r="C28" i="5"/>
  <c r="C27" i="5"/>
  <c r="C21" i="5"/>
  <c r="C19" i="5"/>
  <c r="C17" i="5"/>
  <c r="C15" i="5"/>
  <c r="M12" i="5"/>
  <c r="M11" i="5"/>
  <c r="M10" i="5"/>
  <c r="M9" i="5"/>
  <c r="M8" i="5"/>
  <c r="C18" i="5"/>
  <c r="C16" i="5"/>
  <c r="L12" i="5"/>
  <c r="K12" i="5"/>
  <c r="J12" i="5"/>
  <c r="I12" i="5"/>
  <c r="H12" i="5"/>
  <c r="G12" i="5"/>
  <c r="F12" i="5"/>
  <c r="E12" i="5"/>
  <c r="D12" i="5"/>
  <c r="L11" i="5"/>
  <c r="K11" i="5"/>
  <c r="J11" i="5"/>
  <c r="I11" i="5"/>
  <c r="H11" i="5"/>
  <c r="G11" i="5"/>
  <c r="F11" i="5"/>
  <c r="E11" i="5"/>
  <c r="D11" i="5"/>
  <c r="L10" i="5"/>
  <c r="K10" i="5"/>
  <c r="J10" i="5"/>
  <c r="I10" i="5"/>
  <c r="H10" i="5"/>
  <c r="G10" i="5"/>
  <c r="F10" i="5"/>
  <c r="E10" i="5"/>
  <c r="D10" i="5"/>
  <c r="L9" i="5"/>
  <c r="K9" i="5"/>
  <c r="J9" i="5"/>
  <c r="I9" i="5"/>
  <c r="H9" i="5"/>
  <c r="G9" i="5"/>
  <c r="F9" i="5"/>
  <c r="E9" i="5"/>
  <c r="D9" i="5"/>
  <c r="L8" i="5"/>
  <c r="K8" i="5"/>
  <c r="J8" i="5"/>
  <c r="I8" i="5"/>
  <c r="H8" i="5"/>
  <c r="G8" i="5"/>
  <c r="F8" i="5"/>
  <c r="E8" i="5"/>
  <c r="D8" i="5"/>
  <c r="L7" i="5"/>
  <c r="K7" i="5"/>
  <c r="J7" i="5"/>
  <c r="I7" i="5"/>
  <c r="H7" i="5"/>
  <c r="G7" i="5"/>
  <c r="F7" i="5"/>
  <c r="E7" i="5"/>
  <c r="D7" i="5"/>
  <c r="I6" i="5"/>
  <c r="H6" i="5"/>
  <c r="G6" i="5"/>
  <c r="F6" i="5"/>
  <c r="E6" i="5"/>
  <c r="D6" i="5"/>
  <c r="E5" i="5"/>
  <c r="D5" i="5"/>
  <c r="G214" i="3"/>
  <c r="G213" i="3"/>
  <c r="G169" i="3"/>
  <c r="B54" i="3"/>
  <c r="B53" i="3"/>
  <c r="B52" i="3"/>
  <c r="B51" i="3"/>
  <c r="B50" i="3"/>
  <c r="E169" i="3"/>
  <c r="D169" i="3"/>
  <c r="D170" i="3" s="1"/>
  <c r="F169" i="3"/>
  <c r="C208" i="3"/>
  <c r="C158" i="3"/>
  <c r="C221" i="3" s="1"/>
  <c r="D8" i="3"/>
  <c r="D208" i="3" s="1"/>
  <c r="F62" i="3" l="1"/>
  <c r="F64" i="3" s="1"/>
  <c r="F170" i="3"/>
  <c r="E62" i="3"/>
  <c r="E64" i="3" s="1"/>
  <c r="E170" i="3"/>
  <c r="I86" i="3"/>
  <c r="H218" i="3"/>
  <c r="D13" i="1" s="1"/>
  <c r="C8" i="1"/>
  <c r="C9" i="1" s="1"/>
  <c r="C19" i="1"/>
  <c r="C30" i="1" s="1"/>
  <c r="C33" i="1" s="1"/>
  <c r="I81" i="3"/>
  <c r="J81" i="3" s="1"/>
  <c r="G62" i="3"/>
  <c r="G64" i="3" s="1"/>
  <c r="C4" i="1"/>
  <c r="G194" i="3"/>
  <c r="G70" i="3"/>
  <c r="G71" i="3" s="1"/>
  <c r="C44" i="3" a="1"/>
  <c r="C44" i="3" s="1"/>
  <c r="E63" i="3"/>
  <c r="F63" i="3"/>
  <c r="G63" i="3"/>
  <c r="H91" i="3"/>
  <c r="I82" i="3"/>
  <c r="J82" i="3" s="1"/>
  <c r="K82" i="3" s="1"/>
  <c r="L82" i="3" s="1"/>
  <c r="I181" i="3"/>
  <c r="J181" i="3"/>
  <c r="K181" i="3"/>
  <c r="L181" i="3"/>
  <c r="H181" i="3"/>
  <c r="C47" i="3" a="1"/>
  <c r="C47" i="3" s="1"/>
  <c r="H169" i="3"/>
  <c r="J164" i="3"/>
  <c r="J166" i="3"/>
  <c r="I167" i="3"/>
  <c r="J165" i="3"/>
  <c r="C43" i="3" a="1"/>
  <c r="C43" i="3" s="1"/>
  <c r="C73" i="3" a="1"/>
  <c r="C45" i="3" a="1"/>
  <c r="C45" i="3" s="1"/>
  <c r="C46" i="3" a="1"/>
  <c r="C46" i="3" s="1"/>
  <c r="G217" i="3"/>
  <c r="C74" i="3" a="1"/>
  <c r="C75" i="3" a="1"/>
  <c r="D158" i="3"/>
  <c r="D221" i="3" s="1"/>
  <c r="E8" i="3"/>
  <c r="F8" i="3" s="1"/>
  <c r="G8" i="3" s="1"/>
  <c r="C10" i="1" l="1"/>
  <c r="J86" i="3"/>
  <c r="I218" i="3"/>
  <c r="E13" i="1" s="1"/>
  <c r="H70" i="3"/>
  <c r="D4" i="1"/>
  <c r="G57" i="3"/>
  <c r="H57" i="3" s="1"/>
  <c r="G182" i="3"/>
  <c r="G58" i="3"/>
  <c r="H58" i="3" s="1"/>
  <c r="G183" i="3"/>
  <c r="I91" i="3"/>
  <c r="K81" i="3"/>
  <c r="J91" i="3"/>
  <c r="C74" i="3"/>
  <c r="H174" i="3"/>
  <c r="C73" i="3"/>
  <c r="H171" i="3"/>
  <c r="I171" i="3" s="1"/>
  <c r="J171" i="3" s="1"/>
  <c r="K171" i="3" s="1"/>
  <c r="H43" i="3"/>
  <c r="C75" i="3"/>
  <c r="H173" i="3"/>
  <c r="H47" i="3"/>
  <c r="H44" i="3"/>
  <c r="H45" i="3"/>
  <c r="H46" i="3"/>
  <c r="I169" i="3"/>
  <c r="K165" i="3"/>
  <c r="J167" i="3"/>
  <c r="K164" i="3"/>
  <c r="K166" i="3"/>
  <c r="G208" i="3"/>
  <c r="H8" i="3"/>
  <c r="F208" i="3"/>
  <c r="E208" i="3"/>
  <c r="F158" i="3"/>
  <c r="F221" i="3" s="1"/>
  <c r="G158" i="3"/>
  <c r="G221" i="3" s="1"/>
  <c r="E158" i="3"/>
  <c r="E221" i="3" s="1"/>
  <c r="K86" i="3" l="1"/>
  <c r="J218" i="3"/>
  <c r="F13" i="1" s="1"/>
  <c r="H62" i="3"/>
  <c r="H64" i="3" s="1"/>
  <c r="I58" i="3"/>
  <c r="I70" i="3"/>
  <c r="E4" i="1"/>
  <c r="I57" i="3"/>
  <c r="H61" i="3"/>
  <c r="H63" i="3" s="1"/>
  <c r="I47" i="3"/>
  <c r="L81" i="3"/>
  <c r="K91" i="3"/>
  <c r="H176" i="3"/>
  <c r="H172" i="3"/>
  <c r="I174" i="3"/>
  <c r="I173" i="3"/>
  <c r="I172" i="3"/>
  <c r="L171" i="3"/>
  <c r="J169" i="3"/>
  <c r="I43" i="3"/>
  <c r="I44" i="3"/>
  <c r="I45" i="3"/>
  <c r="I46" i="3"/>
  <c r="L164" i="3"/>
  <c r="K167" i="3"/>
  <c r="L165" i="3"/>
  <c r="L166" i="3"/>
  <c r="I8" i="3"/>
  <c r="D4" i="5"/>
  <c r="L86" i="3" l="1"/>
  <c r="L218" i="3" s="1"/>
  <c r="K218" i="3"/>
  <c r="G13" i="1" s="1"/>
  <c r="J58" i="3"/>
  <c r="I62" i="3"/>
  <c r="I64" i="3" s="1"/>
  <c r="J57" i="3"/>
  <c r="I61" i="3"/>
  <c r="I63" i="3" s="1"/>
  <c r="J70" i="3"/>
  <c r="F4" i="1"/>
  <c r="H177" i="3"/>
  <c r="J47" i="3"/>
  <c r="I176" i="3"/>
  <c r="I177" i="3" s="1"/>
  <c r="J43" i="3"/>
  <c r="J174" i="3"/>
  <c r="J173" i="3"/>
  <c r="J172" i="3"/>
  <c r="J44" i="3"/>
  <c r="J45" i="3"/>
  <c r="J46" i="3"/>
  <c r="K169" i="3"/>
  <c r="L167" i="3"/>
  <c r="F4" i="5"/>
  <c r="J8" i="3"/>
  <c r="H13" i="1" l="1"/>
  <c r="L91" i="3"/>
  <c r="I182" i="3"/>
  <c r="E6" i="1"/>
  <c r="H182" i="3"/>
  <c r="H185" i="3" s="1" a="1"/>
  <c r="D6" i="1"/>
  <c r="K70" i="3"/>
  <c r="G4" i="1"/>
  <c r="K57" i="3"/>
  <c r="J61" i="3"/>
  <c r="J63" i="3" s="1"/>
  <c r="K58" i="3"/>
  <c r="J62" i="3"/>
  <c r="J64" i="3" s="1"/>
  <c r="K47" i="3"/>
  <c r="J176" i="3"/>
  <c r="J177" i="3" s="1"/>
  <c r="K174" i="3"/>
  <c r="K173" i="3"/>
  <c r="K172" i="3"/>
  <c r="K45" i="3"/>
  <c r="K44" i="3"/>
  <c r="K46" i="3"/>
  <c r="L169" i="3"/>
  <c r="K43" i="3"/>
  <c r="H4" i="5"/>
  <c r="K8" i="3"/>
  <c r="I183" i="3" l="1"/>
  <c r="H186" i="3"/>
  <c r="H183" i="3"/>
  <c r="I186" i="3"/>
  <c r="L70" i="3"/>
  <c r="H4" i="1"/>
  <c r="L58" i="3"/>
  <c r="L62" i="3" s="1"/>
  <c r="L64" i="3" s="1"/>
  <c r="K62" i="3"/>
  <c r="K64" i="3" s="1"/>
  <c r="J183" i="3"/>
  <c r="F6" i="1"/>
  <c r="L57" i="3"/>
  <c r="L61" i="3" s="1"/>
  <c r="L63" i="3" s="1"/>
  <c r="K61" i="3"/>
  <c r="K63" i="3" s="1"/>
  <c r="H185" i="3"/>
  <c r="K176" i="3"/>
  <c r="K177" i="3" s="1"/>
  <c r="L174" i="3"/>
  <c r="L173" i="3"/>
  <c r="L172" i="3"/>
  <c r="L46" i="3"/>
  <c r="L44" i="3"/>
  <c r="L45" i="3"/>
  <c r="L43" i="3"/>
  <c r="L47" i="3"/>
  <c r="J4" i="5"/>
  <c r="L8" i="3"/>
  <c r="L4" i="5" s="1"/>
  <c r="J182" i="3" l="1"/>
  <c r="J186" i="3"/>
  <c r="K186" i="3"/>
  <c r="G6" i="1"/>
  <c r="L176" i="3"/>
  <c r="L177" i="3" s="1"/>
  <c r="K183" i="3" l="1"/>
  <c r="K182" i="3"/>
  <c r="L182" i="3"/>
  <c r="H6" i="1"/>
  <c r="L186" i="3" l="1"/>
  <c r="L183" i="3"/>
  <c r="H187" i="3" s="1" a="1"/>
  <c r="H187" i="3" s="1"/>
  <c r="H188" i="3" s="1"/>
  <c r="H193" i="3" s="1"/>
  <c r="I188" i="3" l="1"/>
  <c r="I193" i="3" s="1"/>
  <c r="I194" i="3" s="1"/>
  <c r="J188" i="3"/>
  <c r="J193" i="3" s="1"/>
  <c r="J194" i="3" s="1"/>
  <c r="K188" i="3"/>
  <c r="K193" i="3" s="1"/>
  <c r="K194" i="3" s="1"/>
  <c r="L188" i="3"/>
  <c r="L193" i="3" s="1"/>
  <c r="L194" i="3" s="1"/>
  <c r="H194" i="3"/>
  <c r="D8" i="1"/>
  <c r="D9" i="1" s="1"/>
  <c r="H8" i="1" l="1"/>
  <c r="H9" i="1" s="1"/>
  <c r="H10" i="1" s="1"/>
  <c r="G8" i="1"/>
  <c r="G9" i="1" s="1"/>
  <c r="G10" i="1" s="1"/>
  <c r="E8" i="1"/>
  <c r="E9" i="1" s="1"/>
  <c r="E16" i="1" s="1"/>
  <c r="F8" i="1"/>
  <c r="F9" i="1" s="1"/>
  <c r="F16" i="1" s="1"/>
  <c r="D10" i="1"/>
  <c r="D16" i="1"/>
  <c r="E10" i="1"/>
  <c r="G16" i="1" l="1"/>
  <c r="F10" i="1"/>
  <c r="H16" i="1" l="1"/>
  <c r="H17" i="1" s="1"/>
  <c r="E25" i="1" l="1" a="1"/>
  <c r="E25" i="1" s="1"/>
  <c r="E28" i="1" s="1" a="1"/>
  <c r="E28" i="1" s="1"/>
  <c r="C34" i="1"/>
  <c r="C36" i="1" s="1"/>
  <c r="F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<sst xmlns="http://schemas.openxmlformats.org/spreadsheetml/2006/main" count="442" uniqueCount="290">
  <si>
    <t>-</t>
  </si>
  <si>
    <t>Total shareholders' equity</t>
  </si>
  <si>
    <t>Retained earnings (accumulated deficit)</t>
  </si>
  <si>
    <t>Accumulated other comprehensive income (loss)</t>
  </si>
  <si>
    <t>Treasury stock, at cost</t>
  </si>
  <si>
    <t>Additional paid-in capital</t>
  </si>
  <si>
    <t>Common stock</t>
  </si>
  <si>
    <t>Total liabilities</t>
  </si>
  <si>
    <t>Other</t>
  </si>
  <si>
    <t>Other long-term liabilities</t>
  </si>
  <si>
    <t>Employee benefits liability</t>
  </si>
  <si>
    <t>Deferred income tax liability</t>
  </si>
  <si>
    <t>Licenses payable</t>
  </si>
  <si>
    <t>Deferred revenue</t>
  </si>
  <si>
    <t>Deferred income tax</t>
  </si>
  <si>
    <t>Income tax payable</t>
  </si>
  <si>
    <t>Long-term operating lease liabilities</t>
  </si>
  <si>
    <t>Long-term debt</t>
  </si>
  <si>
    <t>Less: short-term portion</t>
  </si>
  <si>
    <t>Unamortized debt discount &amp; issuance costs</t>
  </si>
  <si>
    <t>Notes</t>
  </si>
  <si>
    <t>Total current liabilities</t>
  </si>
  <si>
    <t>Short-term debt</t>
  </si>
  <si>
    <t>Accrued &amp; other current liabilities</t>
  </si>
  <si>
    <t>Other accrued &amp; other current liabilities</t>
  </si>
  <si>
    <t>Other accrued liabilities</t>
  </si>
  <si>
    <t>Warranty accrual</t>
  </si>
  <si>
    <t>Professional service fees</t>
  </si>
  <si>
    <t>Product warranty &amp; return provisions</t>
  </si>
  <si>
    <t>Taxes payable</t>
  </si>
  <si>
    <t>Coupon interest on debt obligations</t>
  </si>
  <si>
    <t>Operating lease liabilities</t>
  </si>
  <si>
    <t>Licenses &amp; royalties</t>
  </si>
  <si>
    <t>Excess inventory purchase obligations</t>
  </si>
  <si>
    <t xml:space="preserve">Accrued payroll &amp; related expenses </t>
  </si>
  <si>
    <t>Customer program accruals</t>
  </si>
  <si>
    <t>Accounts payable</t>
  </si>
  <si>
    <t>Total assets</t>
  </si>
  <si>
    <t>Other assets</t>
  </si>
  <si>
    <t>Investment in non-affiliated entities</t>
  </si>
  <si>
    <t>Prepaid royalties</t>
  </si>
  <si>
    <t>Advanced consideration for acquisition</t>
  </si>
  <si>
    <t>Prepaid supply agreements</t>
  </si>
  <si>
    <t>Deferred income tax assets</t>
  </si>
  <si>
    <t>Intangible assets, net</t>
  </si>
  <si>
    <t>Goodwill</t>
  </si>
  <si>
    <t>Operating lease assets</t>
  </si>
  <si>
    <t>Property &amp; equipment, net</t>
  </si>
  <si>
    <t>Accumulated depreciation &amp; amortization - property &amp; equipment</t>
  </si>
  <si>
    <t>Total property &amp; equipment, gross</t>
  </si>
  <si>
    <t>Construction in process</t>
  </si>
  <si>
    <t>Office furniture &amp; equipment</t>
  </si>
  <si>
    <t>Software &amp; licenses</t>
  </si>
  <si>
    <t>Leasehold improvements</t>
  </si>
  <si>
    <t>Computer equipment</t>
  </si>
  <si>
    <t>Test equipment</t>
  </si>
  <si>
    <t>Building</t>
  </si>
  <si>
    <t>Equipment, compute hardware, &amp; software</t>
  </si>
  <si>
    <t>Buildings, leasehold improvements, &amp; furniture</t>
  </si>
  <si>
    <t>Land</t>
  </si>
  <si>
    <t>Total current assets</t>
  </si>
  <si>
    <t>Prepaid expenses &amp; other current assets</t>
  </si>
  <si>
    <t>Inventories</t>
  </si>
  <si>
    <t>Finished goods</t>
  </si>
  <si>
    <t>Work in-process</t>
  </si>
  <si>
    <t>Raw materials</t>
  </si>
  <si>
    <t>Accounts receivable, net</t>
  </si>
  <si>
    <t>Less allowances</t>
  </si>
  <si>
    <t>Accounts receivable, gross</t>
  </si>
  <si>
    <t>Marketable securities</t>
  </si>
  <si>
    <t>Cash &amp; cash equivalents</t>
  </si>
  <si>
    <t>Thousands</t>
  </si>
  <si>
    <t>Scale</t>
  </si>
  <si>
    <t>Yes</t>
  </si>
  <si>
    <t>Consolidated</t>
  </si>
  <si>
    <t>Not Qualified</t>
  </si>
  <si>
    <t>Audit Status</t>
  </si>
  <si>
    <t>USD</t>
  </si>
  <si>
    <t>Currency</t>
  </si>
  <si>
    <t>Report Date</t>
  </si>
  <si>
    <t xml:space="preserve">As Reported Annual Balance Sheet </t>
  </si>
  <si>
    <t>NVIDIA Corp (NMS: NVDA)</t>
  </si>
  <si>
    <t>Powered by Clearbit</t>
  </si>
  <si>
    <t>Cash paid for interest</t>
  </si>
  <si>
    <t>Cash paid (received) for income taxes, net</t>
  </si>
  <si>
    <t>Cash &amp; cash equivalents at end of period</t>
  </si>
  <si>
    <t>Cash &amp; cash equivalents at beginning of period</t>
  </si>
  <si>
    <t>Change in cash &amp; cash equivalents</t>
  </si>
  <si>
    <t>Net cash flows from financing activities</t>
  </si>
  <si>
    <t>x</t>
  </si>
  <si>
    <t>Other financing activities</t>
  </si>
  <si>
    <t>Retirement of common stock</t>
  </si>
  <si>
    <t>Net proceeds (payments) related to employee stock plans</t>
  </si>
  <si>
    <t>Principal payments on property &amp; equipment</t>
  </si>
  <si>
    <t>Dividends paid</t>
  </si>
  <si>
    <t>Repayment of debt</t>
  </si>
  <si>
    <t>Payments related to tax on restricted stock units</t>
  </si>
  <si>
    <t>Proceeds related to employee stock plans</t>
  </si>
  <si>
    <t>Payments related to repurchases of common stock</t>
  </si>
  <si>
    <t>Issuance of debt, net of issuance costs</t>
  </si>
  <si>
    <t>Net cash flows from investing activities</t>
  </si>
  <si>
    <t>Investment in non-affiliates</t>
  </si>
  <si>
    <t>Investments &amp; other, net</t>
  </si>
  <si>
    <t>Acquisitions, net of cash acquired</t>
  </si>
  <si>
    <t>Purchases related to property &amp; equipment &amp; intangible assets</t>
  </si>
  <si>
    <t>Purchases of marketable securities</t>
  </si>
  <si>
    <t>Proceeds from sales &amp; maturities of marketable securities</t>
  </si>
  <si>
    <t>Proceeds from sales of marketable securities</t>
  </si>
  <si>
    <t>Proceeds from maturities of marketable securities</t>
  </si>
  <si>
    <t>Net cash flows from operating activities</t>
  </si>
  <si>
    <t>Accrued liabilities</t>
  </si>
  <si>
    <t>Prepaid expenses &amp; other assets</t>
  </si>
  <si>
    <t>Prepaid income taxes</t>
  </si>
  <si>
    <t>Accounts receivable</t>
  </si>
  <si>
    <t>Other adjustments</t>
  </si>
  <si>
    <t>Losses (gains) on investments in non-affiliates, net</t>
  </si>
  <si>
    <t>Deferred income taxes</t>
  </si>
  <si>
    <t>Acquisition termination cost</t>
  </si>
  <si>
    <t>Depreciation &amp; amortization</t>
  </si>
  <si>
    <t>Stock-based compensation expense</t>
  </si>
  <si>
    <t>Net income (loss)</t>
  </si>
  <si>
    <t xml:space="preserve">As Reported Annual Cash Flow </t>
  </si>
  <si>
    <t>Retirement of treasury stock</t>
  </si>
  <si>
    <t>Share repurchase</t>
  </si>
  <si>
    <t>Cash dividends declared &amp; paid</t>
  </si>
  <si>
    <t>Previous retained earnings (accumulated deficit)</t>
  </si>
  <si>
    <t xml:space="preserve">As Reported Annual Retained Earnings </t>
  </si>
  <si>
    <t>Number of common stockholders</t>
  </si>
  <si>
    <t>Total number of employees</t>
  </si>
  <si>
    <t>Full-Time Employees (Period End)</t>
  </si>
  <si>
    <t>Cash dividends declared &amp; paid per common share</t>
  </si>
  <si>
    <t>Net income (loss) per share - diluted</t>
  </si>
  <si>
    <t>Income (loss) per share - continuing operations - diluted</t>
  </si>
  <si>
    <t>Net income (loss) per share - basic</t>
  </si>
  <si>
    <t>Income (loss) per share - continuing operations - basic</t>
  </si>
  <si>
    <t>Year end shares outstanding</t>
  </si>
  <si>
    <t>Weighted average shares outstanding - diluted</t>
  </si>
  <si>
    <t>Weighted average shares outstanding - basic</t>
  </si>
  <si>
    <t>Income tax expense (benefit)</t>
  </si>
  <si>
    <t>Total deferred income tax expense (benefit)</t>
  </si>
  <si>
    <t>Deferred income tax expense (benefit) - foreign</t>
  </si>
  <si>
    <t>Deferred income tax expense (benefit) - state</t>
  </si>
  <si>
    <t>Deferred income tax expense (benefit) - federal</t>
  </si>
  <si>
    <t>Total current income tax expense (benefit)</t>
  </si>
  <si>
    <t>Current income tax expense (benefit) - foreign</t>
  </si>
  <si>
    <t>Current income tax expense (benefit) - state</t>
  </si>
  <si>
    <t>Current income tax expense (benefit) - federal</t>
  </si>
  <si>
    <t>Income (loss) before income tax</t>
  </si>
  <si>
    <t>Income (loss) before income tax - foreign</t>
  </si>
  <si>
    <t>Income (loss) before income tax - United States</t>
  </si>
  <si>
    <t>Total other income (expense)</t>
  </si>
  <si>
    <t>Other income (expense), net</t>
  </si>
  <si>
    <t>Interest expense</t>
  </si>
  <si>
    <t>Interest income</t>
  </si>
  <si>
    <t>Income (loss) from operations</t>
  </si>
  <si>
    <t>Total operating expenses</t>
  </si>
  <si>
    <t>Sales, general &amp; administrative expenses</t>
  </si>
  <si>
    <t>Research &amp; development expenses</t>
  </si>
  <si>
    <t>Gross profit (loss)</t>
  </si>
  <si>
    <t>Cost of revenue</t>
  </si>
  <si>
    <t>Revenue</t>
  </si>
  <si>
    <t xml:space="preserve">As Reported Annual Income Statement </t>
  </si>
  <si>
    <t>Balance Check</t>
  </si>
  <si>
    <t>Computer &amp; Networking</t>
  </si>
  <si>
    <t>Graphics</t>
  </si>
  <si>
    <t>DGX</t>
  </si>
  <si>
    <t>Deep learning</t>
  </si>
  <si>
    <t>HGX</t>
  </si>
  <si>
    <t>Hyperscale and data center</t>
  </si>
  <si>
    <t>EGX</t>
  </si>
  <si>
    <t>Edge computing</t>
  </si>
  <si>
    <t>IGX</t>
  </si>
  <si>
    <t>High-precision AI</t>
  </si>
  <si>
    <t>AGX</t>
  </si>
  <si>
    <t>Autonomous machines</t>
  </si>
  <si>
    <t>NVIDIA Product Division</t>
  </si>
  <si>
    <t>Check out Earth 2</t>
  </si>
  <si>
    <t>Automotive</t>
  </si>
  <si>
    <t>Revenue Growth</t>
  </si>
  <si>
    <t>Depreciation Schedule</t>
  </si>
  <si>
    <t>Server, storage and networking</t>
  </si>
  <si>
    <t>Assembly and test</t>
  </si>
  <si>
    <t>Revenue Geography</t>
  </si>
  <si>
    <t>Outside of U.S.</t>
  </si>
  <si>
    <t>United States</t>
  </si>
  <si>
    <t>Gross Margin</t>
  </si>
  <si>
    <t>SG&amp;A</t>
  </si>
  <si>
    <t>R&amp;D</t>
  </si>
  <si>
    <t>FDII Deductability</t>
  </si>
  <si>
    <t>Debt Schedule</t>
  </si>
  <si>
    <t>Principal</t>
  </si>
  <si>
    <t>Professional Visualization</t>
  </si>
  <si>
    <t>OEM &amp; Other</t>
  </si>
  <si>
    <t>Rates</t>
  </si>
  <si>
    <t>2024 Interest Expense</t>
  </si>
  <si>
    <t>2025 Interest Expense</t>
  </si>
  <si>
    <t>2026 Interest Expense</t>
  </si>
  <si>
    <t>2027 Interest Expense</t>
  </si>
  <si>
    <t>2028 Interest Expense</t>
  </si>
  <si>
    <t>2024 Principal Repayment</t>
  </si>
  <si>
    <t>2025 Principal Repayment</t>
  </si>
  <si>
    <t>2026 Principal Repayment</t>
  </si>
  <si>
    <t>2027 Principal Repayment</t>
  </si>
  <si>
    <t>2028 Principal Repayment</t>
  </si>
  <si>
    <t>2024 Total</t>
  </si>
  <si>
    <t>2025 Total</t>
  </si>
  <si>
    <t>2026 Total</t>
  </si>
  <si>
    <t>2027 Total</t>
  </si>
  <si>
    <t>2028 Total</t>
  </si>
  <si>
    <t>Revenue Segment</t>
  </si>
  <si>
    <t>Foreign Income Tax %</t>
  </si>
  <si>
    <t>EBIT Geography</t>
  </si>
  <si>
    <t>%</t>
  </si>
  <si>
    <t>FDII Taxed</t>
  </si>
  <si>
    <t>QBAI / Revenue</t>
  </si>
  <si>
    <t>United States Income Tax % for NVDA</t>
  </si>
  <si>
    <t>State Income Tax % for NVDA</t>
  </si>
  <si>
    <t>Reverse DCF Model</t>
  </si>
  <si>
    <t>EBIT</t>
  </si>
  <si>
    <t>Taxes</t>
  </si>
  <si>
    <t>% EBIT Margin</t>
  </si>
  <si>
    <t>% Growth Rate</t>
  </si>
  <si>
    <t>NOPAT</t>
  </si>
  <si>
    <t>(thousands)</t>
  </si>
  <si>
    <t>% NOPAT Margin</t>
  </si>
  <si>
    <t>+ D&amp;A</t>
  </si>
  <si>
    <t>- CAPEX</t>
  </si>
  <si>
    <t>- Change in NWC</t>
  </si>
  <si>
    <t>FCFF</t>
  </si>
  <si>
    <t>Discount Factor</t>
  </si>
  <si>
    <t>PV of FCFF</t>
  </si>
  <si>
    <t>WACC</t>
  </si>
  <si>
    <t>Net Working Capital</t>
  </si>
  <si>
    <t>Share Outstanding</t>
  </si>
  <si>
    <t>Current Price</t>
  </si>
  <si>
    <t>Market Value of Equity</t>
  </si>
  <si>
    <t>Market Value of Debt</t>
  </si>
  <si>
    <t>Cost of Equity</t>
  </si>
  <si>
    <t>Cost of Debt</t>
  </si>
  <si>
    <t>Risk Free Rate</t>
  </si>
  <si>
    <t>Tax Rate</t>
  </si>
  <si>
    <t>LT Growth Rate</t>
  </si>
  <si>
    <t>Terminal Value</t>
  </si>
  <si>
    <t>Total Enterprise Value (TEV)</t>
  </si>
  <si>
    <t>- Net Debt</t>
  </si>
  <si>
    <t>Equity Value</t>
  </si>
  <si>
    <t>Share Price</t>
  </si>
  <si>
    <t>Meta</t>
  </si>
  <si>
    <t>Google</t>
  </si>
  <si>
    <t>GCP</t>
  </si>
  <si>
    <t>OpenAI</t>
  </si>
  <si>
    <t>Microsoft</t>
  </si>
  <si>
    <t>Azure</t>
  </si>
  <si>
    <t>Character.ai</t>
  </si>
  <si>
    <t>AWS</t>
  </si>
  <si>
    <t>Amazon AI</t>
  </si>
  <si>
    <t>Lambda</t>
  </si>
  <si>
    <t>Coreweave</t>
  </si>
  <si>
    <t>Tesla</t>
  </si>
  <si>
    <t>Baidu</t>
  </si>
  <si>
    <t>Academics</t>
  </si>
  <si>
    <t>Government</t>
  </si>
  <si>
    <t>Tencent</t>
  </si>
  <si>
    <t>Oracle</t>
  </si>
  <si>
    <t>IBM</t>
  </si>
  <si>
    <t>Anthropic</t>
  </si>
  <si>
    <t>Bytedance</t>
  </si>
  <si>
    <t>Total</t>
  </si>
  <si>
    <t>GPU Count</t>
  </si>
  <si>
    <t>SPY</t>
  </si>
  <si>
    <t>NVDA</t>
  </si>
  <si>
    <t>Date</t>
  </si>
  <si>
    <t>% Change NVDA</t>
  </si>
  <si>
    <t>% Change SPY</t>
  </si>
  <si>
    <t>Beta</t>
  </si>
  <si>
    <t>% yoy</t>
  </si>
  <si>
    <t>Terminal Value (Test)</t>
  </si>
  <si>
    <t>Every CEO wishes their company was NVDA right now..</t>
  </si>
  <si>
    <t>H100 Price</t>
  </si>
  <si>
    <t>B100 Price</t>
  </si>
  <si>
    <t>X100 Price</t>
  </si>
  <si>
    <t>Average</t>
  </si>
  <si>
    <t>is there any gaming needs</t>
  </si>
  <si>
    <t>double check gpu commits</t>
  </si>
  <si>
    <t>match MobilEye?</t>
  </si>
  <si>
    <t>check if SMCI and DELL gets allocation or it's all going to DCAI</t>
  </si>
  <si>
    <t>check GPU profit margins</t>
  </si>
  <si>
    <t>Training and inference</t>
  </si>
  <si>
    <t>Lord Aswath's ERP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</si>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</sst>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E&quot;0"/>
    <numFmt numFmtId="165" formatCode="yyyy\-mm\-dd\ hh:mm:ss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 val="singleAccounting"/>
      <sz val="11"/>
      <name val="Calibri"/>
      <family val="2"/>
      <scheme val="minor"/>
    </font>
    <font>
      <i/>
      <sz val="11"/>
      <name val="Calibri"/>
      <family val="2"/>
      <scheme val="minor"/>
    </font>
    <font>
      <u val="singleAccounting"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u val="singleAccounting"/>
      <sz val="11"/>
      <color rgb="FF0000FF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rgb="FF0000FF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0">
    <xf numFmtId="0" fontId="0" fillId="0" borderId="0" xfId="0"/>
    <xf numFmtId="0" fontId="3" fillId="0" borderId="0" xfId="1" applyFont="1"/>
    <xf numFmtId="0" fontId="5" fillId="0" borderId="0" xfId="1" applyFont="1"/>
    <xf numFmtId="0" fontId="4" fillId="0" borderId="0" xfId="1" applyFont="1"/>
    <xf numFmtId="4" fontId="4" fillId="0" borderId="0" xfId="0" applyNumberFormat="1" applyFont="1"/>
    <xf numFmtId="4" fontId="13" fillId="0" borderId="0" xfId="0" applyNumberFormat="1" applyFont="1"/>
    <xf numFmtId="4" fontId="4" fillId="0" borderId="0" xfId="1" applyNumberFormat="1" applyFont="1"/>
    <xf numFmtId="4" fontId="4" fillId="0" borderId="0" xfId="1" applyNumberFormat="1" applyFont="1" applyAlignment="1">
      <alignment horizontal="left"/>
    </xf>
    <xf numFmtId="4" fontId="13" fillId="0" borderId="0" xfId="1" applyNumberFormat="1" applyFont="1"/>
    <xf numFmtId="4" fontId="5" fillId="0" borderId="0" xfId="1" applyNumberFormat="1" applyFont="1" applyAlignment="1">
      <alignment horizontal="left"/>
    </xf>
    <xf numFmtId="4" fontId="5" fillId="0" borderId="0" xfId="1" applyNumberFormat="1" applyFont="1" applyAlignment="1">
      <alignment vertical="top" wrapText="1"/>
    </xf>
    <xf numFmtId="4" fontId="5" fillId="0" borderId="0" xfId="1" applyNumberFormat="1" applyFont="1" applyAlignment="1">
      <alignment horizontal="left" vertical="top"/>
    </xf>
    <xf numFmtId="4" fontId="5" fillId="0" borderId="0" xfId="1" applyNumberFormat="1" applyFont="1" applyAlignment="1">
      <alignment horizontal="right" vertical="top" wrapText="1"/>
    </xf>
    <xf numFmtId="4" fontId="12" fillId="0" borderId="0" xfId="1" applyNumberFormat="1" applyFont="1" applyAlignment="1">
      <alignment horizontal="left" vertical="top"/>
    </xf>
    <xf numFmtId="4" fontId="13" fillId="0" borderId="0" xfId="1" applyNumberFormat="1" applyFont="1" applyAlignment="1">
      <alignment horizontal="left"/>
    </xf>
    <xf numFmtId="4" fontId="4" fillId="0" borderId="0" xfId="1" applyNumberFormat="1" applyFont="1" applyAlignment="1">
      <alignment horizontal="left" vertical="top"/>
    </xf>
    <xf numFmtId="4" fontId="3" fillId="0" borderId="0" xfId="1" applyNumberFormat="1" applyFont="1"/>
    <xf numFmtId="4" fontId="8" fillId="0" borderId="0" xfId="1" applyNumberFormat="1" applyFont="1" applyAlignment="1">
      <alignment horizontal="right" vertical="top" wrapText="1"/>
    </xf>
    <xf numFmtId="4" fontId="7" fillId="0" borderId="0" xfId="1" applyNumberFormat="1" applyFont="1"/>
    <xf numFmtId="4" fontId="8" fillId="0" borderId="0" xfId="1" applyNumberFormat="1" applyFont="1" applyAlignment="1">
      <alignment vertical="top" wrapText="1"/>
    </xf>
    <xf numFmtId="4" fontId="8" fillId="0" borderId="0" xfId="1" applyNumberFormat="1" applyFont="1" applyAlignment="1">
      <alignment horizontal="left" vertical="top"/>
    </xf>
    <xf numFmtId="4" fontId="8" fillId="0" borderId="1" xfId="1" applyNumberFormat="1" applyFont="1" applyBorder="1" applyAlignment="1">
      <alignment horizontal="left" vertical="top"/>
    </xf>
    <xf numFmtId="4" fontId="8" fillId="0" borderId="1" xfId="1" applyNumberFormat="1" applyFont="1" applyBorder="1" applyAlignment="1">
      <alignment horizontal="right" vertical="top" wrapText="1"/>
    </xf>
    <xf numFmtId="4" fontId="8" fillId="0" borderId="0" xfId="1" applyNumberFormat="1" applyFont="1" applyAlignment="1">
      <alignment horizontal="left"/>
    </xf>
    <xf numFmtId="4" fontId="8" fillId="0" borderId="0" xfId="2" applyNumberFormat="1" applyFont="1" applyFill="1"/>
    <xf numFmtId="4" fontId="7" fillId="0" borderId="0" xfId="1" applyNumberFormat="1" applyFont="1" applyAlignment="1">
      <alignment horizontal="left"/>
    </xf>
    <xf numFmtId="4" fontId="7" fillId="0" borderId="0" xfId="2" applyNumberFormat="1" applyFont="1" applyFill="1"/>
    <xf numFmtId="4" fontId="8" fillId="0" borderId="0" xfId="1" applyNumberFormat="1" applyFont="1"/>
    <xf numFmtId="4" fontId="7" fillId="0" borderId="0" xfId="1" applyNumberFormat="1" applyFont="1" applyAlignment="1">
      <alignment horizontal="left" indent="1"/>
    </xf>
    <xf numFmtId="4" fontId="7" fillId="0" borderId="0" xfId="2" applyNumberFormat="1" applyFont="1" applyFill="1" applyAlignment="1">
      <alignment horizontal="right"/>
    </xf>
    <xf numFmtId="4" fontId="10" fillId="0" borderId="0" xfId="1" applyNumberFormat="1" applyFont="1" applyAlignment="1">
      <alignment horizontal="left"/>
    </xf>
    <xf numFmtId="4" fontId="11" fillId="0" borderId="0" xfId="2" applyNumberFormat="1" applyFont="1" applyFill="1"/>
    <xf numFmtId="4" fontId="11" fillId="0" borderId="0" xfId="2" applyNumberFormat="1" applyFont="1" applyFill="1" applyAlignment="1">
      <alignment horizontal="right"/>
    </xf>
    <xf numFmtId="4" fontId="12" fillId="0" borderId="0" xfId="1" applyNumberFormat="1" applyFont="1" applyAlignment="1">
      <alignment horizontal="right" vertical="top" wrapText="1"/>
    </xf>
    <xf numFmtId="4" fontId="4" fillId="0" borderId="0" xfId="1" applyNumberFormat="1" applyFont="1" applyAlignment="1">
      <alignment horizontal="left" vertical="top" indent="1"/>
    </xf>
    <xf numFmtId="4" fontId="13" fillId="2" borderId="2" xfId="1" applyNumberFormat="1" applyFont="1" applyFill="1" applyBorder="1" applyAlignment="1">
      <alignment horizontal="right" vertical="top" wrapText="1"/>
    </xf>
    <xf numFmtId="0" fontId="8" fillId="0" borderId="0" xfId="3" applyNumberFormat="1" applyFont="1" applyFill="1" applyAlignment="1">
      <alignment horizontal="right" vertical="top" wrapText="1"/>
    </xf>
    <xf numFmtId="0" fontId="8" fillId="0" borderId="0" xfId="1" applyFont="1" applyAlignment="1">
      <alignment horizontal="right" vertical="top" wrapText="1"/>
    </xf>
    <xf numFmtId="10" fontId="4" fillId="0" borderId="0" xfId="4" applyNumberFormat="1" applyFont="1" applyFill="1"/>
    <xf numFmtId="10" fontId="13" fillId="2" borderId="2" xfId="1" applyNumberFormat="1" applyFont="1" applyFill="1" applyBorder="1" applyAlignment="1">
      <alignment horizontal="right" vertical="top" wrapText="1"/>
    </xf>
    <xf numFmtId="164" fontId="8" fillId="0" borderId="0" xfId="3" applyNumberFormat="1" applyFont="1" applyFill="1" applyAlignment="1">
      <alignment horizontal="right" vertical="top" wrapText="1"/>
    </xf>
    <xf numFmtId="0" fontId="6" fillId="0" borderId="0" xfId="0" applyFont="1"/>
    <xf numFmtId="10" fontId="7" fillId="0" borderId="0" xfId="1" applyNumberFormat="1" applyFont="1" applyAlignment="1">
      <alignment horizontal="right" vertical="top" wrapText="1"/>
    </xf>
    <xf numFmtId="43" fontId="0" fillId="0" borderId="0" xfId="3" applyFont="1"/>
    <xf numFmtId="43" fontId="0" fillId="0" borderId="0" xfId="0" applyNumberFormat="1"/>
    <xf numFmtId="43" fontId="6" fillId="0" borderId="0" xfId="3" applyFont="1"/>
    <xf numFmtId="0" fontId="6" fillId="0" borderId="4" xfId="0" applyFont="1" applyBorder="1"/>
    <xf numFmtId="43" fontId="13" fillId="2" borderId="0" xfId="3" applyFont="1" applyFill="1"/>
    <xf numFmtId="10" fontId="13" fillId="2" borderId="3" xfId="3" applyNumberFormat="1" applyFont="1" applyFill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43" fontId="7" fillId="0" borderId="0" xfId="3" applyFont="1" applyFill="1" applyBorder="1"/>
    <xf numFmtId="43" fontId="6" fillId="0" borderId="0" xfId="0" applyNumberFormat="1" applyFont="1"/>
    <xf numFmtId="43" fontId="14" fillId="2" borderId="0" xfId="3" applyFont="1" applyFill="1"/>
    <xf numFmtId="10" fontId="0" fillId="0" borderId="0" xfId="0" applyNumberFormat="1"/>
    <xf numFmtId="43" fontId="13" fillId="0" borderId="0" xfId="3" applyFont="1"/>
    <xf numFmtId="43" fontId="11" fillId="0" borderId="0" xfId="3" applyFont="1"/>
    <xf numFmtId="43" fontId="7" fillId="0" borderId="0" xfId="3" applyFont="1"/>
    <xf numFmtId="10" fontId="13" fillId="0" borderId="0" xfId="1" applyNumberFormat="1" applyFont="1"/>
    <xf numFmtId="0" fontId="15" fillId="0" borderId="0" xfId="1" applyFont="1"/>
    <xf numFmtId="43" fontId="13" fillId="0" borderId="0" xfId="1" applyNumberFormat="1" applyFont="1"/>
    <xf numFmtId="10" fontId="4" fillId="0" borderId="0" xfId="1" applyNumberFormat="1" applyFont="1"/>
    <xf numFmtId="43" fontId="13" fillId="0" borderId="0" xfId="3" applyFont="1" applyAlignment="1">
      <alignment horizontal="left"/>
    </xf>
    <xf numFmtId="43" fontId="7" fillId="0" borderId="0" xfId="3" applyFont="1" applyAlignment="1">
      <alignment horizontal="left"/>
    </xf>
    <xf numFmtId="10" fontId="7" fillId="0" borderId="0" xfId="1" applyNumberFormat="1" applyFont="1"/>
    <xf numFmtId="0" fontId="16" fillId="0" borderId="0" xfId="1" applyFont="1"/>
    <xf numFmtId="0" fontId="15" fillId="0" borderId="0" xfId="1" quotePrefix="1" applyFont="1"/>
    <xf numFmtId="43" fontId="4" fillId="0" borderId="0" xfId="3" applyFont="1"/>
    <xf numFmtId="43" fontId="8" fillId="0" borderId="0" xfId="3" applyFont="1" applyFill="1"/>
    <xf numFmtId="43" fontId="7" fillId="0" borderId="0" xfId="3" applyFont="1" applyFill="1"/>
    <xf numFmtId="43" fontId="8" fillId="0" borderId="0" xfId="3" applyFont="1"/>
    <xf numFmtId="43" fontId="7" fillId="0" borderId="0" xfId="3" applyFont="1" applyFill="1" applyAlignment="1">
      <alignment horizontal="right"/>
    </xf>
    <xf numFmtId="43" fontId="9" fillId="0" borderId="0" xfId="3" applyFont="1" applyFill="1"/>
    <xf numFmtId="43" fontId="8" fillId="0" borderId="0" xfId="3" applyFont="1" applyFill="1" applyAlignment="1">
      <alignment horizontal="right"/>
    </xf>
    <xf numFmtId="43" fontId="8" fillId="0" borderId="0" xfId="3" applyFont="1" applyAlignment="1">
      <alignment horizontal="right" vertical="top" wrapText="1"/>
    </xf>
    <xf numFmtId="43" fontId="7" fillId="0" borderId="0" xfId="3" applyFont="1" applyAlignment="1">
      <alignment horizontal="right" vertical="top" wrapText="1"/>
    </xf>
    <xf numFmtId="43" fontId="12" fillId="0" borderId="0" xfId="3" applyFont="1" applyAlignment="1">
      <alignment horizontal="left" vertical="top"/>
    </xf>
    <xf numFmtId="43" fontId="5" fillId="0" borderId="0" xfId="3" applyFont="1"/>
    <xf numFmtId="43" fontId="11" fillId="0" borderId="0" xfId="3" applyFont="1" applyFill="1"/>
    <xf numFmtId="43" fontId="11" fillId="0" borderId="0" xfId="3" applyFont="1" applyFill="1" applyAlignment="1">
      <alignment horizontal="right"/>
    </xf>
    <xf numFmtId="43" fontId="7" fillId="0" borderId="0" xfId="3" applyFont="1" applyAlignment="1">
      <alignment horizontal="right"/>
    </xf>
    <xf numFmtId="43" fontId="17" fillId="0" borderId="0" xfId="3" applyFont="1" applyFill="1"/>
    <xf numFmtId="43" fontId="17" fillId="0" borderId="0" xfId="3" applyFont="1"/>
    <xf numFmtId="10" fontId="7" fillId="0" borderId="0" xfId="3" applyNumberFormat="1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4" xfId="0" applyBorder="1"/>
    <xf numFmtId="43" fontId="0" fillId="0" borderId="4" xfId="0" applyNumberFormat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0" xfId="0" quotePrefix="1"/>
    <xf numFmtId="0" fontId="0" fillId="0" borderId="4" xfId="0" quotePrefix="1" applyBorder="1"/>
    <xf numFmtId="0" fontId="18" fillId="0" borderId="4" xfId="0" applyFont="1" applyBorder="1"/>
    <xf numFmtId="4" fontId="0" fillId="0" borderId="0" xfId="0" applyNumberFormat="1"/>
    <xf numFmtId="4" fontId="0" fillId="0" borderId="4" xfId="0" applyNumberFormat="1" applyBorder="1"/>
    <xf numFmtId="0" fontId="3" fillId="0" borderId="0" xfId="0" applyFont="1"/>
    <xf numFmtId="43" fontId="19" fillId="0" borderId="0" xfId="3" applyFont="1"/>
    <xf numFmtId="43" fontId="20" fillId="0" borderId="0" xfId="3" applyFont="1"/>
    <xf numFmtId="43" fontId="20" fillId="0" borderId="0" xfId="0" applyNumberFormat="1" applyFont="1"/>
    <xf numFmtId="0" fontId="6" fillId="0" borderId="2" xfId="0" applyFont="1" applyBorder="1"/>
    <xf numFmtId="43" fontId="0" fillId="0" borderId="2" xfId="0" applyNumberFormat="1" applyBorder="1"/>
    <xf numFmtId="165" fontId="21" fillId="0" borderId="7" xfId="0" applyNumberFormat="1" applyFont="1" applyBorder="1" applyAlignment="1">
      <alignment horizontal="center" vertical="top"/>
    </xf>
    <xf numFmtId="0" fontId="21" fillId="0" borderId="7" xfId="0" applyFont="1" applyBorder="1" applyAlignment="1">
      <alignment horizontal="center" vertical="top"/>
    </xf>
    <xf numFmtId="4" fontId="15" fillId="0" borderId="0" xfId="1" applyNumberFormat="1" applyFont="1" applyAlignment="1">
      <alignment horizontal="left"/>
    </xf>
    <xf numFmtId="4" fontId="15" fillId="0" borderId="0" xfId="1" applyNumberFormat="1" applyFont="1" applyAlignment="1">
      <alignment horizontal="left" indent="1"/>
    </xf>
    <xf numFmtId="10" fontId="10" fillId="0" borderId="0" xfId="3" applyNumberFormat="1" applyFont="1" applyFill="1"/>
    <xf numFmtId="0" fontId="6" fillId="0" borderId="8" xfId="0" applyFont="1" applyBorder="1"/>
    <xf numFmtId="43" fontId="0" fillId="0" borderId="2" xfId="3" applyFont="1" applyBorder="1"/>
    <xf numFmtId="10" fontId="22" fillId="0" borderId="2" xfId="4" applyNumberFormat="1" applyFont="1" applyBorder="1"/>
    <xf numFmtId="10" fontId="13" fillId="2" borderId="2" xfId="0" applyNumberFormat="1" applyFont="1" applyFill="1" applyBorder="1"/>
    <xf numFmtId="43" fontId="13" fillId="2" borderId="2" xfId="3" applyFont="1" applyFill="1" applyBorder="1"/>
    <xf numFmtId="4" fontId="22" fillId="0" borderId="0" xfId="1" applyNumberFormat="1" applyFont="1"/>
    <xf numFmtId="4" fontId="10" fillId="0" borderId="0" xfId="1" applyNumberFormat="1" applyFont="1"/>
    <xf numFmtId="3" fontId="13" fillId="2" borderId="2" xfId="1" applyNumberFormat="1" applyFont="1" applyFill="1" applyBorder="1"/>
    <xf numFmtId="3" fontId="8" fillId="0" borderId="0" xfId="1" applyNumberFormat="1" applyFont="1"/>
    <xf numFmtId="0" fontId="23" fillId="0" borderId="0" xfId="0" applyFont="1"/>
    <xf numFmtId="10" fontId="22" fillId="0" borderId="0" xfId="4" applyNumberFormat="1" applyFont="1" applyBorder="1"/>
    <xf numFmtId="10" fontId="13" fillId="2" borderId="2" xfId="3" applyNumberFormat="1" applyFont="1" applyFill="1" applyBorder="1"/>
    <xf numFmtId="0" fontId="18" fillId="0" borderId="0" xfId="0" applyFont="1"/>
    <xf numFmtId="10" fontId="6" fillId="0" borderId="9" xfId="0" applyNumberFormat="1" applyFont="1" applyBorder="1"/>
  </cellXfs>
  <cellStyles count="5">
    <cellStyle name="Comma" xfId="3" builtinId="3"/>
    <cellStyle name="Comma 2" xfId="2" xr:uid="{77DDDC50-9597-44DE-BAB3-14E269649892}"/>
    <cellStyle name="Normal" xfId="0" builtinId="0"/>
    <cellStyle name="Normal 2" xfId="1" xr:uid="{0A414BF7-F56B-4B9A-8BB2-81B613AFD5F2}"/>
    <cellStyle name="Percent" xfId="4" builtinId="5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D8AF0A8C-A271-42E4-9EE8-AE681C9CC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476250" cy="4762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10</xdr:row>
      <xdr:rowOff>104775</xdr:rowOff>
    </xdr:from>
    <xdr:to>
      <xdr:col>13</xdr:col>
      <xdr:colOff>323850</xdr:colOff>
      <xdr:row>32</xdr:row>
      <xdr:rowOff>104775</xdr:rowOff>
    </xdr:to>
    <xdr:pic>
      <xdr:nvPicPr>
        <xdr:cNvPr id="2" name="Picture 1" descr="NVIDIA Roadmap 2023 10">
          <a:extLst>
            <a:ext uri="{FF2B5EF4-FFF2-40B4-BE49-F238E27FC236}">
              <a16:creationId xmlns:a16="http://schemas.microsoft.com/office/drawing/2014/main" id="{57D708A2-B910-7C82-8D81-9C6BB63D3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009775"/>
          <a:ext cx="7620000" cy="419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N36"/>
  <sheetViews>
    <sheetView showGridLines="0" tabSelected="1" topLeftCell="A3" workbookViewId="0">
      <selection activeCell="J14" sqref="J14"/>
    </sheetView>
  </sheetViews>
  <sheetFormatPr defaultRowHeight="15" x14ac:dyDescent="0.25"/>
  <cols>
    <col min="1" max="1" width="1.7109375" customWidth="1"/>
    <col min="2" max="2" width="26.28515625" bestFit="1" customWidth="1"/>
    <col min="3" max="9" width="16.85546875" customWidth="1"/>
  </cols>
  <sheetData>
    <row r="2" spans="2:9" x14ac:dyDescent="0.25">
      <c r="B2" s="41" t="s">
        <v>217</v>
      </c>
    </row>
    <row r="3" spans="2:9" x14ac:dyDescent="0.25">
      <c r="B3" s="88" t="s">
        <v>223</v>
      </c>
      <c r="C3" s="89">
        <v>2023</v>
      </c>
      <c r="D3" s="89">
        <f>+C3+1</f>
        <v>2024</v>
      </c>
      <c r="E3" s="89">
        <f t="shared" ref="E3:H3" si="0">+D3+1</f>
        <v>2025</v>
      </c>
      <c r="F3" s="89">
        <f t="shared" si="0"/>
        <v>2026</v>
      </c>
      <c r="G3" s="89">
        <f t="shared" si="0"/>
        <v>2027</v>
      </c>
      <c r="H3" s="89">
        <f t="shared" si="0"/>
        <v>2028</v>
      </c>
    </row>
    <row r="4" spans="2:9" x14ac:dyDescent="0.25">
      <c r="B4" t="s">
        <v>160</v>
      </c>
      <c r="C4" s="44">
        <f>+'Financial Statement'!G169</f>
        <v>60922000</v>
      </c>
      <c r="D4" s="44">
        <f>+'Financial Statement'!H169</f>
        <v>53814790</v>
      </c>
      <c r="E4" s="44">
        <f>+'Financial Statement'!I169</f>
        <v>56223235.450000003</v>
      </c>
      <c r="F4" s="44">
        <f>+'Financial Statement'!J169</f>
        <v>57516388.716249995</v>
      </c>
      <c r="G4" s="44">
        <f>+'Financial Statement'!K169</f>
        <v>57694303.401851244</v>
      </c>
      <c r="H4" s="44">
        <f>+'Financial Statement'!L169</f>
        <v>56081034.379282802</v>
      </c>
    </row>
    <row r="5" spans="2:9" x14ac:dyDescent="0.25">
      <c r="B5" s="84" t="s">
        <v>221</v>
      </c>
    </row>
    <row r="6" spans="2:9" x14ac:dyDescent="0.25">
      <c r="B6" t="s">
        <v>218</v>
      </c>
      <c r="C6" s="44">
        <f>+'Financial Statement'!G177</f>
        <v>32972000</v>
      </c>
      <c r="D6" s="44">
        <f>+'Financial Statement'!H177</f>
        <v>21525916</v>
      </c>
      <c r="E6" s="44">
        <f>+'Financial Statement'!I177</f>
        <v>36368221.960000001</v>
      </c>
      <c r="F6" s="44">
        <f>+'Financial Statement'!J177</f>
        <v>42568964.412999995</v>
      </c>
      <c r="G6" s="44">
        <f>+'Financial Statement'!K177</f>
        <v>44777784.097480997</v>
      </c>
      <c r="H6" s="44">
        <f>+'Financial Statement'!L177</f>
        <v>44313764.053826235</v>
      </c>
    </row>
    <row r="7" spans="2:9" x14ac:dyDescent="0.25">
      <c r="B7" s="84" t="s">
        <v>220</v>
      </c>
    </row>
    <row r="8" spans="2:9" x14ac:dyDescent="0.25">
      <c r="B8" s="86" t="s">
        <v>219</v>
      </c>
      <c r="C8" s="87">
        <f>+'Financial Statement'!G193</f>
        <v>4058000</v>
      </c>
      <c r="D8" s="87">
        <f>+'Financial Statement'!H193</f>
        <v>1256449.3614646494</v>
      </c>
      <c r="E8" s="87">
        <f>+'Financial Statement'!I193</f>
        <v>2540383.609144019</v>
      </c>
      <c r="F8" s="87">
        <f>+'Financial Statement'!J193</f>
        <v>3005667.5569887199</v>
      </c>
      <c r="G8" s="87">
        <f>+'Financial Statement'!K193</f>
        <v>3244385.2838743161</v>
      </c>
      <c r="H8" s="87">
        <f>+'Financial Statement'!L193</f>
        <v>3157792.9698418947</v>
      </c>
    </row>
    <row r="9" spans="2:9" x14ac:dyDescent="0.25">
      <c r="B9" s="85" t="s">
        <v>222</v>
      </c>
      <c r="C9" s="44">
        <f>+C6-C8</f>
        <v>28914000</v>
      </c>
      <c r="D9" s="44">
        <f>+D6-D8</f>
        <v>20269466.638535351</v>
      </c>
      <c r="E9" s="44">
        <f t="shared" ref="E9:H9" si="1">+E6-E8</f>
        <v>33827838.350855984</v>
      </c>
      <c r="F9" s="44">
        <f t="shared" si="1"/>
        <v>39563296.856011271</v>
      </c>
      <c r="G9" s="44">
        <f t="shared" si="1"/>
        <v>41533398.813606679</v>
      </c>
      <c r="H9" s="44">
        <f t="shared" si="1"/>
        <v>41155971.083984338</v>
      </c>
    </row>
    <row r="10" spans="2:9" x14ac:dyDescent="0.25">
      <c r="B10" s="84" t="s">
        <v>224</v>
      </c>
      <c r="C10" s="54">
        <f>+C9/C4</f>
        <v>0.47460687436394078</v>
      </c>
      <c r="D10" s="54">
        <f t="shared" ref="D10:H10" si="2">+D9/D4</f>
        <v>0.37665234108570061</v>
      </c>
      <c r="E10" s="54">
        <f t="shared" si="2"/>
        <v>0.6016700760833924</v>
      </c>
      <c r="F10" s="54">
        <f t="shared" si="2"/>
        <v>0.68786128161126237</v>
      </c>
      <c r="G10" s="54">
        <f t="shared" si="2"/>
        <v>0.71988734354445805</v>
      </c>
      <c r="H10" s="54">
        <f t="shared" si="2"/>
        <v>0.73386611961615289</v>
      </c>
    </row>
    <row r="11" spans="2:9" x14ac:dyDescent="0.25">
      <c r="B11" s="90" t="s">
        <v>225</v>
      </c>
      <c r="D11" s="93">
        <f>+'Financial Statement'!H228</f>
        <v>0</v>
      </c>
      <c r="E11" s="93">
        <f>+'Financial Statement'!I228</f>
        <v>0</v>
      </c>
      <c r="F11" s="93">
        <f>+'Financial Statement'!J228</f>
        <v>0</v>
      </c>
      <c r="G11" s="93">
        <f>+'Financial Statement'!K228</f>
        <v>0</v>
      </c>
      <c r="H11" s="93">
        <f>+'Financial Statement'!L228</f>
        <v>0</v>
      </c>
      <c r="I11" s="95" t="s">
        <v>277</v>
      </c>
    </row>
    <row r="12" spans="2:9" x14ac:dyDescent="0.25">
      <c r="B12" s="90" t="s">
        <v>226</v>
      </c>
      <c r="C12" s="93"/>
      <c r="D12" s="93">
        <f>+'Financial Statement'!H258</f>
        <v>0</v>
      </c>
      <c r="E12" s="93">
        <f>+'Financial Statement'!I258</f>
        <v>0</v>
      </c>
      <c r="F12" s="93">
        <f>+'Financial Statement'!J258</f>
        <v>0</v>
      </c>
      <c r="G12" s="93">
        <f>+'Financial Statement'!K258</f>
        <v>0</v>
      </c>
      <c r="H12" s="93">
        <f>+'Financial Statement'!L258</f>
        <v>0</v>
      </c>
    </row>
    <row r="13" spans="2:9" x14ac:dyDescent="0.25">
      <c r="B13" s="91" t="s">
        <v>227</v>
      </c>
      <c r="C13" s="86"/>
      <c r="D13" s="94">
        <f>+'Financial Statement'!H218-'Financial Statement'!G218</f>
        <v>0</v>
      </c>
      <c r="E13" s="94">
        <f>+'Financial Statement'!I218-'Financial Statement'!H218</f>
        <v>0</v>
      </c>
      <c r="F13" s="94">
        <f>+'Financial Statement'!J218-'Financial Statement'!I218</f>
        <v>0</v>
      </c>
      <c r="G13" s="94">
        <f>+'Financial Statement'!K218-'Financial Statement'!J218</f>
        <v>0</v>
      </c>
      <c r="H13" s="94">
        <f>+'Financial Statement'!L218-'Financial Statement'!K218</f>
        <v>0</v>
      </c>
    </row>
    <row r="14" spans="2:9" x14ac:dyDescent="0.25">
      <c r="B14" s="41" t="s">
        <v>228</v>
      </c>
      <c r="C14" s="52"/>
      <c r="D14" s="52">
        <f>+D9+D11+D12+D13</f>
        <v>20269466.638535351</v>
      </c>
      <c r="E14" s="52">
        <f t="shared" ref="E14:H14" si="3">+E9+E11+E12+E13</f>
        <v>33827838.350855984</v>
      </c>
      <c r="F14" s="52">
        <f t="shared" si="3"/>
        <v>39563296.856011271</v>
      </c>
      <c r="G14" s="52">
        <f t="shared" si="3"/>
        <v>41533398.813606679</v>
      </c>
      <c r="H14" s="52">
        <f t="shared" si="3"/>
        <v>41155971.083984338</v>
      </c>
    </row>
    <row r="15" spans="2:9" x14ac:dyDescent="0.25">
      <c r="B15" s="92" t="s">
        <v>229</v>
      </c>
      <c r="C15" s="92"/>
      <c r="D15" s="92">
        <v>0</v>
      </c>
      <c r="E15" s="92">
        <f>+D15+1</f>
        <v>1</v>
      </c>
      <c r="F15" s="92">
        <f t="shared" ref="F15:H15" si="4">+E15+1</f>
        <v>2</v>
      </c>
      <c r="G15" s="92">
        <f t="shared" si="4"/>
        <v>3</v>
      </c>
      <c r="H15" s="92">
        <f t="shared" si="4"/>
        <v>4</v>
      </c>
    </row>
    <row r="16" spans="2:9" ht="17.25" x14ac:dyDescent="0.4">
      <c r="B16" s="41" t="s">
        <v>230</v>
      </c>
      <c r="C16" s="41"/>
      <c r="D16" s="45">
        <f>+D14/(1+$C$30)^D15</f>
        <v>20269466.638535351</v>
      </c>
      <c r="E16" s="45">
        <f>+E14/(1+$C$30)^E15</f>
        <v>29529091.808938231</v>
      </c>
      <c r="F16" s="45">
        <f>+F14/(1+$C$30)^F15</f>
        <v>30147004.214950841</v>
      </c>
      <c r="G16" s="45">
        <f>+G14/(1+$C$30)^G15</f>
        <v>27626444.981024522</v>
      </c>
      <c r="H16" s="96">
        <f>+H14/(1+$C$30)^H15</f>
        <v>23896606.2324147</v>
      </c>
    </row>
    <row r="17" spans="2:14" x14ac:dyDescent="0.25">
      <c r="D17" s="54"/>
      <c r="H17" s="52">
        <f>+SUM(D16:H16)</f>
        <v>131468613.87586364</v>
      </c>
    </row>
    <row r="19" spans="2:14" x14ac:dyDescent="0.25">
      <c r="B19" t="s">
        <v>240</v>
      </c>
      <c r="C19" s="54">
        <f>+'Financial Statement'!G193/'Financial Statement'!G184</f>
        <v>0.1199952687917677</v>
      </c>
      <c r="E19" s="99" t="s">
        <v>246</v>
      </c>
      <c r="F19" s="100">
        <f>+C36/C21</f>
        <v>208.27032063770545</v>
      </c>
    </row>
    <row r="20" spans="2:14" x14ac:dyDescent="0.25">
      <c r="B20" t="s">
        <v>239</v>
      </c>
      <c r="C20" s="109">
        <v>5.5E-2</v>
      </c>
    </row>
    <row r="21" spans="2:14" x14ac:dyDescent="0.25">
      <c r="B21" t="s">
        <v>233</v>
      </c>
      <c r="C21" s="43">
        <f>+'Financial Statement'!G195</f>
        <v>2469000</v>
      </c>
    </row>
    <row r="22" spans="2:14" x14ac:dyDescent="0.25">
      <c r="B22" t="s">
        <v>234</v>
      </c>
      <c r="C22" s="110">
        <v>1000</v>
      </c>
      <c r="E22" s="41" t="s">
        <v>276</v>
      </c>
    </row>
    <row r="23" spans="2:14" x14ac:dyDescent="0.25">
      <c r="B23" t="s">
        <v>274</v>
      </c>
      <c r="C23" s="43">
        <f>+SLOPE(df!D2:D755,df!E2:E755)</f>
        <v>2.1784693004584912</v>
      </c>
      <c r="E23" s="108">
        <v>2.5000000000000001E-2</v>
      </c>
      <c r="F23" s="108">
        <f>+E23+0.5%</f>
        <v>3.0000000000000002E-2</v>
      </c>
      <c r="G23" s="108">
        <f t="shared" ref="G23:I23" si="5">+F23+0.5%</f>
        <v>3.5000000000000003E-2</v>
      </c>
      <c r="H23" s="108">
        <f t="shared" si="5"/>
        <v>0.04</v>
      </c>
      <c r="I23" s="108">
        <f t="shared" si="5"/>
        <v>4.4999999999999998E-2</v>
      </c>
    </row>
    <row r="24" spans="2:14" x14ac:dyDescent="0.25">
      <c r="B24" s="118" t="s">
        <v>288</v>
      </c>
      <c r="C24" s="117">
        <v>4.1799999999999997E-2</v>
      </c>
      <c r="E24" s="116"/>
      <c r="F24" s="116"/>
      <c r="G24" s="116"/>
      <c r="H24" s="116"/>
      <c r="I24" s="116"/>
    </row>
    <row r="25" spans="2:14" x14ac:dyDescent="0.25">
      <c r="B25" t="s">
        <v>235</v>
      </c>
      <c r="C25" s="44">
        <f>+C21*C22</f>
        <v>2469000000</v>
      </c>
      <c r="E25" s="43" cm="1">
        <f t="array" ref="E25:I25">+($H$14*(1+sensitivityTV)/(C30-sensitivityTV))-$C$35+$H$17</f>
        <v>478857952.79030323</v>
      </c>
      <c r="F25" s="43">
        <v>495773795.13616931</v>
      </c>
      <c r="G25" s="43">
        <v>514219421.65449476</v>
      </c>
      <c r="H25" s="43">
        <v>534412179.27317142</v>
      </c>
      <c r="I25" s="43">
        <v>556612635.07257831</v>
      </c>
    </row>
    <row r="26" spans="2:14" x14ac:dyDescent="0.25">
      <c r="B26" t="s">
        <v>236</v>
      </c>
      <c r="C26" s="44">
        <f>+SUM('Debt Schedule'!B13)</f>
        <v>9750000</v>
      </c>
    </row>
    <row r="27" spans="2:14" x14ac:dyDescent="0.25">
      <c r="B27" t="s">
        <v>237</v>
      </c>
      <c r="C27" s="54">
        <f>+C20+C23*C24</f>
        <v>0.14606001675916491</v>
      </c>
      <c r="D27" s="95"/>
      <c r="E27" s="41" t="s">
        <v>246</v>
      </c>
      <c r="N27" t="s">
        <v>289</v>
      </c>
    </row>
    <row r="28" spans="2:14" x14ac:dyDescent="0.25">
      <c r="B28" t="s">
        <v>238</v>
      </c>
      <c r="C28" s="54">
        <f>+SUMPRODUCT('Debt Schedule'!B5:B12,'Debt Schedule'!C5:C12)/SUM('Debt Schedule'!B5:B12)</f>
        <v>2.6335897435897437E-2</v>
      </c>
      <c r="E28" s="107" cm="1">
        <f t="array" ref="E28:I28">+sensitivityTEV/$C$21</f>
        <v>193.94813802766433</v>
      </c>
      <c r="F28" s="107">
        <v>200.7994309988535</v>
      </c>
      <c r="G28" s="107">
        <v>208.27032063770545</v>
      </c>
      <c r="H28" s="107">
        <v>216.44883729168546</v>
      </c>
      <c r="I28" s="107">
        <v>225.44051643279801</v>
      </c>
    </row>
    <row r="29" spans="2:14" x14ac:dyDescent="0.25">
      <c r="C29" s="54"/>
    </row>
    <row r="30" spans="2:14" x14ac:dyDescent="0.25">
      <c r="B30" s="106" t="s">
        <v>231</v>
      </c>
      <c r="C30" s="119">
        <f>+(C25/SUM(C25:C26)*C27+(C26/SUM(C25:C26))*C28*(1-C19))</f>
        <v>0.14557665944255538</v>
      </c>
      <c r="G30" s="44"/>
    </row>
    <row r="32" spans="2:14" x14ac:dyDescent="0.25">
      <c r="B32" t="s">
        <v>241</v>
      </c>
      <c r="C32" s="109">
        <v>3.5000000000000003E-2</v>
      </c>
    </row>
    <row r="33" spans="2:3" ht="17.25" x14ac:dyDescent="0.4">
      <c r="B33" t="s">
        <v>242</v>
      </c>
      <c r="C33" s="97">
        <f>(H14*(1+C32)/(C30-C32))</f>
        <v>385220807.77863115</v>
      </c>
    </row>
    <row r="34" spans="2:3" x14ac:dyDescent="0.25">
      <c r="B34" s="41" t="s">
        <v>243</v>
      </c>
      <c r="C34" s="52">
        <f>+C33+H17</f>
        <v>516689421.65449476</v>
      </c>
    </row>
    <row r="35" spans="2:3" ht="17.25" x14ac:dyDescent="0.4">
      <c r="B35" s="90" t="s">
        <v>244</v>
      </c>
      <c r="C35" s="98">
        <f>+'Debt Schedule'!B13-'Financial Statement'!H81</f>
        <v>2470000</v>
      </c>
    </row>
    <row r="36" spans="2:3" x14ac:dyDescent="0.25">
      <c r="B36" s="41" t="s">
        <v>245</v>
      </c>
      <c r="C36" s="52">
        <f>+C34-C35</f>
        <v>514219421.65449476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E0D3-CD96-4190-8EAD-9B6ACEE15CA7}">
  <sheetPr codeName="Sheet3"/>
  <dimension ref="A4:R267"/>
  <sheetViews>
    <sheetView showGridLines="0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14" sqref="B14"/>
    </sheetView>
  </sheetViews>
  <sheetFormatPr defaultRowHeight="15" outlineLevelRow="1" x14ac:dyDescent="0.25"/>
  <cols>
    <col min="1" max="1" width="9.140625" style="1"/>
    <col min="2" max="2" width="50" style="3" customWidth="1"/>
    <col min="3" max="3" width="15.140625" style="3" bestFit="1" customWidth="1"/>
    <col min="4" max="6" width="15.85546875" style="3" bestFit="1" customWidth="1"/>
    <col min="7" max="7" width="15.140625" style="3" bestFit="1" customWidth="1"/>
    <col min="8" max="18" width="15.140625" style="3" customWidth="1"/>
    <col min="19" max="201" width="12" style="3" customWidth="1"/>
    <col min="202" max="16384" width="9.140625" style="3"/>
  </cols>
  <sheetData>
    <row r="4" spans="1:15" x14ac:dyDescent="0.25">
      <c r="A4" s="16"/>
      <c r="B4" s="7" t="s">
        <v>82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5" x14ac:dyDescent="0.25">
      <c r="A5" s="16"/>
      <c r="B5" s="9" t="s">
        <v>81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5" x14ac:dyDescent="0.25">
      <c r="A6" s="16"/>
      <c r="M6" s="8"/>
      <c r="N6" s="8"/>
    </row>
    <row r="7" spans="1:15" x14ac:dyDescent="0.25">
      <c r="A7" s="16"/>
      <c r="B7" s="19" t="s">
        <v>80</v>
      </c>
      <c r="C7" s="18"/>
      <c r="D7" s="18"/>
      <c r="E7" s="18"/>
      <c r="F7" s="18"/>
      <c r="G7" s="18"/>
      <c r="H7" s="8"/>
      <c r="I7" s="8"/>
      <c r="J7" s="8"/>
      <c r="K7" s="8"/>
      <c r="L7" s="8"/>
      <c r="M7" s="8"/>
      <c r="N7" s="6"/>
      <c r="O7" s="6"/>
    </row>
    <row r="8" spans="1:15" x14ac:dyDescent="0.25">
      <c r="A8" s="16"/>
      <c r="B8" s="20" t="s">
        <v>79</v>
      </c>
      <c r="C8" s="36">
        <v>2019</v>
      </c>
      <c r="D8" s="36">
        <f>+C8+1</f>
        <v>2020</v>
      </c>
      <c r="E8" s="36">
        <f t="shared" ref="E8:L8" si="0">+D8+1</f>
        <v>2021</v>
      </c>
      <c r="F8" s="36">
        <f t="shared" si="0"/>
        <v>2022</v>
      </c>
      <c r="G8" s="36">
        <f t="shared" si="0"/>
        <v>2023</v>
      </c>
      <c r="H8" s="40">
        <f t="shared" si="0"/>
        <v>2024</v>
      </c>
      <c r="I8" s="40">
        <f t="shared" si="0"/>
        <v>2025</v>
      </c>
      <c r="J8" s="40">
        <f t="shared" si="0"/>
        <v>2026</v>
      </c>
      <c r="K8" s="40">
        <f t="shared" si="0"/>
        <v>2027</v>
      </c>
      <c r="L8" s="40">
        <f t="shared" si="0"/>
        <v>2028</v>
      </c>
      <c r="M8" s="8"/>
      <c r="N8" s="8"/>
    </row>
    <row r="9" spans="1:15" x14ac:dyDescent="0.25">
      <c r="A9" s="16"/>
      <c r="B9" s="20"/>
      <c r="C9" s="36"/>
      <c r="D9" s="36"/>
      <c r="E9" s="36"/>
      <c r="F9" s="36"/>
      <c r="G9" s="36"/>
      <c r="H9" s="40"/>
      <c r="I9" s="40"/>
      <c r="J9" s="40"/>
      <c r="K9" s="40"/>
      <c r="L9" s="40"/>
      <c r="M9" s="8"/>
      <c r="N9" s="8"/>
    </row>
    <row r="10" spans="1:15" x14ac:dyDescent="0.25">
      <c r="A10" s="16"/>
      <c r="B10" s="9" t="s">
        <v>179</v>
      </c>
      <c r="C10" s="8"/>
      <c r="D10" s="8"/>
      <c r="E10" s="8"/>
      <c r="F10" s="8"/>
      <c r="G10" s="8"/>
      <c r="M10" s="8"/>
      <c r="N10" s="8"/>
    </row>
    <row r="11" spans="1:15" x14ac:dyDescent="0.25">
      <c r="A11" s="16"/>
      <c r="B11" s="7" t="s">
        <v>180</v>
      </c>
      <c r="C11" s="8"/>
      <c r="D11" s="8"/>
      <c r="E11" s="8"/>
      <c r="F11" s="8"/>
      <c r="G11" s="8">
        <v>3</v>
      </c>
      <c r="H11" s="35">
        <v>5</v>
      </c>
      <c r="I11" s="35">
        <v>5</v>
      </c>
      <c r="J11" s="35">
        <v>5</v>
      </c>
      <c r="K11" s="35">
        <v>5</v>
      </c>
      <c r="L11" s="35">
        <v>5</v>
      </c>
      <c r="M11" s="8"/>
      <c r="N11" s="8"/>
    </row>
    <row r="12" spans="1:15" x14ac:dyDescent="0.25">
      <c r="A12" s="16"/>
      <c r="B12" s="7" t="s">
        <v>181</v>
      </c>
      <c r="C12" s="8"/>
      <c r="D12" s="8"/>
      <c r="E12" s="8"/>
      <c r="F12" s="8"/>
      <c r="G12" s="8">
        <v>5</v>
      </c>
      <c r="H12" s="35">
        <v>7</v>
      </c>
      <c r="I12" s="35">
        <v>7</v>
      </c>
      <c r="J12" s="35">
        <v>7</v>
      </c>
      <c r="K12" s="35">
        <v>7</v>
      </c>
      <c r="L12" s="35">
        <v>7</v>
      </c>
      <c r="M12" s="8"/>
      <c r="N12" s="8"/>
    </row>
    <row r="13" spans="1:15" x14ac:dyDescent="0.25">
      <c r="A13" s="16"/>
      <c r="B13" s="9"/>
      <c r="C13" s="8"/>
      <c r="D13" s="8"/>
      <c r="E13" s="8"/>
      <c r="F13" s="8"/>
      <c r="G13" s="8"/>
      <c r="H13" s="33"/>
      <c r="I13" s="33"/>
      <c r="J13" s="33"/>
      <c r="K13" s="33"/>
      <c r="L13" s="33"/>
      <c r="M13" s="8"/>
      <c r="N13" s="8"/>
    </row>
    <row r="14" spans="1:15" x14ac:dyDescent="0.25">
      <c r="A14" s="16"/>
      <c r="B14" s="7" t="s">
        <v>278</v>
      </c>
      <c r="C14" s="8"/>
      <c r="D14" s="8"/>
      <c r="E14" s="8"/>
      <c r="F14" s="8"/>
      <c r="G14" s="35">
        <v>35</v>
      </c>
      <c r="H14" s="35">
        <v>32</v>
      </c>
      <c r="I14" s="35">
        <v>30</v>
      </c>
      <c r="J14" s="35"/>
      <c r="K14" s="35"/>
      <c r="L14" s="35"/>
      <c r="M14" s="8"/>
      <c r="N14" s="8"/>
    </row>
    <row r="15" spans="1:15" x14ac:dyDescent="0.25">
      <c r="A15" s="16"/>
      <c r="B15" s="7" t="s">
        <v>279</v>
      </c>
      <c r="C15" s="8"/>
      <c r="D15" s="8"/>
      <c r="E15" s="8"/>
      <c r="F15" s="8"/>
      <c r="H15" s="35">
        <v>40</v>
      </c>
      <c r="I15" s="35">
        <v>39</v>
      </c>
      <c r="J15" s="35">
        <f>+I15</f>
        <v>39</v>
      </c>
      <c r="K15" s="35">
        <f t="shared" ref="K15:L15" si="1">+J15</f>
        <v>39</v>
      </c>
      <c r="L15" s="35">
        <f t="shared" si="1"/>
        <v>39</v>
      </c>
      <c r="M15" s="8"/>
      <c r="N15" s="8"/>
    </row>
    <row r="16" spans="1:15" x14ac:dyDescent="0.25">
      <c r="A16" s="16"/>
      <c r="B16" s="7" t="s">
        <v>280</v>
      </c>
      <c r="C16" s="8"/>
      <c r="D16" s="8"/>
      <c r="E16" s="8"/>
      <c r="F16" s="8"/>
      <c r="G16"/>
      <c r="H16"/>
      <c r="I16" s="35">
        <v>45</v>
      </c>
      <c r="J16" s="35"/>
      <c r="K16" s="35"/>
      <c r="L16" s="35"/>
      <c r="M16" s="8"/>
      <c r="N16" s="8"/>
    </row>
    <row r="17" spans="1:14" x14ac:dyDescent="0.25">
      <c r="A17" s="16"/>
      <c r="B17" s="103" t="s">
        <v>281</v>
      </c>
      <c r="C17" s="111"/>
      <c r="D17" s="111"/>
      <c r="E17" s="111"/>
      <c r="F17" s="111"/>
      <c r="G17" s="112">
        <f>+AVERAGE(G14:G16)</f>
        <v>35</v>
      </c>
      <c r="H17" s="112">
        <f t="shared" ref="H17:L17" si="2">+AVERAGE(H14:H16)</f>
        <v>36</v>
      </c>
      <c r="I17" s="112">
        <f t="shared" si="2"/>
        <v>38</v>
      </c>
      <c r="J17" s="112">
        <f t="shared" si="2"/>
        <v>39</v>
      </c>
      <c r="K17" s="112">
        <f t="shared" si="2"/>
        <v>39</v>
      </c>
      <c r="L17" s="112">
        <f t="shared" si="2"/>
        <v>39</v>
      </c>
      <c r="M17" s="8"/>
      <c r="N17" s="8"/>
    </row>
    <row r="18" spans="1:14" x14ac:dyDescent="0.25">
      <c r="A18" s="16"/>
      <c r="B18" s="9"/>
      <c r="C18" s="8"/>
      <c r="D18" s="8"/>
      <c r="E18" s="8"/>
      <c r="F18" s="8"/>
      <c r="G18" s="18"/>
      <c r="H18" s="18"/>
      <c r="I18" s="18"/>
      <c r="J18" s="18"/>
      <c r="K18" s="18"/>
      <c r="L18" s="18"/>
      <c r="M18" s="8"/>
      <c r="N18" s="8"/>
    </row>
    <row r="19" spans="1:14" x14ac:dyDescent="0.25">
      <c r="A19" s="16"/>
      <c r="B19" s="9" t="s">
        <v>268</v>
      </c>
      <c r="C19" s="8"/>
      <c r="D19" s="8"/>
      <c r="E19" s="8"/>
      <c r="F19" s="8"/>
      <c r="G19" s="8"/>
      <c r="H19" s="33"/>
      <c r="I19" s="33"/>
      <c r="J19" s="33"/>
      <c r="K19" s="33"/>
      <c r="L19" s="33"/>
      <c r="M19" s="8"/>
      <c r="N19" s="8"/>
    </row>
    <row r="20" spans="1:14" x14ac:dyDescent="0.25">
      <c r="A20" s="16"/>
      <c r="B20" t="s">
        <v>247</v>
      </c>
      <c r="C20" s="8"/>
      <c r="D20" s="8"/>
      <c r="E20" s="8"/>
      <c r="F20" s="8"/>
      <c r="G20" s="113">
        <v>116000</v>
      </c>
      <c r="H20" s="113">
        <v>116000</v>
      </c>
      <c r="I20" s="113">
        <v>116000</v>
      </c>
      <c r="J20" s="113">
        <v>116000</v>
      </c>
      <c r="K20" s="113">
        <v>116000</v>
      </c>
      <c r="L20" s="113">
        <v>70000</v>
      </c>
      <c r="M20" s="8"/>
      <c r="N20" s="8"/>
    </row>
    <row r="21" spans="1:14" x14ac:dyDescent="0.25">
      <c r="A21" s="16"/>
      <c r="B21" t="s">
        <v>248</v>
      </c>
      <c r="C21" s="8"/>
      <c r="D21" s="8"/>
      <c r="E21" s="8"/>
      <c r="F21" s="8"/>
      <c r="G21" s="113">
        <v>65000</v>
      </c>
      <c r="H21" s="113">
        <v>65000</v>
      </c>
      <c r="I21" s="113">
        <v>65000</v>
      </c>
      <c r="J21" s="113">
        <v>65000</v>
      </c>
      <c r="K21" s="113">
        <v>65000</v>
      </c>
      <c r="L21" s="113">
        <v>65000</v>
      </c>
      <c r="M21" s="8"/>
      <c r="N21" s="8"/>
    </row>
    <row r="22" spans="1:14" x14ac:dyDescent="0.25">
      <c r="A22" s="16"/>
      <c r="B22" t="s">
        <v>249</v>
      </c>
      <c r="C22" s="8"/>
      <c r="D22" s="8"/>
      <c r="E22" s="8"/>
      <c r="F22" s="8"/>
      <c r="G22" s="113">
        <v>90000</v>
      </c>
      <c r="H22" s="113">
        <v>90000</v>
      </c>
      <c r="I22" s="113">
        <v>90000</v>
      </c>
      <c r="J22" s="113">
        <v>90000</v>
      </c>
      <c r="K22" s="113">
        <v>90000</v>
      </c>
      <c r="L22" s="113">
        <v>90000</v>
      </c>
      <c r="M22" s="8"/>
      <c r="N22" s="8"/>
    </row>
    <row r="23" spans="1:14" x14ac:dyDescent="0.25">
      <c r="A23" s="16"/>
      <c r="B23" t="s">
        <v>250</v>
      </c>
      <c r="C23" s="8"/>
      <c r="D23" s="8"/>
      <c r="E23" s="8"/>
      <c r="F23" s="8"/>
      <c r="G23" s="113">
        <v>100000</v>
      </c>
      <c r="H23" s="113">
        <v>100000</v>
      </c>
      <c r="I23" s="113">
        <v>100000</v>
      </c>
      <c r="J23" s="113">
        <v>100000</v>
      </c>
      <c r="K23" s="113">
        <v>100000</v>
      </c>
      <c r="L23" s="113">
        <v>100000</v>
      </c>
      <c r="M23" s="8"/>
      <c r="N23" s="8"/>
    </row>
    <row r="24" spans="1:14" x14ac:dyDescent="0.25">
      <c r="A24" s="16"/>
      <c r="B24" t="s">
        <v>251</v>
      </c>
      <c r="C24" s="8"/>
      <c r="D24" s="8"/>
      <c r="E24" s="8"/>
      <c r="F24" s="8"/>
      <c r="G24" s="113">
        <v>61000</v>
      </c>
      <c r="H24" s="113">
        <v>61000</v>
      </c>
      <c r="I24" s="113">
        <v>61000</v>
      </c>
      <c r="J24" s="113">
        <v>61000</v>
      </c>
      <c r="K24" s="113">
        <v>61000</v>
      </c>
      <c r="L24" s="113">
        <v>61000</v>
      </c>
      <c r="M24" s="8"/>
      <c r="N24" s="8"/>
    </row>
    <row r="25" spans="1:14" x14ac:dyDescent="0.25">
      <c r="A25" s="16"/>
      <c r="B25" t="s">
        <v>252</v>
      </c>
      <c r="C25" s="8"/>
      <c r="D25" s="8"/>
      <c r="E25" s="8"/>
      <c r="F25" s="8"/>
      <c r="G25" s="113">
        <v>130000</v>
      </c>
      <c r="H25" s="113">
        <v>130000</v>
      </c>
      <c r="I25" s="113">
        <v>130000</v>
      </c>
      <c r="J25" s="113">
        <v>130000</v>
      </c>
      <c r="K25" s="113">
        <v>130000</v>
      </c>
      <c r="L25" s="113">
        <v>130000</v>
      </c>
      <c r="M25" s="8"/>
      <c r="N25" s="8"/>
    </row>
    <row r="26" spans="1:14" x14ac:dyDescent="0.25">
      <c r="A26" s="16"/>
      <c r="B26" t="s">
        <v>253</v>
      </c>
      <c r="C26" s="8"/>
      <c r="D26" s="8"/>
      <c r="E26" s="8"/>
      <c r="F26" s="8"/>
      <c r="G26" s="113">
        <v>11000</v>
      </c>
      <c r="H26" s="113">
        <v>11000</v>
      </c>
      <c r="I26" s="113">
        <v>11000</v>
      </c>
      <c r="J26" s="113">
        <v>11000</v>
      </c>
      <c r="K26" s="113">
        <v>11000</v>
      </c>
      <c r="L26" s="113">
        <v>11000</v>
      </c>
      <c r="M26" s="8"/>
      <c r="N26" s="8"/>
    </row>
    <row r="27" spans="1:14" x14ac:dyDescent="0.25">
      <c r="A27" s="16"/>
      <c r="B27" t="s">
        <v>254</v>
      </c>
      <c r="C27" s="8"/>
      <c r="D27" s="8"/>
      <c r="E27" s="8"/>
      <c r="F27" s="8"/>
      <c r="G27" s="113">
        <v>85000</v>
      </c>
      <c r="H27" s="113">
        <v>85000</v>
      </c>
      <c r="I27" s="113">
        <v>85000</v>
      </c>
      <c r="J27" s="113">
        <v>85000</v>
      </c>
      <c r="K27" s="113">
        <v>85000</v>
      </c>
      <c r="L27" s="113">
        <v>85000</v>
      </c>
      <c r="M27" s="8"/>
      <c r="N27" s="8"/>
    </row>
    <row r="28" spans="1:14" x14ac:dyDescent="0.25">
      <c r="A28" s="16"/>
      <c r="B28" t="s">
        <v>255</v>
      </c>
      <c r="C28" s="8"/>
      <c r="D28" s="8"/>
      <c r="E28" s="8"/>
      <c r="F28" s="8"/>
      <c r="G28" s="113">
        <v>57000</v>
      </c>
      <c r="H28" s="113">
        <v>57000</v>
      </c>
      <c r="I28" s="113">
        <v>57000</v>
      </c>
      <c r="J28" s="113">
        <v>57000</v>
      </c>
      <c r="K28" s="113">
        <v>57000</v>
      </c>
      <c r="L28" s="113">
        <v>57000</v>
      </c>
      <c r="M28" s="8"/>
      <c r="N28" s="8"/>
    </row>
    <row r="29" spans="1:14" x14ac:dyDescent="0.25">
      <c r="A29" s="16"/>
      <c r="B29" s="115" t="s">
        <v>256</v>
      </c>
      <c r="C29" s="8"/>
      <c r="D29" s="8"/>
      <c r="E29" s="8"/>
      <c r="F29" s="8"/>
      <c r="G29" s="113">
        <v>50000</v>
      </c>
      <c r="H29" s="113">
        <v>50000</v>
      </c>
      <c r="I29" s="113">
        <v>50000</v>
      </c>
      <c r="J29" s="113">
        <v>50000</v>
      </c>
      <c r="K29" s="113">
        <v>50000</v>
      </c>
      <c r="L29" s="113">
        <v>50000</v>
      </c>
      <c r="M29" s="8"/>
      <c r="N29" s="8"/>
    </row>
    <row r="30" spans="1:14" x14ac:dyDescent="0.25">
      <c r="A30" s="16"/>
      <c r="B30" t="s">
        <v>257</v>
      </c>
      <c r="C30" s="8"/>
      <c r="D30" s="8"/>
      <c r="E30" s="8"/>
      <c r="F30" s="8"/>
      <c r="G30" s="113">
        <v>50000</v>
      </c>
      <c r="H30" s="113">
        <v>50000</v>
      </c>
      <c r="I30" s="113">
        <v>50000</v>
      </c>
      <c r="J30" s="113">
        <v>50000</v>
      </c>
      <c r="K30" s="113">
        <v>50000</v>
      </c>
      <c r="L30" s="113">
        <v>50000</v>
      </c>
      <c r="M30" s="8"/>
      <c r="N30" s="8"/>
    </row>
    <row r="31" spans="1:14" x14ac:dyDescent="0.25">
      <c r="A31" s="16"/>
      <c r="B31" t="s">
        <v>258</v>
      </c>
      <c r="C31" s="8"/>
      <c r="D31" s="8"/>
      <c r="E31" s="8"/>
      <c r="F31" s="8"/>
      <c r="G31" s="113">
        <v>11000</v>
      </c>
      <c r="H31" s="113">
        <v>11000</v>
      </c>
      <c r="I31" s="113">
        <v>11000</v>
      </c>
      <c r="J31" s="113">
        <v>11000</v>
      </c>
      <c r="K31" s="113">
        <v>11000</v>
      </c>
      <c r="L31" s="113">
        <v>11000</v>
      </c>
      <c r="M31" s="8"/>
      <c r="N31" s="8"/>
    </row>
    <row r="32" spans="1:14" x14ac:dyDescent="0.25">
      <c r="A32" s="16"/>
      <c r="B32" t="s">
        <v>259</v>
      </c>
      <c r="C32" s="8"/>
      <c r="D32" s="8"/>
      <c r="E32" s="8"/>
      <c r="F32" s="8"/>
      <c r="G32" s="113">
        <v>10000</v>
      </c>
      <c r="H32" s="113">
        <v>10000</v>
      </c>
      <c r="I32" s="113">
        <v>10000</v>
      </c>
      <c r="J32" s="113">
        <v>10000</v>
      </c>
      <c r="K32" s="113">
        <v>10000</v>
      </c>
      <c r="L32" s="113">
        <v>10000</v>
      </c>
      <c r="M32" s="8"/>
      <c r="N32" s="8"/>
    </row>
    <row r="33" spans="1:14" x14ac:dyDescent="0.25">
      <c r="A33" s="16"/>
      <c r="B33" t="s">
        <v>260</v>
      </c>
      <c r="C33" s="8"/>
      <c r="D33" s="8"/>
      <c r="E33" s="8"/>
      <c r="F33" s="8"/>
      <c r="G33" s="113">
        <v>90000</v>
      </c>
      <c r="H33" s="113">
        <v>90000</v>
      </c>
      <c r="I33" s="113">
        <v>90000</v>
      </c>
      <c r="J33" s="113">
        <v>90000</v>
      </c>
      <c r="K33" s="113">
        <v>90000</v>
      </c>
      <c r="L33" s="113">
        <v>90000</v>
      </c>
      <c r="M33" s="8"/>
      <c r="N33" s="8"/>
    </row>
    <row r="34" spans="1:14" x14ac:dyDescent="0.25">
      <c r="A34" s="16"/>
      <c r="B34" t="s">
        <v>261</v>
      </c>
      <c r="C34" s="8"/>
      <c r="D34" s="8"/>
      <c r="E34" s="8"/>
      <c r="F34" s="8"/>
      <c r="G34" s="113">
        <v>90000</v>
      </c>
      <c r="H34" s="113">
        <v>90000</v>
      </c>
      <c r="I34" s="113">
        <v>90000</v>
      </c>
      <c r="J34" s="113">
        <v>90000</v>
      </c>
      <c r="K34" s="113">
        <v>90000</v>
      </c>
      <c r="L34" s="113">
        <v>90000</v>
      </c>
      <c r="M34" s="8"/>
      <c r="N34" s="8"/>
    </row>
    <row r="35" spans="1:14" x14ac:dyDescent="0.25">
      <c r="A35" s="16"/>
      <c r="B35" t="s">
        <v>262</v>
      </c>
      <c r="C35" s="8"/>
      <c r="D35" s="8"/>
      <c r="E35" s="8"/>
      <c r="F35" s="8"/>
      <c r="G35" s="113">
        <v>10000</v>
      </c>
      <c r="H35" s="113">
        <v>10000</v>
      </c>
      <c r="I35" s="113">
        <v>10000</v>
      </c>
      <c r="J35" s="113">
        <v>10000</v>
      </c>
      <c r="K35" s="113">
        <v>10000</v>
      </c>
      <c r="L35" s="113">
        <v>10000</v>
      </c>
      <c r="M35" s="8"/>
      <c r="N35" s="8"/>
    </row>
    <row r="36" spans="1:14" x14ac:dyDescent="0.25">
      <c r="A36" s="16"/>
      <c r="B36" t="s">
        <v>263</v>
      </c>
      <c r="C36" s="8"/>
      <c r="D36" s="8"/>
      <c r="E36" s="8"/>
      <c r="F36" s="8"/>
      <c r="G36" s="113">
        <v>55000</v>
      </c>
      <c r="H36" s="113">
        <v>55000</v>
      </c>
      <c r="I36" s="113">
        <v>55000</v>
      </c>
      <c r="J36" s="113">
        <v>55000</v>
      </c>
      <c r="K36" s="113">
        <v>55000</v>
      </c>
      <c r="L36" s="113">
        <v>55000</v>
      </c>
      <c r="M36" s="8"/>
      <c r="N36" s="8"/>
    </row>
    <row r="37" spans="1:14" x14ac:dyDescent="0.25">
      <c r="A37" s="16"/>
      <c r="B37" t="s">
        <v>264</v>
      </c>
      <c r="C37" s="8"/>
      <c r="D37" s="8"/>
      <c r="E37" s="8"/>
      <c r="F37" s="8"/>
      <c r="G37" s="113">
        <v>15000</v>
      </c>
      <c r="H37" s="113">
        <v>15000</v>
      </c>
      <c r="I37" s="113">
        <v>15000</v>
      </c>
      <c r="J37" s="113">
        <v>15000</v>
      </c>
      <c r="K37" s="113">
        <v>15000</v>
      </c>
      <c r="L37" s="113">
        <v>15000</v>
      </c>
      <c r="M37" s="8"/>
      <c r="N37" s="8"/>
    </row>
    <row r="38" spans="1:14" x14ac:dyDescent="0.25">
      <c r="A38" s="16"/>
      <c r="B38" t="s">
        <v>265</v>
      </c>
      <c r="C38" s="8"/>
      <c r="D38" s="8"/>
      <c r="E38" s="8"/>
      <c r="F38" s="8"/>
      <c r="G38" s="113">
        <v>11000</v>
      </c>
      <c r="H38" s="113">
        <v>11000</v>
      </c>
      <c r="I38" s="113">
        <v>11000</v>
      </c>
      <c r="J38" s="113">
        <v>11000</v>
      </c>
      <c r="K38" s="113">
        <v>11000</v>
      </c>
      <c r="L38" s="113">
        <v>11000</v>
      </c>
      <c r="M38" s="8"/>
      <c r="N38" s="8"/>
    </row>
    <row r="39" spans="1:14" x14ac:dyDescent="0.25">
      <c r="A39" s="16"/>
      <c r="B39" t="s">
        <v>266</v>
      </c>
      <c r="C39" s="8"/>
      <c r="D39" s="8"/>
      <c r="E39" s="8"/>
      <c r="F39" s="8"/>
      <c r="G39" s="113">
        <v>11000</v>
      </c>
      <c r="H39" s="113">
        <v>11000</v>
      </c>
      <c r="I39" s="113">
        <v>11000</v>
      </c>
      <c r="J39" s="113">
        <v>11000</v>
      </c>
      <c r="K39" s="113">
        <v>11000</v>
      </c>
      <c r="L39" s="113">
        <v>11000</v>
      </c>
      <c r="M39" s="8"/>
      <c r="N39" s="8"/>
    </row>
    <row r="40" spans="1:14" x14ac:dyDescent="0.25">
      <c r="A40" s="16"/>
      <c r="B40" s="9" t="s">
        <v>267</v>
      </c>
      <c r="C40" s="8"/>
      <c r="D40" s="8"/>
      <c r="E40" s="8"/>
      <c r="F40" s="8"/>
      <c r="G40" s="114">
        <f>+SUM(G20:G39)</f>
        <v>1118000</v>
      </c>
      <c r="H40" s="114">
        <f t="shared" ref="H40:L40" si="3">+SUM(H20:H39)</f>
        <v>1118000</v>
      </c>
      <c r="I40" s="114">
        <f t="shared" si="3"/>
        <v>1118000</v>
      </c>
      <c r="J40" s="114">
        <f t="shared" si="3"/>
        <v>1118000</v>
      </c>
      <c r="K40" s="114">
        <f t="shared" si="3"/>
        <v>1118000</v>
      </c>
      <c r="L40" s="114">
        <f t="shared" si="3"/>
        <v>1072000</v>
      </c>
      <c r="M40" s="8"/>
      <c r="N40" s="8"/>
    </row>
    <row r="41" spans="1:14" x14ac:dyDescent="0.25">
      <c r="A41" s="16"/>
      <c r="B41" s="9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x14ac:dyDescent="0.25">
      <c r="A42" s="16"/>
      <c r="B42" s="2" t="s">
        <v>209</v>
      </c>
      <c r="M42" s="8"/>
      <c r="N42" s="8"/>
    </row>
    <row r="43" spans="1:14" x14ac:dyDescent="0.25">
      <c r="A43" s="16"/>
      <c r="B43" s="34" t="str">
        <f>+B163</f>
        <v>Computer &amp; Networking</v>
      </c>
      <c r="C43" s="42" cm="1">
        <f t="array" ref="C43:G43">+DCAI/Revenue</f>
        <v>0</v>
      </c>
      <c r="D43" s="42">
        <v>0.40155922038980507</v>
      </c>
      <c r="E43" s="42">
        <v>0.39433008842981349</v>
      </c>
      <c r="F43" s="42">
        <v>0.55627641432490549</v>
      </c>
      <c r="G43" s="42">
        <v>0.78009586028035849</v>
      </c>
      <c r="H43" s="54">
        <f t="shared" ref="H43:L47" si="4">+H163/H$169</f>
        <v>0.74789848664279834</v>
      </c>
      <c r="I43" s="54">
        <f t="shared" si="4"/>
        <v>0.75563065092156656</v>
      </c>
      <c r="J43" s="54">
        <f t="shared" si="4"/>
        <v>0.75807958345759652</v>
      </c>
      <c r="K43" s="54">
        <f t="shared" si="4"/>
        <v>0.75574185715189579</v>
      </c>
      <c r="L43" s="54">
        <f t="shared" si="4"/>
        <v>0.74549266900548683</v>
      </c>
      <c r="M43" s="8"/>
      <c r="N43" s="8"/>
    </row>
    <row r="44" spans="1:14" x14ac:dyDescent="0.25">
      <c r="A44" s="16"/>
      <c r="B44" s="34" t="str">
        <f>+B164</f>
        <v>Graphics</v>
      </c>
      <c r="C44" s="42" cm="1">
        <f t="array" ref="C44:G44">+GFX/Revenue</f>
        <v>0</v>
      </c>
      <c r="D44" s="42">
        <v>0.46530734632683657</v>
      </c>
      <c r="E44" s="42">
        <v>0.46303039310396077</v>
      </c>
      <c r="F44" s="42">
        <v>0.3361385037443464</v>
      </c>
      <c r="G44" s="42">
        <v>0.17148156659334887</v>
      </c>
      <c r="H44" s="54">
        <f t="shared" si="4"/>
        <v>0.19607007664621565</v>
      </c>
      <c r="I44" s="54">
        <f t="shared" si="4"/>
        <v>0.18954769526697524</v>
      </c>
      <c r="J44" s="54">
        <f t="shared" si="4"/>
        <v>0.18713891444229344</v>
      </c>
      <c r="K44" s="54">
        <f t="shared" si="4"/>
        <v>0.18842744346439538</v>
      </c>
      <c r="L44" s="54">
        <f t="shared" si="4"/>
        <v>0.19578636726163604</v>
      </c>
      <c r="M44" s="8"/>
      <c r="N44" s="8"/>
    </row>
    <row r="45" spans="1:14" x14ac:dyDescent="0.25">
      <c r="A45" s="16"/>
      <c r="B45" s="34" t="str">
        <f>+B165</f>
        <v>Professional Visualization</v>
      </c>
      <c r="C45" s="42" cm="1">
        <f t="array" ref="C45:G45">+FX/Revenue</f>
        <v>0</v>
      </c>
      <c r="D45" s="42">
        <v>6.3148425787106444E-2</v>
      </c>
      <c r="E45" s="42">
        <v>7.843501523370737E-2</v>
      </c>
      <c r="F45" s="42">
        <v>5.7240305479350488E-2</v>
      </c>
      <c r="G45" s="42">
        <v>2.5491612225468634E-2</v>
      </c>
      <c r="H45" s="54">
        <f t="shared" si="4"/>
        <v>2.9435402423757483E-2</v>
      </c>
      <c r="I45" s="54">
        <f t="shared" si="4"/>
        <v>2.873796193100445E-2</v>
      </c>
      <c r="J45" s="54">
        <f t="shared" si="4"/>
        <v>2.8653676991622006E-2</v>
      </c>
      <c r="K45" s="54">
        <f t="shared" si="4"/>
        <v>2.913662260156626E-2</v>
      </c>
      <c r="L45" s="54">
        <f t="shared" si="4"/>
        <v>3.0574284271814599E-2</v>
      </c>
      <c r="M45" s="8"/>
      <c r="N45" s="8"/>
    </row>
    <row r="46" spans="1:14" x14ac:dyDescent="0.25">
      <c r="A46" s="16"/>
      <c r="B46" s="34" t="str">
        <f>+B166</f>
        <v>Automotive</v>
      </c>
      <c r="C46" s="42" cm="1">
        <f t="array" ref="C46:G46">+AV/Revenue</f>
        <v>0</v>
      </c>
      <c r="D46" s="42">
        <v>3.2143928035982011E-2</v>
      </c>
      <c r="E46" s="42">
        <v>2.1029947239354984E-2</v>
      </c>
      <c r="F46" s="42">
        <v>3.3476681248609773E-2</v>
      </c>
      <c r="G46" s="42">
        <v>1.7908144840944159E-2</v>
      </c>
      <c r="H46" s="54">
        <f t="shared" si="4"/>
        <v>2.0881434267419792E-2</v>
      </c>
      <c r="I46" s="54">
        <f t="shared" si="4"/>
        <v>2.0586540257529772E-2</v>
      </c>
      <c r="J46" s="54">
        <f t="shared" si="4"/>
        <v>2.0727399331021978E-2</v>
      </c>
      <c r="K46" s="54">
        <f t="shared" si="4"/>
        <v>2.1283385695070187E-2</v>
      </c>
      <c r="L46" s="54">
        <f t="shared" si="4"/>
        <v>2.2552508687830566E-2</v>
      </c>
      <c r="M46" s="8"/>
      <c r="N46" s="8"/>
    </row>
    <row r="47" spans="1:14" x14ac:dyDescent="0.25">
      <c r="A47" s="16"/>
      <c r="B47" s="34" t="str">
        <f>+B167</f>
        <v>OEM &amp; Other</v>
      </c>
      <c r="C47" s="42" cm="1">
        <f t="array" ref="C47:G47">+OEMO/Revenue</f>
        <v>0</v>
      </c>
      <c r="D47" s="42">
        <v>3.7841079460269864E-2</v>
      </c>
      <c r="E47" s="42">
        <v>4.3174555993163409E-2</v>
      </c>
      <c r="F47" s="42">
        <v>1.6868095202787869E-2</v>
      </c>
      <c r="G47" s="42">
        <v>5.0228160598798461E-3</v>
      </c>
      <c r="H47" s="54">
        <f t="shared" si="4"/>
        <v>5.7146000198086801E-3</v>
      </c>
      <c r="I47" s="54">
        <f t="shared" si="4"/>
        <v>5.497151622923897E-3</v>
      </c>
      <c r="J47" s="54">
        <f t="shared" si="4"/>
        <v>5.4004257774661535E-3</v>
      </c>
      <c r="K47" s="54">
        <f t="shared" si="4"/>
        <v>5.4106910870724426E-3</v>
      </c>
      <c r="L47" s="54">
        <f t="shared" si="4"/>
        <v>5.5941707732320572E-3</v>
      </c>
      <c r="M47" s="8"/>
      <c r="N47" s="8"/>
    </row>
    <row r="48" spans="1:14" x14ac:dyDescent="0.25">
      <c r="A48" s="16"/>
      <c r="H48" s="61"/>
      <c r="M48" s="8"/>
      <c r="N48" s="8"/>
    </row>
    <row r="49" spans="1:14" x14ac:dyDescent="0.25">
      <c r="A49" s="16"/>
      <c r="B49" s="2" t="s">
        <v>178</v>
      </c>
      <c r="M49" s="8"/>
      <c r="N49" s="8"/>
    </row>
    <row r="50" spans="1:14" x14ac:dyDescent="0.25">
      <c r="A50" s="16"/>
      <c r="B50" s="6" t="str">
        <f>+B43</f>
        <v>Computer &amp; Networking</v>
      </c>
      <c r="D50" s="1" t="s">
        <v>283</v>
      </c>
      <c r="F50" s="1" t="s">
        <v>286</v>
      </c>
      <c r="H50" s="39"/>
      <c r="I50" s="39"/>
      <c r="J50" s="39"/>
      <c r="K50" s="39"/>
      <c r="L50" s="39"/>
      <c r="M50" s="8"/>
      <c r="N50" s="8"/>
    </row>
    <row r="51" spans="1:14" x14ac:dyDescent="0.25">
      <c r="A51" s="16"/>
      <c r="B51" s="6" t="str">
        <f t="shared" ref="B51:B54" si="5">+B44</f>
        <v>Graphics</v>
      </c>
      <c r="D51" s="1" t="s">
        <v>282</v>
      </c>
      <c r="H51" s="39">
        <v>0.01</v>
      </c>
      <c r="I51" s="39">
        <v>0.01</v>
      </c>
      <c r="J51" s="39">
        <v>0.01</v>
      </c>
      <c r="K51" s="39">
        <v>0.01</v>
      </c>
      <c r="L51" s="39">
        <v>0.01</v>
      </c>
      <c r="M51" s="8"/>
      <c r="N51" s="8"/>
    </row>
    <row r="52" spans="1:14" x14ac:dyDescent="0.25">
      <c r="A52" s="16"/>
      <c r="B52" s="6" t="str">
        <f t="shared" si="5"/>
        <v>Professional Visualization</v>
      </c>
      <c r="H52" s="39">
        <v>0.02</v>
      </c>
      <c r="I52" s="39">
        <v>0.02</v>
      </c>
      <c r="J52" s="39">
        <v>0.02</v>
      </c>
      <c r="K52" s="39">
        <v>0.02</v>
      </c>
      <c r="L52" s="39">
        <v>0.02</v>
      </c>
      <c r="M52" s="8"/>
      <c r="N52" s="8"/>
    </row>
    <row r="53" spans="1:14" x14ac:dyDescent="0.25">
      <c r="A53" s="16"/>
      <c r="B53" s="6" t="str">
        <f t="shared" si="5"/>
        <v>Automotive</v>
      </c>
      <c r="D53" s="1" t="s">
        <v>284</v>
      </c>
      <c r="H53" s="39">
        <v>0.03</v>
      </c>
      <c r="I53" s="39">
        <v>0.03</v>
      </c>
      <c r="J53" s="39">
        <v>0.03</v>
      </c>
      <c r="K53" s="39">
        <v>0.03</v>
      </c>
      <c r="L53" s="39">
        <v>0.03</v>
      </c>
      <c r="M53" s="8"/>
      <c r="N53" s="8"/>
    </row>
    <row r="54" spans="1:14" x14ac:dyDescent="0.25">
      <c r="A54" s="16"/>
      <c r="B54" s="6" t="str">
        <f t="shared" si="5"/>
        <v>OEM &amp; Other</v>
      </c>
      <c r="C54" s="8"/>
      <c r="D54" s="1" t="s">
        <v>285</v>
      </c>
      <c r="G54" s="8"/>
      <c r="H54" s="39">
        <v>5.0000000000000001E-3</v>
      </c>
      <c r="I54" s="39">
        <v>5.0000000000000001E-3</v>
      </c>
      <c r="J54" s="39">
        <v>5.0000000000000001E-3</v>
      </c>
      <c r="K54" s="39">
        <v>5.0000000000000001E-3</v>
      </c>
      <c r="L54" s="39">
        <v>5.0000000000000001E-3</v>
      </c>
      <c r="M54" s="8"/>
      <c r="N54" s="8"/>
    </row>
    <row r="55" spans="1:14" x14ac:dyDescent="0.25">
      <c r="A55" s="16"/>
      <c r="B55" s="6"/>
      <c r="C55" s="8"/>
      <c r="D55" s="8"/>
      <c r="E55" s="8"/>
      <c r="F55" s="8"/>
      <c r="G55" s="8"/>
      <c r="H55"/>
      <c r="I55"/>
      <c r="J55"/>
      <c r="K55"/>
      <c r="L55"/>
      <c r="M55" s="8"/>
      <c r="N55" s="8"/>
    </row>
    <row r="56" spans="1:14" x14ac:dyDescent="0.25">
      <c r="A56" s="16"/>
      <c r="B56" s="9" t="s">
        <v>211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x14ac:dyDescent="0.25">
      <c r="A57" s="16"/>
      <c r="B57" s="3" t="s">
        <v>184</v>
      </c>
      <c r="C57" s="58">
        <f t="shared" ref="C57:F58" si="6">+C182/SUM(C177:C181,-C179)</f>
        <v>0.19707565162110616</v>
      </c>
      <c r="D57" s="58">
        <f t="shared" si="6"/>
        <v>0.32147651006711409</v>
      </c>
      <c r="E57" s="58">
        <f t="shared" si="6"/>
        <v>0.83814627369256722</v>
      </c>
      <c r="F57" s="58">
        <f t="shared" si="6"/>
        <v>0.79022727272727278</v>
      </c>
      <c r="G57" s="58">
        <f>+G63</f>
        <v>0.4426315616690194</v>
      </c>
      <c r="H57" s="39">
        <f>+G57</f>
        <v>0.4426315616690194</v>
      </c>
      <c r="I57" s="39">
        <f t="shared" ref="I57:L57" si="7">+H57</f>
        <v>0.4426315616690194</v>
      </c>
      <c r="J57" s="39">
        <f t="shared" si="7"/>
        <v>0.4426315616690194</v>
      </c>
      <c r="K57" s="39">
        <f t="shared" si="7"/>
        <v>0.4426315616690194</v>
      </c>
      <c r="L57" s="39">
        <f t="shared" si="7"/>
        <v>0.4426315616690194</v>
      </c>
      <c r="M57" s="8"/>
      <c r="N57" s="8"/>
    </row>
    <row r="58" spans="1:14" x14ac:dyDescent="0.25">
      <c r="A58" s="16"/>
      <c r="B58" s="7" t="s">
        <v>183</v>
      </c>
      <c r="C58" s="58">
        <f t="shared" si="6"/>
        <v>2.4127310061601643</v>
      </c>
      <c r="D58" s="58">
        <f t="shared" si="6"/>
        <v>1.9112540192926044</v>
      </c>
      <c r="E58" s="58">
        <f t="shared" si="6"/>
        <v>0.17361514342120543</v>
      </c>
      <c r="F58" s="58">
        <f t="shared" si="6"/>
        <v>0.17764319959626546</v>
      </c>
      <c r="G58" s="58">
        <f>+G64</f>
        <v>0.5573684383309806</v>
      </c>
      <c r="H58" s="39">
        <f>+G58</f>
        <v>0.5573684383309806</v>
      </c>
      <c r="I58" s="39">
        <f t="shared" ref="I58:L58" si="8">+H58</f>
        <v>0.5573684383309806</v>
      </c>
      <c r="J58" s="39">
        <f t="shared" si="8"/>
        <v>0.5573684383309806</v>
      </c>
      <c r="K58" s="39">
        <f t="shared" si="8"/>
        <v>0.5573684383309806</v>
      </c>
      <c r="L58" s="39">
        <f t="shared" si="8"/>
        <v>0.5573684383309806</v>
      </c>
      <c r="M58" s="8"/>
      <c r="N58" s="8"/>
    </row>
    <row r="59" spans="1:14" x14ac:dyDescent="0.25">
      <c r="A59" s="16"/>
      <c r="C59" s="58"/>
      <c r="D59" s="58"/>
      <c r="E59" s="58"/>
      <c r="F59" s="58"/>
      <c r="G59" s="58"/>
      <c r="H59"/>
      <c r="I59"/>
      <c r="J59"/>
      <c r="K59"/>
      <c r="L59"/>
      <c r="M59" s="8"/>
      <c r="N59" s="8"/>
    </row>
    <row r="60" spans="1:14" x14ac:dyDescent="0.25">
      <c r="A60" s="16"/>
      <c r="B60" s="2" t="s">
        <v>182</v>
      </c>
      <c r="C60" s="58"/>
      <c r="D60" s="58"/>
      <c r="E60" s="58"/>
      <c r="F60" s="60"/>
      <c r="G60" s="60"/>
      <c r="H60"/>
      <c r="I60"/>
      <c r="J60"/>
      <c r="K60"/>
      <c r="L60"/>
      <c r="M60" s="8"/>
      <c r="N60" s="8"/>
    </row>
    <row r="61" spans="1:14" x14ac:dyDescent="0.25">
      <c r="A61" s="16"/>
      <c r="B61" s="3" t="str">
        <f>+B57</f>
        <v>United States</v>
      </c>
      <c r="C61" s="55"/>
      <c r="D61" s="55"/>
      <c r="E61" s="57">
        <v>4349000</v>
      </c>
      <c r="F61" s="57">
        <v>8292000</v>
      </c>
      <c r="G61" s="57">
        <v>26966000</v>
      </c>
      <c r="H61" s="43">
        <f>+H57*H$169</f>
        <v>23820124.538590327</v>
      </c>
      <c r="I61" s="43">
        <f t="shared" ref="I61:L61" si="9">+I57*I$169</f>
        <v>24886178.509318475</v>
      </c>
      <c r="J61" s="43">
        <f t="shared" si="9"/>
        <v>25458568.959036101</v>
      </c>
      <c r="K61" s="43">
        <f t="shared" si="9"/>
        <v>25537319.614167634</v>
      </c>
      <c r="L61" s="43">
        <f t="shared" si="9"/>
        <v>24823235.827315912</v>
      </c>
      <c r="M61" s="8"/>
      <c r="N61" s="8"/>
    </row>
    <row r="62" spans="1:14" x14ac:dyDescent="0.25">
      <c r="A62" s="16"/>
      <c r="B62" s="3" t="str">
        <f>+B58</f>
        <v>Outside of U.S.</v>
      </c>
      <c r="C62" s="55"/>
      <c r="D62" s="55"/>
      <c r="E62" s="57">
        <f>+E169-E61</f>
        <v>22565000</v>
      </c>
      <c r="F62" s="57">
        <f>+F169-F61</f>
        <v>18682000</v>
      </c>
      <c r="G62" s="57">
        <f>+G169-G61</f>
        <v>33956000</v>
      </c>
      <c r="H62" s="43">
        <f>+H58*H$169</f>
        <v>29994665.461409673</v>
      </c>
      <c r="I62" s="43">
        <f t="shared" ref="I62:L62" si="10">+I58*I$169</f>
        <v>31337056.940681528</v>
      </c>
      <c r="J62" s="43">
        <f t="shared" si="10"/>
        <v>32057819.757213894</v>
      </c>
      <c r="K62" s="43">
        <f t="shared" si="10"/>
        <v>32156983.78768361</v>
      </c>
      <c r="L62" s="43">
        <f t="shared" si="10"/>
        <v>31257798.551966891</v>
      </c>
      <c r="M62" s="8"/>
      <c r="N62" s="8"/>
    </row>
    <row r="63" spans="1:14" x14ac:dyDescent="0.25">
      <c r="A63" s="16"/>
      <c r="B63" s="59" t="s">
        <v>212</v>
      </c>
      <c r="C63" s="55"/>
      <c r="D63" s="55"/>
      <c r="E63" s="83">
        <f t="shared" ref="E63:L64" si="11">+E61/E$169</f>
        <v>0.1615887642119343</v>
      </c>
      <c r="F63" s="83">
        <f t="shared" si="11"/>
        <v>0.3074071327945429</v>
      </c>
      <c r="G63" s="83">
        <f t="shared" si="11"/>
        <v>0.4426315616690194</v>
      </c>
      <c r="H63" s="83">
        <f t="shared" si="11"/>
        <v>0.44263156166901935</v>
      </c>
      <c r="I63" s="83">
        <f t="shared" si="11"/>
        <v>0.4426315616690194</v>
      </c>
      <c r="J63" s="83">
        <f t="shared" si="11"/>
        <v>0.4426315616690194</v>
      </c>
      <c r="K63" s="83">
        <f t="shared" si="11"/>
        <v>0.4426315616690194</v>
      </c>
      <c r="L63" s="83">
        <f t="shared" si="11"/>
        <v>0.4426315616690194</v>
      </c>
      <c r="M63" s="8"/>
      <c r="N63" s="8"/>
    </row>
    <row r="64" spans="1:14" x14ac:dyDescent="0.25">
      <c r="A64" s="16"/>
      <c r="B64" s="59" t="s">
        <v>212</v>
      </c>
      <c r="C64" s="55"/>
      <c r="D64" s="55"/>
      <c r="E64" s="83">
        <f t="shared" si="11"/>
        <v>0.83841123578806565</v>
      </c>
      <c r="F64" s="83">
        <f t="shared" si="11"/>
        <v>0.6925928672054571</v>
      </c>
      <c r="G64" s="83">
        <f t="shared" si="11"/>
        <v>0.5573684383309806</v>
      </c>
      <c r="H64" s="83">
        <f t="shared" si="11"/>
        <v>0.5573684383309806</v>
      </c>
      <c r="I64" s="83">
        <f t="shared" si="11"/>
        <v>0.5573684383309806</v>
      </c>
      <c r="J64" s="83">
        <f t="shared" si="11"/>
        <v>0.5573684383309806</v>
      </c>
      <c r="K64" s="83">
        <f t="shared" si="11"/>
        <v>0.5573684383309806</v>
      </c>
      <c r="L64" s="83">
        <f t="shared" si="11"/>
        <v>0.5573684383309806</v>
      </c>
      <c r="M64" s="8"/>
      <c r="N64" s="8"/>
    </row>
    <row r="65" spans="1:14" x14ac:dyDescent="0.25">
      <c r="A65" s="16"/>
      <c r="H65" s="43"/>
      <c r="I65" s="43"/>
      <c r="J65" s="43"/>
      <c r="K65" s="43"/>
      <c r="L65" s="43"/>
      <c r="M65" s="8"/>
      <c r="N65" s="8"/>
    </row>
    <row r="66" spans="1:14" x14ac:dyDescent="0.25">
      <c r="A66" s="16"/>
      <c r="B66" s="3" t="s">
        <v>216</v>
      </c>
      <c r="C66" s="61">
        <f t="shared" ref="C66:F66" si="12">+C186/C184</f>
        <v>1.3468013468013469E-3</v>
      </c>
      <c r="D66" s="61">
        <f t="shared" si="12"/>
        <v>2.2680880018144704E-4</v>
      </c>
      <c r="E66" s="61">
        <f t="shared" si="12"/>
        <v>4.2249270697112965E-3</v>
      </c>
      <c r="F66" s="61">
        <f t="shared" si="12"/>
        <v>1.1002152595072949E-2</v>
      </c>
      <c r="G66" s="61">
        <f>+G186/G184</f>
        <v>9.9059672363829912E-3</v>
      </c>
      <c r="H66" s="39">
        <f>+G66</f>
        <v>9.9059672363829912E-3</v>
      </c>
      <c r="I66" s="39">
        <f t="shared" ref="I66:L66" si="13">+H66</f>
        <v>9.9059672363829912E-3</v>
      </c>
      <c r="J66" s="39">
        <f t="shared" si="13"/>
        <v>9.9059672363829912E-3</v>
      </c>
      <c r="K66" s="39">
        <f t="shared" si="13"/>
        <v>9.9059672363829912E-3</v>
      </c>
      <c r="L66" s="39">
        <f t="shared" si="13"/>
        <v>9.9059672363829912E-3</v>
      </c>
      <c r="M66" s="8"/>
      <c r="N66" s="8"/>
    </row>
    <row r="67" spans="1:14" x14ac:dyDescent="0.25">
      <c r="A67" s="16"/>
      <c r="B67" s="7" t="s">
        <v>215</v>
      </c>
      <c r="C67" s="64">
        <f t="shared" ref="C67:F67" si="14">+C185/C184</f>
        <v>2.1885521885521887E-2</v>
      </c>
      <c r="D67" s="64">
        <f t="shared" si="14"/>
        <v>4.4681333635745064E-2</v>
      </c>
      <c r="E67" s="64">
        <f t="shared" si="14"/>
        <v>4.848606780002012E-2</v>
      </c>
      <c r="F67" s="64">
        <f t="shared" si="14"/>
        <v>0.40731882324802676</v>
      </c>
      <c r="G67" s="64">
        <f>+G185/G184</f>
        <v>0.16884499379028919</v>
      </c>
      <c r="H67" s="39">
        <v>0.21</v>
      </c>
      <c r="I67" s="39">
        <v>0.21</v>
      </c>
      <c r="J67" s="39">
        <v>0.21</v>
      </c>
      <c r="K67" s="39">
        <v>0.21</v>
      </c>
      <c r="L67" s="39">
        <v>0.21</v>
      </c>
      <c r="M67" s="8"/>
      <c r="N67" s="8"/>
    </row>
    <row r="68" spans="1:14" x14ac:dyDescent="0.25">
      <c r="A68" s="16"/>
      <c r="B68" s="7" t="s">
        <v>210</v>
      </c>
      <c r="C68" s="64">
        <f t="shared" ref="C68:G68" si="15">+C186/C185</f>
        <v>6.1538461538461542E-2</v>
      </c>
      <c r="D68" s="64">
        <f t="shared" si="15"/>
        <v>5.076142131979695E-3</v>
      </c>
      <c r="E68" s="64">
        <f t="shared" si="15"/>
        <v>8.7136929460580909E-2</v>
      </c>
      <c r="F68" s="64">
        <f t="shared" si="15"/>
        <v>2.7011156782149149E-2</v>
      </c>
      <c r="G68" s="64">
        <f t="shared" si="15"/>
        <v>5.8669001751313482E-2</v>
      </c>
      <c r="H68" s="39">
        <f>+G68</f>
        <v>5.8669001751313482E-2</v>
      </c>
      <c r="I68" s="39">
        <f t="shared" ref="I68:L68" si="16">+H68</f>
        <v>5.8669001751313482E-2</v>
      </c>
      <c r="J68" s="39">
        <f t="shared" si="16"/>
        <v>5.8669001751313482E-2</v>
      </c>
      <c r="K68" s="39">
        <f t="shared" si="16"/>
        <v>5.8669001751313482E-2</v>
      </c>
      <c r="L68" s="39">
        <f t="shared" si="16"/>
        <v>5.8669001751313482E-2</v>
      </c>
      <c r="M68" s="8"/>
      <c r="N68" s="8"/>
    </row>
    <row r="69" spans="1:14" x14ac:dyDescent="0.25">
      <c r="A69" s="16"/>
      <c r="B69" s="65" t="s">
        <v>188</v>
      </c>
      <c r="G69" s="39">
        <v>0.375</v>
      </c>
      <c r="H69" s="39">
        <v>0.375</v>
      </c>
      <c r="I69" s="39">
        <v>0.375</v>
      </c>
      <c r="J69" s="39">
        <v>0.375</v>
      </c>
      <c r="K69" s="39">
        <v>0.375</v>
      </c>
      <c r="L69" s="39">
        <v>0.375</v>
      </c>
      <c r="M69" s="8"/>
      <c r="N69" s="8"/>
    </row>
    <row r="70" spans="1:14" x14ac:dyDescent="0.25">
      <c r="A70" s="16"/>
      <c r="B70" s="66" t="s">
        <v>214</v>
      </c>
      <c r="G70" s="42">
        <f>(G115-SUM(G106:G114))/G169</f>
        <v>0.81423787794228686</v>
      </c>
      <c r="H70" s="42">
        <f t="shared" ref="H70:L70" si="17">(H115-SUM(H106:H114))/H169</f>
        <v>0</v>
      </c>
      <c r="I70" s="42">
        <f t="shared" si="17"/>
        <v>0</v>
      </c>
      <c r="J70" s="42">
        <f t="shared" si="17"/>
        <v>0</v>
      </c>
      <c r="K70" s="42">
        <f t="shared" si="17"/>
        <v>0</v>
      </c>
      <c r="L70" s="42">
        <f t="shared" si="17"/>
        <v>0</v>
      </c>
      <c r="M70" s="8"/>
      <c r="N70" s="8"/>
    </row>
    <row r="71" spans="1:14" x14ac:dyDescent="0.25">
      <c r="A71" s="16"/>
      <c r="B71" s="3" t="s">
        <v>213</v>
      </c>
      <c r="G71" s="61">
        <f>+((1-G70)*(1-G69))*H67</f>
        <v>2.4381278520074851E-2</v>
      </c>
      <c r="H71" s="61">
        <v>0.13125000000000001</v>
      </c>
      <c r="I71" s="61">
        <v>0.13125000000000001</v>
      </c>
      <c r="J71" s="61">
        <v>0.13125000000000001</v>
      </c>
      <c r="K71" s="61">
        <v>0.13125000000000001</v>
      </c>
      <c r="L71" s="61">
        <v>0.13125000000000001</v>
      </c>
    </row>
    <row r="72" spans="1:14" x14ac:dyDescent="0.25">
      <c r="A72" s="16"/>
    </row>
    <row r="73" spans="1:14" x14ac:dyDescent="0.25">
      <c r="A73" s="16"/>
      <c r="B73" s="7" t="s">
        <v>185</v>
      </c>
      <c r="C73" s="38" cm="1">
        <f t="array" ref="C73:G73">+GROSS/Revenue</f>
        <v>0.61989375343469499</v>
      </c>
      <c r="D73" s="38">
        <v>0.62344827586206897</v>
      </c>
      <c r="E73" s="38">
        <v>0.64929033216913135</v>
      </c>
      <c r="F73" s="38">
        <v>0.56928894490991322</v>
      </c>
      <c r="G73" s="38">
        <v>0.72717573290436954</v>
      </c>
      <c r="H73" s="39">
        <v>0.6</v>
      </c>
      <c r="I73" s="39">
        <v>0.6</v>
      </c>
      <c r="J73" s="39">
        <v>0.6</v>
      </c>
      <c r="K73" s="39">
        <v>0.6</v>
      </c>
      <c r="L73" s="39">
        <v>0.6</v>
      </c>
      <c r="M73" s="8"/>
      <c r="N73" s="8"/>
    </row>
    <row r="74" spans="1:14" x14ac:dyDescent="0.25">
      <c r="A74" s="16"/>
      <c r="B74" s="7" t="s">
        <v>186</v>
      </c>
      <c r="C74" s="38" cm="1">
        <f t="array" ref="C74:G74">+SGA/Revenue</f>
        <v>0.10010991023997069</v>
      </c>
      <c r="D74" s="38">
        <v>0.11634182908545727</v>
      </c>
      <c r="E74" s="38">
        <v>8.0478561343538674E-2</v>
      </c>
      <c r="F74" s="38">
        <v>9.0457477570994288E-2</v>
      </c>
      <c r="G74" s="38">
        <v>4.3563901382095135E-2</v>
      </c>
      <c r="H74" s="39">
        <v>0.05</v>
      </c>
      <c r="I74" s="39">
        <v>0.05</v>
      </c>
      <c r="J74" s="39">
        <v>0.05</v>
      </c>
      <c r="K74" s="39">
        <v>0.05</v>
      </c>
      <c r="L74" s="39">
        <v>0.05</v>
      </c>
      <c r="M74" s="8"/>
      <c r="N74" s="8"/>
    </row>
    <row r="75" spans="1:14" x14ac:dyDescent="0.25">
      <c r="A75" s="16"/>
      <c r="B75" s="7" t="s">
        <v>187</v>
      </c>
      <c r="C75" s="38" cm="1">
        <f t="array" ref="C75:G75">+RD/Revenue</f>
        <v>0.25911339073090311</v>
      </c>
      <c r="D75" s="38">
        <v>0.2353223388305847</v>
      </c>
      <c r="E75" s="38">
        <v>0.19573456193802483</v>
      </c>
      <c r="F75" s="38">
        <v>0.27207681471046191</v>
      </c>
      <c r="G75" s="38">
        <v>0.14239519385443683</v>
      </c>
      <c r="H75" s="39">
        <v>0.15</v>
      </c>
      <c r="I75" s="39">
        <v>0.15</v>
      </c>
      <c r="J75" s="39">
        <v>0.15</v>
      </c>
      <c r="K75" s="39">
        <v>0.15</v>
      </c>
      <c r="L75" s="39">
        <v>0.15</v>
      </c>
      <c r="M75" s="8"/>
      <c r="N75" s="8"/>
    </row>
    <row r="76" spans="1:14" x14ac:dyDescent="0.25">
      <c r="A76" s="16"/>
      <c r="M76" s="8"/>
      <c r="N76" s="8"/>
    </row>
    <row r="77" spans="1:14" hidden="1" outlineLevel="1" x14ac:dyDescent="0.25">
      <c r="A77" s="16"/>
      <c r="B77" s="20" t="s">
        <v>78</v>
      </c>
      <c r="C77" s="17" t="s">
        <v>77</v>
      </c>
      <c r="D77" s="17" t="s">
        <v>77</v>
      </c>
      <c r="E77" s="17" t="s">
        <v>77</v>
      </c>
      <c r="F77" s="17" t="s">
        <v>77</v>
      </c>
      <c r="G77" s="17" t="s">
        <v>77</v>
      </c>
      <c r="H77" s="8"/>
      <c r="I77" s="8"/>
      <c r="J77" s="13"/>
      <c r="K77" s="8"/>
      <c r="L77" s="13"/>
      <c r="M77" s="8"/>
      <c r="N77" s="8"/>
    </row>
    <row r="78" spans="1:14" hidden="1" outlineLevel="1" x14ac:dyDescent="0.25">
      <c r="A78" s="16"/>
      <c r="B78" s="20" t="s">
        <v>76</v>
      </c>
      <c r="C78" s="17" t="s">
        <v>75</v>
      </c>
      <c r="D78" s="17" t="s">
        <v>75</v>
      </c>
      <c r="E78" s="17" t="s">
        <v>75</v>
      </c>
      <c r="F78" s="17" t="s">
        <v>75</v>
      </c>
      <c r="G78" s="17" t="s">
        <v>75</v>
      </c>
      <c r="H78" s="8"/>
      <c r="I78" s="8"/>
      <c r="J78" s="13"/>
      <c r="K78" s="8"/>
      <c r="L78" s="13"/>
      <c r="M78" s="8"/>
      <c r="N78" s="8"/>
    </row>
    <row r="79" spans="1:14" hidden="1" outlineLevel="1" x14ac:dyDescent="0.25">
      <c r="A79" s="16"/>
      <c r="B79" s="20" t="s">
        <v>74</v>
      </c>
      <c r="C79" s="17" t="s">
        <v>73</v>
      </c>
      <c r="D79" s="17" t="s">
        <v>73</v>
      </c>
      <c r="E79" s="17" t="s">
        <v>73</v>
      </c>
      <c r="F79" s="17" t="s">
        <v>73</v>
      </c>
      <c r="G79" s="17" t="s">
        <v>73</v>
      </c>
      <c r="H79" s="8"/>
      <c r="I79" s="8"/>
      <c r="J79" s="13"/>
      <c r="K79" s="8"/>
      <c r="L79" s="13"/>
      <c r="M79" s="8"/>
      <c r="N79" s="8"/>
    </row>
    <row r="80" spans="1:14" ht="15.75" collapsed="1" thickBot="1" x14ac:dyDescent="0.3">
      <c r="A80" s="16"/>
      <c r="B80" s="21" t="s">
        <v>72</v>
      </c>
      <c r="C80" s="22" t="s">
        <v>71</v>
      </c>
      <c r="D80" s="22" t="s">
        <v>71</v>
      </c>
      <c r="E80" s="22" t="s">
        <v>71</v>
      </c>
      <c r="F80" s="22" t="s">
        <v>71</v>
      </c>
      <c r="G80" s="22" t="s">
        <v>71</v>
      </c>
      <c r="H80" s="22" t="s">
        <v>71</v>
      </c>
      <c r="I80" s="22" t="s">
        <v>71</v>
      </c>
      <c r="J80" s="22" t="s">
        <v>71</v>
      </c>
      <c r="K80" s="22" t="s">
        <v>71</v>
      </c>
      <c r="L80" s="22" t="s">
        <v>71</v>
      </c>
      <c r="M80" s="8"/>
      <c r="N80" s="8"/>
    </row>
    <row r="81" spans="1:14" x14ac:dyDescent="0.25">
      <c r="A81" s="16" t="s">
        <v>89</v>
      </c>
      <c r="B81" s="23" t="s">
        <v>70</v>
      </c>
      <c r="C81" s="68">
        <v>10896000</v>
      </c>
      <c r="D81" s="68">
        <v>847000</v>
      </c>
      <c r="E81" s="68">
        <v>1990000</v>
      </c>
      <c r="F81" s="68">
        <v>3389000</v>
      </c>
      <c r="G81" s="68">
        <v>7280000</v>
      </c>
      <c r="H81" s="57">
        <f>+G81+H263</f>
        <v>7280000</v>
      </c>
      <c r="I81" s="57">
        <f t="shared" ref="I81:L81" si="18">+H81+I263</f>
        <v>7280000</v>
      </c>
      <c r="J81" s="57">
        <f t="shared" si="18"/>
        <v>7280000</v>
      </c>
      <c r="K81" s="57">
        <f t="shared" si="18"/>
        <v>7280000</v>
      </c>
      <c r="L81" s="57">
        <f t="shared" si="18"/>
        <v>7280000</v>
      </c>
      <c r="M81" s="8"/>
      <c r="N81" s="8"/>
    </row>
    <row r="82" spans="1:14" x14ac:dyDescent="0.25">
      <c r="A82" s="16"/>
      <c r="B82" s="25" t="s">
        <v>69</v>
      </c>
      <c r="C82" s="69">
        <v>1000</v>
      </c>
      <c r="D82" s="69">
        <v>10714000</v>
      </c>
      <c r="E82" s="69">
        <v>19218000</v>
      </c>
      <c r="F82" s="69">
        <v>9907000</v>
      </c>
      <c r="G82" s="69">
        <v>18704000</v>
      </c>
      <c r="H82" s="57">
        <f>+G82</f>
        <v>18704000</v>
      </c>
      <c r="I82" s="57">
        <f t="shared" ref="I82:L82" si="19">+H82</f>
        <v>18704000</v>
      </c>
      <c r="J82" s="57">
        <f t="shared" si="19"/>
        <v>18704000</v>
      </c>
      <c r="K82" s="57">
        <f t="shared" si="19"/>
        <v>18704000</v>
      </c>
      <c r="L82" s="57">
        <f t="shared" si="19"/>
        <v>18704000</v>
      </c>
      <c r="M82" s="8"/>
      <c r="N82" s="8"/>
    </row>
    <row r="83" spans="1:14" x14ac:dyDescent="0.25">
      <c r="A83" s="16"/>
      <c r="B83" s="23" t="s">
        <v>66</v>
      </c>
      <c r="C83" s="70">
        <v>1657000</v>
      </c>
      <c r="D83" s="70">
        <v>2429000</v>
      </c>
      <c r="E83" s="70">
        <v>0</v>
      </c>
      <c r="F83" s="70">
        <v>0</v>
      </c>
      <c r="G83" s="70">
        <v>9999000</v>
      </c>
      <c r="H83" s="70">
        <f>+G83</f>
        <v>9999000</v>
      </c>
      <c r="I83" s="70">
        <f t="shared" ref="I83:L83" si="20">+H83</f>
        <v>9999000</v>
      </c>
      <c r="J83" s="70">
        <f t="shared" si="20"/>
        <v>9999000</v>
      </c>
      <c r="K83" s="70">
        <f t="shared" si="20"/>
        <v>9999000</v>
      </c>
      <c r="L83" s="70">
        <f t="shared" si="20"/>
        <v>9999000</v>
      </c>
      <c r="M83" s="8"/>
      <c r="N83" s="8"/>
    </row>
    <row r="84" spans="1:14" x14ac:dyDescent="0.25">
      <c r="A84" s="16"/>
      <c r="B84" s="28" t="s">
        <v>68</v>
      </c>
      <c r="C84" s="69">
        <v>1668000</v>
      </c>
      <c r="D84" s="69">
        <v>2450000</v>
      </c>
      <c r="E84" s="71">
        <v>0</v>
      </c>
      <c r="F84" s="71">
        <v>0</v>
      </c>
      <c r="G84" s="69">
        <v>10003000</v>
      </c>
      <c r="H84" s="55">
        <v>0</v>
      </c>
      <c r="I84" s="55">
        <v>0</v>
      </c>
      <c r="J84" s="55">
        <v>0</v>
      </c>
      <c r="K84" s="55">
        <v>0</v>
      </c>
      <c r="L84" s="55">
        <v>0</v>
      </c>
      <c r="M84" s="8"/>
      <c r="N84" s="8"/>
    </row>
    <row r="85" spans="1:14" x14ac:dyDescent="0.25">
      <c r="A85" s="16"/>
      <c r="B85" s="28" t="s">
        <v>67</v>
      </c>
      <c r="C85" s="69">
        <v>11000</v>
      </c>
      <c r="D85" s="69">
        <v>21000</v>
      </c>
      <c r="E85" s="71">
        <v>0</v>
      </c>
      <c r="F85" s="71">
        <v>0</v>
      </c>
      <c r="G85" s="69">
        <v>4000</v>
      </c>
      <c r="H85" s="55">
        <v>0</v>
      </c>
      <c r="I85" s="55">
        <v>0</v>
      </c>
      <c r="J85" s="55">
        <v>0</v>
      </c>
      <c r="K85" s="55">
        <v>0</v>
      </c>
      <c r="L85" s="55">
        <v>0</v>
      </c>
      <c r="M85" s="8"/>
      <c r="N85" s="8"/>
    </row>
    <row r="86" spans="1:14" x14ac:dyDescent="0.25">
      <c r="A86" s="16"/>
      <c r="B86" s="27" t="s">
        <v>62</v>
      </c>
      <c r="C86" s="70">
        <v>979000</v>
      </c>
      <c r="D86" s="70">
        <v>1826000</v>
      </c>
      <c r="E86" s="70">
        <v>2605000</v>
      </c>
      <c r="F86" s="70">
        <v>5159000</v>
      </c>
      <c r="G86" s="70">
        <v>5282000</v>
      </c>
      <c r="H86" s="70">
        <f>+G86</f>
        <v>5282000</v>
      </c>
      <c r="I86" s="70">
        <f t="shared" ref="I86:L86" si="21">+H86</f>
        <v>5282000</v>
      </c>
      <c r="J86" s="70">
        <f t="shared" si="21"/>
        <v>5282000</v>
      </c>
      <c r="K86" s="70">
        <f t="shared" si="21"/>
        <v>5282000</v>
      </c>
      <c r="L86" s="70">
        <f t="shared" si="21"/>
        <v>5282000</v>
      </c>
      <c r="M86" s="8"/>
      <c r="N86" s="8"/>
    </row>
    <row r="87" spans="1:14" x14ac:dyDescent="0.25">
      <c r="A87" s="16"/>
      <c r="B87" s="28" t="s">
        <v>65</v>
      </c>
      <c r="C87" s="69">
        <v>249000</v>
      </c>
      <c r="D87" s="69">
        <v>632000</v>
      </c>
      <c r="E87" s="69">
        <v>791000</v>
      </c>
      <c r="F87" s="69">
        <v>2430000</v>
      </c>
      <c r="G87" s="69">
        <v>1719000</v>
      </c>
      <c r="H87" s="57">
        <v>0</v>
      </c>
      <c r="I87" s="57">
        <v>0</v>
      </c>
      <c r="J87" s="57">
        <v>0</v>
      </c>
      <c r="K87" s="57">
        <v>0</v>
      </c>
      <c r="L87" s="57">
        <v>0</v>
      </c>
      <c r="M87" s="8"/>
      <c r="N87" s="8"/>
    </row>
    <row r="88" spans="1:14" x14ac:dyDescent="0.25">
      <c r="A88" s="16"/>
      <c r="B88" s="28" t="s">
        <v>64</v>
      </c>
      <c r="C88" s="69">
        <v>265000</v>
      </c>
      <c r="D88" s="69">
        <v>457000</v>
      </c>
      <c r="E88" s="69">
        <v>692000</v>
      </c>
      <c r="F88" s="69">
        <v>466000</v>
      </c>
      <c r="G88" s="69">
        <v>1505000</v>
      </c>
      <c r="H88" s="57">
        <v>0</v>
      </c>
      <c r="I88" s="57">
        <v>0</v>
      </c>
      <c r="J88" s="57">
        <v>0</v>
      </c>
      <c r="K88" s="57">
        <v>0</v>
      </c>
      <c r="L88" s="57">
        <v>0</v>
      </c>
      <c r="M88" s="8"/>
      <c r="N88" s="8"/>
    </row>
    <row r="89" spans="1:14" x14ac:dyDescent="0.25">
      <c r="A89" s="16"/>
      <c r="B89" s="28" t="s">
        <v>63</v>
      </c>
      <c r="C89" s="69">
        <v>465000</v>
      </c>
      <c r="D89" s="69">
        <v>737000</v>
      </c>
      <c r="E89" s="69">
        <v>1122000</v>
      </c>
      <c r="F89" s="69">
        <v>2263000</v>
      </c>
      <c r="G89" s="69">
        <v>2058000</v>
      </c>
      <c r="H89" s="57">
        <v>0</v>
      </c>
      <c r="I89" s="57">
        <v>0</v>
      </c>
      <c r="J89" s="57">
        <v>0</v>
      </c>
      <c r="K89" s="57">
        <v>0</v>
      </c>
      <c r="L89" s="57">
        <v>0</v>
      </c>
      <c r="M89" s="8"/>
      <c r="N89" s="8"/>
    </row>
    <row r="90" spans="1:14" x14ac:dyDescent="0.25">
      <c r="A90" s="16"/>
      <c r="B90" s="23" t="s">
        <v>61</v>
      </c>
      <c r="C90" s="68">
        <v>157000</v>
      </c>
      <c r="D90" s="68">
        <v>239000</v>
      </c>
      <c r="E90" s="68">
        <v>366000</v>
      </c>
      <c r="F90" s="68">
        <v>791000</v>
      </c>
      <c r="G90" s="68">
        <v>3080000</v>
      </c>
      <c r="H90" s="70">
        <f>+G90</f>
        <v>3080000</v>
      </c>
      <c r="I90" s="70">
        <f t="shared" ref="I90:L90" si="22">+H90</f>
        <v>3080000</v>
      </c>
      <c r="J90" s="70">
        <f t="shared" si="22"/>
        <v>3080000</v>
      </c>
      <c r="K90" s="70">
        <f t="shared" si="22"/>
        <v>3080000</v>
      </c>
      <c r="L90" s="70">
        <f t="shared" si="22"/>
        <v>3080000</v>
      </c>
      <c r="M90" s="8"/>
      <c r="N90" s="8"/>
    </row>
    <row r="91" spans="1:14" x14ac:dyDescent="0.25">
      <c r="A91" s="16" t="s">
        <v>89</v>
      </c>
      <c r="B91" s="23" t="s">
        <v>60</v>
      </c>
      <c r="C91" s="68">
        <v>13690000</v>
      </c>
      <c r="D91" s="68">
        <v>16055000</v>
      </c>
      <c r="E91" s="68">
        <v>24179000</v>
      </c>
      <c r="F91" s="68">
        <v>19246000</v>
      </c>
      <c r="G91" s="68">
        <v>44345000</v>
      </c>
      <c r="H91" s="68">
        <f>+H81+H82+H83+H86+H90</f>
        <v>44345000</v>
      </c>
      <c r="I91" s="68">
        <f t="shared" ref="I91:L91" si="23">+I81+I82+I83+I86+I90</f>
        <v>44345000</v>
      </c>
      <c r="J91" s="68">
        <f t="shared" si="23"/>
        <v>44345000</v>
      </c>
      <c r="K91" s="68">
        <f t="shared" si="23"/>
        <v>44345000</v>
      </c>
      <c r="L91" s="68">
        <f t="shared" si="23"/>
        <v>44345000</v>
      </c>
      <c r="M91" s="8"/>
      <c r="N91" s="8"/>
    </row>
    <row r="92" spans="1:14" x14ac:dyDescent="0.25">
      <c r="A92" s="16"/>
      <c r="B92" s="25" t="s">
        <v>59</v>
      </c>
      <c r="C92" s="69">
        <v>218000</v>
      </c>
      <c r="D92" s="69">
        <v>218000</v>
      </c>
      <c r="E92" s="69">
        <v>218000</v>
      </c>
      <c r="F92" s="69">
        <v>218000</v>
      </c>
      <c r="G92" s="69">
        <v>218000</v>
      </c>
      <c r="H92" s="57">
        <f>+G92</f>
        <v>218000</v>
      </c>
      <c r="I92" s="57">
        <f t="shared" ref="I92:L92" si="24">+H92</f>
        <v>218000</v>
      </c>
      <c r="J92" s="57">
        <f t="shared" si="24"/>
        <v>218000</v>
      </c>
      <c r="K92" s="57">
        <f t="shared" si="24"/>
        <v>218000</v>
      </c>
      <c r="L92" s="57">
        <f t="shared" si="24"/>
        <v>218000</v>
      </c>
      <c r="M92" s="8"/>
      <c r="N92" s="8"/>
    </row>
    <row r="93" spans="1:14" x14ac:dyDescent="0.25">
      <c r="A93" s="16"/>
      <c r="B93" s="25" t="s">
        <v>58</v>
      </c>
      <c r="C93" s="71">
        <v>0</v>
      </c>
      <c r="D93" s="71">
        <v>0</v>
      </c>
      <c r="E93" s="69">
        <v>874000</v>
      </c>
      <c r="F93" s="69">
        <v>1598000</v>
      </c>
      <c r="G93" s="71">
        <v>0</v>
      </c>
      <c r="H93" s="57">
        <v>0</v>
      </c>
      <c r="I93" s="57">
        <v>0</v>
      </c>
      <c r="J93" s="57">
        <v>0</v>
      </c>
      <c r="K93" s="57">
        <v>0</v>
      </c>
      <c r="L93" s="57">
        <v>0</v>
      </c>
      <c r="M93" s="8"/>
      <c r="N93" s="8"/>
    </row>
    <row r="94" spans="1:14" x14ac:dyDescent="0.25">
      <c r="A94" s="16"/>
      <c r="B94" s="25" t="s">
        <v>57</v>
      </c>
      <c r="C94" s="71">
        <v>0</v>
      </c>
      <c r="D94" s="71">
        <v>0</v>
      </c>
      <c r="E94" s="69">
        <v>2852000</v>
      </c>
      <c r="F94" s="69">
        <v>4303000</v>
      </c>
      <c r="G94" s="71">
        <v>0</v>
      </c>
      <c r="H94" s="57">
        <v>0</v>
      </c>
      <c r="I94" s="57">
        <v>0</v>
      </c>
      <c r="J94" s="57">
        <v>0</v>
      </c>
      <c r="K94" s="57">
        <v>0</v>
      </c>
      <c r="L94" s="57">
        <v>0</v>
      </c>
      <c r="M94" s="8"/>
      <c r="N94" s="8"/>
    </row>
    <row r="95" spans="1:14" x14ac:dyDescent="0.25">
      <c r="A95" s="16"/>
      <c r="B95" s="25" t="s">
        <v>56</v>
      </c>
      <c r="C95" s="69">
        <v>340000</v>
      </c>
      <c r="D95" s="69">
        <v>341000</v>
      </c>
      <c r="E95" s="71">
        <v>0</v>
      </c>
      <c r="F95" s="71">
        <v>0</v>
      </c>
      <c r="G95" s="69">
        <v>1816000</v>
      </c>
      <c r="H95" s="57">
        <f>+G95</f>
        <v>1816000</v>
      </c>
      <c r="I95" s="57">
        <f t="shared" ref="I95:L95" si="25">+H95</f>
        <v>1816000</v>
      </c>
      <c r="J95" s="57">
        <f t="shared" si="25"/>
        <v>1816000</v>
      </c>
      <c r="K95" s="57">
        <f t="shared" si="25"/>
        <v>1816000</v>
      </c>
      <c r="L95" s="57">
        <f t="shared" si="25"/>
        <v>1816000</v>
      </c>
      <c r="M95" s="8"/>
      <c r="N95" s="8"/>
    </row>
    <row r="96" spans="1:14" x14ac:dyDescent="0.25">
      <c r="A96" s="16"/>
      <c r="B96" s="25" t="s">
        <v>55</v>
      </c>
      <c r="C96" s="69">
        <v>532000</v>
      </c>
      <c r="D96" s="69">
        <v>782000</v>
      </c>
      <c r="E96" s="71">
        <v>0</v>
      </c>
      <c r="F96" s="71">
        <v>0</v>
      </c>
      <c r="G96" s="69">
        <v>5200000</v>
      </c>
      <c r="H96" s="57">
        <f>+G96</f>
        <v>5200000</v>
      </c>
      <c r="I96" s="57">
        <f t="shared" ref="I96:L96" si="26">+H96</f>
        <v>5200000</v>
      </c>
      <c r="J96" s="57">
        <f t="shared" si="26"/>
        <v>5200000</v>
      </c>
      <c r="K96" s="57">
        <f t="shared" si="26"/>
        <v>5200000</v>
      </c>
      <c r="L96" s="57">
        <f t="shared" si="26"/>
        <v>5200000</v>
      </c>
      <c r="M96" s="8"/>
      <c r="N96" s="8"/>
    </row>
    <row r="97" spans="1:14" x14ac:dyDescent="0.25">
      <c r="A97" s="16"/>
      <c r="B97" s="25" t="s">
        <v>54</v>
      </c>
      <c r="C97" s="69">
        <v>621000</v>
      </c>
      <c r="D97" s="69">
        <v>1187000</v>
      </c>
      <c r="E97" s="71">
        <v>0</v>
      </c>
      <c r="F97" s="71">
        <v>0</v>
      </c>
      <c r="G97" s="71">
        <v>0</v>
      </c>
      <c r="H97" s="55"/>
      <c r="I97" s="55"/>
      <c r="J97" s="62"/>
      <c r="K97" s="55"/>
      <c r="L97" s="62"/>
      <c r="M97" s="8"/>
      <c r="N97" s="8"/>
    </row>
    <row r="98" spans="1:14" x14ac:dyDescent="0.25">
      <c r="A98" s="16"/>
      <c r="B98" s="25" t="s">
        <v>53</v>
      </c>
      <c r="C98" s="69">
        <v>293000</v>
      </c>
      <c r="D98" s="69">
        <v>385000</v>
      </c>
      <c r="E98" s="71">
        <v>0</v>
      </c>
      <c r="F98" s="71">
        <v>0</v>
      </c>
      <c r="G98" s="71">
        <v>0</v>
      </c>
      <c r="H98" s="55"/>
      <c r="I98" s="55"/>
      <c r="J98" s="62"/>
      <c r="K98" s="55"/>
      <c r="L98" s="62"/>
      <c r="M98" s="8"/>
      <c r="N98" s="8"/>
    </row>
    <row r="99" spans="1:14" x14ac:dyDescent="0.25">
      <c r="A99" s="16"/>
      <c r="B99" s="25" t="s">
        <v>52</v>
      </c>
      <c r="C99" s="69">
        <v>287000</v>
      </c>
      <c r="D99" s="71">
        <v>0</v>
      </c>
      <c r="E99" s="71">
        <v>0</v>
      </c>
      <c r="F99" s="71">
        <v>0</v>
      </c>
      <c r="G99" s="71">
        <v>0</v>
      </c>
      <c r="H99" s="55"/>
      <c r="I99" s="55"/>
      <c r="J99" s="62"/>
      <c r="K99" s="55"/>
      <c r="L99" s="62"/>
      <c r="M99" s="8"/>
      <c r="N99" s="8"/>
    </row>
    <row r="100" spans="1:14" x14ac:dyDescent="0.25">
      <c r="A100" s="16"/>
      <c r="B100" s="25" t="s">
        <v>51</v>
      </c>
      <c r="C100" s="69">
        <v>74000</v>
      </c>
      <c r="D100" s="69">
        <v>86000</v>
      </c>
      <c r="E100" s="71">
        <v>0</v>
      </c>
      <c r="F100" s="71">
        <v>0</v>
      </c>
      <c r="G100" s="71">
        <v>0</v>
      </c>
      <c r="H100" s="55"/>
      <c r="I100" s="55"/>
      <c r="J100" s="62"/>
      <c r="K100" s="55"/>
      <c r="L100" s="62"/>
      <c r="M100" s="8"/>
      <c r="N100" s="8"/>
    </row>
    <row r="101" spans="1:14" x14ac:dyDescent="0.25">
      <c r="A101" s="16"/>
      <c r="B101" s="25" t="s">
        <v>50</v>
      </c>
      <c r="C101" s="69">
        <v>320000</v>
      </c>
      <c r="D101" s="69">
        <v>558000</v>
      </c>
      <c r="E101" s="69">
        <v>737000</v>
      </c>
      <c r="F101" s="69">
        <v>382000</v>
      </c>
      <c r="G101" s="69">
        <v>189000</v>
      </c>
      <c r="H101" s="55"/>
      <c r="I101" s="55"/>
      <c r="J101" s="62"/>
      <c r="K101" s="55"/>
      <c r="L101" s="62"/>
      <c r="M101" s="8"/>
      <c r="N101" s="8"/>
    </row>
    <row r="102" spans="1:14" ht="17.25" x14ac:dyDescent="0.4">
      <c r="A102" s="16"/>
      <c r="B102" s="23" t="s">
        <v>49</v>
      </c>
      <c r="C102" s="72">
        <v>2685000</v>
      </c>
      <c r="D102" s="72">
        <v>3557000</v>
      </c>
      <c r="E102" s="72">
        <v>4681000</v>
      </c>
      <c r="F102" s="72">
        <v>6501000</v>
      </c>
      <c r="G102" s="72">
        <v>7423000</v>
      </c>
      <c r="H102" s="55"/>
      <c r="I102" s="55"/>
      <c r="J102" s="62"/>
      <c r="K102" s="55"/>
      <c r="L102" s="62"/>
      <c r="M102" s="8"/>
      <c r="N102" s="8"/>
    </row>
    <row r="103" spans="1:14" x14ac:dyDescent="0.25">
      <c r="A103" s="16"/>
      <c r="B103" s="25" t="s">
        <v>48</v>
      </c>
      <c r="C103" s="69">
        <v>1011000</v>
      </c>
      <c r="D103" s="69">
        <v>1408000</v>
      </c>
      <c r="E103" s="69">
        <v>1903000</v>
      </c>
      <c r="F103" s="69">
        <v>2694000</v>
      </c>
      <c r="G103" s="69">
        <v>3509000</v>
      </c>
      <c r="H103" s="55"/>
      <c r="I103" s="55"/>
      <c r="J103" s="62"/>
      <c r="K103" s="55"/>
      <c r="L103" s="62"/>
      <c r="M103" s="8"/>
      <c r="N103" s="8"/>
    </row>
    <row r="104" spans="1:14" x14ac:dyDescent="0.25">
      <c r="A104" s="16"/>
      <c r="B104" s="23" t="s">
        <v>47</v>
      </c>
      <c r="C104" s="68">
        <v>1674000</v>
      </c>
      <c r="D104" s="68">
        <v>2149000</v>
      </c>
      <c r="E104" s="68">
        <v>2778000</v>
      </c>
      <c r="F104" s="68">
        <v>3807000</v>
      </c>
      <c r="G104" s="68">
        <v>3914000</v>
      </c>
      <c r="H104" s="55"/>
      <c r="I104" s="55"/>
      <c r="J104" s="62"/>
      <c r="K104" s="55"/>
      <c r="L104" s="62"/>
      <c r="M104" s="8"/>
      <c r="N104" s="8"/>
    </row>
    <row r="105" spans="1:14" x14ac:dyDescent="0.25">
      <c r="A105" s="16"/>
      <c r="B105" s="25" t="s">
        <v>46</v>
      </c>
      <c r="C105" s="69">
        <v>618000</v>
      </c>
      <c r="D105" s="69">
        <v>707000</v>
      </c>
      <c r="E105" s="69">
        <v>829000</v>
      </c>
      <c r="F105" s="69">
        <v>1038000</v>
      </c>
      <c r="G105" s="69">
        <v>1346000</v>
      </c>
      <c r="H105" s="55"/>
      <c r="I105" s="55"/>
      <c r="J105" s="62"/>
      <c r="K105" s="55"/>
      <c r="L105" s="62"/>
      <c r="M105" s="8"/>
      <c r="N105" s="8"/>
    </row>
    <row r="106" spans="1:14" x14ac:dyDescent="0.25">
      <c r="A106" s="16"/>
      <c r="B106" s="25" t="s">
        <v>45</v>
      </c>
      <c r="C106" s="69">
        <v>618000</v>
      </c>
      <c r="D106" s="69">
        <v>4193000</v>
      </c>
      <c r="E106" s="69">
        <v>4349000</v>
      </c>
      <c r="F106" s="69">
        <v>4372000</v>
      </c>
      <c r="G106" s="69">
        <v>4430000</v>
      </c>
      <c r="H106" s="55"/>
      <c r="I106" s="55"/>
      <c r="J106" s="62"/>
      <c r="K106" s="55"/>
      <c r="L106" s="62"/>
      <c r="M106" s="8"/>
      <c r="N106" s="8"/>
    </row>
    <row r="107" spans="1:14" x14ac:dyDescent="0.25">
      <c r="A107" s="16"/>
      <c r="B107" s="25" t="s">
        <v>44</v>
      </c>
      <c r="C107" s="69">
        <v>49000</v>
      </c>
      <c r="D107" s="69">
        <v>2737000</v>
      </c>
      <c r="E107" s="69">
        <v>2339000</v>
      </c>
      <c r="F107" s="69">
        <v>1676000</v>
      </c>
      <c r="G107" s="69">
        <v>1112000</v>
      </c>
      <c r="H107" s="55"/>
      <c r="I107" s="55"/>
      <c r="J107" s="62"/>
      <c r="K107" s="55"/>
      <c r="L107" s="62"/>
      <c r="M107" s="8"/>
      <c r="N107" s="8"/>
    </row>
    <row r="108" spans="1:14" x14ac:dyDescent="0.25">
      <c r="A108" s="16"/>
      <c r="B108" s="25" t="s">
        <v>43</v>
      </c>
      <c r="C108" s="69">
        <v>548000</v>
      </c>
      <c r="D108" s="69">
        <v>806000</v>
      </c>
      <c r="E108" s="69">
        <v>1222000</v>
      </c>
      <c r="F108" s="69">
        <v>3396000</v>
      </c>
      <c r="G108" s="69">
        <v>6081000</v>
      </c>
      <c r="H108" s="55"/>
      <c r="I108" s="55"/>
      <c r="J108" s="62"/>
      <c r="K108" s="55"/>
      <c r="L108" s="62"/>
      <c r="M108" s="8"/>
      <c r="N108" s="8"/>
    </row>
    <row r="109" spans="1:14" x14ac:dyDescent="0.25">
      <c r="A109" s="16"/>
      <c r="B109" s="25" t="s">
        <v>42</v>
      </c>
      <c r="C109" s="71">
        <v>0</v>
      </c>
      <c r="D109" s="71">
        <v>0</v>
      </c>
      <c r="E109" s="69">
        <v>1747000</v>
      </c>
      <c r="F109" s="69">
        <v>2989000</v>
      </c>
      <c r="G109" s="71">
        <v>0</v>
      </c>
      <c r="H109" s="55"/>
      <c r="I109" s="55"/>
      <c r="J109" s="62"/>
      <c r="K109" s="55"/>
      <c r="L109" s="62"/>
      <c r="M109" s="8"/>
      <c r="N109" s="8"/>
    </row>
    <row r="110" spans="1:14" x14ac:dyDescent="0.25">
      <c r="A110" s="16"/>
      <c r="B110" s="25" t="s">
        <v>41</v>
      </c>
      <c r="C110" s="71">
        <v>0</v>
      </c>
      <c r="D110" s="71">
        <v>0</v>
      </c>
      <c r="E110" s="69">
        <v>1357000</v>
      </c>
      <c r="F110" s="71">
        <v>0</v>
      </c>
      <c r="G110" s="71">
        <v>0</v>
      </c>
      <c r="H110" s="55"/>
      <c r="I110" s="55"/>
      <c r="J110" s="62"/>
      <c r="K110" s="55"/>
      <c r="L110" s="62"/>
      <c r="M110" s="8"/>
      <c r="N110" s="8"/>
    </row>
    <row r="111" spans="1:14" x14ac:dyDescent="0.25">
      <c r="A111" s="16"/>
      <c r="B111" s="25" t="s">
        <v>40</v>
      </c>
      <c r="C111" s="71">
        <v>0</v>
      </c>
      <c r="D111" s="71">
        <v>0</v>
      </c>
      <c r="E111" s="69">
        <v>409000</v>
      </c>
      <c r="F111" s="69">
        <v>387000</v>
      </c>
      <c r="G111" s="71">
        <v>0</v>
      </c>
      <c r="H111" s="55"/>
      <c r="I111" s="55"/>
      <c r="J111" s="62"/>
      <c r="K111" s="55"/>
      <c r="L111" s="62"/>
      <c r="M111" s="8"/>
      <c r="N111" s="8"/>
    </row>
    <row r="112" spans="1:14" x14ac:dyDescent="0.25">
      <c r="A112" s="16"/>
      <c r="B112" s="25" t="s">
        <v>39</v>
      </c>
      <c r="C112" s="71">
        <v>0</v>
      </c>
      <c r="D112" s="71">
        <v>0</v>
      </c>
      <c r="E112" s="69">
        <v>266000</v>
      </c>
      <c r="F112" s="69">
        <v>299000</v>
      </c>
      <c r="G112" s="71">
        <v>0</v>
      </c>
      <c r="H112" s="55"/>
      <c r="I112" s="55"/>
      <c r="J112" s="62"/>
      <c r="K112" s="55"/>
      <c r="L112" s="62"/>
      <c r="M112" s="8"/>
      <c r="N112" s="8"/>
    </row>
    <row r="113" spans="1:14" x14ac:dyDescent="0.25">
      <c r="A113" s="16"/>
      <c r="B113" s="25" t="s">
        <v>38</v>
      </c>
      <c r="C113" s="71">
        <v>0</v>
      </c>
      <c r="D113" s="71">
        <v>0</v>
      </c>
      <c r="E113" s="69">
        <v>62000</v>
      </c>
      <c r="F113" s="69">
        <v>145000</v>
      </c>
      <c r="G113" s="71">
        <v>0</v>
      </c>
      <c r="H113" s="55"/>
      <c r="I113" s="55"/>
      <c r="J113" s="62"/>
      <c r="K113" s="55"/>
      <c r="L113" s="62"/>
      <c r="M113" s="8"/>
      <c r="N113" s="8"/>
    </row>
    <row r="114" spans="1:14" x14ac:dyDescent="0.25">
      <c r="A114" s="16"/>
      <c r="B114" s="25" t="s">
        <v>38</v>
      </c>
      <c r="C114" s="69">
        <v>118000</v>
      </c>
      <c r="D114" s="69">
        <v>2144000</v>
      </c>
      <c r="E114" s="69">
        <v>3841000</v>
      </c>
      <c r="F114" s="69">
        <v>3820000</v>
      </c>
      <c r="G114" s="69">
        <v>4500000</v>
      </c>
      <c r="H114" s="55"/>
      <c r="I114" s="55"/>
      <c r="J114" s="62"/>
      <c r="K114" s="55"/>
      <c r="L114" s="62"/>
      <c r="M114" s="8"/>
      <c r="N114" s="8"/>
    </row>
    <row r="115" spans="1:14" x14ac:dyDescent="0.25">
      <c r="A115" s="16" t="s">
        <v>89</v>
      </c>
      <c r="B115" s="23" t="s">
        <v>37</v>
      </c>
      <c r="C115" s="68">
        <v>17315000</v>
      </c>
      <c r="D115" s="68">
        <v>28791000</v>
      </c>
      <c r="E115" s="68">
        <v>44187000</v>
      </c>
      <c r="F115" s="68">
        <v>41182000</v>
      </c>
      <c r="G115" s="68">
        <v>65728000</v>
      </c>
      <c r="H115" s="55"/>
      <c r="I115" s="55"/>
      <c r="J115" s="62"/>
      <c r="K115" s="55"/>
      <c r="L115" s="62"/>
      <c r="M115" s="8"/>
      <c r="N115" s="8"/>
    </row>
    <row r="116" spans="1:14" x14ac:dyDescent="0.25">
      <c r="A116" s="16"/>
      <c r="B116" s="25" t="s">
        <v>36</v>
      </c>
      <c r="C116" s="69">
        <v>687000</v>
      </c>
      <c r="D116" s="69">
        <v>1201000</v>
      </c>
      <c r="E116" s="69">
        <v>1783000</v>
      </c>
      <c r="F116" s="69">
        <v>1193000</v>
      </c>
      <c r="G116" s="69">
        <v>2699000</v>
      </c>
      <c r="H116" s="55">
        <f>+G116</f>
        <v>2699000</v>
      </c>
      <c r="I116" s="55">
        <f t="shared" ref="I116:L116" si="27">+H116</f>
        <v>2699000</v>
      </c>
      <c r="J116" s="55">
        <f t="shared" si="27"/>
        <v>2699000</v>
      </c>
      <c r="K116" s="55">
        <f t="shared" si="27"/>
        <v>2699000</v>
      </c>
      <c r="L116" s="55">
        <f t="shared" si="27"/>
        <v>2699000</v>
      </c>
      <c r="M116" s="8"/>
      <c r="N116" s="8"/>
    </row>
    <row r="117" spans="1:14" x14ac:dyDescent="0.25">
      <c r="A117" s="16"/>
      <c r="B117" s="25" t="s">
        <v>35</v>
      </c>
      <c r="C117" s="69">
        <v>462000</v>
      </c>
      <c r="D117" s="69">
        <v>630000</v>
      </c>
      <c r="E117" s="69">
        <v>1000000</v>
      </c>
      <c r="F117" s="69">
        <v>1196000</v>
      </c>
      <c r="G117" s="69">
        <v>2081000</v>
      </c>
      <c r="H117" s="55"/>
      <c r="I117" s="55"/>
      <c r="J117" s="62"/>
      <c r="K117" s="55"/>
      <c r="L117" s="62"/>
      <c r="M117" s="8"/>
      <c r="N117" s="8"/>
    </row>
    <row r="118" spans="1:14" x14ac:dyDescent="0.25">
      <c r="A118" s="16"/>
      <c r="B118" s="25" t="s">
        <v>34</v>
      </c>
      <c r="C118" s="69">
        <v>185000</v>
      </c>
      <c r="D118" s="69">
        <v>297000</v>
      </c>
      <c r="E118" s="69">
        <v>409000</v>
      </c>
      <c r="F118" s="69">
        <v>530000</v>
      </c>
      <c r="G118" s="69">
        <v>675000</v>
      </c>
      <c r="H118" s="55"/>
      <c r="I118" s="55"/>
      <c r="J118" s="62"/>
      <c r="K118" s="55"/>
      <c r="L118" s="62"/>
      <c r="M118" s="8"/>
      <c r="N118" s="8"/>
    </row>
    <row r="119" spans="1:14" x14ac:dyDescent="0.25">
      <c r="A119" s="16"/>
      <c r="B119" s="25" t="s">
        <v>13</v>
      </c>
      <c r="C119" s="69">
        <v>141000</v>
      </c>
      <c r="D119" s="69">
        <v>288000</v>
      </c>
      <c r="E119" s="69">
        <v>300000</v>
      </c>
      <c r="F119" s="69">
        <v>354000</v>
      </c>
      <c r="G119" s="69">
        <v>764000</v>
      </c>
      <c r="H119" s="55"/>
      <c r="I119" s="55"/>
      <c r="J119" s="62"/>
      <c r="K119" s="55"/>
      <c r="L119" s="62"/>
      <c r="M119" s="8"/>
      <c r="N119" s="8"/>
    </row>
    <row r="120" spans="1:14" x14ac:dyDescent="0.25">
      <c r="A120" s="16"/>
      <c r="B120" s="25" t="s">
        <v>33</v>
      </c>
      <c r="C120" s="71">
        <v>0</v>
      </c>
      <c r="D120" s="71">
        <v>0</v>
      </c>
      <c r="E120" s="69">
        <v>196000</v>
      </c>
      <c r="F120" s="69">
        <v>954000</v>
      </c>
      <c r="G120" s="71" t="s">
        <v>0</v>
      </c>
      <c r="H120" s="55"/>
      <c r="I120" s="55"/>
      <c r="J120" s="62"/>
      <c r="K120" s="55"/>
      <c r="L120" s="62"/>
      <c r="M120" s="8"/>
      <c r="N120" s="8"/>
    </row>
    <row r="121" spans="1:14" x14ac:dyDescent="0.25">
      <c r="A121" s="16"/>
      <c r="B121" s="25" t="s">
        <v>32</v>
      </c>
      <c r="C121" s="71">
        <v>0</v>
      </c>
      <c r="D121" s="69">
        <v>128000</v>
      </c>
      <c r="E121" s="71" t="s">
        <v>0</v>
      </c>
      <c r="F121" s="71" t="s">
        <v>0</v>
      </c>
      <c r="G121" s="69">
        <v>182000</v>
      </c>
      <c r="H121" s="55"/>
      <c r="I121" s="55"/>
      <c r="J121" s="62"/>
      <c r="K121" s="55"/>
      <c r="L121" s="62"/>
      <c r="M121" s="8"/>
      <c r="N121" s="8"/>
    </row>
    <row r="122" spans="1:14" x14ac:dyDescent="0.25">
      <c r="A122" s="16"/>
      <c r="B122" s="25" t="s">
        <v>31</v>
      </c>
      <c r="C122" s="69">
        <v>91000</v>
      </c>
      <c r="D122" s="69">
        <v>121000</v>
      </c>
      <c r="E122" s="71" t="s">
        <v>0</v>
      </c>
      <c r="F122" s="69">
        <v>176000</v>
      </c>
      <c r="G122" s="69">
        <v>228000</v>
      </c>
      <c r="H122" s="55"/>
      <c r="I122" s="55"/>
      <c r="J122" s="62"/>
      <c r="K122" s="55"/>
      <c r="L122" s="62"/>
      <c r="M122" s="8"/>
      <c r="N122" s="8"/>
    </row>
    <row r="123" spans="1:14" x14ac:dyDescent="0.25">
      <c r="A123" s="16"/>
      <c r="B123" s="25" t="s">
        <v>30</v>
      </c>
      <c r="C123" s="71">
        <v>0</v>
      </c>
      <c r="D123" s="69">
        <v>74000</v>
      </c>
      <c r="E123" s="71" t="s">
        <v>0</v>
      </c>
      <c r="F123" s="71" t="s">
        <v>0</v>
      </c>
      <c r="G123" s="71" t="s">
        <v>0</v>
      </c>
      <c r="H123" s="55"/>
      <c r="I123" s="55"/>
      <c r="J123" s="62"/>
      <c r="K123" s="55"/>
      <c r="L123" s="62"/>
      <c r="M123" s="8"/>
      <c r="N123" s="8"/>
    </row>
    <row r="124" spans="1:14" x14ac:dyDescent="0.25">
      <c r="A124" s="16"/>
      <c r="B124" s="25" t="s">
        <v>29</v>
      </c>
      <c r="C124" s="69">
        <v>61000</v>
      </c>
      <c r="D124" s="69">
        <v>61000</v>
      </c>
      <c r="E124" s="71" t="s">
        <v>0</v>
      </c>
      <c r="F124" s="69">
        <v>467000</v>
      </c>
      <c r="G124" s="69">
        <v>296000</v>
      </c>
      <c r="H124" s="55"/>
      <c r="I124" s="55"/>
      <c r="J124" s="62"/>
      <c r="K124" s="55"/>
      <c r="L124" s="62"/>
      <c r="M124" s="8"/>
      <c r="N124" s="8"/>
    </row>
    <row r="125" spans="1:14" x14ac:dyDescent="0.25">
      <c r="A125" s="16"/>
      <c r="B125" s="25" t="s">
        <v>12</v>
      </c>
      <c r="C125" s="69">
        <v>54000</v>
      </c>
      <c r="D125" s="71">
        <v>0</v>
      </c>
      <c r="E125" s="71" t="s">
        <v>0</v>
      </c>
      <c r="F125" s="71" t="s">
        <v>0</v>
      </c>
      <c r="G125" s="71" t="s">
        <v>0</v>
      </c>
      <c r="H125" s="55"/>
      <c r="I125" s="55"/>
      <c r="J125" s="62"/>
      <c r="K125" s="55"/>
      <c r="L125" s="62"/>
      <c r="M125" s="8"/>
      <c r="N125" s="8"/>
    </row>
    <row r="126" spans="1:14" x14ac:dyDescent="0.25">
      <c r="A126" s="16"/>
      <c r="B126" s="25" t="s">
        <v>28</v>
      </c>
      <c r="C126" s="71">
        <v>0</v>
      </c>
      <c r="D126" s="69">
        <v>39000</v>
      </c>
      <c r="E126" s="71" t="s">
        <v>0</v>
      </c>
      <c r="F126" s="71" t="s">
        <v>0</v>
      </c>
      <c r="G126" s="69">
        <v>415000</v>
      </c>
      <c r="H126" s="55"/>
      <c r="I126" s="55"/>
      <c r="J126" s="62"/>
      <c r="K126" s="55"/>
      <c r="L126" s="62"/>
      <c r="M126" s="8"/>
      <c r="N126" s="8"/>
    </row>
    <row r="127" spans="1:14" x14ac:dyDescent="0.25">
      <c r="A127" s="16"/>
      <c r="B127" s="25" t="s">
        <v>27</v>
      </c>
      <c r="C127" s="69">
        <v>18000</v>
      </c>
      <c r="D127" s="69">
        <v>26000</v>
      </c>
      <c r="E127" s="71" t="s">
        <v>0</v>
      </c>
      <c r="F127" s="71" t="s">
        <v>0</v>
      </c>
      <c r="G127" s="71" t="s">
        <v>0</v>
      </c>
      <c r="H127" s="55"/>
      <c r="I127" s="55"/>
      <c r="J127" s="62"/>
      <c r="K127" s="55"/>
      <c r="L127" s="62"/>
      <c r="M127" s="8"/>
      <c r="N127" s="8"/>
    </row>
    <row r="128" spans="1:14" x14ac:dyDescent="0.25">
      <c r="A128" s="16"/>
      <c r="B128" s="25" t="s">
        <v>26</v>
      </c>
      <c r="C128" s="71">
        <v>0</v>
      </c>
      <c r="D128" s="71">
        <v>0</v>
      </c>
      <c r="E128" s="71" t="s">
        <v>0</v>
      </c>
      <c r="F128" s="71" t="s">
        <v>0</v>
      </c>
      <c r="G128" s="69">
        <v>6682000</v>
      </c>
      <c r="H128" s="55"/>
      <c r="I128" s="55"/>
      <c r="J128" s="62"/>
      <c r="K128" s="55"/>
      <c r="L128" s="62"/>
      <c r="M128" s="8"/>
      <c r="N128" s="8"/>
    </row>
    <row r="129" spans="1:14" x14ac:dyDescent="0.25">
      <c r="A129" s="16"/>
      <c r="B129" s="25" t="s">
        <v>25</v>
      </c>
      <c r="C129" s="71">
        <v>0</v>
      </c>
      <c r="D129" s="71">
        <v>0</v>
      </c>
      <c r="E129" s="71" t="s">
        <v>0</v>
      </c>
      <c r="F129" s="71" t="s">
        <v>0</v>
      </c>
      <c r="G129" s="69">
        <v>1842000</v>
      </c>
      <c r="H129" s="55"/>
      <c r="I129" s="55"/>
      <c r="J129" s="62"/>
      <c r="K129" s="55"/>
      <c r="L129" s="62"/>
      <c r="M129" s="8"/>
      <c r="N129" s="8"/>
    </row>
    <row r="130" spans="1:14" x14ac:dyDescent="0.25">
      <c r="A130" s="16"/>
      <c r="B130" s="25" t="s">
        <v>24</v>
      </c>
      <c r="C130" s="69">
        <v>85000</v>
      </c>
      <c r="D130" s="69">
        <v>61000</v>
      </c>
      <c r="E130" s="69">
        <v>647000</v>
      </c>
      <c r="F130" s="69">
        <v>443000</v>
      </c>
      <c r="G130" s="71" t="s">
        <v>0</v>
      </c>
      <c r="H130" s="55"/>
      <c r="I130" s="55"/>
      <c r="J130" s="62"/>
      <c r="K130" s="55"/>
      <c r="L130" s="62"/>
      <c r="M130" s="8"/>
      <c r="N130" s="8"/>
    </row>
    <row r="131" spans="1:14" x14ac:dyDescent="0.25">
      <c r="A131" s="16"/>
      <c r="B131" s="25" t="s">
        <v>23</v>
      </c>
      <c r="C131" s="69">
        <v>1097000</v>
      </c>
      <c r="D131" s="69">
        <v>1725000</v>
      </c>
      <c r="E131" s="69">
        <v>2552000</v>
      </c>
      <c r="F131" s="69">
        <v>4120000</v>
      </c>
      <c r="G131" s="69">
        <v>199000</v>
      </c>
      <c r="H131" s="55"/>
      <c r="I131" s="55"/>
      <c r="J131" s="62"/>
      <c r="K131" s="55"/>
      <c r="L131" s="62"/>
      <c r="M131" s="8"/>
      <c r="N131" s="8"/>
    </row>
    <row r="132" spans="1:14" x14ac:dyDescent="0.25">
      <c r="A132" s="16"/>
      <c r="B132" s="25" t="s">
        <v>22</v>
      </c>
      <c r="C132" s="71" t="s">
        <v>0</v>
      </c>
      <c r="D132" s="69">
        <v>999000</v>
      </c>
      <c r="E132" s="71" t="s">
        <v>0</v>
      </c>
      <c r="F132" s="69">
        <v>1250000</v>
      </c>
      <c r="G132" s="69">
        <v>1250000</v>
      </c>
      <c r="H132" s="55"/>
      <c r="I132" s="55"/>
      <c r="J132" s="62"/>
      <c r="K132" s="55"/>
      <c r="L132" s="62"/>
      <c r="M132" s="8"/>
      <c r="N132" s="8"/>
    </row>
    <row r="133" spans="1:14" x14ac:dyDescent="0.25">
      <c r="A133" s="16" t="s">
        <v>89</v>
      </c>
      <c r="B133" s="23" t="s">
        <v>21</v>
      </c>
      <c r="C133" s="68">
        <v>1784000</v>
      </c>
      <c r="D133" s="68">
        <v>3925000</v>
      </c>
      <c r="E133" s="68">
        <v>4335000</v>
      </c>
      <c r="F133" s="68">
        <v>6563000</v>
      </c>
      <c r="G133" s="68">
        <v>10631000</v>
      </c>
      <c r="H133" s="55"/>
      <c r="I133" s="55"/>
      <c r="J133" s="62"/>
      <c r="K133" s="55"/>
      <c r="L133" s="62"/>
      <c r="M133" s="8"/>
      <c r="N133" s="8"/>
    </row>
    <row r="134" spans="1:14" x14ac:dyDescent="0.25">
      <c r="A134" s="16"/>
      <c r="B134" s="25" t="s">
        <v>20</v>
      </c>
      <c r="C134" s="69">
        <v>2000000</v>
      </c>
      <c r="D134" s="69">
        <v>6963000</v>
      </c>
      <c r="E134" s="69">
        <v>11000000</v>
      </c>
      <c r="F134" s="69">
        <v>11000000</v>
      </c>
      <c r="G134" s="69">
        <v>8459000</v>
      </c>
      <c r="H134" s="55"/>
      <c r="I134" s="55"/>
      <c r="J134" s="62"/>
      <c r="K134" s="55"/>
      <c r="L134" s="62"/>
      <c r="M134" s="8"/>
      <c r="N134" s="8"/>
    </row>
    <row r="135" spans="1:14" x14ac:dyDescent="0.25">
      <c r="A135" s="16"/>
      <c r="B135" s="25" t="s">
        <v>19</v>
      </c>
      <c r="C135" s="69">
        <v>-9000</v>
      </c>
      <c r="D135" s="69">
        <v>-999000</v>
      </c>
      <c r="E135" s="69">
        <v>-54000</v>
      </c>
      <c r="F135" s="69">
        <v>-47000</v>
      </c>
      <c r="G135" s="71" t="s">
        <v>0</v>
      </c>
      <c r="H135" s="55"/>
      <c r="I135" s="55"/>
      <c r="J135" s="62"/>
      <c r="K135" s="55"/>
      <c r="L135" s="62"/>
      <c r="M135" s="8"/>
      <c r="N135" s="8"/>
    </row>
    <row r="136" spans="1:14" x14ac:dyDescent="0.25">
      <c r="A136" s="16"/>
      <c r="B136" s="25" t="s">
        <v>18</v>
      </c>
      <c r="C136" s="71" t="s">
        <v>0</v>
      </c>
      <c r="D136" s="71" t="s">
        <v>0</v>
      </c>
      <c r="E136" s="71" t="s">
        <v>0</v>
      </c>
      <c r="F136" s="69">
        <v>-1250000</v>
      </c>
      <c r="G136" s="71" t="s">
        <v>0</v>
      </c>
      <c r="H136" s="55"/>
      <c r="I136" s="55"/>
      <c r="J136" s="62"/>
      <c r="K136" s="55"/>
      <c r="L136" s="62"/>
      <c r="M136" s="8"/>
      <c r="N136" s="8"/>
    </row>
    <row r="137" spans="1:14" x14ac:dyDescent="0.25">
      <c r="A137" s="16"/>
      <c r="B137" s="25" t="s">
        <v>17</v>
      </c>
      <c r="C137" s="69">
        <v>1991000</v>
      </c>
      <c r="D137" s="69">
        <v>5964000</v>
      </c>
      <c r="E137" s="69">
        <v>10946000</v>
      </c>
      <c r="F137" s="69">
        <v>9703000</v>
      </c>
      <c r="G137" s="71" t="s">
        <v>0</v>
      </c>
      <c r="H137" s="55"/>
      <c r="I137" s="55"/>
      <c r="J137" s="62"/>
      <c r="K137" s="55"/>
      <c r="L137" s="62"/>
      <c r="M137" s="8"/>
      <c r="N137" s="8"/>
    </row>
    <row r="138" spans="1:14" x14ac:dyDescent="0.25">
      <c r="A138" s="16"/>
      <c r="B138" s="25" t="s">
        <v>16</v>
      </c>
      <c r="C138" s="69">
        <v>561000</v>
      </c>
      <c r="D138" s="69">
        <v>634000</v>
      </c>
      <c r="E138" s="69">
        <v>741000</v>
      </c>
      <c r="F138" s="69">
        <v>902000</v>
      </c>
      <c r="G138" s="69">
        <v>1119000</v>
      </c>
      <c r="H138" s="55"/>
      <c r="I138" s="55"/>
      <c r="J138" s="62"/>
      <c r="K138" s="55"/>
      <c r="L138" s="62"/>
      <c r="M138" s="8"/>
      <c r="N138" s="8"/>
    </row>
    <row r="139" spans="1:14" x14ac:dyDescent="0.25">
      <c r="A139" s="16"/>
      <c r="B139" s="25" t="s">
        <v>15</v>
      </c>
      <c r="C139" s="69">
        <v>528000</v>
      </c>
      <c r="D139" s="69">
        <v>836000</v>
      </c>
      <c r="E139" s="69">
        <v>980000</v>
      </c>
      <c r="F139" s="69">
        <v>1204000</v>
      </c>
      <c r="G139" s="69">
        <v>1361000</v>
      </c>
      <c r="H139" s="55"/>
      <c r="I139" s="55"/>
      <c r="J139" s="62"/>
      <c r="K139" s="55"/>
      <c r="L139" s="62"/>
      <c r="M139" s="8"/>
      <c r="N139" s="8"/>
    </row>
    <row r="140" spans="1:14" x14ac:dyDescent="0.25">
      <c r="A140" s="16"/>
      <c r="B140" s="25" t="s">
        <v>14</v>
      </c>
      <c r="C140" s="71" t="s">
        <v>0</v>
      </c>
      <c r="D140" s="69">
        <v>241000</v>
      </c>
      <c r="E140" s="69">
        <v>245000</v>
      </c>
      <c r="F140" s="69">
        <v>247000</v>
      </c>
      <c r="G140" s="69">
        <v>462000</v>
      </c>
      <c r="H140" s="55"/>
      <c r="I140" s="55"/>
      <c r="J140" s="62"/>
      <c r="K140" s="55"/>
      <c r="L140" s="62"/>
      <c r="M140" s="8"/>
      <c r="N140" s="8"/>
    </row>
    <row r="141" spans="1:14" x14ac:dyDescent="0.25">
      <c r="A141" s="16"/>
      <c r="B141" s="25" t="s">
        <v>13</v>
      </c>
      <c r="C141" s="69">
        <v>60000</v>
      </c>
      <c r="D141" s="69">
        <v>163000</v>
      </c>
      <c r="E141" s="69">
        <v>202000</v>
      </c>
      <c r="F141" s="69">
        <v>218000</v>
      </c>
      <c r="G141" s="69">
        <v>573000</v>
      </c>
      <c r="H141" s="55"/>
      <c r="I141" s="55"/>
      <c r="J141" s="62"/>
      <c r="K141" s="55"/>
      <c r="L141" s="62"/>
      <c r="M141" s="8"/>
      <c r="N141" s="8"/>
    </row>
    <row r="142" spans="1:14" x14ac:dyDescent="0.25">
      <c r="A142" s="16"/>
      <c r="B142" s="25" t="s">
        <v>12</v>
      </c>
      <c r="C142" s="69">
        <v>110000</v>
      </c>
      <c r="D142" s="69">
        <v>56000</v>
      </c>
      <c r="E142" s="71">
        <v>0</v>
      </c>
      <c r="F142" s="69">
        <v>181000</v>
      </c>
      <c r="G142" s="69">
        <v>80000</v>
      </c>
      <c r="H142" s="55"/>
      <c r="I142" s="55"/>
      <c r="J142" s="62"/>
      <c r="K142" s="55"/>
      <c r="L142" s="62"/>
      <c r="M142" s="8"/>
      <c r="N142" s="8"/>
    </row>
    <row r="143" spans="1:14" x14ac:dyDescent="0.25">
      <c r="A143" s="16"/>
      <c r="B143" s="25" t="s">
        <v>11</v>
      </c>
      <c r="C143" s="69">
        <v>29000</v>
      </c>
      <c r="D143" s="71">
        <v>0</v>
      </c>
      <c r="E143" s="71">
        <v>0</v>
      </c>
      <c r="F143" s="71">
        <v>0</v>
      </c>
      <c r="G143" s="71">
        <v>0</v>
      </c>
      <c r="H143" s="55"/>
      <c r="I143" s="55"/>
      <c r="J143" s="62"/>
      <c r="K143" s="55"/>
      <c r="L143" s="62"/>
      <c r="M143" s="8"/>
      <c r="N143" s="8"/>
    </row>
    <row r="144" spans="1:14" x14ac:dyDescent="0.25">
      <c r="A144" s="16"/>
      <c r="B144" s="25" t="s">
        <v>10</v>
      </c>
      <c r="C144" s="69">
        <v>22000</v>
      </c>
      <c r="D144" s="69">
        <v>33000</v>
      </c>
      <c r="E144" s="71">
        <v>0</v>
      </c>
      <c r="F144" s="71">
        <v>0</v>
      </c>
      <c r="G144" s="71">
        <v>0</v>
      </c>
      <c r="H144" s="55"/>
      <c r="I144" s="55"/>
      <c r="J144" s="62"/>
      <c r="K144" s="55"/>
      <c r="L144" s="62"/>
      <c r="M144" s="8"/>
      <c r="N144" s="8"/>
    </row>
    <row r="145" spans="1:14" x14ac:dyDescent="0.25">
      <c r="A145" s="16"/>
      <c r="B145" s="25" t="s">
        <v>9</v>
      </c>
      <c r="C145" s="69">
        <v>26000</v>
      </c>
      <c r="D145" s="69">
        <v>46000</v>
      </c>
      <c r="E145" s="69">
        <v>126000</v>
      </c>
      <c r="F145" s="69">
        <v>63000</v>
      </c>
      <c r="G145" s="71">
        <v>0</v>
      </c>
      <c r="H145" s="55"/>
      <c r="I145" s="55"/>
      <c r="J145" s="62"/>
      <c r="K145" s="55"/>
      <c r="L145" s="62"/>
      <c r="M145" s="8"/>
      <c r="N145" s="8"/>
    </row>
    <row r="146" spans="1:14" x14ac:dyDescent="0.25">
      <c r="A146" s="16"/>
      <c r="B146" s="25" t="s">
        <v>9</v>
      </c>
      <c r="C146" s="69">
        <v>775000</v>
      </c>
      <c r="D146" s="69">
        <v>1375000</v>
      </c>
      <c r="E146" s="69">
        <v>1553000</v>
      </c>
      <c r="F146" s="69">
        <v>1913000</v>
      </c>
      <c r="G146" s="69">
        <v>2541000</v>
      </c>
      <c r="H146" s="55"/>
      <c r="I146" s="55"/>
      <c r="J146" s="62"/>
      <c r="K146" s="55"/>
      <c r="L146" s="62"/>
      <c r="M146" s="8"/>
      <c r="N146" s="8"/>
    </row>
    <row r="147" spans="1:14" x14ac:dyDescent="0.25">
      <c r="A147" s="16"/>
      <c r="B147" s="25" t="s">
        <v>8</v>
      </c>
      <c r="C147" s="71">
        <v>0</v>
      </c>
      <c r="D147" s="71">
        <v>0</v>
      </c>
      <c r="E147" s="71">
        <v>0</v>
      </c>
      <c r="F147" s="71">
        <v>0</v>
      </c>
      <c r="G147" s="69">
        <v>65000</v>
      </c>
      <c r="H147" s="55"/>
      <c r="I147" s="55"/>
      <c r="J147" s="62"/>
      <c r="K147" s="55"/>
      <c r="L147" s="62"/>
      <c r="M147" s="8"/>
      <c r="N147" s="8"/>
    </row>
    <row r="148" spans="1:14" x14ac:dyDescent="0.25">
      <c r="A148" s="16" t="s">
        <v>89</v>
      </c>
      <c r="B148" s="23" t="s">
        <v>7</v>
      </c>
      <c r="C148" s="68">
        <v>5111000</v>
      </c>
      <c r="D148" s="68">
        <v>11898000</v>
      </c>
      <c r="E148" s="68">
        <v>17575000</v>
      </c>
      <c r="F148" s="68">
        <v>19081000</v>
      </c>
      <c r="G148" s="68">
        <v>22750000</v>
      </c>
      <c r="H148" s="55"/>
      <c r="I148" s="55"/>
      <c r="J148" s="62"/>
      <c r="K148" s="55"/>
      <c r="L148" s="62"/>
      <c r="M148" s="8"/>
      <c r="N148" s="8"/>
    </row>
    <row r="149" spans="1:14" x14ac:dyDescent="0.25">
      <c r="A149" s="16"/>
      <c r="B149" s="25" t="s">
        <v>6</v>
      </c>
      <c r="C149" s="69">
        <v>1000</v>
      </c>
      <c r="D149" s="69">
        <v>1000</v>
      </c>
      <c r="E149" s="69">
        <v>3000</v>
      </c>
      <c r="F149" s="69">
        <v>2000</v>
      </c>
      <c r="G149" s="69">
        <v>2000</v>
      </c>
      <c r="H149" s="55"/>
      <c r="I149" s="55"/>
      <c r="J149" s="62"/>
      <c r="K149" s="55"/>
      <c r="L149" s="62"/>
      <c r="M149" s="8"/>
      <c r="N149" s="8"/>
    </row>
    <row r="150" spans="1:14" x14ac:dyDescent="0.25">
      <c r="A150" s="16"/>
      <c r="B150" s="25" t="s">
        <v>5</v>
      </c>
      <c r="C150" s="69">
        <v>7045000</v>
      </c>
      <c r="D150" s="69">
        <v>8721000</v>
      </c>
      <c r="E150" s="69">
        <v>10385000</v>
      </c>
      <c r="F150" s="69">
        <v>11971000</v>
      </c>
      <c r="G150" s="69">
        <v>13132000</v>
      </c>
      <c r="H150" s="55"/>
      <c r="I150" s="55"/>
      <c r="J150" s="62"/>
      <c r="K150" s="55"/>
      <c r="L150" s="62"/>
      <c r="M150" s="8"/>
      <c r="N150" s="8"/>
    </row>
    <row r="151" spans="1:14" x14ac:dyDescent="0.25">
      <c r="A151" s="16"/>
      <c r="B151" s="25" t="s">
        <v>4</v>
      </c>
      <c r="C151" s="69">
        <v>9814000</v>
      </c>
      <c r="D151" s="69">
        <v>10756000</v>
      </c>
      <c r="E151" s="71">
        <v>0</v>
      </c>
      <c r="F151" s="71">
        <v>0</v>
      </c>
      <c r="G151" s="71">
        <v>0</v>
      </c>
      <c r="H151" s="55"/>
      <c r="I151" s="55"/>
      <c r="J151" s="62"/>
      <c r="K151" s="55"/>
      <c r="L151" s="62"/>
      <c r="M151" s="8"/>
      <c r="N151" s="8"/>
    </row>
    <row r="152" spans="1:14" x14ac:dyDescent="0.25">
      <c r="A152" s="16"/>
      <c r="B152" s="25" t="s">
        <v>3</v>
      </c>
      <c r="C152" s="69">
        <v>1000</v>
      </c>
      <c r="D152" s="69">
        <v>19000</v>
      </c>
      <c r="E152" s="69">
        <v>-11000</v>
      </c>
      <c r="F152" s="69">
        <v>-43000</v>
      </c>
      <c r="G152" s="69">
        <v>27000</v>
      </c>
      <c r="H152" s="55"/>
      <c r="I152" s="55"/>
      <c r="J152" s="62"/>
      <c r="K152" s="55"/>
      <c r="L152" s="62"/>
      <c r="M152" s="8"/>
      <c r="N152" s="8"/>
    </row>
    <row r="153" spans="1:14" x14ac:dyDescent="0.25">
      <c r="A153" s="16"/>
      <c r="B153" s="25" t="s">
        <v>2</v>
      </c>
      <c r="C153" s="69">
        <v>14971000</v>
      </c>
      <c r="D153" s="69">
        <v>18908000</v>
      </c>
      <c r="E153" s="69">
        <v>16235000</v>
      </c>
      <c r="F153" s="69">
        <v>10171000</v>
      </c>
      <c r="G153" s="69">
        <v>29817000</v>
      </c>
      <c r="H153" s="55"/>
      <c r="I153" s="55"/>
      <c r="J153" s="62"/>
      <c r="K153" s="55"/>
      <c r="L153" s="62"/>
      <c r="M153" s="8"/>
      <c r="N153" s="8"/>
    </row>
    <row r="154" spans="1:14" x14ac:dyDescent="0.25">
      <c r="A154" s="16"/>
      <c r="B154" s="23" t="s">
        <v>1</v>
      </c>
      <c r="C154" s="68">
        <v>31832000</v>
      </c>
      <c r="D154" s="68">
        <v>38405000</v>
      </c>
      <c r="E154" s="68">
        <v>26612000</v>
      </c>
      <c r="F154" s="68">
        <v>22101000</v>
      </c>
      <c r="G154" s="68">
        <v>42978000</v>
      </c>
      <c r="H154" s="55"/>
      <c r="I154" s="55"/>
      <c r="J154" s="62"/>
      <c r="K154" s="55"/>
      <c r="L154" s="62"/>
      <c r="M154" s="8"/>
      <c r="N154" s="8"/>
    </row>
    <row r="155" spans="1:14" x14ac:dyDescent="0.25">
      <c r="A155" s="16"/>
      <c r="B155" s="30" t="s">
        <v>162</v>
      </c>
      <c r="C155" s="73">
        <v>0.47</v>
      </c>
      <c r="D155" s="73">
        <v>0.56999999999999995</v>
      </c>
      <c r="E155" s="73">
        <v>1</v>
      </c>
      <c r="F155" s="73">
        <v>1</v>
      </c>
      <c r="G155" s="73">
        <v>1</v>
      </c>
      <c r="H155" s="55"/>
      <c r="I155" s="55"/>
      <c r="J155" s="62"/>
      <c r="K155" s="55"/>
      <c r="L155" s="62"/>
      <c r="M155" s="8"/>
      <c r="N155" s="8"/>
    </row>
    <row r="156" spans="1:14" x14ac:dyDescent="0.25">
      <c r="A156" s="16"/>
      <c r="B156" s="8"/>
      <c r="C156" s="18"/>
      <c r="D156" s="18"/>
      <c r="E156" s="18"/>
      <c r="F156" s="18"/>
      <c r="G156" s="18"/>
      <c r="H156" s="8"/>
      <c r="I156" s="8"/>
      <c r="J156" s="8"/>
      <c r="K156" s="8"/>
      <c r="L156" s="8"/>
      <c r="M156" s="8"/>
      <c r="N156" s="8"/>
    </row>
    <row r="157" spans="1:14" hidden="1" outlineLevel="1" x14ac:dyDescent="0.25">
      <c r="A157" s="16"/>
      <c r="B157" s="10" t="s">
        <v>161</v>
      </c>
      <c r="C157" s="18"/>
      <c r="D157" s="18"/>
      <c r="E157" s="18"/>
      <c r="F157" s="18"/>
      <c r="G157" s="18"/>
      <c r="H157" s="8"/>
      <c r="I157" s="8"/>
      <c r="J157" s="8"/>
      <c r="K157" s="8"/>
      <c r="L157" s="8"/>
      <c r="M157" s="8"/>
      <c r="N157" s="8"/>
    </row>
    <row r="158" spans="1:14" hidden="1" outlineLevel="1" x14ac:dyDescent="0.25">
      <c r="A158" s="16"/>
      <c r="B158" s="11" t="s">
        <v>79</v>
      </c>
      <c r="C158" s="17">
        <f>+C8</f>
        <v>2019</v>
      </c>
      <c r="D158" s="17">
        <f>+D8</f>
        <v>2020</v>
      </c>
      <c r="E158" s="17">
        <f>+E8</f>
        <v>2021</v>
      </c>
      <c r="F158" s="17">
        <f>+F8</f>
        <v>2022</v>
      </c>
      <c r="G158" s="17">
        <f>+G8</f>
        <v>2023</v>
      </c>
      <c r="H158" s="8"/>
      <c r="I158" s="8"/>
      <c r="J158" s="13"/>
      <c r="K158" s="8"/>
      <c r="L158" s="13"/>
      <c r="M158" s="8"/>
      <c r="N158" s="8"/>
    </row>
    <row r="159" spans="1:14" hidden="1" outlineLevel="1" x14ac:dyDescent="0.25">
      <c r="A159" s="16"/>
      <c r="B159" s="11" t="s">
        <v>78</v>
      </c>
      <c r="C159" s="17" t="s">
        <v>77</v>
      </c>
      <c r="D159" s="17" t="s">
        <v>77</v>
      </c>
      <c r="E159" s="17" t="s">
        <v>77</v>
      </c>
      <c r="F159" s="17" t="s">
        <v>77</v>
      </c>
      <c r="G159" s="17" t="s">
        <v>77</v>
      </c>
      <c r="H159" s="8"/>
      <c r="I159" s="8"/>
      <c r="J159" s="13"/>
      <c r="K159" s="8"/>
      <c r="L159" s="13"/>
      <c r="M159" s="8"/>
      <c r="N159" s="8"/>
    </row>
    <row r="160" spans="1:14" hidden="1" outlineLevel="1" x14ac:dyDescent="0.25">
      <c r="A160" s="16"/>
      <c r="B160" s="11" t="s">
        <v>76</v>
      </c>
      <c r="C160" s="17" t="s">
        <v>75</v>
      </c>
      <c r="D160" s="17" t="s">
        <v>75</v>
      </c>
      <c r="E160" s="17" t="s">
        <v>75</v>
      </c>
      <c r="F160" s="17" t="s">
        <v>75</v>
      </c>
      <c r="G160" s="17" t="s">
        <v>75</v>
      </c>
      <c r="H160" s="8"/>
      <c r="I160" s="8"/>
      <c r="J160" s="13"/>
      <c r="K160" s="8"/>
      <c r="L160" s="13"/>
      <c r="M160" s="8"/>
      <c r="N160" s="8"/>
    </row>
    <row r="161" spans="1:14" hidden="1" outlineLevel="1" x14ac:dyDescent="0.25">
      <c r="A161" s="16"/>
      <c r="B161" s="11" t="s">
        <v>74</v>
      </c>
      <c r="C161" s="17" t="s">
        <v>73</v>
      </c>
      <c r="D161" s="17" t="s">
        <v>73</v>
      </c>
      <c r="E161" s="17" t="s">
        <v>73</v>
      </c>
      <c r="F161" s="17" t="s">
        <v>73</v>
      </c>
      <c r="G161" s="17" t="s">
        <v>73</v>
      </c>
      <c r="H161" s="8"/>
      <c r="I161" s="8"/>
      <c r="J161" s="13"/>
      <c r="K161" s="8"/>
      <c r="L161" s="13"/>
      <c r="M161" s="8"/>
      <c r="N161" s="8"/>
    </row>
    <row r="162" spans="1:14" hidden="1" outlineLevel="1" x14ac:dyDescent="0.25">
      <c r="A162" s="16"/>
      <c r="B162" s="11" t="s">
        <v>72</v>
      </c>
      <c r="C162" s="17" t="s">
        <v>71</v>
      </c>
      <c r="D162" s="17" t="s">
        <v>71</v>
      </c>
      <c r="E162" s="17" t="s">
        <v>71</v>
      </c>
      <c r="F162" s="17" t="s">
        <v>71</v>
      </c>
      <c r="G162" s="17" t="s">
        <v>71</v>
      </c>
      <c r="H162" s="8"/>
      <c r="I162" s="8"/>
      <c r="J162" s="13"/>
      <c r="K162" s="8"/>
      <c r="L162" s="13"/>
      <c r="M162" s="8"/>
      <c r="N162" s="8"/>
    </row>
    <row r="163" spans="1:14" collapsed="1" x14ac:dyDescent="0.25">
      <c r="A163" s="16"/>
      <c r="B163" s="15" t="s">
        <v>163</v>
      </c>
      <c r="C163" s="74"/>
      <c r="D163" s="57">
        <v>6696000</v>
      </c>
      <c r="E163" s="75">
        <v>10613000</v>
      </c>
      <c r="F163" s="75">
        <v>15005000</v>
      </c>
      <c r="G163" s="75">
        <v>47525000</v>
      </c>
      <c r="H163" s="57" cm="1">
        <f t="array" ref="H163:L163">+forecastSALES*GPUprices</f>
        <v>40248000</v>
      </c>
      <c r="I163" s="57">
        <v>42484000</v>
      </c>
      <c r="J163" s="57">
        <v>43602000</v>
      </c>
      <c r="K163" s="57">
        <v>43602000</v>
      </c>
      <c r="L163" s="57">
        <v>41808000</v>
      </c>
      <c r="M163" s="8"/>
      <c r="N163" s="8"/>
    </row>
    <row r="164" spans="1:14" x14ac:dyDescent="0.25">
      <c r="A164" s="16"/>
      <c r="B164" s="15" t="s">
        <v>164</v>
      </c>
      <c r="C164" s="74"/>
      <c r="D164" s="57">
        <v>7759000</v>
      </c>
      <c r="E164" s="75">
        <v>12462000</v>
      </c>
      <c r="F164" s="75">
        <v>9067000</v>
      </c>
      <c r="G164" s="75">
        <v>10447000</v>
      </c>
      <c r="H164" s="57">
        <f t="shared" ref="H164:L167" si="28">+G164*(1+H51)</f>
        <v>10551470</v>
      </c>
      <c r="I164" s="57">
        <f t="shared" si="28"/>
        <v>10656984.699999999</v>
      </c>
      <c r="J164" s="57">
        <f t="shared" si="28"/>
        <v>10763554.547</v>
      </c>
      <c r="K164" s="57">
        <f t="shared" si="28"/>
        <v>10871190.09247</v>
      </c>
      <c r="L164" s="57">
        <f t="shared" si="28"/>
        <v>10979901.993394699</v>
      </c>
      <c r="M164" s="8"/>
      <c r="N164" s="8"/>
    </row>
    <row r="165" spans="1:14" x14ac:dyDescent="0.25">
      <c r="A165" s="16"/>
      <c r="B165" s="15" t="s">
        <v>191</v>
      </c>
      <c r="C165" s="74"/>
      <c r="D165" s="75">
        <v>1053000</v>
      </c>
      <c r="E165" s="75">
        <v>2111000</v>
      </c>
      <c r="F165" s="75">
        <v>1544000</v>
      </c>
      <c r="G165" s="75">
        <v>1553000</v>
      </c>
      <c r="H165" s="57">
        <f t="shared" si="28"/>
        <v>1584060</v>
      </c>
      <c r="I165" s="57">
        <f t="shared" si="28"/>
        <v>1615741.2</v>
      </c>
      <c r="J165" s="57">
        <f t="shared" si="28"/>
        <v>1648056.024</v>
      </c>
      <c r="K165" s="57">
        <f t="shared" si="28"/>
        <v>1681017.14448</v>
      </c>
      <c r="L165" s="57">
        <f t="shared" si="28"/>
        <v>1714637.4873696</v>
      </c>
      <c r="M165" s="8"/>
      <c r="N165" s="8"/>
    </row>
    <row r="166" spans="1:14" x14ac:dyDescent="0.25">
      <c r="A166" s="16"/>
      <c r="B166" s="15" t="s">
        <v>177</v>
      </c>
      <c r="C166" s="74"/>
      <c r="D166" s="75">
        <v>536000</v>
      </c>
      <c r="E166" s="75">
        <v>566000</v>
      </c>
      <c r="F166" s="75">
        <v>903000</v>
      </c>
      <c r="G166" s="75">
        <v>1091000</v>
      </c>
      <c r="H166" s="57">
        <f t="shared" si="28"/>
        <v>1123730</v>
      </c>
      <c r="I166" s="57">
        <f t="shared" si="28"/>
        <v>1157441.9000000001</v>
      </c>
      <c r="J166" s="57">
        <f t="shared" si="28"/>
        <v>1192165.1570000001</v>
      </c>
      <c r="K166" s="57">
        <f t="shared" si="28"/>
        <v>1227930.1117100001</v>
      </c>
      <c r="L166" s="57">
        <f t="shared" si="28"/>
        <v>1264768.0150613</v>
      </c>
      <c r="M166" s="8"/>
      <c r="N166" s="8"/>
    </row>
    <row r="167" spans="1:14" x14ac:dyDescent="0.25">
      <c r="A167" s="16"/>
      <c r="B167" s="15" t="s">
        <v>192</v>
      </c>
      <c r="C167" s="74"/>
      <c r="D167" s="75">
        <v>631000</v>
      </c>
      <c r="E167" s="75">
        <v>1162000</v>
      </c>
      <c r="F167" s="75">
        <v>455000</v>
      </c>
      <c r="G167" s="75">
        <v>306000</v>
      </c>
      <c r="H167" s="57">
        <f t="shared" si="28"/>
        <v>307529.99999999994</v>
      </c>
      <c r="I167" s="57">
        <f t="shared" si="28"/>
        <v>309067.64999999991</v>
      </c>
      <c r="J167" s="57">
        <f t="shared" si="28"/>
        <v>310612.98824999988</v>
      </c>
      <c r="K167" s="57">
        <f t="shared" si="28"/>
        <v>312166.05319124984</v>
      </c>
      <c r="L167" s="57">
        <f t="shared" si="28"/>
        <v>313726.88345720607</v>
      </c>
      <c r="M167" s="8"/>
    </row>
    <row r="168" spans="1:14" x14ac:dyDescent="0.25">
      <c r="A168" s="16"/>
      <c r="B168" s="15"/>
      <c r="C168" s="74"/>
      <c r="D168" s="74"/>
      <c r="E168" s="74"/>
      <c r="F168" s="74"/>
      <c r="G168" s="74"/>
      <c r="H168" s="67"/>
      <c r="I168" s="68"/>
      <c r="J168" s="76"/>
      <c r="K168" s="55"/>
      <c r="L168" s="76"/>
      <c r="M168" s="8"/>
    </row>
    <row r="169" spans="1:14" x14ac:dyDescent="0.25">
      <c r="A169" s="16" t="s">
        <v>89</v>
      </c>
      <c r="B169" s="9" t="s">
        <v>160</v>
      </c>
      <c r="C169" s="68">
        <v>10918000</v>
      </c>
      <c r="D169" s="68">
        <f t="shared" ref="D169:E169" si="29">+SUM(D163:D167)</f>
        <v>16675000</v>
      </c>
      <c r="E169" s="68">
        <f t="shared" si="29"/>
        <v>26914000</v>
      </c>
      <c r="F169" s="68">
        <f>+SUM(F163:F167)</f>
        <v>26974000</v>
      </c>
      <c r="G169" s="68">
        <f>+SUM(G163:G167)</f>
        <v>60922000</v>
      </c>
      <c r="H169" s="77">
        <f>+SUM(H163:H167)</f>
        <v>53814790</v>
      </c>
      <c r="I169" s="77">
        <f t="shared" ref="I169:L169" si="30">+SUM(I163:I167)</f>
        <v>56223235.450000003</v>
      </c>
      <c r="J169" s="77">
        <f t="shared" si="30"/>
        <v>57516388.716249995</v>
      </c>
      <c r="K169" s="77">
        <f t="shared" si="30"/>
        <v>57694303.401851244</v>
      </c>
      <c r="L169" s="77">
        <f t="shared" si="30"/>
        <v>56081034.379282802</v>
      </c>
      <c r="M169" s="8"/>
    </row>
    <row r="170" spans="1:14" x14ac:dyDescent="0.25">
      <c r="A170" s="16"/>
      <c r="B170" s="104" t="s">
        <v>275</v>
      </c>
      <c r="C170" s="68"/>
      <c r="D170" s="105">
        <f>+D169/C169-1</f>
        <v>0.52729437625938824</v>
      </c>
      <c r="E170" s="105">
        <f t="shared" ref="E170:F170" si="31">+E169/D169-1</f>
        <v>0.61403298350824587</v>
      </c>
      <c r="F170" s="105">
        <f t="shared" si="31"/>
        <v>2.2293230289069932E-3</v>
      </c>
      <c r="G170" s="68"/>
      <c r="H170" s="77"/>
      <c r="I170" s="77"/>
      <c r="J170" s="77"/>
      <c r="K170" s="77"/>
      <c r="L170" s="77"/>
      <c r="M170" s="8"/>
    </row>
    <row r="171" spans="1:14" ht="17.25" x14ac:dyDescent="0.4">
      <c r="A171" s="16"/>
      <c r="B171" s="7" t="s">
        <v>159</v>
      </c>
      <c r="C171" s="78">
        <v>4150000</v>
      </c>
      <c r="D171" s="78">
        <v>6279000</v>
      </c>
      <c r="E171" s="78">
        <v>9439000</v>
      </c>
      <c r="F171" s="78">
        <v>11618000</v>
      </c>
      <c r="G171" s="78">
        <v>16621000</v>
      </c>
      <c r="H171" s="78">
        <f>+H169*(1-H73)</f>
        <v>21525916</v>
      </c>
      <c r="I171" s="78">
        <f t="shared" ref="I171:L171" si="32">+H171*(1-I73)</f>
        <v>8610366.4000000004</v>
      </c>
      <c r="J171" s="78">
        <f t="shared" si="32"/>
        <v>3444146.5600000005</v>
      </c>
      <c r="K171" s="78">
        <f t="shared" si="32"/>
        <v>1377658.6240000003</v>
      </c>
      <c r="L171" s="78">
        <f t="shared" si="32"/>
        <v>551063.44960000017</v>
      </c>
      <c r="M171" s="8"/>
    </row>
    <row r="172" spans="1:14" x14ac:dyDescent="0.25">
      <c r="A172" s="16"/>
      <c r="B172" s="9" t="s">
        <v>158</v>
      </c>
      <c r="C172" s="68">
        <v>6768000</v>
      </c>
      <c r="D172" s="68">
        <v>10396000</v>
      </c>
      <c r="E172" s="68">
        <v>17475000</v>
      </c>
      <c r="F172" s="68">
        <v>15356000</v>
      </c>
      <c r="G172" s="68">
        <v>44301000</v>
      </c>
      <c r="H172" s="70">
        <f>+H169-H171</f>
        <v>32288874</v>
      </c>
      <c r="I172" s="70">
        <f t="shared" ref="I172:L172" si="33">+I169-I171</f>
        <v>47612869.050000004</v>
      </c>
      <c r="J172" s="70">
        <f t="shared" si="33"/>
        <v>54072242.156249993</v>
      </c>
      <c r="K172" s="70">
        <f t="shared" si="33"/>
        <v>56316644.777851246</v>
      </c>
      <c r="L172" s="70">
        <f t="shared" si="33"/>
        <v>55529970.929682799</v>
      </c>
      <c r="M172" s="8"/>
    </row>
    <row r="173" spans="1:14" x14ac:dyDescent="0.25">
      <c r="A173" s="16"/>
      <c r="B173" s="7" t="s">
        <v>157</v>
      </c>
      <c r="C173" s="69">
        <v>2829000</v>
      </c>
      <c r="D173" s="69">
        <v>3924000</v>
      </c>
      <c r="E173" s="69">
        <v>5268000</v>
      </c>
      <c r="F173" s="69">
        <v>7339000</v>
      </c>
      <c r="G173" s="69">
        <v>8675000</v>
      </c>
      <c r="H173" s="69">
        <f>+H169*(H75)</f>
        <v>8072218.5</v>
      </c>
      <c r="I173" s="69">
        <f t="shared" ref="I173:L173" si="34">+I169*(I75)</f>
        <v>8433485.3175000008</v>
      </c>
      <c r="J173" s="69">
        <f t="shared" si="34"/>
        <v>8627458.3074374981</v>
      </c>
      <c r="K173" s="69">
        <f t="shared" si="34"/>
        <v>8654145.5102776866</v>
      </c>
      <c r="L173" s="69">
        <f t="shared" si="34"/>
        <v>8412155.1568924207</v>
      </c>
      <c r="M173" s="8"/>
      <c r="N173" s="8"/>
    </row>
    <row r="174" spans="1:14" x14ac:dyDescent="0.25">
      <c r="A174" s="16"/>
      <c r="B174" s="7" t="s">
        <v>156</v>
      </c>
      <c r="C174" s="69">
        <v>1093000</v>
      </c>
      <c r="D174" s="69">
        <v>1940000</v>
      </c>
      <c r="E174" s="69">
        <v>2166000</v>
      </c>
      <c r="F174" s="69">
        <v>2440000</v>
      </c>
      <c r="G174" s="69">
        <v>2654000</v>
      </c>
      <c r="H174" s="69">
        <f>+H169*H74</f>
        <v>2690739.5</v>
      </c>
      <c r="I174" s="69">
        <f t="shared" ref="I174:L174" si="35">+I169*I74</f>
        <v>2811161.7725000004</v>
      </c>
      <c r="J174" s="69">
        <f t="shared" si="35"/>
        <v>2875819.4358124998</v>
      </c>
      <c r="K174" s="69">
        <f t="shared" si="35"/>
        <v>2884715.1700925622</v>
      </c>
      <c r="L174" s="69">
        <f t="shared" si="35"/>
        <v>2804051.7189641404</v>
      </c>
      <c r="M174" s="8"/>
      <c r="N174" s="8"/>
    </row>
    <row r="175" spans="1:14" ht="17.25" x14ac:dyDescent="0.4">
      <c r="A175" s="16"/>
      <c r="B175" s="7" t="s">
        <v>117</v>
      </c>
      <c r="C175" s="79">
        <v>0</v>
      </c>
      <c r="D175" s="79">
        <v>0</v>
      </c>
      <c r="E175" s="79">
        <v>0</v>
      </c>
      <c r="F175" s="78">
        <v>1353000</v>
      </c>
      <c r="G175" s="79">
        <v>0</v>
      </c>
      <c r="H175" s="56">
        <v>0</v>
      </c>
      <c r="I175" s="56">
        <v>0</v>
      </c>
      <c r="J175" s="56">
        <v>0</v>
      </c>
      <c r="K175" s="56">
        <v>0</v>
      </c>
      <c r="L175" s="56">
        <v>0</v>
      </c>
      <c r="M175" s="8"/>
      <c r="N175" s="8"/>
    </row>
    <row r="176" spans="1:14" x14ac:dyDescent="0.25">
      <c r="A176" s="16" t="s">
        <v>89</v>
      </c>
      <c r="B176" s="9" t="s">
        <v>155</v>
      </c>
      <c r="C176" s="68">
        <v>3922000</v>
      </c>
      <c r="D176" s="68">
        <v>5864000</v>
      </c>
      <c r="E176" s="68">
        <v>7434000</v>
      </c>
      <c r="F176" s="68">
        <v>11132000</v>
      </c>
      <c r="G176" s="68">
        <v>11329000</v>
      </c>
      <c r="H176" s="70">
        <f>+SUM(H173:H175)</f>
        <v>10762958</v>
      </c>
      <c r="I176" s="70">
        <f t="shared" ref="I176:L176" si="36">+SUM(I173:I175)</f>
        <v>11244647.090000002</v>
      </c>
      <c r="J176" s="70">
        <f t="shared" si="36"/>
        <v>11503277.743249997</v>
      </c>
      <c r="K176" s="70">
        <f t="shared" si="36"/>
        <v>11538860.680370249</v>
      </c>
      <c r="L176" s="70">
        <f t="shared" si="36"/>
        <v>11216206.875856562</v>
      </c>
      <c r="M176" s="8"/>
      <c r="N176" s="8"/>
    </row>
    <row r="177" spans="1:14" x14ac:dyDescent="0.25">
      <c r="A177" s="16"/>
      <c r="B177" s="7" t="s">
        <v>154</v>
      </c>
      <c r="C177" s="69">
        <v>2846000</v>
      </c>
      <c r="D177" s="69">
        <v>4532000</v>
      </c>
      <c r="E177" s="69">
        <v>10041000</v>
      </c>
      <c r="F177" s="69">
        <v>4224000</v>
      </c>
      <c r="G177" s="69">
        <v>32972000</v>
      </c>
      <c r="H177" s="57">
        <f>+H172-H176</f>
        <v>21525916</v>
      </c>
      <c r="I177" s="57">
        <f t="shared" ref="I177:L177" si="37">+I172-I176</f>
        <v>36368221.960000001</v>
      </c>
      <c r="J177" s="57">
        <f t="shared" si="37"/>
        <v>42568964.412999995</v>
      </c>
      <c r="K177" s="57">
        <f t="shared" si="37"/>
        <v>44777784.097480997</v>
      </c>
      <c r="L177" s="57">
        <f t="shared" si="37"/>
        <v>44313764.053826235</v>
      </c>
      <c r="M177" s="8"/>
      <c r="N177" s="8"/>
    </row>
    <row r="178" spans="1:14" x14ac:dyDescent="0.25">
      <c r="A178" s="16"/>
      <c r="B178" s="7" t="s">
        <v>153</v>
      </c>
      <c r="C178" s="69">
        <v>178000</v>
      </c>
      <c r="D178" s="69">
        <v>57000</v>
      </c>
      <c r="E178" s="69">
        <v>29000</v>
      </c>
      <c r="F178" s="69">
        <v>267000</v>
      </c>
      <c r="G178" s="69">
        <v>866000</v>
      </c>
      <c r="H178" s="80">
        <f>+F178</f>
        <v>267000</v>
      </c>
      <c r="I178" s="80">
        <f t="shared" ref="I178:L178" si="38">+G178</f>
        <v>866000</v>
      </c>
      <c r="J178" s="80">
        <f t="shared" si="38"/>
        <v>267000</v>
      </c>
      <c r="K178" s="80">
        <f t="shared" si="38"/>
        <v>866000</v>
      </c>
      <c r="L178" s="80">
        <f t="shared" si="38"/>
        <v>267000</v>
      </c>
      <c r="M178" s="8"/>
      <c r="N178" s="8"/>
    </row>
    <row r="179" spans="1:14" x14ac:dyDescent="0.25">
      <c r="A179" s="16"/>
      <c r="B179" s="7" t="s">
        <v>152</v>
      </c>
      <c r="C179" s="69">
        <v>52000</v>
      </c>
      <c r="D179" s="69">
        <v>184000</v>
      </c>
      <c r="E179" s="69">
        <v>236000</v>
      </c>
      <c r="F179" s="69">
        <v>262000</v>
      </c>
      <c r="G179" s="69">
        <v>257000</v>
      </c>
      <c r="H179" s="69">
        <f>+'Debt Schedule'!C15</f>
        <v>513550</v>
      </c>
      <c r="I179" s="69">
        <f>+'Debt Schedule'!C16</f>
        <v>497050</v>
      </c>
      <c r="J179" s="69">
        <f>+'Debt Schedule'!C17</f>
        <v>497050</v>
      </c>
      <c r="K179" s="69">
        <f>+'Debt Schedule'!C18</f>
        <v>430850</v>
      </c>
      <c r="L179" s="69">
        <f>+'Debt Schedule'!C19</f>
        <v>410350</v>
      </c>
      <c r="M179" s="8"/>
      <c r="N179" s="8"/>
    </row>
    <row r="180" spans="1:14" x14ac:dyDescent="0.25">
      <c r="A180" s="16"/>
      <c r="B180" s="7" t="s">
        <v>151</v>
      </c>
      <c r="C180" s="69">
        <v>-2000</v>
      </c>
      <c r="D180" s="69">
        <v>4000</v>
      </c>
      <c r="E180" s="69">
        <v>107000</v>
      </c>
      <c r="F180" s="69">
        <v>-48000</v>
      </c>
      <c r="G180" s="69">
        <v>237000</v>
      </c>
      <c r="H180" s="57">
        <v>0</v>
      </c>
      <c r="I180" s="57">
        <v>0</v>
      </c>
      <c r="J180" s="57">
        <v>0</v>
      </c>
      <c r="K180" s="57">
        <v>0</v>
      </c>
      <c r="L180" s="57">
        <v>0</v>
      </c>
      <c r="M180" s="8"/>
      <c r="N180" s="8"/>
    </row>
    <row r="181" spans="1:14" x14ac:dyDescent="0.25">
      <c r="A181" s="16"/>
      <c r="B181" s="7" t="s">
        <v>150</v>
      </c>
      <c r="C181" s="69">
        <v>124000</v>
      </c>
      <c r="D181" s="69">
        <v>-123000</v>
      </c>
      <c r="E181" s="69">
        <v>-100000</v>
      </c>
      <c r="F181" s="69">
        <v>-43000</v>
      </c>
      <c r="G181" s="69">
        <f>+G178-G179+G180</f>
        <v>846000</v>
      </c>
      <c r="H181" s="69">
        <f t="shared" ref="H181:L181" si="39">+H178-H179+H180</f>
        <v>-246550</v>
      </c>
      <c r="I181" s="69">
        <f t="shared" si="39"/>
        <v>368950</v>
      </c>
      <c r="J181" s="69">
        <f t="shared" si="39"/>
        <v>-230050</v>
      </c>
      <c r="K181" s="69">
        <f t="shared" si="39"/>
        <v>435150</v>
      </c>
      <c r="L181" s="69">
        <f t="shared" si="39"/>
        <v>-143350</v>
      </c>
      <c r="M181" s="8"/>
      <c r="N181" s="8"/>
    </row>
    <row r="182" spans="1:14" x14ac:dyDescent="0.25">
      <c r="A182" s="16"/>
      <c r="B182" s="7" t="s">
        <v>149</v>
      </c>
      <c r="C182" s="69">
        <v>620000</v>
      </c>
      <c r="D182" s="69">
        <v>1437000</v>
      </c>
      <c r="E182" s="69">
        <v>8446000</v>
      </c>
      <c r="F182" s="69">
        <v>3477000</v>
      </c>
      <c r="G182" s="71">
        <f>+G63*G184</f>
        <v>14968914.152522897</v>
      </c>
      <c r="H182" s="71">
        <f>+H184*H57</f>
        <v>9418919.0039066356</v>
      </c>
      <c r="I182" s="71">
        <f t="shared" ref="I182:L182" si="40">+I184*I57</f>
        <v>16261031.795958111</v>
      </c>
      <c r="J182" s="71">
        <f t="shared" si="40"/>
        <v>18740539.805997141</v>
      </c>
      <c r="K182" s="71">
        <f t="shared" si="40"/>
        <v>20012671.627206471</v>
      </c>
      <c r="L182" s="71">
        <f t="shared" si="40"/>
        <v>19551219.35221231</v>
      </c>
      <c r="M182" s="8"/>
      <c r="N182" s="8"/>
    </row>
    <row r="183" spans="1:14" x14ac:dyDescent="0.25">
      <c r="A183" s="16"/>
      <c r="B183" s="7" t="s">
        <v>148</v>
      </c>
      <c r="C183" s="69">
        <v>2350000</v>
      </c>
      <c r="D183" s="69">
        <v>2972000</v>
      </c>
      <c r="E183" s="69">
        <v>1495000</v>
      </c>
      <c r="F183" s="69">
        <v>704000</v>
      </c>
      <c r="G183" s="71">
        <f>+G64*G184</f>
        <v>18849085.847477101</v>
      </c>
      <c r="H183" s="71">
        <f>+H184*H58</f>
        <v>11860446.996093364</v>
      </c>
      <c r="I183" s="71">
        <f t="shared" ref="I183:L183" si="41">+I184*I58</f>
        <v>20476140.164041892</v>
      </c>
      <c r="J183" s="71">
        <f t="shared" si="41"/>
        <v>23598374.607002854</v>
      </c>
      <c r="K183" s="71">
        <f t="shared" si="41"/>
        <v>25200262.470274527</v>
      </c>
      <c r="L183" s="71">
        <f t="shared" si="41"/>
        <v>24619194.701613925</v>
      </c>
      <c r="M183" s="8"/>
      <c r="N183" s="8"/>
    </row>
    <row r="184" spans="1:14" x14ac:dyDescent="0.25">
      <c r="A184" s="16"/>
      <c r="B184" s="9" t="s">
        <v>147</v>
      </c>
      <c r="C184" s="81">
        <v>2970000</v>
      </c>
      <c r="D184" s="81">
        <v>4409000</v>
      </c>
      <c r="E184" s="81">
        <v>9941000</v>
      </c>
      <c r="F184" s="81">
        <v>4181000</v>
      </c>
      <c r="G184" s="81">
        <f>+G177+G181</f>
        <v>33818000</v>
      </c>
      <c r="H184" s="81">
        <f t="shared" ref="H184:L184" si="42">+H177+H181</f>
        <v>21279366</v>
      </c>
      <c r="I184" s="81">
        <f t="shared" si="42"/>
        <v>36737171.960000001</v>
      </c>
      <c r="J184" s="81">
        <f t="shared" si="42"/>
        <v>42338914.412999995</v>
      </c>
      <c r="K184" s="81">
        <f t="shared" si="42"/>
        <v>45212934.097480997</v>
      </c>
      <c r="L184" s="81">
        <f t="shared" si="42"/>
        <v>44170414.053826235</v>
      </c>
      <c r="M184" s="8"/>
      <c r="N184" s="8"/>
    </row>
    <row r="185" spans="1:14" x14ac:dyDescent="0.25">
      <c r="A185" s="16"/>
      <c r="B185" s="7" t="s">
        <v>146</v>
      </c>
      <c r="C185" s="69">
        <v>65000</v>
      </c>
      <c r="D185" s="69">
        <v>197000</v>
      </c>
      <c r="E185" s="69">
        <v>482000</v>
      </c>
      <c r="F185" s="69">
        <v>1703000</v>
      </c>
      <c r="G185" s="69">
        <v>5710000</v>
      </c>
      <c r="H185" s="57" cm="1">
        <f t="array" ref="H185:L185">+H182*USTax</f>
        <v>1977972.9908203934</v>
      </c>
      <c r="I185" s="57">
        <v>1977972.9908203934</v>
      </c>
      <c r="J185" s="63">
        <v>1977972.9908203934</v>
      </c>
      <c r="K185" s="57">
        <v>1977972.9908203934</v>
      </c>
      <c r="L185" s="63">
        <v>1977972.9908203934</v>
      </c>
      <c r="M185" s="8"/>
      <c r="N185" s="8"/>
    </row>
    <row r="186" spans="1:14" x14ac:dyDescent="0.25">
      <c r="A186" s="16"/>
      <c r="B186" s="7" t="s">
        <v>145</v>
      </c>
      <c r="C186" s="69">
        <v>4000</v>
      </c>
      <c r="D186" s="69">
        <v>1000</v>
      </c>
      <c r="E186" s="69">
        <v>42000</v>
      </c>
      <c r="F186" s="69">
        <v>46000</v>
      </c>
      <c r="G186" s="69">
        <v>335000</v>
      </c>
      <c r="H186" s="67">
        <f>+H184*H66</f>
        <v>210792.70240700219</v>
      </c>
      <c r="I186" s="67">
        <f t="shared" ref="I186:L186" si="43">+I184*I66</f>
        <v>363917.22179312794</v>
      </c>
      <c r="J186" s="67">
        <f t="shared" si="43"/>
        <v>419407.89899920154</v>
      </c>
      <c r="K186" s="67">
        <f t="shared" si="43"/>
        <v>447877.84383039013</v>
      </c>
      <c r="L186" s="67">
        <f t="shared" si="43"/>
        <v>437550.67443467351</v>
      </c>
      <c r="M186" s="8"/>
      <c r="N186" s="8"/>
    </row>
    <row r="187" spans="1:14" x14ac:dyDescent="0.25">
      <c r="A187" s="16"/>
      <c r="B187" s="7" t="s">
        <v>144</v>
      </c>
      <c r="C187" s="69">
        <v>87000</v>
      </c>
      <c r="D187" s="69">
        <v>161000</v>
      </c>
      <c r="E187" s="69">
        <v>71000</v>
      </c>
      <c r="F187" s="69">
        <v>228000</v>
      </c>
      <c r="G187" s="69">
        <v>502000</v>
      </c>
      <c r="H187" s="57" cm="1">
        <f t="array" ref="H187:L187">+FORTax*H71</f>
        <v>1556683.6682372543</v>
      </c>
      <c r="I187" s="57">
        <v>2687493.3965304983</v>
      </c>
      <c r="J187" s="63">
        <v>3097286.6671691248</v>
      </c>
      <c r="K187" s="57">
        <v>3307534.4492235319</v>
      </c>
      <c r="L187" s="63">
        <v>3231269.3045868278</v>
      </c>
      <c r="M187" s="8"/>
      <c r="N187" s="8"/>
    </row>
    <row r="188" spans="1:14" x14ac:dyDescent="0.25">
      <c r="A188" s="16"/>
      <c r="B188" s="9" t="s">
        <v>143</v>
      </c>
      <c r="C188" s="81">
        <v>156000</v>
      </c>
      <c r="D188" s="81">
        <v>359000</v>
      </c>
      <c r="E188" s="81">
        <v>595000</v>
      </c>
      <c r="F188" s="81">
        <v>1977000</v>
      </c>
      <c r="G188" s="81">
        <v>6547000</v>
      </c>
      <c r="H188" s="82">
        <f>+SUM(H185:H187)</f>
        <v>3745449.3614646494</v>
      </c>
      <c r="I188" s="82">
        <f t="shared" ref="I188:L188" si="44">+SUM(I185:I187)</f>
        <v>5029383.609144019</v>
      </c>
      <c r="J188" s="82">
        <f t="shared" si="44"/>
        <v>5494667.5569887199</v>
      </c>
      <c r="K188" s="82">
        <f t="shared" si="44"/>
        <v>5733385.2838743161</v>
      </c>
      <c r="L188" s="82">
        <f t="shared" si="44"/>
        <v>5646792.9698418947</v>
      </c>
      <c r="M188" s="8"/>
      <c r="N188" s="8"/>
    </row>
    <row r="189" spans="1:14" x14ac:dyDescent="0.25">
      <c r="A189" s="16"/>
      <c r="B189" s="7" t="s">
        <v>142</v>
      </c>
      <c r="C189" s="69">
        <v>2000</v>
      </c>
      <c r="D189" s="69">
        <v>-246000</v>
      </c>
      <c r="E189" s="69">
        <v>-420000</v>
      </c>
      <c r="F189" s="69">
        <v>-2165000</v>
      </c>
      <c r="G189" s="69">
        <v>-2499000</v>
      </c>
      <c r="H189" s="69">
        <f>+G189</f>
        <v>-2499000</v>
      </c>
      <c r="I189" s="69">
        <f t="shared" ref="I189:L189" si="45">+H189</f>
        <v>-2499000</v>
      </c>
      <c r="J189" s="69">
        <f t="shared" si="45"/>
        <v>-2499000</v>
      </c>
      <c r="K189" s="69">
        <f t="shared" si="45"/>
        <v>-2499000</v>
      </c>
      <c r="L189" s="69">
        <f t="shared" si="45"/>
        <v>-2499000</v>
      </c>
      <c r="M189" s="8"/>
      <c r="N189" s="8"/>
    </row>
    <row r="190" spans="1:14" x14ac:dyDescent="0.25">
      <c r="A190" s="16"/>
      <c r="B190" s="7" t="s">
        <v>141</v>
      </c>
      <c r="C190" s="71">
        <v>0</v>
      </c>
      <c r="D190" s="71">
        <v>0</v>
      </c>
      <c r="E190" s="71">
        <v>0</v>
      </c>
      <c r="F190" s="71">
        <v>0</v>
      </c>
      <c r="G190" s="69">
        <v>-206000</v>
      </c>
      <c r="H190" s="69">
        <f t="shared" ref="H190:L191" si="46">+G190</f>
        <v>-206000</v>
      </c>
      <c r="I190" s="69">
        <f t="shared" si="46"/>
        <v>-206000</v>
      </c>
      <c r="J190" s="69">
        <f t="shared" si="46"/>
        <v>-206000</v>
      </c>
      <c r="K190" s="69">
        <f t="shared" si="46"/>
        <v>-206000</v>
      </c>
      <c r="L190" s="69">
        <f t="shared" si="46"/>
        <v>-206000</v>
      </c>
      <c r="M190" s="8"/>
      <c r="N190" s="8"/>
    </row>
    <row r="191" spans="1:14" x14ac:dyDescent="0.25">
      <c r="A191" s="16"/>
      <c r="B191" s="7" t="s">
        <v>140</v>
      </c>
      <c r="C191" s="69">
        <v>16000</v>
      </c>
      <c r="D191" s="69">
        <v>-36000</v>
      </c>
      <c r="E191" s="69">
        <v>14000</v>
      </c>
      <c r="F191" s="69">
        <v>1000</v>
      </c>
      <c r="G191" s="69">
        <v>216000</v>
      </c>
      <c r="H191" s="57">
        <f t="shared" si="46"/>
        <v>216000</v>
      </c>
      <c r="I191" s="57">
        <f t="shared" si="46"/>
        <v>216000</v>
      </c>
      <c r="J191" s="57">
        <f t="shared" si="46"/>
        <v>216000</v>
      </c>
      <c r="K191" s="57">
        <f t="shared" si="46"/>
        <v>216000</v>
      </c>
      <c r="L191" s="57">
        <f t="shared" si="46"/>
        <v>216000</v>
      </c>
      <c r="M191" s="8"/>
      <c r="N191" s="8"/>
    </row>
    <row r="192" spans="1:14" x14ac:dyDescent="0.25">
      <c r="A192" s="16"/>
      <c r="B192" s="9" t="s">
        <v>139</v>
      </c>
      <c r="C192" s="81">
        <v>18000</v>
      </c>
      <c r="D192" s="81">
        <v>-282000</v>
      </c>
      <c r="E192" s="81">
        <v>-406000</v>
      </c>
      <c r="F192" s="81">
        <v>-2164000</v>
      </c>
      <c r="G192" s="81">
        <v>-2489000</v>
      </c>
      <c r="H192" s="81">
        <v>-2489000</v>
      </c>
      <c r="I192" s="81">
        <v>-2489000</v>
      </c>
      <c r="J192" s="81">
        <v>-2489000</v>
      </c>
      <c r="K192" s="81">
        <v>-2489000</v>
      </c>
      <c r="L192" s="81">
        <v>-2489000</v>
      </c>
      <c r="M192" s="8"/>
      <c r="N192" s="8"/>
    </row>
    <row r="193" spans="1:18" x14ac:dyDescent="0.25">
      <c r="A193" s="16"/>
      <c r="B193" s="9" t="s">
        <v>138</v>
      </c>
      <c r="C193" s="68">
        <v>174000</v>
      </c>
      <c r="D193" s="68">
        <v>77000</v>
      </c>
      <c r="E193" s="68">
        <v>189000</v>
      </c>
      <c r="F193" s="68">
        <v>-187000</v>
      </c>
      <c r="G193" s="68">
        <f>+G188+G192</f>
        <v>4058000</v>
      </c>
      <c r="H193" s="68">
        <f t="shared" ref="H193:L193" si="47">+H188+H192</f>
        <v>1256449.3614646494</v>
      </c>
      <c r="I193" s="68">
        <f t="shared" si="47"/>
        <v>2540383.609144019</v>
      </c>
      <c r="J193" s="68">
        <f t="shared" si="47"/>
        <v>3005667.5569887199</v>
      </c>
      <c r="K193" s="68">
        <f t="shared" si="47"/>
        <v>3244385.2838743161</v>
      </c>
      <c r="L193" s="68">
        <f t="shared" si="47"/>
        <v>3157792.9698418947</v>
      </c>
      <c r="M193" s="8"/>
      <c r="N193" s="8"/>
    </row>
    <row r="194" spans="1:18" x14ac:dyDescent="0.25">
      <c r="A194" s="16" t="s">
        <v>89</v>
      </c>
      <c r="B194" s="9" t="s">
        <v>120</v>
      </c>
      <c r="C194" s="68">
        <v>2796000</v>
      </c>
      <c r="D194" s="68">
        <v>4332000</v>
      </c>
      <c r="E194" s="68">
        <v>9752000</v>
      </c>
      <c r="F194" s="68">
        <v>4368000</v>
      </c>
      <c r="G194" s="70">
        <f>+G184-G193</f>
        <v>29760000</v>
      </c>
      <c r="H194" s="70">
        <f>+H184-H193</f>
        <v>20022916.638535351</v>
      </c>
      <c r="I194" s="70">
        <f t="shared" ref="I194:L194" si="48">+I184-I193</f>
        <v>34196788.350855984</v>
      </c>
      <c r="J194" s="70">
        <f t="shared" si="48"/>
        <v>39333246.856011271</v>
      </c>
      <c r="K194" s="70">
        <f t="shared" si="48"/>
        <v>41968548.813606679</v>
      </c>
      <c r="L194" s="70">
        <f t="shared" si="48"/>
        <v>41012621.083984338</v>
      </c>
      <c r="M194" s="8"/>
      <c r="N194" s="8"/>
    </row>
    <row r="195" spans="1:18" outlineLevel="1" x14ac:dyDescent="0.25">
      <c r="A195" s="16"/>
      <c r="B195" s="7" t="s">
        <v>137</v>
      </c>
      <c r="C195" s="26">
        <v>2450000</v>
      </c>
      <c r="D195" s="26">
        <v>24790000</v>
      </c>
      <c r="E195" s="26">
        <v>2506000</v>
      </c>
      <c r="F195" s="26">
        <v>2466000</v>
      </c>
      <c r="G195" s="26">
        <v>2469000</v>
      </c>
      <c r="H195" s="8"/>
      <c r="I195" s="8"/>
      <c r="J195" s="14"/>
      <c r="K195" s="8"/>
      <c r="L195" s="14"/>
      <c r="M195" s="8"/>
      <c r="N195" s="8"/>
    </row>
    <row r="196" spans="1:18" outlineLevel="1" x14ac:dyDescent="0.25">
      <c r="A196" s="16"/>
      <c r="B196" s="7" t="s">
        <v>136</v>
      </c>
      <c r="C196" s="26">
        <v>2472000</v>
      </c>
      <c r="D196" s="26">
        <v>2512000</v>
      </c>
      <c r="E196" s="26">
        <v>2535000</v>
      </c>
      <c r="F196" s="26">
        <v>2507000</v>
      </c>
      <c r="G196" s="26">
        <v>2494000</v>
      </c>
      <c r="H196" s="8"/>
      <c r="I196" s="8"/>
      <c r="J196" s="14"/>
      <c r="K196" s="8"/>
      <c r="L196" s="14"/>
      <c r="M196" s="8"/>
      <c r="N196" s="8"/>
    </row>
    <row r="197" spans="1:18" outlineLevel="1" x14ac:dyDescent="0.25">
      <c r="A197" s="16"/>
      <c r="B197" s="7" t="s">
        <v>135</v>
      </c>
      <c r="C197" s="26">
        <v>2448000</v>
      </c>
      <c r="D197" s="26">
        <v>2480000</v>
      </c>
      <c r="E197" s="26">
        <v>2506000</v>
      </c>
      <c r="F197" s="26">
        <v>2466000</v>
      </c>
      <c r="G197" s="26">
        <v>2464000</v>
      </c>
      <c r="H197" s="8"/>
      <c r="I197" s="8"/>
      <c r="J197" s="14"/>
      <c r="K197" s="8"/>
      <c r="L197" s="14"/>
      <c r="M197" s="8"/>
      <c r="N197" s="8"/>
    </row>
    <row r="198" spans="1:18" outlineLevel="1" x14ac:dyDescent="0.25">
      <c r="A198" s="16"/>
      <c r="B198" s="7" t="s">
        <v>134</v>
      </c>
      <c r="C198" s="29"/>
      <c r="D198" s="29"/>
      <c r="E198" s="29"/>
      <c r="F198" s="29"/>
      <c r="G198" s="26">
        <v>12.05</v>
      </c>
      <c r="H198" s="8"/>
      <c r="I198" s="8"/>
      <c r="J198" s="14"/>
      <c r="K198" s="8"/>
      <c r="L198" s="14"/>
      <c r="M198" s="8"/>
      <c r="N198" s="8"/>
    </row>
    <row r="199" spans="1:18" outlineLevel="1" x14ac:dyDescent="0.25">
      <c r="A199" s="16"/>
      <c r="B199" s="7" t="s">
        <v>133</v>
      </c>
      <c r="C199" s="26">
        <v>1.1499999999999999</v>
      </c>
      <c r="D199" s="26">
        <v>1.76</v>
      </c>
      <c r="E199" s="26">
        <v>3.91</v>
      </c>
      <c r="F199" s="26">
        <v>1.76</v>
      </c>
      <c r="G199" s="26">
        <v>12.05</v>
      </c>
      <c r="H199" s="8"/>
      <c r="I199" s="8"/>
      <c r="J199" s="14"/>
      <c r="K199" s="8"/>
      <c r="L199" s="14"/>
      <c r="M199" s="8"/>
      <c r="N199" s="8"/>
    </row>
    <row r="200" spans="1:18" outlineLevel="1" x14ac:dyDescent="0.25">
      <c r="A200" s="16"/>
      <c r="B200" s="7" t="s">
        <v>132</v>
      </c>
      <c r="C200" s="29"/>
      <c r="D200" s="29"/>
      <c r="E200" s="29"/>
      <c r="F200" s="29"/>
      <c r="G200" s="26">
        <v>11.93</v>
      </c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outlineLevel="1" x14ac:dyDescent="0.25">
      <c r="A201" s="16"/>
      <c r="B201" s="7" t="s">
        <v>131</v>
      </c>
      <c r="C201" s="26">
        <v>1.1299999999999999</v>
      </c>
      <c r="D201" s="26">
        <v>1.73</v>
      </c>
      <c r="E201" s="26">
        <v>3.85</v>
      </c>
      <c r="F201" s="26">
        <v>1.74</v>
      </c>
      <c r="G201" s="26">
        <v>11.93</v>
      </c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outlineLevel="1" x14ac:dyDescent="0.25">
      <c r="A202" s="16"/>
      <c r="B202" s="7" t="s">
        <v>130</v>
      </c>
      <c r="C202" s="26">
        <v>0.16</v>
      </c>
      <c r="D202" s="26">
        <v>0.16</v>
      </c>
      <c r="E202" s="26">
        <v>0.16</v>
      </c>
      <c r="F202" s="26">
        <v>0.16</v>
      </c>
      <c r="G202" s="26">
        <v>0.16</v>
      </c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outlineLevel="1" x14ac:dyDescent="0.25">
      <c r="A203" s="16"/>
      <c r="B203" s="7" t="s">
        <v>129</v>
      </c>
      <c r="C203" s="29"/>
      <c r="D203" s="29"/>
      <c r="E203" s="29"/>
      <c r="F203" s="29"/>
      <c r="G203" s="26">
        <v>29600</v>
      </c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outlineLevel="1" x14ac:dyDescent="0.25">
      <c r="A204" s="16"/>
      <c r="B204" s="7" t="s">
        <v>128</v>
      </c>
      <c r="C204" s="26">
        <v>13775</v>
      </c>
      <c r="D204" s="26">
        <v>18975</v>
      </c>
      <c r="E204" s="26">
        <v>22473</v>
      </c>
      <c r="F204" s="26">
        <v>26196</v>
      </c>
      <c r="G204" s="26">
        <v>29600</v>
      </c>
      <c r="H204" s="8"/>
      <c r="I204" s="8"/>
      <c r="J204" s="14"/>
      <c r="K204" s="8"/>
      <c r="L204" s="14"/>
      <c r="M204" s="8"/>
      <c r="N204" s="8"/>
    </row>
    <row r="205" spans="1:18" outlineLevel="1" x14ac:dyDescent="0.25">
      <c r="A205" s="16"/>
      <c r="B205" s="7" t="s">
        <v>127</v>
      </c>
      <c r="C205" s="26">
        <v>301</v>
      </c>
      <c r="D205" s="26">
        <v>303</v>
      </c>
      <c r="E205" s="26">
        <v>313</v>
      </c>
      <c r="F205" s="26">
        <v>344</v>
      </c>
      <c r="G205" s="26">
        <v>382</v>
      </c>
      <c r="H205" s="8"/>
      <c r="I205" s="8"/>
      <c r="J205" s="14"/>
      <c r="K205" s="8"/>
      <c r="L205" s="14"/>
      <c r="M205" s="8"/>
      <c r="N205" s="8"/>
    </row>
    <row r="206" spans="1:18" x14ac:dyDescent="0.25">
      <c r="A206" s="16"/>
      <c r="B206" s="8"/>
      <c r="C206" s="18"/>
      <c r="D206" s="18"/>
      <c r="E206" s="18"/>
      <c r="F206" s="18"/>
      <c r="G206" s="18"/>
      <c r="H206" s="8"/>
      <c r="I206" s="8"/>
      <c r="J206" s="8"/>
      <c r="K206" s="8"/>
      <c r="L206" s="8"/>
      <c r="M206" s="8"/>
      <c r="N206" s="8"/>
    </row>
    <row r="207" spans="1:18" hidden="1" outlineLevel="1" x14ac:dyDescent="0.25">
      <c r="A207" s="16"/>
      <c r="B207" s="10" t="s">
        <v>126</v>
      </c>
      <c r="C207" s="18"/>
      <c r="D207" s="18"/>
      <c r="E207" s="18"/>
      <c r="F207" s="18"/>
      <c r="G207" s="18"/>
      <c r="H207" s="8"/>
      <c r="I207" s="8"/>
      <c r="J207" s="8"/>
      <c r="K207" s="8"/>
      <c r="L207" s="8"/>
      <c r="M207" s="8"/>
      <c r="N207" s="8"/>
    </row>
    <row r="208" spans="1:18" hidden="1" outlineLevel="1" x14ac:dyDescent="0.25">
      <c r="A208" s="16"/>
      <c r="B208" s="11" t="s">
        <v>79</v>
      </c>
      <c r="C208" s="37">
        <f>+C8</f>
        <v>2019</v>
      </c>
      <c r="D208" s="37">
        <f>+D8</f>
        <v>2020</v>
      </c>
      <c r="E208" s="37">
        <f>+E8</f>
        <v>2021</v>
      </c>
      <c r="F208" s="37">
        <f>+F8</f>
        <v>2022</v>
      </c>
      <c r="G208" s="37">
        <f>+G8</f>
        <v>2023</v>
      </c>
      <c r="H208" s="13"/>
      <c r="I208" s="8"/>
      <c r="J208" s="13"/>
      <c r="K208" s="8"/>
      <c r="L208" s="8"/>
      <c r="M208" s="8"/>
      <c r="N208" s="8"/>
    </row>
    <row r="209" spans="1:14" hidden="1" outlineLevel="1" x14ac:dyDescent="0.25">
      <c r="A209" s="16"/>
      <c r="B209" s="11" t="s">
        <v>78</v>
      </c>
      <c r="C209" s="17" t="s">
        <v>77</v>
      </c>
      <c r="D209" s="17" t="s">
        <v>77</v>
      </c>
      <c r="E209" s="17" t="s">
        <v>77</v>
      </c>
      <c r="F209" s="17" t="s">
        <v>77</v>
      </c>
      <c r="G209" s="17" t="s">
        <v>77</v>
      </c>
      <c r="H209" s="13"/>
      <c r="I209" s="8"/>
      <c r="J209" s="13"/>
      <c r="K209" s="8"/>
      <c r="L209" s="8"/>
      <c r="M209" s="8"/>
      <c r="N209" s="8"/>
    </row>
    <row r="210" spans="1:14" hidden="1" outlineLevel="1" x14ac:dyDescent="0.25">
      <c r="A210" s="16"/>
      <c r="B210" s="11" t="s">
        <v>76</v>
      </c>
      <c r="C210" s="17" t="s">
        <v>75</v>
      </c>
      <c r="D210" s="17" t="s">
        <v>75</v>
      </c>
      <c r="E210" s="17" t="s">
        <v>75</v>
      </c>
      <c r="F210" s="17" t="s">
        <v>75</v>
      </c>
      <c r="G210" s="17" t="s">
        <v>75</v>
      </c>
      <c r="H210" s="13"/>
      <c r="I210" s="8"/>
      <c r="J210" s="13"/>
      <c r="K210" s="8"/>
      <c r="L210" s="8"/>
      <c r="M210" s="8"/>
      <c r="N210" s="8"/>
    </row>
    <row r="211" spans="1:14" hidden="1" outlineLevel="1" x14ac:dyDescent="0.25">
      <c r="A211" s="16"/>
      <c r="B211" s="11" t="s">
        <v>74</v>
      </c>
      <c r="C211" s="17" t="s">
        <v>73</v>
      </c>
      <c r="D211" s="17" t="s">
        <v>73</v>
      </c>
      <c r="E211" s="17" t="s">
        <v>73</v>
      </c>
      <c r="F211" s="17" t="s">
        <v>73</v>
      </c>
      <c r="G211" s="17" t="s">
        <v>73</v>
      </c>
      <c r="H211" s="13"/>
      <c r="I211" s="8"/>
      <c r="J211" s="13"/>
      <c r="K211" s="8"/>
      <c r="L211" s="8"/>
      <c r="M211" s="8"/>
      <c r="N211" s="8"/>
    </row>
    <row r="212" spans="1:14" hidden="1" outlineLevel="1" x14ac:dyDescent="0.25">
      <c r="A212" s="16"/>
      <c r="B212" s="11" t="s">
        <v>72</v>
      </c>
      <c r="C212" s="17" t="s">
        <v>71</v>
      </c>
      <c r="D212" s="17" t="s">
        <v>71</v>
      </c>
      <c r="E212" s="17" t="s">
        <v>71</v>
      </c>
      <c r="F212" s="17" t="s">
        <v>71</v>
      </c>
      <c r="G212" s="17" t="s">
        <v>71</v>
      </c>
      <c r="H212" s="13"/>
      <c r="I212" s="8"/>
      <c r="J212" s="13"/>
      <c r="K212" s="8"/>
      <c r="L212" s="8"/>
      <c r="M212" s="8"/>
      <c r="N212" s="8"/>
    </row>
    <row r="213" spans="1:14" collapsed="1" x14ac:dyDescent="0.25">
      <c r="A213" s="16"/>
      <c r="B213" s="7" t="s">
        <v>125</v>
      </c>
      <c r="C213" s="26">
        <v>12565000</v>
      </c>
      <c r="D213" s="26">
        <v>14971000</v>
      </c>
      <c r="E213" s="26">
        <v>18908000</v>
      </c>
      <c r="F213" s="26">
        <v>16235000</v>
      </c>
      <c r="G213" s="26">
        <f>+F217</f>
        <v>10171000</v>
      </c>
      <c r="H213" s="14"/>
      <c r="I213" s="8"/>
      <c r="J213" s="14"/>
      <c r="K213" s="8"/>
      <c r="L213" s="8"/>
      <c r="M213" s="8"/>
      <c r="N213" s="8"/>
    </row>
    <row r="214" spans="1:14" x14ac:dyDescent="0.25">
      <c r="A214" s="16"/>
      <c r="B214" s="7" t="s">
        <v>124</v>
      </c>
      <c r="C214" s="26">
        <v>390000</v>
      </c>
      <c r="D214" s="26">
        <v>395000</v>
      </c>
      <c r="E214" s="26">
        <v>399000</v>
      </c>
      <c r="F214" s="26">
        <v>398000</v>
      </c>
      <c r="G214" s="26">
        <f>+G202*G195</f>
        <v>395040</v>
      </c>
      <c r="H214" s="14"/>
      <c r="I214" s="8"/>
      <c r="J214" s="14"/>
      <c r="K214" s="8"/>
      <c r="L214" s="8"/>
      <c r="M214" s="8"/>
      <c r="N214" s="8"/>
    </row>
    <row r="215" spans="1:14" x14ac:dyDescent="0.25">
      <c r="A215" s="16"/>
      <c r="B215" s="7" t="s">
        <v>123</v>
      </c>
      <c r="C215" s="29">
        <v>0</v>
      </c>
      <c r="D215" s="29">
        <v>0</v>
      </c>
      <c r="E215" s="29">
        <v>0</v>
      </c>
      <c r="F215" s="26">
        <v>10034000</v>
      </c>
      <c r="G215" s="26">
        <v>0</v>
      </c>
      <c r="H215" s="14"/>
      <c r="I215" s="8"/>
      <c r="J215" s="14"/>
      <c r="K215" s="8"/>
      <c r="L215" s="8"/>
      <c r="M215" s="8"/>
      <c r="N215" s="8"/>
    </row>
    <row r="216" spans="1:14" x14ac:dyDescent="0.25">
      <c r="A216" s="16"/>
      <c r="B216" s="7" t="s">
        <v>122</v>
      </c>
      <c r="C216" s="29">
        <v>0</v>
      </c>
      <c r="D216" s="29">
        <v>0</v>
      </c>
      <c r="E216" s="26">
        <v>12026000</v>
      </c>
      <c r="F216" s="29">
        <v>0</v>
      </c>
      <c r="G216" s="26">
        <v>0</v>
      </c>
      <c r="H216" s="14"/>
      <c r="I216" s="8"/>
      <c r="J216" s="14"/>
      <c r="K216" s="8"/>
      <c r="L216" s="8"/>
      <c r="M216" s="8"/>
      <c r="N216" s="8"/>
    </row>
    <row r="217" spans="1:14" x14ac:dyDescent="0.25">
      <c r="A217" s="16" t="s">
        <v>89</v>
      </c>
      <c r="B217" s="9" t="s">
        <v>2</v>
      </c>
      <c r="C217" s="24">
        <v>14971000</v>
      </c>
      <c r="D217" s="24">
        <v>18908000</v>
      </c>
      <c r="E217" s="24">
        <v>16235000</v>
      </c>
      <c r="F217" s="24">
        <v>10171000</v>
      </c>
      <c r="G217" s="24">
        <f>+G213-G214</f>
        <v>9775960</v>
      </c>
      <c r="H217" s="14"/>
      <c r="I217" s="8"/>
      <c r="J217" s="14"/>
      <c r="K217" s="8"/>
      <c r="L217" s="8"/>
      <c r="M217" s="8"/>
      <c r="N217" s="8"/>
    </row>
    <row r="218" spans="1:14" x14ac:dyDescent="0.25">
      <c r="A218" s="16"/>
      <c r="B218" s="7" t="s">
        <v>232</v>
      </c>
      <c r="C218" s="26">
        <f>+C86+C83-C116</f>
        <v>1949000</v>
      </c>
      <c r="D218" s="26">
        <f t="shared" ref="D218:L218" si="49">+D86+D83-D116</f>
        <v>3054000</v>
      </c>
      <c r="E218" s="26">
        <f t="shared" si="49"/>
        <v>822000</v>
      </c>
      <c r="F218" s="26">
        <f t="shared" si="49"/>
        <v>3966000</v>
      </c>
      <c r="G218" s="26">
        <f t="shared" si="49"/>
        <v>12582000</v>
      </c>
      <c r="H218" s="26">
        <f t="shared" si="49"/>
        <v>12582000</v>
      </c>
      <c r="I218" s="26">
        <f t="shared" si="49"/>
        <v>12582000</v>
      </c>
      <c r="J218" s="26">
        <f t="shared" si="49"/>
        <v>12582000</v>
      </c>
      <c r="K218" s="26">
        <f t="shared" si="49"/>
        <v>12582000</v>
      </c>
      <c r="L218" s="26">
        <f t="shared" si="49"/>
        <v>12582000</v>
      </c>
      <c r="M218" s="8"/>
      <c r="N218" s="8"/>
    </row>
    <row r="219" spans="1:14" x14ac:dyDescent="0.25">
      <c r="A219" s="16"/>
      <c r="B219" s="8"/>
      <c r="C219" s="18"/>
      <c r="D219" s="18"/>
      <c r="E219" s="18"/>
      <c r="F219" s="18"/>
      <c r="G219" s="18"/>
      <c r="H219" s="8"/>
      <c r="I219" s="8"/>
      <c r="J219" s="8"/>
      <c r="K219" s="8"/>
      <c r="L219" s="8"/>
      <c r="M219" s="8"/>
      <c r="N219" s="8"/>
    </row>
    <row r="220" spans="1:14" hidden="1" outlineLevel="1" x14ac:dyDescent="0.25">
      <c r="A220" s="16"/>
      <c r="B220" s="10" t="s">
        <v>121</v>
      </c>
      <c r="C220" s="18"/>
      <c r="D220" s="18"/>
      <c r="E220" s="18"/>
      <c r="F220" s="18"/>
      <c r="G220" s="18"/>
      <c r="H220" s="8"/>
      <c r="I220" s="8"/>
      <c r="J220" s="8"/>
      <c r="K220" s="8"/>
      <c r="L220" s="8"/>
      <c r="M220" s="8"/>
      <c r="N220" s="8"/>
    </row>
    <row r="221" spans="1:14" hidden="1" outlineLevel="1" x14ac:dyDescent="0.25">
      <c r="A221" s="16"/>
      <c r="B221" s="11" t="s">
        <v>79</v>
      </c>
      <c r="C221" s="37">
        <f>+C158</f>
        <v>2019</v>
      </c>
      <c r="D221" s="37">
        <f t="shared" ref="D221:G221" si="50">+D158</f>
        <v>2020</v>
      </c>
      <c r="E221" s="37">
        <f t="shared" si="50"/>
        <v>2021</v>
      </c>
      <c r="F221" s="37">
        <f t="shared" si="50"/>
        <v>2022</v>
      </c>
      <c r="G221" s="37">
        <f t="shared" si="50"/>
        <v>2023</v>
      </c>
      <c r="J221" s="13"/>
      <c r="K221" s="8"/>
      <c r="L221" s="13"/>
      <c r="M221" s="8"/>
      <c r="N221" s="8"/>
    </row>
    <row r="222" spans="1:14" hidden="1" outlineLevel="1" x14ac:dyDescent="0.25">
      <c r="A222" s="16"/>
      <c r="B222" s="11" t="s">
        <v>78</v>
      </c>
      <c r="C222" s="17" t="s">
        <v>77</v>
      </c>
      <c r="D222" s="17" t="s">
        <v>77</v>
      </c>
      <c r="E222" s="17" t="s">
        <v>77</v>
      </c>
      <c r="F222" s="12" t="s">
        <v>77</v>
      </c>
      <c r="G222" s="12" t="s">
        <v>77</v>
      </c>
      <c r="J222" s="13"/>
      <c r="K222" s="8"/>
      <c r="L222" s="13"/>
      <c r="M222" s="8"/>
      <c r="N222" s="8"/>
    </row>
    <row r="223" spans="1:14" hidden="1" outlineLevel="1" x14ac:dyDescent="0.25">
      <c r="A223" s="16"/>
      <c r="B223" s="11" t="s">
        <v>76</v>
      </c>
      <c r="C223" s="17" t="s">
        <v>75</v>
      </c>
      <c r="D223" s="17" t="s">
        <v>75</v>
      </c>
      <c r="E223" s="17" t="s">
        <v>75</v>
      </c>
      <c r="F223" s="12" t="s">
        <v>75</v>
      </c>
      <c r="G223" s="12" t="s">
        <v>75</v>
      </c>
      <c r="J223" s="13"/>
      <c r="K223" s="8"/>
      <c r="L223" s="13"/>
      <c r="M223" s="8"/>
      <c r="N223" s="8"/>
    </row>
    <row r="224" spans="1:14" hidden="1" outlineLevel="1" x14ac:dyDescent="0.25">
      <c r="A224" s="16"/>
      <c r="B224" s="11" t="s">
        <v>74</v>
      </c>
      <c r="C224" s="17" t="s">
        <v>73</v>
      </c>
      <c r="D224" s="17" t="s">
        <v>73</v>
      </c>
      <c r="E224" s="17" t="s">
        <v>73</v>
      </c>
      <c r="F224" s="12" t="s">
        <v>73</v>
      </c>
      <c r="G224" s="12" t="s">
        <v>73</v>
      </c>
      <c r="J224" s="13"/>
      <c r="K224" s="8"/>
      <c r="L224" s="13"/>
      <c r="M224" s="8"/>
      <c r="N224" s="8"/>
    </row>
    <row r="225" spans="1:14" hidden="1" outlineLevel="1" x14ac:dyDescent="0.25">
      <c r="A225" s="16"/>
      <c r="B225" s="11" t="s">
        <v>72</v>
      </c>
      <c r="C225" s="17" t="s">
        <v>71</v>
      </c>
      <c r="D225" s="17" t="s">
        <v>71</v>
      </c>
      <c r="E225" s="17" t="s">
        <v>71</v>
      </c>
      <c r="F225" s="12" t="s">
        <v>71</v>
      </c>
      <c r="G225" s="12" t="s">
        <v>71</v>
      </c>
      <c r="J225" s="13"/>
      <c r="K225" s="8"/>
      <c r="L225" s="13"/>
      <c r="M225" s="8"/>
      <c r="N225" s="8"/>
    </row>
    <row r="226" spans="1:14" collapsed="1" x14ac:dyDescent="0.25">
      <c r="A226" s="16" t="s">
        <v>89</v>
      </c>
      <c r="B226" s="9" t="s">
        <v>120</v>
      </c>
      <c r="C226" s="24">
        <v>2796000</v>
      </c>
      <c r="D226" s="24">
        <v>4332000</v>
      </c>
      <c r="E226" s="24">
        <v>9752000</v>
      </c>
      <c r="F226" s="24">
        <v>4368000</v>
      </c>
      <c r="G226" s="24">
        <v>29760000</v>
      </c>
      <c r="H226" s="8"/>
      <c r="I226" s="8"/>
      <c r="J226" s="14"/>
      <c r="K226" s="8"/>
      <c r="L226" s="14"/>
      <c r="M226" s="8"/>
      <c r="N226" s="8"/>
    </row>
    <row r="227" spans="1:14" x14ac:dyDescent="0.25">
      <c r="A227" s="16"/>
      <c r="B227" s="7" t="s">
        <v>119</v>
      </c>
      <c r="C227" s="26">
        <v>844000</v>
      </c>
      <c r="D227" s="26">
        <v>1397000</v>
      </c>
      <c r="E227" s="26">
        <v>2004000</v>
      </c>
      <c r="F227" s="26">
        <v>2709000</v>
      </c>
      <c r="G227" s="26">
        <v>3549000</v>
      </c>
      <c r="H227" s="8"/>
      <c r="I227" s="8"/>
      <c r="J227" s="14"/>
      <c r="K227" s="8"/>
      <c r="L227" s="14"/>
      <c r="M227" s="8"/>
      <c r="N227" s="8"/>
    </row>
    <row r="228" spans="1:14" x14ac:dyDescent="0.25">
      <c r="A228" s="16"/>
      <c r="B228" s="7" t="s">
        <v>118</v>
      </c>
      <c r="C228" s="26">
        <v>381000</v>
      </c>
      <c r="D228" s="26">
        <v>1098000</v>
      </c>
      <c r="E228" s="26">
        <v>1174000</v>
      </c>
      <c r="F228" s="26">
        <v>1544000</v>
      </c>
      <c r="G228" s="26">
        <v>1508000</v>
      </c>
      <c r="H228" s="8"/>
      <c r="I228" s="8"/>
      <c r="J228" s="14"/>
      <c r="K228" s="8"/>
      <c r="L228" s="14"/>
      <c r="M228" s="8"/>
      <c r="N228" s="8"/>
    </row>
    <row r="229" spans="1:14" x14ac:dyDescent="0.25">
      <c r="A229" s="16"/>
      <c r="B229" s="7" t="s">
        <v>117</v>
      </c>
      <c r="C229" s="29">
        <v>0</v>
      </c>
      <c r="D229" s="29">
        <v>0</v>
      </c>
      <c r="E229" s="29">
        <v>0</v>
      </c>
      <c r="F229" s="26">
        <v>1353000</v>
      </c>
      <c r="G229" s="29">
        <v>0</v>
      </c>
      <c r="H229" s="8"/>
      <c r="I229" s="8"/>
      <c r="J229" s="14"/>
      <c r="K229" s="8"/>
      <c r="L229" s="14"/>
      <c r="M229" s="8"/>
      <c r="N229" s="8"/>
    </row>
    <row r="230" spans="1:14" x14ac:dyDescent="0.25">
      <c r="A230" s="16"/>
      <c r="B230" s="7" t="s">
        <v>116</v>
      </c>
      <c r="C230" s="26">
        <v>18000</v>
      </c>
      <c r="D230" s="26">
        <v>-282000</v>
      </c>
      <c r="E230" s="26">
        <v>-406000</v>
      </c>
      <c r="F230" s="26">
        <v>-2164000</v>
      </c>
      <c r="G230" s="26">
        <v>-2489000</v>
      </c>
      <c r="H230" s="8"/>
      <c r="I230" s="8"/>
      <c r="J230" s="14"/>
      <c r="K230" s="8"/>
      <c r="L230" s="14"/>
      <c r="M230" s="8"/>
      <c r="N230" s="8"/>
    </row>
    <row r="231" spans="1:14" x14ac:dyDescent="0.25">
      <c r="A231" s="16"/>
      <c r="B231" s="7" t="s">
        <v>115</v>
      </c>
      <c r="C231" s="29">
        <v>0</v>
      </c>
      <c r="D231" s="29">
        <v>0</v>
      </c>
      <c r="E231" s="26">
        <v>-100000</v>
      </c>
      <c r="F231" s="26">
        <v>45000</v>
      </c>
      <c r="G231" s="26">
        <v>-238000</v>
      </c>
      <c r="H231" s="8"/>
      <c r="I231" s="8"/>
      <c r="J231" s="14"/>
      <c r="K231" s="8"/>
      <c r="L231" s="14"/>
      <c r="M231" s="8"/>
      <c r="N231" s="8"/>
    </row>
    <row r="232" spans="1:14" x14ac:dyDescent="0.25">
      <c r="A232" s="16"/>
      <c r="B232" s="7" t="s">
        <v>114</v>
      </c>
      <c r="C232" s="26">
        <v>5000</v>
      </c>
      <c r="D232" s="26">
        <v>-20000</v>
      </c>
      <c r="E232" s="26">
        <v>47000</v>
      </c>
      <c r="F232" s="26">
        <v>-7000</v>
      </c>
      <c r="G232" s="29">
        <v>0</v>
      </c>
      <c r="H232" s="8"/>
      <c r="I232" s="8"/>
      <c r="J232" s="14"/>
      <c r="K232" s="8"/>
      <c r="L232" s="14"/>
      <c r="M232" s="8"/>
      <c r="N232" s="8"/>
    </row>
    <row r="233" spans="1:14" x14ac:dyDescent="0.25">
      <c r="A233" s="16"/>
      <c r="B233" s="7" t="s">
        <v>113</v>
      </c>
      <c r="C233" s="26">
        <v>-233000</v>
      </c>
      <c r="D233" s="26">
        <v>-550000</v>
      </c>
      <c r="E233" s="26">
        <v>-2215000</v>
      </c>
      <c r="F233" s="26">
        <v>822000</v>
      </c>
      <c r="G233" s="26">
        <v>-6172000</v>
      </c>
      <c r="H233" s="8"/>
      <c r="I233" s="8"/>
      <c r="J233" s="14"/>
      <c r="K233" s="8"/>
      <c r="L233" s="14"/>
      <c r="M233" s="8"/>
      <c r="N233" s="8"/>
    </row>
    <row r="234" spans="1:14" x14ac:dyDescent="0.25">
      <c r="A234" s="16"/>
      <c r="B234" s="7" t="s">
        <v>62</v>
      </c>
      <c r="C234" s="26">
        <v>597000</v>
      </c>
      <c r="D234" s="26">
        <v>-524000</v>
      </c>
      <c r="E234" s="26">
        <v>-774000</v>
      </c>
      <c r="F234" s="26">
        <v>-2554000</v>
      </c>
      <c r="G234" s="26">
        <v>-98000</v>
      </c>
      <c r="H234" s="8"/>
      <c r="I234" s="8"/>
      <c r="J234" s="14"/>
      <c r="K234" s="8"/>
      <c r="L234" s="14"/>
      <c r="M234" s="8"/>
      <c r="N234" s="8"/>
    </row>
    <row r="235" spans="1:14" x14ac:dyDescent="0.25">
      <c r="A235" s="16"/>
      <c r="B235" s="7" t="s">
        <v>112</v>
      </c>
      <c r="C235" s="29">
        <v>0</v>
      </c>
      <c r="D235" s="29">
        <v>0</v>
      </c>
      <c r="E235" s="29">
        <v>0</v>
      </c>
      <c r="F235" s="29">
        <v>0</v>
      </c>
      <c r="G235" s="26">
        <v>-1522000</v>
      </c>
      <c r="H235" s="8"/>
      <c r="I235" s="8"/>
      <c r="J235" s="14"/>
      <c r="K235" s="8"/>
      <c r="L235" s="14"/>
      <c r="M235" s="8"/>
      <c r="N235" s="8"/>
    </row>
    <row r="236" spans="1:14" x14ac:dyDescent="0.25">
      <c r="A236" s="16"/>
      <c r="B236" s="7" t="s">
        <v>111</v>
      </c>
      <c r="C236" s="26">
        <v>77000</v>
      </c>
      <c r="D236" s="26">
        <v>-394000</v>
      </c>
      <c r="E236" s="26">
        <v>-1715000</v>
      </c>
      <c r="F236" s="26">
        <v>-1517000</v>
      </c>
      <c r="G236" s="29">
        <v>0</v>
      </c>
      <c r="H236" s="8"/>
      <c r="I236" s="8"/>
      <c r="J236" s="14"/>
      <c r="K236" s="8"/>
      <c r="L236" s="14"/>
      <c r="M236" s="8"/>
      <c r="N236" s="8"/>
    </row>
    <row r="237" spans="1:14" x14ac:dyDescent="0.25">
      <c r="A237" s="16"/>
      <c r="B237" s="7" t="s">
        <v>36</v>
      </c>
      <c r="C237" s="26">
        <v>194000</v>
      </c>
      <c r="D237" s="26">
        <v>363000</v>
      </c>
      <c r="E237" s="26">
        <v>568000</v>
      </c>
      <c r="F237" s="26">
        <v>-551000</v>
      </c>
      <c r="G237" s="26">
        <v>1531000</v>
      </c>
      <c r="H237" s="8"/>
      <c r="I237" s="8"/>
      <c r="J237" s="14"/>
      <c r="K237" s="8"/>
      <c r="L237" s="14"/>
      <c r="M237" s="8"/>
      <c r="N237" s="8"/>
    </row>
    <row r="238" spans="1:14" x14ac:dyDescent="0.25">
      <c r="A238" s="16"/>
      <c r="B238" s="7" t="s">
        <v>23</v>
      </c>
      <c r="C238" s="26">
        <v>54000</v>
      </c>
      <c r="D238" s="26">
        <v>239000</v>
      </c>
      <c r="E238" s="26">
        <v>581000</v>
      </c>
      <c r="F238" s="26">
        <v>1341000</v>
      </c>
      <c r="G238" s="29">
        <v>0</v>
      </c>
      <c r="H238" s="8"/>
      <c r="I238" s="8"/>
      <c r="J238" s="14"/>
      <c r="K238" s="8"/>
      <c r="L238" s="14"/>
      <c r="M238" s="8"/>
      <c r="N238" s="8"/>
    </row>
    <row r="239" spans="1:14" x14ac:dyDescent="0.25">
      <c r="A239" s="16"/>
      <c r="B239" s="7" t="s">
        <v>110</v>
      </c>
      <c r="C239" s="29">
        <v>0</v>
      </c>
      <c r="D239" s="29">
        <v>0</v>
      </c>
      <c r="E239" s="29">
        <v>0</v>
      </c>
      <c r="F239" s="29">
        <v>0</v>
      </c>
      <c r="G239" s="26">
        <v>2025000</v>
      </c>
      <c r="H239" s="8"/>
      <c r="I239" s="8"/>
      <c r="J239" s="14"/>
      <c r="K239" s="8"/>
      <c r="L239" s="14"/>
      <c r="M239" s="8"/>
      <c r="N239" s="8"/>
    </row>
    <row r="240" spans="1:14" x14ac:dyDescent="0.25">
      <c r="A240" s="16"/>
      <c r="B240" s="7" t="s">
        <v>9</v>
      </c>
      <c r="C240" s="26">
        <v>28000</v>
      </c>
      <c r="D240" s="26">
        <v>163000</v>
      </c>
      <c r="E240" s="26">
        <v>192000</v>
      </c>
      <c r="F240" s="26">
        <v>252000</v>
      </c>
      <c r="G240" s="26">
        <v>514000</v>
      </c>
      <c r="H240" s="8"/>
      <c r="I240" s="8"/>
      <c r="J240" s="14"/>
      <c r="K240" s="8"/>
      <c r="L240" s="14"/>
      <c r="M240" s="8"/>
      <c r="N240" s="8"/>
    </row>
    <row r="241" spans="1:14" ht="17.25" x14ac:dyDescent="0.4">
      <c r="A241" s="16"/>
      <c r="B241" s="7" t="s">
        <v>8</v>
      </c>
      <c r="C241" s="32">
        <v>0</v>
      </c>
      <c r="D241" s="32">
        <v>0</v>
      </c>
      <c r="E241" s="32">
        <v>0</v>
      </c>
      <c r="F241" s="32">
        <v>0</v>
      </c>
      <c r="G241" s="31">
        <v>-278000</v>
      </c>
      <c r="H241" s="8"/>
      <c r="I241" s="8"/>
      <c r="J241" s="14"/>
      <c r="K241" s="8"/>
      <c r="L241" s="14"/>
      <c r="M241" s="8"/>
      <c r="N241" s="8"/>
    </row>
    <row r="242" spans="1:14" x14ac:dyDescent="0.25">
      <c r="A242" s="16" t="s">
        <v>89</v>
      </c>
      <c r="B242" s="9" t="s">
        <v>109</v>
      </c>
      <c r="C242" s="24">
        <v>4761000</v>
      </c>
      <c r="D242" s="24">
        <v>5822000</v>
      </c>
      <c r="E242" s="24">
        <v>9108000</v>
      </c>
      <c r="F242" s="24">
        <v>5641000</v>
      </c>
      <c r="G242" s="24">
        <v>28090000</v>
      </c>
      <c r="H242" s="8"/>
      <c r="I242" s="8"/>
      <c r="J242" s="14"/>
      <c r="K242" s="8"/>
      <c r="L242" s="14"/>
      <c r="M242" s="8"/>
      <c r="N242" s="8"/>
    </row>
    <row r="243" spans="1:14" x14ac:dyDescent="0.25">
      <c r="A243" s="16"/>
      <c r="B243" s="7" t="s">
        <v>108</v>
      </c>
      <c r="C243" s="26">
        <v>4744000</v>
      </c>
      <c r="D243" s="26">
        <v>8792000</v>
      </c>
      <c r="E243" s="26">
        <v>15197000</v>
      </c>
      <c r="F243" s="26">
        <v>19425000</v>
      </c>
      <c r="G243" s="26">
        <v>50000</v>
      </c>
      <c r="H243" s="8"/>
      <c r="I243" s="8"/>
      <c r="J243" s="14"/>
      <c r="K243" s="8"/>
      <c r="L243" s="14"/>
      <c r="M243" s="8"/>
      <c r="N243" s="8"/>
    </row>
    <row r="244" spans="1:14" x14ac:dyDescent="0.25">
      <c r="A244" s="16"/>
      <c r="B244" s="7" t="s">
        <v>107</v>
      </c>
      <c r="C244" s="26">
        <v>3365000</v>
      </c>
      <c r="D244" s="26">
        <v>527000</v>
      </c>
      <c r="E244" s="26">
        <v>1023000</v>
      </c>
      <c r="F244" s="26">
        <v>1806000</v>
      </c>
      <c r="G244" s="29">
        <v>0</v>
      </c>
      <c r="H244" s="8"/>
      <c r="I244" s="8"/>
      <c r="J244" s="14"/>
      <c r="K244" s="8"/>
      <c r="L244" s="14"/>
      <c r="M244" s="8"/>
      <c r="N244" s="8"/>
    </row>
    <row r="245" spans="1:14" x14ac:dyDescent="0.25">
      <c r="A245" s="16"/>
      <c r="B245" s="7" t="s">
        <v>106</v>
      </c>
      <c r="C245" s="29">
        <v>0</v>
      </c>
      <c r="D245" s="29">
        <v>0</v>
      </c>
      <c r="E245" s="29">
        <v>0</v>
      </c>
      <c r="F245" s="29">
        <v>0</v>
      </c>
      <c r="G245" s="26">
        <v>9732000</v>
      </c>
      <c r="H245" s="8"/>
      <c r="I245" s="8"/>
      <c r="J245" s="14"/>
      <c r="K245" s="8"/>
      <c r="L245" s="14"/>
      <c r="M245" s="8"/>
      <c r="N245" s="8"/>
    </row>
    <row r="246" spans="1:14" x14ac:dyDescent="0.25">
      <c r="A246" s="16"/>
      <c r="B246" s="7" t="s">
        <v>105</v>
      </c>
      <c r="C246" s="26">
        <v>-1461000</v>
      </c>
      <c r="D246" s="26">
        <v>-19308000</v>
      </c>
      <c r="E246" s="26">
        <v>-24787000</v>
      </c>
      <c r="F246" s="26">
        <v>-11897000</v>
      </c>
      <c r="G246" s="29">
        <v>0</v>
      </c>
      <c r="H246" s="8"/>
      <c r="I246" s="8"/>
      <c r="J246" s="14"/>
      <c r="K246" s="8"/>
      <c r="L246" s="14"/>
      <c r="M246" s="8"/>
      <c r="N246" s="8"/>
    </row>
    <row r="247" spans="1:14" x14ac:dyDescent="0.25">
      <c r="A247" s="16"/>
      <c r="B247" s="7" t="s">
        <v>104</v>
      </c>
      <c r="C247" s="26">
        <v>-489000</v>
      </c>
      <c r="D247" s="26">
        <v>-1128000</v>
      </c>
      <c r="E247" s="26">
        <v>-976000</v>
      </c>
      <c r="F247" s="26">
        <v>-1833000</v>
      </c>
      <c r="G247" s="26">
        <v>-1069000</v>
      </c>
      <c r="H247" s="8"/>
      <c r="I247" s="8"/>
      <c r="J247" s="14"/>
      <c r="K247" s="8"/>
      <c r="L247" s="14"/>
      <c r="M247" s="8"/>
      <c r="N247" s="8"/>
    </row>
    <row r="248" spans="1:14" x14ac:dyDescent="0.25">
      <c r="A248" s="16"/>
      <c r="B248" s="7" t="s">
        <v>103</v>
      </c>
      <c r="C248" s="29">
        <v>0</v>
      </c>
      <c r="D248" s="26">
        <v>-8524000</v>
      </c>
      <c r="E248" s="26">
        <v>-263000</v>
      </c>
      <c r="F248" s="26">
        <v>-49000</v>
      </c>
      <c r="G248" s="26">
        <v>-83000</v>
      </c>
      <c r="H248" s="8"/>
      <c r="I248" s="8"/>
      <c r="J248" s="14"/>
      <c r="K248" s="8"/>
      <c r="L248" s="14"/>
      <c r="M248" s="8"/>
      <c r="N248" s="8"/>
    </row>
    <row r="249" spans="1:14" x14ac:dyDescent="0.25">
      <c r="A249" s="16"/>
      <c r="B249" s="7" t="s">
        <v>102</v>
      </c>
      <c r="C249" s="26">
        <v>-14000</v>
      </c>
      <c r="D249" s="26">
        <v>-34000</v>
      </c>
      <c r="E249" s="26">
        <v>-24000</v>
      </c>
      <c r="F249" s="26">
        <v>-77000</v>
      </c>
      <c r="G249" s="26">
        <v>-985000</v>
      </c>
      <c r="H249" s="8"/>
      <c r="I249" s="8"/>
      <c r="J249" s="14"/>
      <c r="K249" s="8"/>
      <c r="L249" s="14"/>
      <c r="M249" s="8"/>
      <c r="N249" s="8"/>
    </row>
    <row r="250" spans="1:14" ht="17.25" x14ac:dyDescent="0.4">
      <c r="A250" s="16"/>
      <c r="B250" s="7" t="s">
        <v>101</v>
      </c>
      <c r="C250" s="32">
        <v>0</v>
      </c>
      <c r="D250" s="32">
        <v>0</v>
      </c>
      <c r="E250" s="32">
        <v>0</v>
      </c>
      <c r="F250" s="32">
        <v>0</v>
      </c>
      <c r="G250" s="31">
        <v>-18211000</v>
      </c>
      <c r="H250" s="8"/>
      <c r="I250" s="8"/>
      <c r="J250" s="14"/>
      <c r="K250" s="8"/>
      <c r="L250" s="14"/>
      <c r="M250" s="8"/>
      <c r="N250" s="8"/>
    </row>
    <row r="251" spans="1:14" x14ac:dyDescent="0.25">
      <c r="A251" s="16" t="s">
        <v>89</v>
      </c>
      <c r="B251" s="9" t="s">
        <v>100</v>
      </c>
      <c r="C251" s="24">
        <v>6145000</v>
      </c>
      <c r="D251" s="24">
        <v>-19675000</v>
      </c>
      <c r="E251" s="24">
        <v>-9830000</v>
      </c>
      <c r="F251" s="24">
        <v>7375000</v>
      </c>
      <c r="G251" s="24">
        <v>-10566000</v>
      </c>
      <c r="H251" s="8"/>
      <c r="I251" s="8"/>
      <c r="J251" s="14"/>
      <c r="K251" s="8"/>
      <c r="L251" s="14"/>
      <c r="M251" s="8"/>
      <c r="N251" s="8"/>
    </row>
    <row r="252" spans="1:14" x14ac:dyDescent="0.25">
      <c r="A252" s="16"/>
      <c r="B252" s="7" t="s">
        <v>99</v>
      </c>
      <c r="C252" s="29">
        <v>0</v>
      </c>
      <c r="D252" s="26">
        <v>4968000</v>
      </c>
      <c r="E252" s="26">
        <v>4977000</v>
      </c>
      <c r="F252" s="29">
        <v>0</v>
      </c>
      <c r="G252" s="29">
        <v>0</v>
      </c>
      <c r="H252" s="8"/>
      <c r="I252" s="8"/>
      <c r="J252" s="14"/>
      <c r="K252" s="8"/>
      <c r="L252" s="14"/>
      <c r="M252" s="8"/>
      <c r="N252" s="8"/>
    </row>
    <row r="253" spans="1:14" x14ac:dyDescent="0.25">
      <c r="A253" s="16"/>
      <c r="B253" s="7" t="s">
        <v>98</v>
      </c>
      <c r="C253" s="29">
        <v>0</v>
      </c>
      <c r="D253" s="29">
        <v>0</v>
      </c>
      <c r="E253" s="29">
        <v>0</v>
      </c>
      <c r="F253" s="26">
        <v>-10039000</v>
      </c>
      <c r="G253" s="26">
        <v>-9533000</v>
      </c>
      <c r="H253" s="8"/>
      <c r="I253" s="8"/>
      <c r="J253" s="14"/>
      <c r="K253" s="8"/>
      <c r="L253" s="14"/>
      <c r="M253" s="8"/>
      <c r="N253" s="8"/>
    </row>
    <row r="254" spans="1:14" x14ac:dyDescent="0.25">
      <c r="A254" s="16"/>
      <c r="B254" s="7" t="s">
        <v>97</v>
      </c>
      <c r="C254" s="26">
        <v>149000</v>
      </c>
      <c r="D254" s="26">
        <v>194000</v>
      </c>
      <c r="E254" s="26">
        <v>281000</v>
      </c>
      <c r="F254" s="26">
        <v>355000</v>
      </c>
      <c r="G254" s="29">
        <v>0</v>
      </c>
      <c r="H254" s="8"/>
      <c r="I254" s="8"/>
      <c r="J254" s="14"/>
      <c r="K254" s="8"/>
      <c r="L254" s="14"/>
      <c r="M254" s="8"/>
      <c r="N254" s="8"/>
    </row>
    <row r="255" spans="1:14" x14ac:dyDescent="0.25">
      <c r="A255" s="16"/>
      <c r="B255" s="7" t="s">
        <v>96</v>
      </c>
      <c r="C255" s="26">
        <v>-551000</v>
      </c>
      <c r="D255" s="26">
        <v>-942000</v>
      </c>
      <c r="E255" s="26">
        <v>-1904000</v>
      </c>
      <c r="F255" s="26">
        <v>-1475000</v>
      </c>
      <c r="G255" s="26">
        <v>-2783000</v>
      </c>
      <c r="H255" s="8"/>
      <c r="I255" s="8"/>
      <c r="J255" s="14"/>
      <c r="K255" s="8"/>
      <c r="L255" s="14"/>
      <c r="M255" s="8"/>
      <c r="N255" s="8"/>
    </row>
    <row r="256" spans="1:14" x14ac:dyDescent="0.25">
      <c r="A256" s="16"/>
      <c r="B256" s="7" t="s">
        <v>95</v>
      </c>
      <c r="C256" s="29">
        <v>0</v>
      </c>
      <c r="D256" s="29">
        <v>0</v>
      </c>
      <c r="E256" s="26">
        <v>-1000000</v>
      </c>
      <c r="F256" s="29">
        <v>0</v>
      </c>
      <c r="G256" s="26">
        <v>-1250000</v>
      </c>
      <c r="H256" s="8"/>
      <c r="I256" s="8"/>
      <c r="J256" s="14"/>
      <c r="K256" s="8"/>
      <c r="L256" s="14"/>
      <c r="M256" s="8"/>
      <c r="N256" s="8"/>
    </row>
    <row r="257" spans="1:14" x14ac:dyDescent="0.25">
      <c r="A257" s="16"/>
      <c r="B257" s="7" t="s">
        <v>94</v>
      </c>
      <c r="C257" s="26">
        <v>-390000</v>
      </c>
      <c r="D257" s="26">
        <v>-395000</v>
      </c>
      <c r="E257" s="26">
        <v>-399000</v>
      </c>
      <c r="F257" s="26">
        <v>-398000</v>
      </c>
      <c r="G257" s="26">
        <v>-395000</v>
      </c>
      <c r="H257" s="8"/>
      <c r="I257" s="8"/>
      <c r="J257" s="14"/>
      <c r="K257" s="8"/>
      <c r="L257" s="14"/>
      <c r="M257" s="8"/>
      <c r="N257" s="8"/>
    </row>
    <row r="258" spans="1:14" x14ac:dyDescent="0.25">
      <c r="A258" s="16"/>
      <c r="B258" s="7" t="s">
        <v>93</v>
      </c>
      <c r="C258" s="29">
        <v>0</v>
      </c>
      <c r="D258" s="26">
        <v>-17000</v>
      </c>
      <c r="E258" s="26">
        <v>-83000</v>
      </c>
      <c r="F258" s="26">
        <v>-58000</v>
      </c>
      <c r="G258" s="29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8"/>
      <c r="N258" s="8"/>
    </row>
    <row r="259" spans="1:14" x14ac:dyDescent="0.25">
      <c r="A259" s="16"/>
      <c r="B259" s="7" t="s">
        <v>92</v>
      </c>
      <c r="C259" s="29">
        <v>0</v>
      </c>
      <c r="D259" s="29">
        <v>0</v>
      </c>
      <c r="E259" s="29">
        <v>0</v>
      </c>
      <c r="F259" s="29">
        <v>0</v>
      </c>
      <c r="G259" s="26">
        <v>-74000</v>
      </c>
      <c r="H259" s="8"/>
      <c r="I259" s="8"/>
      <c r="J259" s="14"/>
      <c r="K259" s="8"/>
      <c r="L259" s="14"/>
      <c r="M259" s="8"/>
      <c r="N259" s="8"/>
    </row>
    <row r="260" spans="1:14" x14ac:dyDescent="0.25">
      <c r="A260" s="16"/>
      <c r="B260" s="7" t="s">
        <v>91</v>
      </c>
      <c r="C260" s="29">
        <v>0</v>
      </c>
      <c r="D260" s="29">
        <v>0</v>
      </c>
      <c r="E260" s="29">
        <v>0</v>
      </c>
      <c r="F260" s="29">
        <v>0</v>
      </c>
      <c r="G260" s="26">
        <v>403000</v>
      </c>
      <c r="H260" s="8"/>
      <c r="I260" s="8"/>
      <c r="J260" s="14"/>
      <c r="K260" s="8"/>
      <c r="L260" s="14"/>
      <c r="M260" s="8"/>
      <c r="N260" s="8"/>
    </row>
    <row r="261" spans="1:14" ht="17.25" x14ac:dyDescent="0.4">
      <c r="A261" s="16"/>
      <c r="B261" s="7" t="s">
        <v>90</v>
      </c>
      <c r="C261" s="32">
        <v>0</v>
      </c>
      <c r="D261" s="31">
        <v>-4000</v>
      </c>
      <c r="E261" s="31">
        <v>-7000</v>
      </c>
      <c r="F261" s="31">
        <v>-2000</v>
      </c>
      <c r="G261" s="31">
        <v>-1000</v>
      </c>
      <c r="H261" s="8"/>
      <c r="I261" s="8"/>
      <c r="J261" s="14"/>
      <c r="K261" s="8"/>
      <c r="L261" s="14"/>
      <c r="M261" s="8"/>
      <c r="N261" s="8"/>
    </row>
    <row r="262" spans="1:14" x14ac:dyDescent="0.25">
      <c r="A262" s="16" t="s">
        <v>89</v>
      </c>
      <c r="B262" s="9" t="s">
        <v>88</v>
      </c>
      <c r="C262" s="24">
        <v>-792000</v>
      </c>
      <c r="D262" s="24">
        <v>3804000</v>
      </c>
      <c r="E262" s="24">
        <v>1865000</v>
      </c>
      <c r="F262" s="24">
        <v>-11617000</v>
      </c>
      <c r="G262" s="24">
        <v>-13633000</v>
      </c>
      <c r="H262" s="8"/>
      <c r="I262" s="8"/>
      <c r="J262" s="14"/>
      <c r="K262" s="8"/>
      <c r="L262" s="14"/>
      <c r="M262" s="8"/>
      <c r="N262" s="8"/>
    </row>
    <row r="263" spans="1:14" x14ac:dyDescent="0.25">
      <c r="A263" s="8"/>
      <c r="B263" s="7" t="s">
        <v>87</v>
      </c>
      <c r="C263" s="26">
        <v>10114000</v>
      </c>
      <c r="D263" s="26">
        <v>-10049000</v>
      </c>
      <c r="E263" s="26">
        <v>1143000</v>
      </c>
      <c r="F263" s="26">
        <v>1399000</v>
      </c>
      <c r="G263" s="26">
        <v>3891000</v>
      </c>
      <c r="H263" s="8"/>
      <c r="I263" s="8"/>
      <c r="J263" s="14"/>
      <c r="K263" s="8"/>
      <c r="L263" s="14"/>
      <c r="M263" s="8"/>
      <c r="N263" s="8"/>
    </row>
    <row r="264" spans="1:14" x14ac:dyDescent="0.25">
      <c r="A264" s="8"/>
      <c r="B264" s="7" t="s">
        <v>86</v>
      </c>
      <c r="C264" s="26">
        <v>782000</v>
      </c>
      <c r="D264" s="26">
        <v>10896000</v>
      </c>
      <c r="E264" s="26">
        <v>847000</v>
      </c>
      <c r="F264" s="26">
        <v>1990000</v>
      </c>
      <c r="G264" s="26">
        <v>3389000</v>
      </c>
      <c r="H264" s="8"/>
      <c r="I264" s="8"/>
      <c r="J264" s="14"/>
      <c r="K264" s="8"/>
      <c r="L264" s="14"/>
      <c r="M264" s="8"/>
      <c r="N264" s="8"/>
    </row>
    <row r="265" spans="1:14" x14ac:dyDescent="0.25">
      <c r="A265" s="8"/>
      <c r="B265" s="7" t="s">
        <v>85</v>
      </c>
      <c r="C265" s="26">
        <v>10896000</v>
      </c>
      <c r="D265" s="26">
        <v>847000</v>
      </c>
      <c r="E265" s="26">
        <v>1990000</v>
      </c>
      <c r="F265" s="26">
        <v>3389000</v>
      </c>
      <c r="G265" s="26">
        <v>7280000</v>
      </c>
      <c r="H265" s="8"/>
      <c r="I265" s="8"/>
      <c r="J265" s="14"/>
      <c r="K265" s="8"/>
      <c r="L265" s="14"/>
      <c r="M265" s="8"/>
      <c r="N265" s="8"/>
    </row>
    <row r="266" spans="1:14" x14ac:dyDescent="0.25">
      <c r="A266" s="8"/>
      <c r="B266" s="7" t="s">
        <v>84</v>
      </c>
      <c r="C266" s="26">
        <v>176000</v>
      </c>
      <c r="D266" s="26">
        <v>249000</v>
      </c>
      <c r="E266" s="26">
        <v>396000</v>
      </c>
      <c r="F266" s="26">
        <v>1404000</v>
      </c>
      <c r="G266" s="26">
        <v>6549000</v>
      </c>
      <c r="H266" s="8"/>
      <c r="I266" s="8"/>
      <c r="J266" s="14"/>
      <c r="K266" s="8"/>
      <c r="L266" s="14"/>
      <c r="M266" s="8"/>
      <c r="N266" s="8"/>
    </row>
    <row r="267" spans="1:14" x14ac:dyDescent="0.25">
      <c r="A267" s="8"/>
      <c r="B267" s="7" t="s">
        <v>83</v>
      </c>
      <c r="C267" s="26">
        <v>54000</v>
      </c>
      <c r="D267" s="26">
        <v>138000</v>
      </c>
      <c r="E267" s="26">
        <v>246000</v>
      </c>
      <c r="F267" s="26">
        <v>254000</v>
      </c>
      <c r="G267" s="26">
        <v>252000</v>
      </c>
      <c r="H267" s="8"/>
      <c r="I267" s="8"/>
      <c r="J267" s="14"/>
      <c r="K267" s="8"/>
      <c r="L267" s="14"/>
      <c r="M267" s="8"/>
      <c r="N267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87C0-92EA-4E33-B174-44923A654939}">
  <sheetPr codeName="Sheet4"/>
  <dimension ref="B2:M31"/>
  <sheetViews>
    <sheetView showGridLines="0" workbookViewId="0">
      <selection activeCell="B31" sqref="B31"/>
    </sheetView>
  </sheetViews>
  <sheetFormatPr defaultRowHeight="15" x14ac:dyDescent="0.25"/>
  <cols>
    <col min="1" max="1" width="1.7109375" customWidth="1"/>
    <col min="2" max="2" width="22.140625" bestFit="1" customWidth="1"/>
    <col min="3" max="13" width="13.28515625" customWidth="1"/>
  </cols>
  <sheetData>
    <row r="2" spans="2:13" x14ac:dyDescent="0.25">
      <c r="B2" s="41" t="s">
        <v>189</v>
      </c>
    </row>
    <row r="3" spans="2:13" x14ac:dyDescent="0.25">
      <c r="B3" s="41"/>
    </row>
    <row r="4" spans="2:13" x14ac:dyDescent="0.25">
      <c r="B4" s="49" t="s">
        <v>190</v>
      </c>
      <c r="C4" s="50" t="s">
        <v>193</v>
      </c>
      <c r="D4" s="46">
        <f>+'Financial Statement'!H8</f>
        <v>2024</v>
      </c>
      <c r="E4" s="46"/>
      <c r="F4" s="46">
        <f>+'Financial Statement'!I8</f>
        <v>2025</v>
      </c>
      <c r="G4" s="46"/>
      <c r="H4" s="46">
        <f>+'Financial Statement'!J8</f>
        <v>2026</v>
      </c>
      <c r="I4" s="46"/>
      <c r="J4" s="46">
        <f>+'Financial Statement'!K8</f>
        <v>2027</v>
      </c>
      <c r="K4" s="46"/>
      <c r="L4" s="46">
        <f>+'Financial Statement'!L8</f>
        <v>2028</v>
      </c>
      <c r="M4" s="46"/>
    </row>
    <row r="5" spans="2:13" x14ac:dyDescent="0.25">
      <c r="B5" s="47">
        <v>1250000</v>
      </c>
      <c r="C5" s="48">
        <v>6.6E-3</v>
      </c>
      <c r="D5" s="43">
        <f>+$B$5*$C$5</f>
        <v>8250</v>
      </c>
      <c r="E5" s="45">
        <f>($B$5*$C$5)+B5</f>
        <v>1258250</v>
      </c>
      <c r="F5" s="43"/>
      <c r="G5" s="43"/>
      <c r="H5" s="43"/>
      <c r="I5" s="43"/>
      <c r="J5" s="43"/>
      <c r="K5" s="43"/>
      <c r="L5" s="43"/>
    </row>
    <row r="6" spans="2:13" x14ac:dyDescent="0.25">
      <c r="B6" s="47">
        <v>1000000</v>
      </c>
      <c r="C6" s="48">
        <v>3.3099999999999997E-2</v>
      </c>
      <c r="D6" s="43">
        <f>+$B$6*$C$6</f>
        <v>33100</v>
      </c>
      <c r="E6" s="43">
        <f>+$B$6*$C$6</f>
        <v>33100</v>
      </c>
      <c r="F6" s="43">
        <f>+$B$6*$C$6</f>
        <v>33100</v>
      </c>
      <c r="G6" s="43">
        <f>+$B$6*$C$6</f>
        <v>33100</v>
      </c>
      <c r="H6" s="43">
        <f>+$B$6*$C$6</f>
        <v>33100</v>
      </c>
      <c r="I6" s="45">
        <f>(+$B$6*$C$6)+B6</f>
        <v>1033100</v>
      </c>
      <c r="J6" s="43"/>
      <c r="K6" s="43"/>
      <c r="L6" s="43"/>
    </row>
    <row r="7" spans="2:13" x14ac:dyDescent="0.25">
      <c r="B7" s="47">
        <v>1250000</v>
      </c>
      <c r="C7" s="48">
        <v>1.6400000000000001E-2</v>
      </c>
      <c r="D7" s="43">
        <f t="shared" ref="D7:K7" si="0">+($B$7*$C$7)</f>
        <v>20500</v>
      </c>
      <c r="E7" s="43">
        <f t="shared" si="0"/>
        <v>20500</v>
      </c>
      <c r="F7" s="43">
        <f t="shared" si="0"/>
        <v>20500</v>
      </c>
      <c r="G7" s="43">
        <f t="shared" si="0"/>
        <v>20500</v>
      </c>
      <c r="H7" s="43">
        <f t="shared" si="0"/>
        <v>20500</v>
      </c>
      <c r="I7" s="43">
        <f t="shared" si="0"/>
        <v>20500</v>
      </c>
      <c r="J7" s="43">
        <f t="shared" si="0"/>
        <v>20500</v>
      </c>
      <c r="K7" s="43">
        <f t="shared" si="0"/>
        <v>20500</v>
      </c>
      <c r="L7" s="45">
        <f>+($B$7*$C$7)+B7</f>
        <v>1270500</v>
      </c>
    </row>
    <row r="8" spans="2:13" x14ac:dyDescent="0.25">
      <c r="B8" s="47">
        <v>1500000</v>
      </c>
      <c r="C8" s="48">
        <v>2.93E-2</v>
      </c>
      <c r="D8" s="43">
        <f>+$B8*$C8</f>
        <v>43950</v>
      </c>
      <c r="E8" s="43">
        <f t="shared" ref="E8:M12" si="1">+$B8*$C8</f>
        <v>43950</v>
      </c>
      <c r="F8" s="43">
        <f t="shared" si="1"/>
        <v>43950</v>
      </c>
      <c r="G8" s="43">
        <f t="shared" si="1"/>
        <v>43950</v>
      </c>
      <c r="H8" s="43">
        <f t="shared" si="1"/>
        <v>43950</v>
      </c>
      <c r="I8" s="43">
        <f t="shared" si="1"/>
        <v>43950</v>
      </c>
      <c r="J8" s="43">
        <f t="shared" si="1"/>
        <v>43950</v>
      </c>
      <c r="K8" s="43">
        <f t="shared" si="1"/>
        <v>43950</v>
      </c>
      <c r="L8" s="43">
        <f t="shared" si="1"/>
        <v>43950</v>
      </c>
      <c r="M8" s="43">
        <f t="shared" si="1"/>
        <v>43950</v>
      </c>
    </row>
    <row r="9" spans="2:13" x14ac:dyDescent="0.25">
      <c r="B9" s="47">
        <v>1250000</v>
      </c>
      <c r="C9" s="48">
        <v>2.0899999999999998E-2</v>
      </c>
      <c r="D9" s="43">
        <f t="shared" ref="D9:D12" si="2">+$B9*$C9</f>
        <v>26124.999999999996</v>
      </c>
      <c r="E9" s="43">
        <f t="shared" si="1"/>
        <v>26124.999999999996</v>
      </c>
      <c r="F9" s="43">
        <f t="shared" si="1"/>
        <v>26124.999999999996</v>
      </c>
      <c r="G9" s="43">
        <f t="shared" si="1"/>
        <v>26124.999999999996</v>
      </c>
      <c r="H9" s="43">
        <f t="shared" si="1"/>
        <v>26124.999999999996</v>
      </c>
      <c r="I9" s="43">
        <f t="shared" si="1"/>
        <v>26124.999999999996</v>
      </c>
      <c r="J9" s="43">
        <f t="shared" si="1"/>
        <v>26124.999999999996</v>
      </c>
      <c r="K9" s="43">
        <f t="shared" si="1"/>
        <v>26124.999999999996</v>
      </c>
      <c r="L9" s="43">
        <f t="shared" si="1"/>
        <v>26124.999999999996</v>
      </c>
      <c r="M9" s="43">
        <f t="shared" si="1"/>
        <v>26124.999999999996</v>
      </c>
    </row>
    <row r="10" spans="2:13" x14ac:dyDescent="0.25">
      <c r="B10" s="47">
        <v>1000000</v>
      </c>
      <c r="C10" s="48">
        <v>3.5400000000000001E-2</v>
      </c>
      <c r="D10" s="43">
        <f t="shared" si="2"/>
        <v>35400</v>
      </c>
      <c r="E10" s="43">
        <f t="shared" si="1"/>
        <v>35400</v>
      </c>
      <c r="F10" s="43">
        <f t="shared" si="1"/>
        <v>35400</v>
      </c>
      <c r="G10" s="43">
        <f t="shared" si="1"/>
        <v>35400</v>
      </c>
      <c r="H10" s="43">
        <f t="shared" si="1"/>
        <v>35400</v>
      </c>
      <c r="I10" s="43">
        <f t="shared" si="1"/>
        <v>35400</v>
      </c>
      <c r="J10" s="43">
        <f t="shared" si="1"/>
        <v>35400</v>
      </c>
      <c r="K10" s="43">
        <f t="shared" si="1"/>
        <v>35400</v>
      </c>
      <c r="L10" s="43">
        <f t="shared" si="1"/>
        <v>35400</v>
      </c>
      <c r="M10" s="43">
        <f t="shared" si="1"/>
        <v>35400</v>
      </c>
    </row>
    <row r="11" spans="2:13" x14ac:dyDescent="0.25">
      <c r="B11" s="47">
        <v>2000000</v>
      </c>
      <c r="C11" s="48">
        <v>3.5400000000000001E-2</v>
      </c>
      <c r="D11" s="43">
        <f t="shared" si="2"/>
        <v>70800</v>
      </c>
      <c r="E11" s="43">
        <f t="shared" si="1"/>
        <v>70800</v>
      </c>
      <c r="F11" s="43">
        <f t="shared" si="1"/>
        <v>70800</v>
      </c>
      <c r="G11" s="43">
        <f t="shared" si="1"/>
        <v>70800</v>
      </c>
      <c r="H11" s="43">
        <f t="shared" si="1"/>
        <v>70800</v>
      </c>
      <c r="I11" s="43">
        <f t="shared" si="1"/>
        <v>70800</v>
      </c>
      <c r="J11" s="43">
        <f t="shared" si="1"/>
        <v>70800</v>
      </c>
      <c r="K11" s="43">
        <f t="shared" si="1"/>
        <v>70800</v>
      </c>
      <c r="L11" s="43">
        <f t="shared" si="1"/>
        <v>70800</v>
      </c>
      <c r="M11" s="43">
        <f t="shared" si="1"/>
        <v>70800</v>
      </c>
    </row>
    <row r="12" spans="2:13" ht="17.25" x14ac:dyDescent="0.4">
      <c r="B12" s="53">
        <v>500000</v>
      </c>
      <c r="C12" s="48">
        <v>3.73E-2</v>
      </c>
      <c r="D12" s="43">
        <f t="shared" si="2"/>
        <v>18650</v>
      </c>
      <c r="E12" s="43">
        <f t="shared" si="1"/>
        <v>18650</v>
      </c>
      <c r="F12" s="43">
        <f t="shared" si="1"/>
        <v>18650</v>
      </c>
      <c r="G12" s="43">
        <f t="shared" si="1"/>
        <v>18650</v>
      </c>
      <c r="H12" s="43">
        <f t="shared" si="1"/>
        <v>18650</v>
      </c>
      <c r="I12" s="43">
        <f t="shared" si="1"/>
        <v>18650</v>
      </c>
      <c r="J12" s="43">
        <f t="shared" si="1"/>
        <v>18650</v>
      </c>
      <c r="K12" s="43">
        <f t="shared" si="1"/>
        <v>18650</v>
      </c>
      <c r="L12" s="43">
        <f t="shared" si="1"/>
        <v>18650</v>
      </c>
      <c r="M12" s="43">
        <f t="shared" si="1"/>
        <v>18650</v>
      </c>
    </row>
    <row r="13" spans="2:13" x14ac:dyDescent="0.25">
      <c r="B13" s="52">
        <f>+SUM(B5:B12)</f>
        <v>9750000</v>
      </c>
    </row>
    <row r="15" spans="2:13" x14ac:dyDescent="0.25">
      <c r="B15" s="51" t="s">
        <v>194</v>
      </c>
      <c r="C15" s="44">
        <f>+SUM(D5:E12)-B5</f>
        <v>513550</v>
      </c>
    </row>
    <row r="16" spans="2:13" x14ac:dyDescent="0.25">
      <c r="B16" s="51" t="s">
        <v>195</v>
      </c>
      <c r="C16" s="44">
        <f>+SUM(F5:G12)</f>
        <v>497050</v>
      </c>
    </row>
    <row r="17" spans="2:3" x14ac:dyDescent="0.25">
      <c r="B17" s="51" t="s">
        <v>196</v>
      </c>
      <c r="C17" s="44">
        <f>+SUM(H5:I12)-B6</f>
        <v>497050</v>
      </c>
    </row>
    <row r="18" spans="2:3" x14ac:dyDescent="0.25">
      <c r="B18" s="51" t="s">
        <v>197</v>
      </c>
      <c r="C18" s="44">
        <f>+SUM(J5:K12)</f>
        <v>430850</v>
      </c>
    </row>
    <row r="19" spans="2:3" x14ac:dyDescent="0.25">
      <c r="B19" s="51" t="s">
        <v>198</v>
      </c>
      <c r="C19" s="44">
        <f>+SUM(L5:M12)-B7</f>
        <v>410350</v>
      </c>
    </row>
    <row r="21" spans="2:3" x14ac:dyDescent="0.25">
      <c r="B21" s="51" t="s">
        <v>199</v>
      </c>
      <c r="C21" s="44">
        <f>+B5</f>
        <v>1250000</v>
      </c>
    </row>
    <row r="22" spans="2:3" x14ac:dyDescent="0.25">
      <c r="B22" s="51" t="s">
        <v>200</v>
      </c>
      <c r="C22" s="44">
        <v>0</v>
      </c>
    </row>
    <row r="23" spans="2:3" x14ac:dyDescent="0.25">
      <c r="B23" s="51" t="s">
        <v>201</v>
      </c>
      <c r="C23" s="44">
        <f>+B6</f>
        <v>1000000</v>
      </c>
    </row>
    <row r="24" spans="2:3" x14ac:dyDescent="0.25">
      <c r="B24" s="51" t="s">
        <v>202</v>
      </c>
      <c r="C24" s="43">
        <v>0</v>
      </c>
    </row>
    <row r="25" spans="2:3" x14ac:dyDescent="0.25">
      <c r="B25" s="51" t="s">
        <v>203</v>
      </c>
      <c r="C25" s="43">
        <f>+B7</f>
        <v>1250000</v>
      </c>
    </row>
    <row r="27" spans="2:3" x14ac:dyDescent="0.25">
      <c r="B27" s="51" t="s">
        <v>204</v>
      </c>
      <c r="C27" s="44">
        <f>+C15+C21</f>
        <v>1763550</v>
      </c>
    </row>
    <row r="28" spans="2:3" x14ac:dyDescent="0.25">
      <c r="B28" s="51" t="s">
        <v>205</v>
      </c>
      <c r="C28" s="44">
        <f t="shared" ref="C28:C31" si="3">+C16+C22</f>
        <v>497050</v>
      </c>
    </row>
    <row r="29" spans="2:3" x14ac:dyDescent="0.25">
      <c r="B29" s="51" t="s">
        <v>206</v>
      </c>
      <c r="C29" s="44">
        <f t="shared" si="3"/>
        <v>1497050</v>
      </c>
    </row>
    <row r="30" spans="2:3" x14ac:dyDescent="0.25">
      <c r="B30" s="51" t="s">
        <v>207</v>
      </c>
      <c r="C30" s="44">
        <f t="shared" si="3"/>
        <v>430850</v>
      </c>
    </row>
    <row r="31" spans="2:3" x14ac:dyDescent="0.25">
      <c r="B31" s="51" t="s">
        <v>208</v>
      </c>
      <c r="C31" s="44">
        <f t="shared" si="3"/>
        <v>1660350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4769-736B-42C9-B4B7-B0CD039CF779}">
  <sheetPr codeName="Sheet2"/>
  <dimension ref="B1:G9"/>
  <sheetViews>
    <sheetView showGridLines="0" workbookViewId="0">
      <selection activeCell="F5" sqref="F5"/>
    </sheetView>
  </sheetViews>
  <sheetFormatPr defaultRowHeight="15" x14ac:dyDescent="0.25"/>
  <cols>
    <col min="1" max="1" width="1.7109375" customWidth="1"/>
  </cols>
  <sheetData>
    <row r="1" spans="2:7" x14ac:dyDescent="0.25">
      <c r="B1" s="5"/>
      <c r="C1" s="5"/>
      <c r="D1" s="5"/>
      <c r="E1" s="5"/>
      <c r="F1" s="5"/>
      <c r="G1" s="4"/>
    </row>
    <row r="2" spans="2:7" x14ac:dyDescent="0.25">
      <c r="B2" s="4" t="s">
        <v>175</v>
      </c>
      <c r="C2" s="5"/>
      <c r="D2" s="5"/>
      <c r="E2" s="5"/>
      <c r="F2" s="5"/>
      <c r="G2" s="5"/>
    </row>
    <row r="3" spans="2:7" x14ac:dyDescent="0.25">
      <c r="B3" s="6" t="s">
        <v>165</v>
      </c>
      <c r="C3" s="7" t="s">
        <v>166</v>
      </c>
      <c r="D3" s="5"/>
      <c r="E3" s="5"/>
      <c r="F3" s="5"/>
      <c r="G3" s="5"/>
    </row>
    <row r="4" spans="2:7" x14ac:dyDescent="0.25">
      <c r="B4" s="6" t="s">
        <v>167</v>
      </c>
      <c r="C4" s="7" t="s">
        <v>168</v>
      </c>
      <c r="D4" s="5"/>
      <c r="E4" s="5"/>
      <c r="F4" s="5" t="s">
        <v>287</v>
      </c>
      <c r="G4" s="5"/>
    </row>
    <row r="5" spans="2:7" x14ac:dyDescent="0.25">
      <c r="B5" s="6" t="s">
        <v>169</v>
      </c>
      <c r="C5" s="7" t="s">
        <v>170</v>
      </c>
      <c r="D5" s="5"/>
      <c r="E5" s="5"/>
      <c r="F5" s="5"/>
      <c r="G5" s="5"/>
    </row>
    <row r="6" spans="2:7" x14ac:dyDescent="0.25">
      <c r="B6" s="6" t="s">
        <v>171</v>
      </c>
      <c r="C6" s="7" t="s">
        <v>172</v>
      </c>
      <c r="D6" s="5"/>
      <c r="E6" s="5"/>
      <c r="F6" s="5"/>
      <c r="G6" s="5"/>
    </row>
    <row r="7" spans="2:7" x14ac:dyDescent="0.25">
      <c r="B7" s="6" t="s">
        <v>173</v>
      </c>
      <c r="C7" s="7" t="s">
        <v>174</v>
      </c>
      <c r="D7" s="5"/>
      <c r="E7" s="5"/>
      <c r="F7" s="5"/>
      <c r="G7" s="5"/>
    </row>
    <row r="8" spans="2:7" x14ac:dyDescent="0.25">
      <c r="B8" s="5"/>
      <c r="C8" s="5"/>
      <c r="D8" s="5"/>
      <c r="E8" s="5"/>
      <c r="F8" s="5"/>
      <c r="G8" s="5"/>
    </row>
    <row r="9" spans="2:7" x14ac:dyDescent="0.25">
      <c r="B9" s="4" t="s">
        <v>176</v>
      </c>
      <c r="C9" s="5"/>
      <c r="D9" s="5"/>
      <c r="E9" s="5"/>
      <c r="F9" s="5"/>
      <c r="G9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7AD2-5C06-477E-B1AA-D93266B58C3D}">
  <dimension ref="A1:E756"/>
  <sheetViews>
    <sheetView workbookViewId="0">
      <selection activeCell="C2" sqref="C2"/>
    </sheetView>
  </sheetViews>
  <sheetFormatPr defaultRowHeight="15" x14ac:dyDescent="0.25"/>
  <sheetData>
    <row r="1" spans="1:5" x14ac:dyDescent="0.25">
      <c r="A1" s="102" t="s">
        <v>271</v>
      </c>
      <c r="B1" s="102" t="s">
        <v>270</v>
      </c>
      <c r="C1" s="102" t="s">
        <v>269</v>
      </c>
      <c r="D1" s="102" t="s">
        <v>272</v>
      </c>
      <c r="E1" s="102" t="s">
        <v>273</v>
      </c>
    </row>
    <row r="2" spans="1:5" x14ac:dyDescent="0.25">
      <c r="A2" s="101">
        <v>45401</v>
      </c>
      <c r="B2">
        <v>762</v>
      </c>
      <c r="C2">
        <v>495.16000366210938</v>
      </c>
      <c r="D2" s="54">
        <f>+B2/B3-1</f>
        <v>-0.10004608398906123</v>
      </c>
      <c r="E2" s="54">
        <f>+C2/C3-1</f>
        <v>-8.7283501110165806E-3</v>
      </c>
    </row>
    <row r="3" spans="1:5" x14ac:dyDescent="0.25">
      <c r="A3" s="101">
        <v>45400</v>
      </c>
      <c r="B3">
        <v>846.71002197265625</v>
      </c>
      <c r="C3">
        <v>499.51998901367188</v>
      </c>
      <c r="D3" s="54">
        <f t="shared" ref="D3:E66" si="0">+B3/B4-1</f>
        <v>7.5683305426219594E-3</v>
      </c>
      <c r="E3" s="54">
        <f t="shared" si="0"/>
        <v>-2.0577341013200412E-3</v>
      </c>
    </row>
    <row r="4" spans="1:5" x14ac:dyDescent="0.25">
      <c r="A4" s="101">
        <v>45399</v>
      </c>
      <c r="B4">
        <v>840.3499755859375</v>
      </c>
      <c r="C4">
        <v>500.54998779296881</v>
      </c>
      <c r="D4" s="54">
        <f t="shared" si="0"/>
        <v>-3.8666187592662937E-2</v>
      </c>
      <c r="E4" s="54">
        <f t="shared" si="0"/>
        <v>-5.9182392182243193E-3</v>
      </c>
    </row>
    <row r="5" spans="1:5" x14ac:dyDescent="0.25">
      <c r="A5" s="101">
        <v>45398</v>
      </c>
      <c r="B5">
        <v>874.1500244140625</v>
      </c>
      <c r="C5">
        <v>503.52999877929688</v>
      </c>
      <c r="D5" s="54">
        <f t="shared" si="0"/>
        <v>1.6441686129084809E-2</v>
      </c>
      <c r="E5" s="54">
        <f t="shared" si="0"/>
        <v>-1.8237950351297494E-3</v>
      </c>
    </row>
    <row r="6" spans="1:5" x14ac:dyDescent="0.25">
      <c r="A6" s="101">
        <v>45397</v>
      </c>
      <c r="B6">
        <v>860.010009765625</v>
      </c>
      <c r="C6">
        <v>504.45001220703119</v>
      </c>
      <c r="D6" s="54">
        <f t="shared" si="0"/>
        <v>-2.4777148242219882E-2</v>
      </c>
      <c r="E6" s="54">
        <f t="shared" si="0"/>
        <v>-1.2528127278102819E-2</v>
      </c>
    </row>
    <row r="7" spans="1:5" x14ac:dyDescent="0.25">
      <c r="A7" s="101">
        <v>45394</v>
      </c>
      <c r="B7">
        <v>881.8599853515625</v>
      </c>
      <c r="C7">
        <v>510.85000610351563</v>
      </c>
      <c r="D7" s="54">
        <f t="shared" si="0"/>
        <v>-2.6816443578547844E-2</v>
      </c>
      <c r="E7" s="54">
        <f t="shared" si="0"/>
        <v>-1.3803077020240084E-2</v>
      </c>
    </row>
    <row r="8" spans="1:5" x14ac:dyDescent="0.25">
      <c r="A8" s="101">
        <v>45393</v>
      </c>
      <c r="B8">
        <v>906.15997314453125</v>
      </c>
      <c r="C8">
        <v>518</v>
      </c>
      <c r="D8" s="54">
        <f t="shared" si="0"/>
        <v>4.1096471574920024E-2</v>
      </c>
      <c r="E8" s="54">
        <f t="shared" si="0"/>
        <v>7.5468857847633686E-3</v>
      </c>
    </row>
    <row r="9" spans="1:5" x14ac:dyDescent="0.25">
      <c r="A9" s="101">
        <v>45392</v>
      </c>
      <c r="B9">
        <v>870.3900146484375</v>
      </c>
      <c r="C9">
        <v>514.1199951171875</v>
      </c>
      <c r="D9" s="54">
        <f t="shared" si="0"/>
        <v>1.974135606399674E-2</v>
      </c>
      <c r="E9" s="54">
        <f t="shared" si="0"/>
        <v>-1.0013117410638928E-2</v>
      </c>
    </row>
    <row r="10" spans="1:5" x14ac:dyDescent="0.25">
      <c r="A10" s="101">
        <v>45391</v>
      </c>
      <c r="B10">
        <v>853.53997802734375</v>
      </c>
      <c r="C10">
        <v>519.32000732421875</v>
      </c>
      <c r="D10" s="54">
        <f t="shared" si="0"/>
        <v>-2.0417107999925244E-2</v>
      </c>
      <c r="E10" s="54">
        <f t="shared" si="0"/>
        <v>1.1567640634317922E-3</v>
      </c>
    </row>
    <row r="11" spans="1:5" x14ac:dyDescent="0.25">
      <c r="A11" s="101">
        <v>45390</v>
      </c>
      <c r="B11">
        <v>871.33001708984375</v>
      </c>
      <c r="C11">
        <v>518.719970703125</v>
      </c>
      <c r="D11" s="54">
        <f t="shared" si="0"/>
        <v>-9.9422777816653429E-3</v>
      </c>
      <c r="E11" s="54">
        <f t="shared" si="0"/>
        <v>5.5933883347880631E-4</v>
      </c>
    </row>
    <row r="12" spans="1:5" x14ac:dyDescent="0.25">
      <c r="A12" s="101">
        <v>45387</v>
      </c>
      <c r="B12">
        <v>880.08001708984375</v>
      </c>
      <c r="C12">
        <v>518.42999267578125</v>
      </c>
      <c r="D12" s="54">
        <f t="shared" si="0"/>
        <v>2.4480565270601273E-2</v>
      </c>
      <c r="E12" s="54">
        <f t="shared" si="0"/>
        <v>1.0446888874904303E-2</v>
      </c>
    </row>
    <row r="13" spans="1:5" x14ac:dyDescent="0.25">
      <c r="A13" s="101">
        <v>45386</v>
      </c>
      <c r="B13">
        <v>859.04998779296875</v>
      </c>
      <c r="C13">
        <v>513.07000732421875</v>
      </c>
      <c r="D13" s="54">
        <f t="shared" si="0"/>
        <v>-3.4384724553511825E-2</v>
      </c>
      <c r="E13" s="54">
        <f t="shared" si="0"/>
        <v>-1.2206091812080655E-2</v>
      </c>
    </row>
    <row r="14" spans="1:5" x14ac:dyDescent="0.25">
      <c r="A14" s="101">
        <v>45385</v>
      </c>
      <c r="B14">
        <v>889.6400146484375</v>
      </c>
      <c r="C14">
        <v>519.40997314453125</v>
      </c>
      <c r="D14" s="54">
        <f t="shared" si="0"/>
        <v>-5.4554451284050121E-3</v>
      </c>
      <c r="E14" s="54">
        <f t="shared" si="0"/>
        <v>1.0985010013910834E-3</v>
      </c>
    </row>
    <row r="15" spans="1:5" x14ac:dyDescent="0.25">
      <c r="A15" s="101">
        <v>45384</v>
      </c>
      <c r="B15">
        <v>894.52001953125</v>
      </c>
      <c r="C15">
        <v>518.84002685546875</v>
      </c>
      <c r="D15" s="54">
        <f t="shared" si="0"/>
        <v>-1.0081543665367731E-2</v>
      </c>
      <c r="E15" s="54">
        <f t="shared" si="0"/>
        <v>-6.3581018458179761E-3</v>
      </c>
    </row>
    <row r="16" spans="1:5" x14ac:dyDescent="0.25">
      <c r="A16" s="101">
        <v>45383</v>
      </c>
      <c r="B16">
        <v>903.6300048828125</v>
      </c>
      <c r="C16">
        <v>522.15997314453125</v>
      </c>
      <c r="D16" s="54">
        <f t="shared" si="0"/>
        <v>7.7479441772387858E-5</v>
      </c>
      <c r="E16" s="54">
        <f t="shared" si="0"/>
        <v>-1.7397942282005863E-3</v>
      </c>
    </row>
    <row r="17" spans="1:5" x14ac:dyDescent="0.25">
      <c r="A17" s="101">
        <v>45379</v>
      </c>
      <c r="B17">
        <v>903.55999755859375</v>
      </c>
      <c r="C17">
        <v>523.07000732421875</v>
      </c>
      <c r="D17" s="54">
        <f t="shared" si="0"/>
        <v>1.1745125302977666E-3</v>
      </c>
      <c r="E17" s="54">
        <f t="shared" si="0"/>
        <v>-1.9109579907738983E-4</v>
      </c>
    </row>
    <row r="18" spans="1:5" x14ac:dyDescent="0.25">
      <c r="A18" s="101">
        <v>45378</v>
      </c>
      <c r="B18">
        <v>902.5</v>
      </c>
      <c r="C18">
        <v>523.16998291015625</v>
      </c>
      <c r="D18" s="54">
        <f t="shared" si="0"/>
        <v>-2.4967303418604425E-2</v>
      </c>
      <c r="E18" s="54">
        <f t="shared" si="0"/>
        <v>8.4038190707187432E-3</v>
      </c>
    </row>
    <row r="19" spans="1:5" x14ac:dyDescent="0.25">
      <c r="A19" s="101">
        <v>45377</v>
      </c>
      <c r="B19">
        <v>925.6099853515625</v>
      </c>
      <c r="C19">
        <v>518.80999755859375</v>
      </c>
      <c r="D19" s="54">
        <f t="shared" si="0"/>
        <v>-2.5694231361284015E-2</v>
      </c>
      <c r="E19" s="54">
        <f t="shared" si="0"/>
        <v>-1.8470129799368351E-3</v>
      </c>
    </row>
    <row r="20" spans="1:5" x14ac:dyDescent="0.25">
      <c r="A20" s="101">
        <v>45376</v>
      </c>
      <c r="B20">
        <v>950.02001953125</v>
      </c>
      <c r="C20">
        <v>519.77001953125</v>
      </c>
      <c r="D20" s="54">
        <f t="shared" si="0"/>
        <v>7.5618627539193461E-3</v>
      </c>
      <c r="E20" s="54">
        <f t="shared" si="0"/>
        <v>-2.7628065092766274E-3</v>
      </c>
    </row>
    <row r="21" spans="1:5" x14ac:dyDescent="0.25">
      <c r="A21" s="101">
        <v>45373</v>
      </c>
      <c r="B21">
        <v>942.8900146484375</v>
      </c>
      <c r="C21">
        <v>521.21002197265625</v>
      </c>
      <c r="D21" s="54">
        <f t="shared" si="0"/>
        <v>3.1213473860718155E-2</v>
      </c>
      <c r="E21" s="54">
        <f t="shared" si="0"/>
        <v>-1.895806609024997E-3</v>
      </c>
    </row>
    <row r="22" spans="1:5" x14ac:dyDescent="0.25">
      <c r="A22" s="101">
        <v>45372</v>
      </c>
      <c r="B22">
        <v>914.3499755859375</v>
      </c>
      <c r="C22">
        <v>522.20001220703125</v>
      </c>
      <c r="D22" s="54">
        <f t="shared" si="0"/>
        <v>1.1762498591839199E-2</v>
      </c>
      <c r="E22" s="54">
        <f t="shared" si="0"/>
        <v>3.3047029719224241E-3</v>
      </c>
    </row>
    <row r="23" spans="1:5" x14ac:dyDescent="0.25">
      <c r="A23" s="101">
        <v>45371</v>
      </c>
      <c r="B23">
        <v>903.719970703125</v>
      </c>
      <c r="C23">
        <v>520.47998046875</v>
      </c>
      <c r="D23" s="54">
        <f t="shared" si="0"/>
        <v>1.0895087638615797E-2</v>
      </c>
      <c r="E23" s="54">
        <f t="shared" si="0"/>
        <v>9.2493034706753186E-3</v>
      </c>
    </row>
    <row r="24" spans="1:5" x14ac:dyDescent="0.25">
      <c r="A24" s="101">
        <v>45370</v>
      </c>
      <c r="B24">
        <v>893.97998046875</v>
      </c>
      <c r="C24">
        <v>515.71002197265625</v>
      </c>
      <c r="D24" s="54">
        <f t="shared" si="0"/>
        <v>1.0660779838242762E-2</v>
      </c>
      <c r="E24" s="54">
        <f t="shared" si="0"/>
        <v>5.5571436698069743E-3</v>
      </c>
    </row>
    <row r="25" spans="1:5" x14ac:dyDescent="0.25">
      <c r="A25" s="101">
        <v>45369</v>
      </c>
      <c r="B25">
        <v>884.54998779296875</v>
      </c>
      <c r="C25">
        <v>512.8599853515625</v>
      </c>
      <c r="D25" s="54">
        <f t="shared" si="0"/>
        <v>7.0357511187033595E-3</v>
      </c>
      <c r="E25" s="54">
        <f t="shared" si="0"/>
        <v>5.9431552852911018E-3</v>
      </c>
    </row>
    <row r="26" spans="1:5" x14ac:dyDescent="0.25">
      <c r="A26" s="101">
        <v>45366</v>
      </c>
      <c r="B26">
        <v>878.3699951171875</v>
      </c>
      <c r="C26">
        <v>509.82998657226563</v>
      </c>
      <c r="D26" s="54">
        <f t="shared" si="0"/>
        <v>-1.2166916688441942E-3</v>
      </c>
      <c r="E26" s="54">
        <f t="shared" si="0"/>
        <v>-9.942762430127261E-3</v>
      </c>
    </row>
    <row r="27" spans="1:5" x14ac:dyDescent="0.25">
      <c r="A27" s="101">
        <v>45365</v>
      </c>
      <c r="B27">
        <v>879.44000244140625</v>
      </c>
      <c r="C27">
        <v>514.95001220703125</v>
      </c>
      <c r="D27" s="54">
        <f t="shared" si="0"/>
        <v>-3.2391517343592691E-2</v>
      </c>
      <c r="E27" s="54">
        <f t="shared" si="0"/>
        <v>-1.9767787933546721E-3</v>
      </c>
    </row>
    <row r="28" spans="1:5" x14ac:dyDescent="0.25">
      <c r="A28" s="101">
        <v>45364</v>
      </c>
      <c r="B28">
        <v>908.8800048828125</v>
      </c>
      <c r="C28">
        <v>515.969970703125</v>
      </c>
      <c r="D28" s="54">
        <f t="shared" si="0"/>
        <v>-1.1151850059890944E-2</v>
      </c>
      <c r="E28" s="54">
        <f t="shared" si="0"/>
        <v>-1.5675114126452172E-3</v>
      </c>
    </row>
    <row r="29" spans="1:5" x14ac:dyDescent="0.25">
      <c r="A29" s="101">
        <v>45363</v>
      </c>
      <c r="B29">
        <v>919.1300048828125</v>
      </c>
      <c r="C29">
        <v>516.780029296875</v>
      </c>
      <c r="D29" s="54">
        <f t="shared" si="0"/>
        <v>7.1571822868679469E-2</v>
      </c>
      <c r="E29" s="54">
        <f t="shared" si="0"/>
        <v>1.0757374688447952E-2</v>
      </c>
    </row>
    <row r="30" spans="1:5" x14ac:dyDescent="0.25">
      <c r="A30" s="101">
        <v>45362</v>
      </c>
      <c r="B30">
        <v>857.739990234375</v>
      </c>
      <c r="C30">
        <v>511.27999877929688</v>
      </c>
      <c r="D30" s="54">
        <f t="shared" si="0"/>
        <v>-2.0039345666997721E-2</v>
      </c>
      <c r="E30" s="54">
        <f t="shared" si="0"/>
        <v>-8.5984999678856422E-4</v>
      </c>
    </row>
    <row r="31" spans="1:5" x14ac:dyDescent="0.25">
      <c r="A31" s="101">
        <v>45359</v>
      </c>
      <c r="B31">
        <v>875.280029296875</v>
      </c>
      <c r="C31">
        <v>511.72000122070313</v>
      </c>
      <c r="D31" s="54">
        <f t="shared" si="0"/>
        <v>-5.5476991236648066E-2</v>
      </c>
      <c r="E31" s="54">
        <f t="shared" si="0"/>
        <v>-6.0022073241476903E-3</v>
      </c>
    </row>
    <row r="32" spans="1:5" x14ac:dyDescent="0.25">
      <c r="A32" s="101">
        <v>45358</v>
      </c>
      <c r="B32">
        <v>926.69000244140625</v>
      </c>
      <c r="C32">
        <v>514.80999755859375</v>
      </c>
      <c r="D32" s="54">
        <f t="shared" si="0"/>
        <v>4.474633871635425E-2</v>
      </c>
      <c r="E32" s="54">
        <f t="shared" si="0"/>
        <v>9.9264297373100607E-3</v>
      </c>
    </row>
    <row r="33" spans="1:5" x14ac:dyDescent="0.25">
      <c r="A33" s="101">
        <v>45357</v>
      </c>
      <c r="B33">
        <v>887</v>
      </c>
      <c r="C33">
        <v>509.75</v>
      </c>
      <c r="D33" s="54">
        <f t="shared" si="0"/>
        <v>3.1827258951820481E-2</v>
      </c>
      <c r="E33" s="54">
        <f t="shared" si="0"/>
        <v>5.0672490266423509E-3</v>
      </c>
    </row>
    <row r="34" spans="1:5" x14ac:dyDescent="0.25">
      <c r="A34" s="101">
        <v>45356</v>
      </c>
      <c r="B34">
        <v>859.6400146484375</v>
      </c>
      <c r="C34">
        <v>507.17999267578119</v>
      </c>
      <c r="D34" s="54">
        <f t="shared" si="0"/>
        <v>8.5291828347975329E-3</v>
      </c>
      <c r="E34" s="54">
        <f t="shared" si="0"/>
        <v>-9.9941347631978816E-3</v>
      </c>
    </row>
    <row r="35" spans="1:5" x14ac:dyDescent="0.25">
      <c r="A35" s="101">
        <v>45355</v>
      </c>
      <c r="B35">
        <v>852.3699951171875</v>
      </c>
      <c r="C35">
        <v>512.29998779296875</v>
      </c>
      <c r="D35" s="54">
        <f t="shared" si="0"/>
        <v>3.5950871886848201E-2</v>
      </c>
      <c r="E35" s="54">
        <f t="shared" si="0"/>
        <v>-1.0724145835053767E-3</v>
      </c>
    </row>
    <row r="36" spans="1:5" x14ac:dyDescent="0.25">
      <c r="A36" s="101">
        <v>45352</v>
      </c>
      <c r="B36">
        <v>822.78997802734375</v>
      </c>
      <c r="C36">
        <v>512.8499755859375</v>
      </c>
      <c r="D36" s="54">
        <f t="shared" si="0"/>
        <v>4.003183221966844E-2</v>
      </c>
      <c r="E36" s="54">
        <f t="shared" si="0"/>
        <v>9.3882639342919294E-3</v>
      </c>
    </row>
    <row r="37" spans="1:5" x14ac:dyDescent="0.25">
      <c r="A37" s="101">
        <v>45351</v>
      </c>
      <c r="B37">
        <v>791.1199951171875</v>
      </c>
      <c r="C37">
        <v>508.07998657226563</v>
      </c>
      <c r="D37" s="54">
        <f t="shared" si="0"/>
        <v>1.8657520496599078E-2</v>
      </c>
      <c r="E37" s="54">
        <f t="shared" si="0"/>
        <v>3.5949448337488921E-3</v>
      </c>
    </row>
    <row r="38" spans="1:5" x14ac:dyDescent="0.25">
      <c r="A38" s="101">
        <v>45350</v>
      </c>
      <c r="B38">
        <v>776.6300048828125</v>
      </c>
      <c r="C38">
        <v>506.260009765625</v>
      </c>
      <c r="D38" s="54">
        <f t="shared" si="0"/>
        <v>-1.318916500935452E-2</v>
      </c>
      <c r="E38" s="54">
        <f t="shared" si="0"/>
        <v>-1.3216478011485178E-3</v>
      </c>
    </row>
    <row r="39" spans="1:5" x14ac:dyDescent="0.25">
      <c r="A39" s="101">
        <v>45349</v>
      </c>
      <c r="B39">
        <v>787.010009765625</v>
      </c>
      <c r="C39">
        <v>506.92999267578119</v>
      </c>
      <c r="D39" s="54">
        <f t="shared" si="0"/>
        <v>-4.9435761252922816E-3</v>
      </c>
      <c r="E39" s="54">
        <f t="shared" si="0"/>
        <v>1.8577490850575362E-3</v>
      </c>
    </row>
    <row r="40" spans="1:5" x14ac:dyDescent="0.25">
      <c r="A40" s="101">
        <v>45348</v>
      </c>
      <c r="B40">
        <v>790.91998291015625</v>
      </c>
      <c r="C40">
        <v>505.989990234375</v>
      </c>
      <c r="D40" s="54">
        <f t="shared" si="0"/>
        <v>3.4890950678510002E-3</v>
      </c>
      <c r="E40" s="54">
        <f t="shared" si="0"/>
        <v>-3.6625299729965421E-3</v>
      </c>
    </row>
    <row r="41" spans="1:5" x14ac:dyDescent="0.25">
      <c r="A41" s="101">
        <v>45345</v>
      </c>
      <c r="B41">
        <v>788.16998291015625</v>
      </c>
      <c r="C41">
        <v>507.85000610351563</v>
      </c>
      <c r="D41" s="54">
        <f t="shared" si="0"/>
        <v>3.5523924851639244E-3</v>
      </c>
      <c r="E41" s="54">
        <f t="shared" si="0"/>
        <v>6.8966719904550722E-4</v>
      </c>
    </row>
    <row r="42" spans="1:5" x14ac:dyDescent="0.25">
      <c r="A42" s="101">
        <v>45344</v>
      </c>
      <c r="B42">
        <v>785.3800048828125</v>
      </c>
      <c r="C42">
        <v>507.5</v>
      </c>
      <c r="D42" s="54">
        <f t="shared" si="0"/>
        <v>0.16400883178894032</v>
      </c>
      <c r="E42" s="54">
        <f t="shared" si="0"/>
        <v>2.0695498324175388E-2</v>
      </c>
    </row>
    <row r="43" spans="1:5" x14ac:dyDescent="0.25">
      <c r="A43" s="101">
        <v>45343</v>
      </c>
      <c r="B43">
        <v>674.719970703125</v>
      </c>
      <c r="C43">
        <v>497.20999145507813</v>
      </c>
      <c r="D43" s="54">
        <f t="shared" si="0"/>
        <v>-2.8508967734995672E-2</v>
      </c>
      <c r="E43" s="54">
        <f t="shared" si="0"/>
        <v>9.0583316009151815E-4</v>
      </c>
    </row>
    <row r="44" spans="1:5" x14ac:dyDescent="0.25">
      <c r="A44" s="101">
        <v>45342</v>
      </c>
      <c r="B44">
        <v>694.52001953125</v>
      </c>
      <c r="C44">
        <v>496.760009765625</v>
      </c>
      <c r="D44" s="54">
        <f t="shared" si="0"/>
        <v>-4.3532129424487698E-2</v>
      </c>
      <c r="E44" s="54">
        <f t="shared" si="0"/>
        <v>-5.5053951797489065E-3</v>
      </c>
    </row>
    <row r="45" spans="1:5" x14ac:dyDescent="0.25">
      <c r="A45" s="101">
        <v>45338</v>
      </c>
      <c r="B45">
        <v>726.1300048828125</v>
      </c>
      <c r="C45">
        <v>499.510009765625</v>
      </c>
      <c r="D45" s="54">
        <f t="shared" si="0"/>
        <v>-6.1935670737778281E-4</v>
      </c>
      <c r="E45" s="54">
        <f t="shared" si="0"/>
        <v>-4.979980381600746E-3</v>
      </c>
    </row>
    <row r="46" spans="1:5" x14ac:dyDescent="0.25">
      <c r="A46" s="101">
        <v>45337</v>
      </c>
      <c r="B46">
        <v>726.58001708984375</v>
      </c>
      <c r="C46">
        <v>502.010009765625</v>
      </c>
      <c r="D46" s="54">
        <f t="shared" si="0"/>
        <v>-1.6806472138235828E-2</v>
      </c>
      <c r="E46" s="54">
        <f t="shared" si="0"/>
        <v>6.8997380325150903E-3</v>
      </c>
    </row>
    <row r="47" spans="1:5" x14ac:dyDescent="0.25">
      <c r="A47" s="101">
        <v>45336</v>
      </c>
      <c r="B47">
        <v>739</v>
      </c>
      <c r="C47">
        <v>498.57000732421881</v>
      </c>
      <c r="D47" s="54">
        <f t="shared" si="0"/>
        <v>2.456739405414976E-2</v>
      </c>
      <c r="E47" s="54">
        <f t="shared" si="0"/>
        <v>9.0876393984367088E-3</v>
      </c>
    </row>
    <row r="48" spans="1:5" x14ac:dyDescent="0.25">
      <c r="A48" s="101">
        <v>45335</v>
      </c>
      <c r="B48">
        <v>721.280029296875</v>
      </c>
      <c r="C48">
        <v>494.07998657226563</v>
      </c>
      <c r="D48" s="54">
        <f t="shared" si="0"/>
        <v>-1.6608780925617683E-3</v>
      </c>
      <c r="E48" s="54">
        <f t="shared" si="0"/>
        <v>-1.377305334094614E-2</v>
      </c>
    </row>
    <row r="49" spans="1:5" x14ac:dyDescent="0.25">
      <c r="A49" s="101">
        <v>45334</v>
      </c>
      <c r="B49">
        <v>722.47998046875</v>
      </c>
      <c r="C49">
        <v>500.98001098632813</v>
      </c>
      <c r="D49" s="54">
        <f t="shared" si="0"/>
        <v>1.5942264312605037E-3</v>
      </c>
      <c r="E49" s="54">
        <f t="shared" si="0"/>
        <v>-4.3894895320195637E-4</v>
      </c>
    </row>
    <row r="50" spans="1:5" x14ac:dyDescent="0.25">
      <c r="A50" s="101">
        <v>45331</v>
      </c>
      <c r="B50">
        <v>721.33001708984375</v>
      </c>
      <c r="C50">
        <v>501.20001220703119</v>
      </c>
      <c r="D50" s="54">
        <f t="shared" si="0"/>
        <v>3.5783582812276338E-2</v>
      </c>
      <c r="E50" s="54">
        <f t="shared" si="0"/>
        <v>5.7794285609298335E-3</v>
      </c>
    </row>
    <row r="51" spans="1:5" x14ac:dyDescent="0.25">
      <c r="A51" s="101">
        <v>45330</v>
      </c>
      <c r="B51">
        <v>696.40997314453125</v>
      </c>
      <c r="C51">
        <v>498.32000732421881</v>
      </c>
      <c r="D51" s="54">
        <f t="shared" si="0"/>
        <v>-6.5336412126404397E-3</v>
      </c>
      <c r="E51" s="54">
        <f t="shared" si="0"/>
        <v>4.4168082314266499E-4</v>
      </c>
    </row>
    <row r="52" spans="1:5" x14ac:dyDescent="0.25">
      <c r="A52" s="101">
        <v>45329</v>
      </c>
      <c r="B52">
        <v>700.989990234375</v>
      </c>
      <c r="C52">
        <v>498.10000610351563</v>
      </c>
      <c r="D52" s="54">
        <f t="shared" si="0"/>
        <v>2.7498072941231966E-2</v>
      </c>
      <c r="E52" s="54">
        <f t="shared" si="0"/>
        <v>8.3404085703004949E-3</v>
      </c>
    </row>
    <row r="53" spans="1:5" x14ac:dyDescent="0.25">
      <c r="A53" s="101">
        <v>45328</v>
      </c>
      <c r="B53">
        <v>682.22998046875</v>
      </c>
      <c r="C53">
        <v>493.98001098632813</v>
      </c>
      <c r="D53" s="54">
        <f t="shared" si="0"/>
        <v>-1.599553847907742E-2</v>
      </c>
      <c r="E53" s="54">
        <f t="shared" si="0"/>
        <v>2.9033057127196837E-3</v>
      </c>
    </row>
    <row r="54" spans="1:5" x14ac:dyDescent="0.25">
      <c r="A54" s="101">
        <v>45327</v>
      </c>
      <c r="B54">
        <v>693.32000732421875</v>
      </c>
      <c r="C54">
        <v>492.54998779296881</v>
      </c>
      <c r="D54" s="54">
        <f t="shared" si="0"/>
        <v>4.7944427008463464E-2</v>
      </c>
      <c r="E54" s="54">
        <f t="shared" si="0"/>
        <v>-3.64118193248264E-3</v>
      </c>
    </row>
    <row r="55" spans="1:5" x14ac:dyDescent="0.25">
      <c r="A55" s="101">
        <v>45324</v>
      </c>
      <c r="B55">
        <v>661.5999755859375</v>
      </c>
      <c r="C55">
        <v>494.35000610351563</v>
      </c>
      <c r="D55" s="54">
        <f t="shared" si="0"/>
        <v>4.970878367019349E-2</v>
      </c>
      <c r="E55" s="54">
        <f t="shared" si="0"/>
        <v>1.0527378920638597E-2</v>
      </c>
    </row>
    <row r="56" spans="1:5" x14ac:dyDescent="0.25">
      <c r="A56" s="101">
        <v>45323</v>
      </c>
      <c r="B56">
        <v>630.27001953125</v>
      </c>
      <c r="C56">
        <v>489.20001220703119</v>
      </c>
      <c r="D56" s="54">
        <f t="shared" si="0"/>
        <v>2.4379539915544646E-2</v>
      </c>
      <c r="E56" s="54">
        <f t="shared" si="0"/>
        <v>1.3088152875065706E-2</v>
      </c>
    </row>
    <row r="57" spans="1:5" x14ac:dyDescent="0.25">
      <c r="A57" s="101">
        <v>45322</v>
      </c>
      <c r="B57">
        <v>615.27001953125</v>
      </c>
      <c r="C57">
        <v>482.8800048828125</v>
      </c>
      <c r="D57" s="54">
        <f t="shared" si="0"/>
        <v>-1.986486586344316E-2</v>
      </c>
      <c r="E57" s="54">
        <f t="shared" si="0"/>
        <v>-1.6317320635176435E-2</v>
      </c>
    </row>
    <row r="58" spans="1:5" x14ac:dyDescent="0.25">
      <c r="A58" s="101">
        <v>45321</v>
      </c>
      <c r="B58">
        <v>627.739990234375</v>
      </c>
      <c r="C58">
        <v>490.8900146484375</v>
      </c>
      <c r="D58" s="54">
        <f t="shared" si="0"/>
        <v>4.9467152798257086E-3</v>
      </c>
      <c r="E58" s="54">
        <f t="shared" si="0"/>
        <v>-7.7345324105237978E-4</v>
      </c>
    </row>
    <row r="59" spans="1:5" x14ac:dyDescent="0.25">
      <c r="A59" s="101">
        <v>45320</v>
      </c>
      <c r="B59">
        <v>624.6500244140625</v>
      </c>
      <c r="C59">
        <v>491.26998901367188</v>
      </c>
      <c r="D59" s="54">
        <f t="shared" si="0"/>
        <v>2.3496300098036604E-2</v>
      </c>
      <c r="E59" s="54">
        <f t="shared" si="0"/>
        <v>7.9193806498858432E-3</v>
      </c>
    </row>
    <row r="60" spans="1:5" x14ac:dyDescent="0.25">
      <c r="A60" s="101">
        <v>45317</v>
      </c>
      <c r="B60">
        <v>610.30999755859375</v>
      </c>
      <c r="C60">
        <v>487.41000366210938</v>
      </c>
      <c r="D60" s="54">
        <f t="shared" si="0"/>
        <v>-9.5103388903917674E-3</v>
      </c>
      <c r="E60" s="54">
        <f t="shared" si="0"/>
        <v>-1.2704037021049608E-3</v>
      </c>
    </row>
    <row r="61" spans="1:5" x14ac:dyDescent="0.25">
      <c r="A61" s="101">
        <v>45316</v>
      </c>
      <c r="B61">
        <v>616.16998291015625</v>
      </c>
      <c r="C61">
        <v>488.02999877929688</v>
      </c>
      <c r="D61" s="54">
        <f t="shared" si="0"/>
        <v>4.1556465129233278E-3</v>
      </c>
      <c r="E61" s="54">
        <f t="shared" si="0"/>
        <v>5.4388925424670997E-3</v>
      </c>
    </row>
    <row r="62" spans="1:5" x14ac:dyDescent="0.25">
      <c r="A62" s="101">
        <v>45315</v>
      </c>
      <c r="B62">
        <v>613.6199951171875</v>
      </c>
      <c r="C62">
        <v>485.3900146484375</v>
      </c>
      <c r="D62" s="54">
        <f t="shared" si="0"/>
        <v>2.4869331976294262E-2</v>
      </c>
      <c r="E62" s="54">
        <f t="shared" si="0"/>
        <v>1.0931594952936496E-3</v>
      </c>
    </row>
    <row r="63" spans="1:5" x14ac:dyDescent="0.25">
      <c r="A63" s="101">
        <v>45314</v>
      </c>
      <c r="B63">
        <v>598.72998046875</v>
      </c>
      <c r="C63">
        <v>484.8599853515625</v>
      </c>
      <c r="D63" s="54">
        <f t="shared" si="0"/>
        <v>3.671174643899322E-3</v>
      </c>
      <c r="E63" s="54">
        <f t="shared" si="0"/>
        <v>2.9164817642564067E-3</v>
      </c>
    </row>
    <row r="64" spans="1:5" x14ac:dyDescent="0.25">
      <c r="A64" s="101">
        <v>45313</v>
      </c>
      <c r="B64">
        <v>596.53997802734375</v>
      </c>
      <c r="C64">
        <v>483.45001220703119</v>
      </c>
      <c r="D64" s="54">
        <f t="shared" si="0"/>
        <v>2.739918569858224E-3</v>
      </c>
      <c r="E64" s="54">
        <f t="shared" si="0"/>
        <v>2.114336891851476E-3</v>
      </c>
    </row>
    <row r="65" spans="1:5" x14ac:dyDescent="0.25">
      <c r="A65" s="101">
        <v>45310</v>
      </c>
      <c r="B65">
        <v>594.90997314453125</v>
      </c>
      <c r="C65">
        <v>482.42999267578119</v>
      </c>
      <c r="D65" s="54">
        <f t="shared" si="0"/>
        <v>4.1746135350402946E-2</v>
      </c>
      <c r="E65" s="54">
        <f t="shared" si="0"/>
        <v>1.2466164165346738E-2</v>
      </c>
    </row>
    <row r="66" spans="1:5" x14ac:dyDescent="0.25">
      <c r="A66" s="101">
        <v>45309</v>
      </c>
      <c r="B66">
        <v>571.07000732421875</v>
      </c>
      <c r="C66">
        <v>476.489990234375</v>
      </c>
      <c r="D66" s="54">
        <f t="shared" si="0"/>
        <v>1.8803592094013277E-2</v>
      </c>
      <c r="E66" s="54">
        <f t="shared" si="0"/>
        <v>8.8928023321790395E-3</v>
      </c>
    </row>
    <row r="67" spans="1:5" x14ac:dyDescent="0.25">
      <c r="A67" s="101">
        <v>45308</v>
      </c>
      <c r="B67">
        <v>560.530029296875</v>
      </c>
      <c r="C67">
        <v>472.29000854492188</v>
      </c>
      <c r="D67" s="54">
        <f t="shared" ref="D67:E130" si="1">+B67/B68-1</f>
        <v>-5.8351565829622976E-3</v>
      </c>
      <c r="E67" s="54">
        <f t="shared" si="1"/>
        <v>-5.5586805878178325E-3</v>
      </c>
    </row>
    <row r="68" spans="1:5" x14ac:dyDescent="0.25">
      <c r="A68" s="101">
        <v>45307</v>
      </c>
      <c r="B68">
        <v>563.82000732421875</v>
      </c>
      <c r="C68">
        <v>474.92999267578119</v>
      </c>
      <c r="D68" s="54">
        <f t="shared" si="1"/>
        <v>3.0561199934937555E-2</v>
      </c>
      <c r="E68" s="54">
        <f t="shared" si="1"/>
        <v>-3.6712260361014826E-3</v>
      </c>
    </row>
    <row r="69" spans="1:5" x14ac:dyDescent="0.25">
      <c r="A69" s="101">
        <v>45303</v>
      </c>
      <c r="B69">
        <v>547.0999755859375</v>
      </c>
      <c r="C69">
        <v>476.67999267578119</v>
      </c>
      <c r="D69" s="54">
        <f t="shared" si="1"/>
        <v>-2.042966650322886E-3</v>
      </c>
      <c r="E69" s="54">
        <f t="shared" si="1"/>
        <v>6.9273972507066794E-4</v>
      </c>
    </row>
    <row r="70" spans="1:5" x14ac:dyDescent="0.25">
      <c r="A70" s="101">
        <v>45302</v>
      </c>
      <c r="B70">
        <v>548.219970703125</v>
      </c>
      <c r="C70">
        <v>476.35000610351563</v>
      </c>
      <c r="D70" s="54">
        <f t="shared" si="1"/>
        <v>8.684398717801356E-3</v>
      </c>
      <c r="E70" s="54">
        <f t="shared" si="1"/>
        <v>-4.4064012118927298E-4</v>
      </c>
    </row>
    <row r="71" spans="1:5" x14ac:dyDescent="0.25">
      <c r="A71" s="101">
        <v>45301</v>
      </c>
      <c r="B71">
        <v>543.5</v>
      </c>
      <c r="C71">
        <v>476.55999755859381</v>
      </c>
      <c r="D71" s="54">
        <f t="shared" si="1"/>
        <v>2.2769994411045325E-2</v>
      </c>
      <c r="E71" s="54">
        <f t="shared" si="1"/>
        <v>5.6554246817062115E-3</v>
      </c>
    </row>
    <row r="72" spans="1:5" x14ac:dyDescent="0.25">
      <c r="A72" s="101">
        <v>45300</v>
      </c>
      <c r="B72">
        <v>531.4000244140625</v>
      </c>
      <c r="C72">
        <v>473.8800048828125</v>
      </c>
      <c r="D72" s="54">
        <f t="shared" si="1"/>
        <v>1.6975091611716842E-2</v>
      </c>
      <c r="E72" s="54">
        <f t="shared" si="1"/>
        <v>-1.5170695563498926E-3</v>
      </c>
    </row>
    <row r="73" spans="1:5" x14ac:dyDescent="0.25">
      <c r="A73" s="101">
        <v>45299</v>
      </c>
      <c r="B73">
        <v>522.530029296875</v>
      </c>
      <c r="C73">
        <v>474.60000610351563</v>
      </c>
      <c r="D73" s="54">
        <f t="shared" si="1"/>
        <v>6.428097031937563E-2</v>
      </c>
      <c r="E73" s="54">
        <f t="shared" si="1"/>
        <v>1.4275928543528549E-2</v>
      </c>
    </row>
    <row r="74" spans="1:5" x14ac:dyDescent="0.25">
      <c r="A74" s="101">
        <v>45296</v>
      </c>
      <c r="B74">
        <v>490.97000122070313</v>
      </c>
      <c r="C74">
        <v>467.92001342773438</v>
      </c>
      <c r="D74" s="54">
        <f t="shared" si="1"/>
        <v>2.2896766496153242E-2</v>
      </c>
      <c r="E74" s="54">
        <f t="shared" si="1"/>
        <v>1.36965984015891E-3</v>
      </c>
    </row>
    <row r="75" spans="1:5" x14ac:dyDescent="0.25">
      <c r="A75" s="101">
        <v>45295</v>
      </c>
      <c r="B75">
        <v>479.98001098632813</v>
      </c>
      <c r="C75">
        <v>467.27999877929688</v>
      </c>
      <c r="D75" s="54">
        <f t="shared" si="1"/>
        <v>9.0184963377495375E-3</v>
      </c>
      <c r="E75" s="54">
        <f t="shared" si="1"/>
        <v>-3.2210792425203527E-3</v>
      </c>
    </row>
    <row r="76" spans="1:5" x14ac:dyDescent="0.25">
      <c r="A76" s="101">
        <v>45294</v>
      </c>
      <c r="B76">
        <v>475.69000244140619</v>
      </c>
      <c r="C76">
        <v>468.79000854492188</v>
      </c>
      <c r="D76" s="54">
        <f t="shared" si="1"/>
        <v>-1.2435621834944843E-2</v>
      </c>
      <c r="E76" s="54">
        <f t="shared" si="1"/>
        <v>-8.1666886732423283E-3</v>
      </c>
    </row>
    <row r="77" spans="1:5" x14ac:dyDescent="0.25">
      <c r="A77" s="101">
        <v>45293</v>
      </c>
      <c r="B77">
        <v>481.67999267578119</v>
      </c>
      <c r="C77">
        <v>472.64999389648438</v>
      </c>
      <c r="D77" s="54">
        <f t="shared" si="1"/>
        <v>-2.7341400814882677E-2</v>
      </c>
      <c r="E77" s="54">
        <f t="shared" si="1"/>
        <v>-5.5963553802200749E-3</v>
      </c>
    </row>
    <row r="78" spans="1:5" x14ac:dyDescent="0.25">
      <c r="A78" s="101">
        <v>45289</v>
      </c>
      <c r="B78">
        <v>495.22000122070313</v>
      </c>
      <c r="C78">
        <v>475.30999755859381</v>
      </c>
      <c r="D78" s="54">
        <f t="shared" si="1"/>
        <v>0</v>
      </c>
      <c r="E78" s="54">
        <f t="shared" si="1"/>
        <v>-2.8949734119544379E-3</v>
      </c>
    </row>
    <row r="79" spans="1:5" x14ac:dyDescent="0.25">
      <c r="A79" s="101">
        <v>45288</v>
      </c>
      <c r="B79">
        <v>495.22000122070313</v>
      </c>
      <c r="C79">
        <v>476.69000244140619</v>
      </c>
      <c r="D79" s="54">
        <f t="shared" si="1"/>
        <v>2.1247501152197312E-3</v>
      </c>
      <c r="E79" s="54">
        <f t="shared" si="1"/>
        <v>3.7773115378980648E-4</v>
      </c>
    </row>
    <row r="80" spans="1:5" x14ac:dyDescent="0.25">
      <c r="A80" s="101">
        <v>45287</v>
      </c>
      <c r="B80">
        <v>494.17001342773438</v>
      </c>
      <c r="C80">
        <v>476.510009765625</v>
      </c>
      <c r="D80" s="54">
        <f t="shared" si="1"/>
        <v>2.8003913611951425E-3</v>
      </c>
      <c r="E80" s="54">
        <f t="shared" si="1"/>
        <v>1.8080855254416495E-3</v>
      </c>
    </row>
    <row r="81" spans="1:5" x14ac:dyDescent="0.25">
      <c r="A81" s="101">
        <v>45286</v>
      </c>
      <c r="B81">
        <v>492.79000854492188</v>
      </c>
      <c r="C81">
        <v>475.64999389648438</v>
      </c>
      <c r="D81" s="54">
        <f t="shared" si="1"/>
        <v>9.195209633830137E-3</v>
      </c>
      <c r="E81" s="54">
        <f t="shared" si="1"/>
        <v>4.2225272369307287E-3</v>
      </c>
    </row>
    <row r="82" spans="1:5" x14ac:dyDescent="0.25">
      <c r="A82" s="101">
        <v>45282</v>
      </c>
      <c r="B82">
        <v>488.29998779296881</v>
      </c>
      <c r="C82">
        <v>473.64999389648438</v>
      </c>
      <c r="D82" s="54">
        <f t="shared" si="1"/>
        <v>-3.2659851468658241E-3</v>
      </c>
      <c r="E82" s="54">
        <f t="shared" si="1"/>
        <v>2.0096925426713597E-3</v>
      </c>
    </row>
    <row r="83" spans="1:5" x14ac:dyDescent="0.25">
      <c r="A83" s="101">
        <v>45281</v>
      </c>
      <c r="B83">
        <v>489.89999389648438</v>
      </c>
      <c r="C83">
        <v>472.70001220703119</v>
      </c>
      <c r="D83" s="54">
        <f t="shared" si="1"/>
        <v>1.8270268363893338E-2</v>
      </c>
      <c r="E83" s="54">
        <f t="shared" si="1"/>
        <v>9.4819167744615296E-3</v>
      </c>
    </row>
    <row r="84" spans="1:5" x14ac:dyDescent="0.25">
      <c r="A84" s="101">
        <v>45280</v>
      </c>
      <c r="B84">
        <v>481.1099853515625</v>
      </c>
      <c r="C84">
        <v>468.260009765625</v>
      </c>
      <c r="D84" s="54">
        <f t="shared" si="1"/>
        <v>-3.0098425401521411E-2</v>
      </c>
      <c r="E84" s="54">
        <f t="shared" si="1"/>
        <v>-1.3857271129248727E-2</v>
      </c>
    </row>
    <row r="85" spans="1:5" x14ac:dyDescent="0.25">
      <c r="A85" s="101">
        <v>45279</v>
      </c>
      <c r="B85">
        <v>496.04000854492188</v>
      </c>
      <c r="C85">
        <v>474.83999633789063</v>
      </c>
      <c r="D85" s="54">
        <f t="shared" si="1"/>
        <v>-9.4454152056242524E-3</v>
      </c>
      <c r="E85" s="54">
        <f t="shared" si="1"/>
        <v>6.0808846108111325E-3</v>
      </c>
    </row>
    <row r="86" spans="1:5" x14ac:dyDescent="0.25">
      <c r="A86" s="101">
        <v>45278</v>
      </c>
      <c r="B86">
        <v>500.76998901367188</v>
      </c>
      <c r="C86">
        <v>471.97000122070313</v>
      </c>
      <c r="D86" s="54">
        <f t="shared" si="1"/>
        <v>2.4278983974994173E-2</v>
      </c>
      <c r="E86" s="54">
        <f t="shared" si="1"/>
        <v>5.6250713228847005E-3</v>
      </c>
    </row>
    <row r="87" spans="1:5" x14ac:dyDescent="0.25">
      <c r="A87" s="101">
        <v>45275</v>
      </c>
      <c r="B87">
        <v>488.89999389648438</v>
      </c>
      <c r="C87">
        <v>469.32998657226563</v>
      </c>
      <c r="D87" s="54">
        <f t="shared" si="1"/>
        <v>1.1168549941022565E-2</v>
      </c>
      <c r="E87" s="54">
        <f t="shared" si="1"/>
        <v>-5.6778948283112696E-3</v>
      </c>
    </row>
    <row r="88" spans="1:5" x14ac:dyDescent="0.25">
      <c r="A88" s="101">
        <v>45274</v>
      </c>
      <c r="B88">
        <v>483.5</v>
      </c>
      <c r="C88">
        <v>472.010009765625</v>
      </c>
      <c r="D88" s="54">
        <f t="shared" si="1"/>
        <v>5.4483344921483212E-3</v>
      </c>
      <c r="E88" s="54">
        <f t="shared" si="1"/>
        <v>3.2093725092985359E-3</v>
      </c>
    </row>
    <row r="89" spans="1:5" x14ac:dyDescent="0.25">
      <c r="A89" s="101">
        <v>45273</v>
      </c>
      <c r="B89">
        <v>480.8800048828125</v>
      </c>
      <c r="C89">
        <v>470.5</v>
      </c>
      <c r="D89" s="54">
        <f t="shared" si="1"/>
        <v>9.0437868358372864E-3</v>
      </c>
      <c r="E89" s="54">
        <f t="shared" si="1"/>
        <v>1.3790118104538118E-2</v>
      </c>
    </row>
    <row r="90" spans="1:5" x14ac:dyDescent="0.25">
      <c r="A90" s="101">
        <v>45272</v>
      </c>
      <c r="B90">
        <v>476.57000732421881</v>
      </c>
      <c r="C90">
        <v>464.10000610351563</v>
      </c>
      <c r="D90" s="54">
        <f t="shared" si="1"/>
        <v>2.209024503664736E-2</v>
      </c>
      <c r="E90" s="54">
        <f t="shared" si="1"/>
        <v>4.5672328702839327E-3</v>
      </c>
    </row>
    <row r="91" spans="1:5" x14ac:dyDescent="0.25">
      <c r="A91" s="101">
        <v>45271</v>
      </c>
      <c r="B91">
        <v>466.26998901367188</v>
      </c>
      <c r="C91">
        <v>461.989990234375</v>
      </c>
      <c r="D91" s="54">
        <f t="shared" si="1"/>
        <v>-1.8502944028322976E-2</v>
      </c>
      <c r="E91" s="54">
        <f t="shared" si="1"/>
        <v>3.8895653625896642E-3</v>
      </c>
    </row>
    <row r="92" spans="1:5" x14ac:dyDescent="0.25">
      <c r="A92" s="101">
        <v>45268</v>
      </c>
      <c r="B92">
        <v>475.05999755859381</v>
      </c>
      <c r="C92">
        <v>460.20001220703119</v>
      </c>
      <c r="D92" s="54">
        <f t="shared" si="1"/>
        <v>1.9529586810873134E-2</v>
      </c>
      <c r="E92" s="54">
        <f t="shared" si="1"/>
        <v>4.299153642212783E-3</v>
      </c>
    </row>
    <row r="93" spans="1:5" x14ac:dyDescent="0.25">
      <c r="A93" s="101">
        <v>45267</v>
      </c>
      <c r="B93">
        <v>465.95999145507813</v>
      </c>
      <c r="C93">
        <v>458.23001098632813</v>
      </c>
      <c r="D93" s="54">
        <f t="shared" si="1"/>
        <v>2.4020378228035488E-2</v>
      </c>
      <c r="E93" s="54">
        <f t="shared" si="1"/>
        <v>7.6304009723535682E-3</v>
      </c>
    </row>
    <row r="94" spans="1:5" x14ac:dyDescent="0.25">
      <c r="A94" s="101">
        <v>45266</v>
      </c>
      <c r="B94">
        <v>455.02999877929688</v>
      </c>
      <c r="C94">
        <v>454.760009765625</v>
      </c>
      <c r="D94" s="54">
        <f t="shared" si="1"/>
        <v>-2.2827824591363899E-2</v>
      </c>
      <c r="E94" s="54">
        <f t="shared" si="1"/>
        <v>-4.0297772958712841E-3</v>
      </c>
    </row>
    <row r="95" spans="1:5" x14ac:dyDescent="0.25">
      <c r="A95" s="101">
        <v>45265</v>
      </c>
      <c r="B95">
        <v>465.66000366210938</v>
      </c>
      <c r="C95">
        <v>456.60000610351563</v>
      </c>
      <c r="D95" s="54">
        <f t="shared" si="1"/>
        <v>2.3203685820632147E-2</v>
      </c>
      <c r="E95" s="54">
        <f t="shared" si="1"/>
        <v>-1.9706220282789122E-4</v>
      </c>
    </row>
    <row r="96" spans="1:5" x14ac:dyDescent="0.25">
      <c r="A96" s="101">
        <v>45264</v>
      </c>
      <c r="B96">
        <v>455.10000610351563</v>
      </c>
      <c r="C96">
        <v>456.69000244140619</v>
      </c>
      <c r="D96" s="54">
        <f t="shared" si="1"/>
        <v>-2.6836283452933651E-2</v>
      </c>
      <c r="E96" s="54">
        <f t="shared" si="1"/>
        <v>-5.249408908886033E-3</v>
      </c>
    </row>
    <row r="97" spans="1:5" x14ac:dyDescent="0.25">
      <c r="A97" s="101">
        <v>45261</v>
      </c>
      <c r="B97">
        <v>467.64999389648438</v>
      </c>
      <c r="C97">
        <v>459.10000610351563</v>
      </c>
      <c r="D97" s="54">
        <f t="shared" si="1"/>
        <v>-1.0694528381727242E-4</v>
      </c>
      <c r="E97" s="54">
        <f t="shared" si="1"/>
        <v>5.9158901032843048E-3</v>
      </c>
    </row>
    <row r="98" spans="1:5" x14ac:dyDescent="0.25">
      <c r="A98" s="101">
        <v>45260</v>
      </c>
      <c r="B98">
        <v>467.70001220703119</v>
      </c>
      <c r="C98">
        <v>456.39999389648438</v>
      </c>
      <c r="D98" s="54">
        <f t="shared" si="1"/>
        <v>-2.8458624559931089E-2</v>
      </c>
      <c r="E98" s="54">
        <f t="shared" si="1"/>
        <v>3.9374598064263466E-3</v>
      </c>
    </row>
    <row r="99" spans="1:5" x14ac:dyDescent="0.25">
      <c r="A99" s="101">
        <v>45259</v>
      </c>
      <c r="B99">
        <v>481.39999389648438</v>
      </c>
      <c r="C99">
        <v>454.6099853515625</v>
      </c>
      <c r="D99" s="54">
        <f t="shared" si="1"/>
        <v>6.6707147454192484E-3</v>
      </c>
      <c r="E99" s="54">
        <f t="shared" si="1"/>
        <v>-7.0342103042375648E-4</v>
      </c>
    </row>
    <row r="100" spans="1:5" x14ac:dyDescent="0.25">
      <c r="A100" s="101">
        <v>45258</v>
      </c>
      <c r="B100">
        <v>478.20999145507813</v>
      </c>
      <c r="C100">
        <v>454.92999267578119</v>
      </c>
      <c r="D100" s="54">
        <f t="shared" si="1"/>
        <v>-8.7268808413291099E-3</v>
      </c>
      <c r="E100" s="54">
        <f t="shared" si="1"/>
        <v>9.9010226759266295E-4</v>
      </c>
    </row>
    <row r="101" spans="1:5" x14ac:dyDescent="0.25">
      <c r="A101" s="101">
        <v>45257</v>
      </c>
      <c r="B101">
        <v>482.42001342773438</v>
      </c>
      <c r="C101">
        <v>454.48001098632813</v>
      </c>
      <c r="D101" s="54">
        <f t="shared" si="1"/>
        <v>9.7538587718872805E-3</v>
      </c>
      <c r="E101" s="54">
        <f t="shared" si="1"/>
        <v>-1.8009594303207699E-3</v>
      </c>
    </row>
    <row r="102" spans="1:5" x14ac:dyDescent="0.25">
      <c r="A102" s="101">
        <v>45254</v>
      </c>
      <c r="B102">
        <v>477.760009765625</v>
      </c>
      <c r="C102">
        <v>455.29998779296881</v>
      </c>
      <c r="D102" s="54">
        <f t="shared" si="1"/>
        <v>-1.929549598863245E-2</v>
      </c>
      <c r="E102" s="54">
        <f t="shared" si="1"/>
        <v>6.1535489881192618E-4</v>
      </c>
    </row>
    <row r="103" spans="1:5" x14ac:dyDescent="0.25">
      <c r="A103" s="101">
        <v>45252</v>
      </c>
      <c r="B103">
        <v>487.16000366210938</v>
      </c>
      <c r="C103">
        <v>455.01998901367188</v>
      </c>
      <c r="D103" s="54">
        <f t="shared" si="1"/>
        <v>-2.458753547827297E-2</v>
      </c>
      <c r="E103" s="54">
        <f t="shared" si="1"/>
        <v>3.8608335923762116E-3</v>
      </c>
    </row>
    <row r="104" spans="1:5" x14ac:dyDescent="0.25">
      <c r="A104" s="101">
        <v>45251</v>
      </c>
      <c r="B104">
        <v>499.44000244140619</v>
      </c>
      <c r="C104">
        <v>453.26998901367188</v>
      </c>
      <c r="D104" s="54">
        <f t="shared" si="1"/>
        <v>-9.2245311953533804E-3</v>
      </c>
      <c r="E104" s="54">
        <f t="shared" si="1"/>
        <v>-2.1794142796411897E-3</v>
      </c>
    </row>
    <row r="105" spans="1:5" x14ac:dyDescent="0.25">
      <c r="A105" s="101">
        <v>45250</v>
      </c>
      <c r="B105">
        <v>504.08999633789063</v>
      </c>
      <c r="C105">
        <v>454.260009765625</v>
      </c>
      <c r="D105" s="54">
        <f t="shared" si="1"/>
        <v>2.2536380997140615E-2</v>
      </c>
      <c r="E105" s="54">
        <f t="shared" si="1"/>
        <v>7.6976001129744898E-3</v>
      </c>
    </row>
    <row r="106" spans="1:5" x14ac:dyDescent="0.25">
      <c r="A106" s="101">
        <v>45247</v>
      </c>
      <c r="B106">
        <v>492.98001098632813</v>
      </c>
      <c r="C106">
        <v>450.79000854492188</v>
      </c>
      <c r="D106" s="54">
        <f t="shared" si="1"/>
        <v>-3.6782070564685965E-3</v>
      </c>
      <c r="E106" s="54">
        <f t="shared" si="1"/>
        <v>1.2438032670611943E-3</v>
      </c>
    </row>
    <row r="107" spans="1:5" x14ac:dyDescent="0.25">
      <c r="A107" s="101">
        <v>45246</v>
      </c>
      <c r="B107">
        <v>494.79998779296881</v>
      </c>
      <c r="C107">
        <v>450.23001098632813</v>
      </c>
      <c r="D107" s="54">
        <f t="shared" si="1"/>
        <v>1.2109276000304758E-2</v>
      </c>
      <c r="E107" s="54">
        <f t="shared" si="1"/>
        <v>1.2231327154985649E-3</v>
      </c>
    </row>
    <row r="108" spans="1:5" x14ac:dyDescent="0.25">
      <c r="A108" s="101">
        <v>45245</v>
      </c>
      <c r="B108">
        <v>488.8800048828125</v>
      </c>
      <c r="C108">
        <v>449.67999267578119</v>
      </c>
      <c r="D108" s="54">
        <f t="shared" si="1"/>
        <v>-1.5466394219310953E-2</v>
      </c>
      <c r="E108" s="54">
        <f t="shared" si="1"/>
        <v>2.1170451411640645E-3</v>
      </c>
    </row>
    <row r="109" spans="1:5" x14ac:dyDescent="0.25">
      <c r="A109" s="101">
        <v>45244</v>
      </c>
      <c r="B109">
        <v>496.55999755859381</v>
      </c>
      <c r="C109">
        <v>448.73001098632813</v>
      </c>
      <c r="D109" s="54">
        <f t="shared" si="1"/>
        <v>2.130807299764359E-2</v>
      </c>
      <c r="E109" s="54">
        <f t="shared" si="1"/>
        <v>1.940073263262887E-2</v>
      </c>
    </row>
    <row r="110" spans="1:5" x14ac:dyDescent="0.25">
      <c r="A110" s="101">
        <v>45243</v>
      </c>
      <c r="B110">
        <v>486.20001220703119</v>
      </c>
      <c r="C110">
        <v>440.19000244140619</v>
      </c>
      <c r="D110" s="54">
        <f t="shared" si="1"/>
        <v>5.8963609548505769E-3</v>
      </c>
      <c r="E110" s="54">
        <f t="shared" si="1"/>
        <v>-9.5318518444653666E-4</v>
      </c>
    </row>
    <row r="111" spans="1:5" x14ac:dyDescent="0.25">
      <c r="A111" s="101">
        <v>45240</v>
      </c>
      <c r="B111">
        <v>483.35000610351563</v>
      </c>
      <c r="C111">
        <v>440.6099853515625</v>
      </c>
      <c r="D111" s="54">
        <f t="shared" si="1"/>
        <v>2.9499480518670129E-2</v>
      </c>
      <c r="E111" s="54">
        <f t="shared" si="1"/>
        <v>1.5604806082469169E-2</v>
      </c>
    </row>
    <row r="112" spans="1:5" x14ac:dyDescent="0.25">
      <c r="A112" s="101">
        <v>45239</v>
      </c>
      <c r="B112">
        <v>469.5</v>
      </c>
      <c r="C112">
        <v>433.83999633789063</v>
      </c>
      <c r="D112" s="54">
        <f t="shared" si="1"/>
        <v>8.0731950110894957E-3</v>
      </c>
      <c r="E112" s="54">
        <f t="shared" si="1"/>
        <v>-7.7987505136863922E-3</v>
      </c>
    </row>
    <row r="113" spans="1:5" x14ac:dyDescent="0.25">
      <c r="A113" s="101">
        <v>45238</v>
      </c>
      <c r="B113">
        <v>465.739990234375</v>
      </c>
      <c r="C113">
        <v>437.25</v>
      </c>
      <c r="D113" s="54">
        <f t="shared" si="1"/>
        <v>1.3469704288611162E-2</v>
      </c>
      <c r="E113" s="54">
        <f t="shared" si="1"/>
        <v>7.3239953672921132E-4</v>
      </c>
    </row>
    <row r="114" spans="1:5" x14ac:dyDescent="0.25">
      <c r="A114" s="101">
        <v>45237</v>
      </c>
      <c r="B114">
        <v>459.54998779296881</v>
      </c>
      <c r="C114">
        <v>436.92999267578119</v>
      </c>
      <c r="D114" s="54">
        <f t="shared" si="1"/>
        <v>4.4588708089443596E-3</v>
      </c>
      <c r="E114" s="54">
        <f t="shared" si="1"/>
        <v>2.8460378421049093E-3</v>
      </c>
    </row>
    <row r="115" spans="1:5" x14ac:dyDescent="0.25">
      <c r="A115" s="101">
        <v>45236</v>
      </c>
      <c r="B115">
        <v>457.510009765625</v>
      </c>
      <c r="C115">
        <v>435.69000244140619</v>
      </c>
      <c r="D115" s="54">
        <f t="shared" si="1"/>
        <v>1.6575985279412953E-2</v>
      </c>
      <c r="E115" s="54">
        <f t="shared" si="1"/>
        <v>2.3004899914504939E-3</v>
      </c>
    </row>
    <row r="116" spans="1:5" x14ac:dyDescent="0.25">
      <c r="A116" s="101">
        <v>45233</v>
      </c>
      <c r="B116">
        <v>450.04998779296881</v>
      </c>
      <c r="C116">
        <v>434.69000244140619</v>
      </c>
      <c r="D116" s="54">
        <f t="shared" si="1"/>
        <v>3.4454995445441172E-2</v>
      </c>
      <c r="E116" s="54">
        <f t="shared" si="1"/>
        <v>9.1233925775038305E-3</v>
      </c>
    </row>
    <row r="117" spans="1:5" x14ac:dyDescent="0.25">
      <c r="A117" s="101">
        <v>45232</v>
      </c>
      <c r="B117">
        <v>435.05999755859381</v>
      </c>
      <c r="C117">
        <v>430.760009765625</v>
      </c>
      <c r="D117" s="54">
        <f t="shared" si="1"/>
        <v>2.7903124769270704E-2</v>
      </c>
      <c r="E117" s="54">
        <f t="shared" si="1"/>
        <v>1.9164354406221662E-2</v>
      </c>
    </row>
    <row r="118" spans="1:5" x14ac:dyDescent="0.25">
      <c r="A118" s="101">
        <v>45231</v>
      </c>
      <c r="B118">
        <v>423.25</v>
      </c>
      <c r="C118">
        <v>422.66000366210938</v>
      </c>
      <c r="D118" s="54">
        <f t="shared" si="1"/>
        <v>3.788624980262334E-2</v>
      </c>
      <c r="E118" s="54">
        <f t="shared" si="1"/>
        <v>1.0664732962442525E-2</v>
      </c>
    </row>
    <row r="119" spans="1:5" x14ac:dyDescent="0.25">
      <c r="A119" s="101">
        <v>45230</v>
      </c>
      <c r="B119">
        <v>407.79998779296881</v>
      </c>
      <c r="C119">
        <v>418.20001220703119</v>
      </c>
      <c r="D119" s="54">
        <f t="shared" si="1"/>
        <v>-9.2563292781624451E-3</v>
      </c>
      <c r="E119" s="54">
        <f t="shared" si="1"/>
        <v>6.2802663493817246E-3</v>
      </c>
    </row>
    <row r="120" spans="1:5" x14ac:dyDescent="0.25">
      <c r="A120" s="101">
        <v>45229</v>
      </c>
      <c r="B120">
        <v>411.6099853515625</v>
      </c>
      <c r="C120">
        <v>415.58999633789063</v>
      </c>
      <c r="D120" s="54">
        <f t="shared" si="1"/>
        <v>1.6320951485339519E-2</v>
      </c>
      <c r="E120" s="54">
        <f t="shared" si="1"/>
        <v>1.1955789786880944E-2</v>
      </c>
    </row>
    <row r="121" spans="1:5" x14ac:dyDescent="0.25">
      <c r="A121" s="101">
        <v>45226</v>
      </c>
      <c r="B121">
        <v>405</v>
      </c>
      <c r="C121">
        <v>410.67999267578119</v>
      </c>
      <c r="D121" s="54">
        <f t="shared" si="1"/>
        <v>4.3148097808813901E-3</v>
      </c>
      <c r="E121" s="54">
        <f t="shared" si="1"/>
        <v>-4.53277220341608E-3</v>
      </c>
    </row>
    <row r="122" spans="1:5" x14ac:dyDescent="0.25">
      <c r="A122" s="101">
        <v>45225</v>
      </c>
      <c r="B122">
        <v>403.260009765625</v>
      </c>
      <c r="C122">
        <v>412.54998779296881</v>
      </c>
      <c r="D122" s="54">
        <f t="shared" si="1"/>
        <v>-3.4778234237582417E-2</v>
      </c>
      <c r="E122" s="54">
        <f t="shared" si="1"/>
        <v>-1.1974614168780984E-2</v>
      </c>
    </row>
    <row r="123" spans="1:5" x14ac:dyDescent="0.25">
      <c r="A123" s="101">
        <v>45224</v>
      </c>
      <c r="B123">
        <v>417.79000854492188</v>
      </c>
      <c r="C123">
        <v>417.54998779296881</v>
      </c>
      <c r="D123" s="54">
        <f t="shared" si="1"/>
        <v>-4.3148652468231297E-2</v>
      </c>
      <c r="E123" s="54">
        <f t="shared" si="1"/>
        <v>-1.4352187096675517E-2</v>
      </c>
    </row>
    <row r="124" spans="1:5" x14ac:dyDescent="0.25">
      <c r="A124" s="101">
        <v>45223</v>
      </c>
      <c r="B124">
        <v>436.6300048828125</v>
      </c>
      <c r="C124">
        <v>423.6300048828125</v>
      </c>
      <c r="D124" s="54">
        <f t="shared" si="1"/>
        <v>1.6009319099040242E-2</v>
      </c>
      <c r="E124" s="54">
        <f t="shared" si="1"/>
        <v>7.5393937405647815E-3</v>
      </c>
    </row>
    <row r="125" spans="1:5" x14ac:dyDescent="0.25">
      <c r="A125" s="101">
        <v>45222</v>
      </c>
      <c r="B125">
        <v>429.75</v>
      </c>
      <c r="C125">
        <v>420.45999145507813</v>
      </c>
      <c r="D125" s="54">
        <f t="shared" si="1"/>
        <v>3.8369548578451651E-2</v>
      </c>
      <c r="E125" s="54">
        <f t="shared" si="1"/>
        <v>-1.7332106225138588E-3</v>
      </c>
    </row>
    <row r="126" spans="1:5" x14ac:dyDescent="0.25">
      <c r="A126" s="101">
        <v>45219</v>
      </c>
      <c r="B126">
        <v>413.8699951171875</v>
      </c>
      <c r="C126">
        <v>421.19000244140619</v>
      </c>
      <c r="D126" s="54">
        <f t="shared" si="1"/>
        <v>-1.6959251520913488E-2</v>
      </c>
      <c r="E126" s="54">
        <f t="shared" si="1"/>
        <v>-1.2288043346798561E-2</v>
      </c>
    </row>
    <row r="127" spans="1:5" x14ac:dyDescent="0.25">
      <c r="A127" s="101">
        <v>45218</v>
      </c>
      <c r="B127">
        <v>421.010009765625</v>
      </c>
      <c r="C127">
        <v>426.42999267578119</v>
      </c>
      <c r="D127" s="54">
        <f t="shared" si="1"/>
        <v>-2.2513548883561496E-3</v>
      </c>
      <c r="E127" s="54">
        <f t="shared" si="1"/>
        <v>-8.7864039756772039E-3</v>
      </c>
    </row>
    <row r="128" spans="1:5" x14ac:dyDescent="0.25">
      <c r="A128" s="101">
        <v>45217</v>
      </c>
      <c r="B128">
        <v>421.95999145507813</v>
      </c>
      <c r="C128">
        <v>430.20999145507813</v>
      </c>
      <c r="D128" s="54">
        <f t="shared" si="1"/>
        <v>-3.9646805121185458E-2</v>
      </c>
      <c r="E128" s="54">
        <f t="shared" si="1"/>
        <v>-1.3325071567788949E-2</v>
      </c>
    </row>
    <row r="129" spans="1:5" x14ac:dyDescent="0.25">
      <c r="A129" s="101">
        <v>45216</v>
      </c>
      <c r="B129">
        <v>439.3800048828125</v>
      </c>
      <c r="C129">
        <v>436.01998901367188</v>
      </c>
      <c r="D129" s="54">
        <f t="shared" si="1"/>
        <v>-4.679467784574165E-2</v>
      </c>
      <c r="E129" s="54">
        <f t="shared" si="1"/>
        <v>-4.591214305493807E-5</v>
      </c>
    </row>
    <row r="130" spans="1:5" x14ac:dyDescent="0.25">
      <c r="A130" s="101">
        <v>45215</v>
      </c>
      <c r="B130">
        <v>460.95001220703119</v>
      </c>
      <c r="C130">
        <v>436.04000854492188</v>
      </c>
      <c r="D130" s="54">
        <f t="shared" si="1"/>
        <v>1.3946079188220661E-2</v>
      </c>
      <c r="E130" s="54">
        <f t="shared" si="1"/>
        <v>1.0521456651035654E-2</v>
      </c>
    </row>
    <row r="131" spans="1:5" x14ac:dyDescent="0.25">
      <c r="A131" s="101">
        <v>45212</v>
      </c>
      <c r="B131">
        <v>454.6099853515625</v>
      </c>
      <c r="C131">
        <v>431.5</v>
      </c>
      <c r="D131" s="54">
        <f t="shared" ref="D131:E194" si="2">+B131/B132-1</f>
        <v>-3.1611516603655132E-2</v>
      </c>
      <c r="E131" s="54">
        <f t="shared" si="2"/>
        <v>-4.9808689846166931E-3</v>
      </c>
    </row>
    <row r="132" spans="1:5" x14ac:dyDescent="0.25">
      <c r="A132" s="101">
        <v>45211</v>
      </c>
      <c r="B132">
        <v>469.45001220703119</v>
      </c>
      <c r="C132">
        <v>433.66000366210938</v>
      </c>
      <c r="D132" s="54">
        <f t="shared" si="2"/>
        <v>2.9697360502665138E-3</v>
      </c>
      <c r="E132" s="54">
        <f t="shared" si="2"/>
        <v>-6.0964512684673622E-3</v>
      </c>
    </row>
    <row r="133" spans="1:5" x14ac:dyDescent="0.25">
      <c r="A133" s="101">
        <v>45210</v>
      </c>
      <c r="B133">
        <v>468.05999755859381</v>
      </c>
      <c r="C133">
        <v>436.32000732421881</v>
      </c>
      <c r="D133" s="54">
        <f t="shared" si="2"/>
        <v>2.2009664899035553E-2</v>
      </c>
      <c r="E133" s="54">
        <f t="shared" si="2"/>
        <v>4.0962828377009153E-3</v>
      </c>
    </row>
    <row r="134" spans="1:5" x14ac:dyDescent="0.25">
      <c r="A134" s="101">
        <v>45209</v>
      </c>
      <c r="B134">
        <v>457.98001098632813</v>
      </c>
      <c r="C134">
        <v>434.54000854492188</v>
      </c>
      <c r="D134" s="54">
        <f t="shared" si="2"/>
        <v>1.1596315403439306E-2</v>
      </c>
      <c r="E134" s="54">
        <f t="shared" si="2"/>
        <v>5.2048392410766198E-3</v>
      </c>
    </row>
    <row r="135" spans="1:5" x14ac:dyDescent="0.25">
      <c r="A135" s="101">
        <v>45208</v>
      </c>
      <c r="B135">
        <v>452.73001098632813</v>
      </c>
      <c r="C135">
        <v>432.29000854492188</v>
      </c>
      <c r="D135" s="54">
        <f t="shared" si="2"/>
        <v>-1.0685687214360362E-2</v>
      </c>
      <c r="E135" s="54">
        <f t="shared" si="2"/>
        <v>6.4021975725048197E-3</v>
      </c>
    </row>
    <row r="136" spans="1:5" x14ac:dyDescent="0.25">
      <c r="A136" s="101">
        <v>45205</v>
      </c>
      <c r="B136">
        <v>457.6199951171875</v>
      </c>
      <c r="C136">
        <v>429.54000854492188</v>
      </c>
      <c r="D136" s="54">
        <f t="shared" si="2"/>
        <v>2.4033275414037325E-2</v>
      </c>
      <c r="E136" s="54">
        <f t="shared" si="2"/>
        <v>1.1872811648814707E-2</v>
      </c>
    </row>
    <row r="137" spans="1:5" x14ac:dyDescent="0.25">
      <c r="A137" s="101">
        <v>45204</v>
      </c>
      <c r="B137">
        <v>446.8800048828125</v>
      </c>
      <c r="C137">
        <v>424.5</v>
      </c>
      <c r="D137" s="54">
        <f t="shared" si="2"/>
        <v>1.4690858897172143E-2</v>
      </c>
      <c r="E137" s="54">
        <f t="shared" si="2"/>
        <v>-3.7678062621759878E-4</v>
      </c>
    </row>
    <row r="138" spans="1:5" x14ac:dyDescent="0.25">
      <c r="A138" s="101">
        <v>45203</v>
      </c>
      <c r="B138">
        <v>440.41000366210938</v>
      </c>
      <c r="C138">
        <v>424.66000366210938</v>
      </c>
      <c r="D138" s="54">
        <f t="shared" si="2"/>
        <v>1.2041248414845551E-2</v>
      </c>
      <c r="E138" s="54">
        <f t="shared" si="2"/>
        <v>7.2819738392422284E-3</v>
      </c>
    </row>
    <row r="139" spans="1:5" x14ac:dyDescent="0.25">
      <c r="A139" s="101">
        <v>45202</v>
      </c>
      <c r="B139">
        <v>435.17001342773438</v>
      </c>
      <c r="C139">
        <v>421.58999633789063</v>
      </c>
      <c r="D139" s="54">
        <f t="shared" si="2"/>
        <v>-2.8247942676946858E-2</v>
      </c>
      <c r="E139" s="54">
        <f t="shared" si="2"/>
        <v>-1.3386069255070132E-2</v>
      </c>
    </row>
    <row r="140" spans="1:5" x14ac:dyDescent="0.25">
      <c r="A140" s="101">
        <v>45201</v>
      </c>
      <c r="B140">
        <v>447.82000732421881</v>
      </c>
      <c r="C140">
        <v>427.30999755859381</v>
      </c>
      <c r="D140" s="54">
        <f t="shared" si="2"/>
        <v>2.9494970868021442E-2</v>
      </c>
      <c r="E140" s="54">
        <f t="shared" si="2"/>
        <v>-3.9771082475192898E-4</v>
      </c>
    </row>
    <row r="141" spans="1:5" x14ac:dyDescent="0.25">
      <c r="A141" s="101">
        <v>45198</v>
      </c>
      <c r="B141">
        <v>434.989990234375</v>
      </c>
      <c r="C141">
        <v>427.48001098632813</v>
      </c>
      <c r="D141" s="54">
        <f t="shared" si="2"/>
        <v>9.5151325084259497E-3</v>
      </c>
      <c r="E141" s="54">
        <f t="shared" si="2"/>
        <v>-2.4269066881511536E-3</v>
      </c>
    </row>
    <row r="142" spans="1:5" x14ac:dyDescent="0.25">
      <c r="A142" s="101">
        <v>45197</v>
      </c>
      <c r="B142">
        <v>430.8900146484375</v>
      </c>
      <c r="C142">
        <v>428.51998901367188</v>
      </c>
      <c r="D142" s="54">
        <f t="shared" si="2"/>
        <v>1.462282678665594E-2</v>
      </c>
      <c r="E142" s="54">
        <f t="shared" si="2"/>
        <v>5.7974446461042106E-3</v>
      </c>
    </row>
    <row r="143" spans="1:5" x14ac:dyDescent="0.25">
      <c r="A143" s="101">
        <v>45196</v>
      </c>
      <c r="B143">
        <v>424.67999267578119</v>
      </c>
      <c r="C143">
        <v>426.04998779296881</v>
      </c>
      <c r="D143" s="54">
        <f t="shared" si="2"/>
        <v>1.3290084986990802E-2</v>
      </c>
      <c r="E143" s="54">
        <f t="shared" si="2"/>
        <v>3.9913334321273197E-4</v>
      </c>
    </row>
    <row r="144" spans="1:5" x14ac:dyDescent="0.25">
      <c r="A144" s="101">
        <v>45195</v>
      </c>
      <c r="B144">
        <v>419.1099853515625</v>
      </c>
      <c r="C144">
        <v>425.8800048828125</v>
      </c>
      <c r="D144" s="54">
        <f t="shared" si="2"/>
        <v>-7.3658658049099435E-3</v>
      </c>
      <c r="E144" s="54">
        <f t="shared" si="2"/>
        <v>-1.4691266090073651E-2</v>
      </c>
    </row>
    <row r="145" spans="1:5" x14ac:dyDescent="0.25">
      <c r="A145" s="101">
        <v>45194</v>
      </c>
      <c r="B145">
        <v>422.22000122070313</v>
      </c>
      <c r="C145">
        <v>432.23001098632813</v>
      </c>
      <c r="D145" s="54">
        <f t="shared" si="2"/>
        <v>1.4707990933470416E-2</v>
      </c>
      <c r="E145" s="54">
        <f t="shared" si="2"/>
        <v>4.2051891225491911E-3</v>
      </c>
    </row>
    <row r="146" spans="1:5" x14ac:dyDescent="0.25">
      <c r="A146" s="101">
        <v>45191</v>
      </c>
      <c r="B146">
        <v>416.10000610351563</v>
      </c>
      <c r="C146">
        <v>430.42001342773438</v>
      </c>
      <c r="D146" s="54">
        <f t="shared" si="2"/>
        <v>1.4457401764271127E-2</v>
      </c>
      <c r="E146" s="54">
        <f t="shared" si="2"/>
        <v>-2.2485481530990503E-3</v>
      </c>
    </row>
    <row r="147" spans="1:5" x14ac:dyDescent="0.25">
      <c r="A147" s="101">
        <v>45190</v>
      </c>
      <c r="B147">
        <v>410.17001342773438</v>
      </c>
      <c r="C147">
        <v>431.3900146484375</v>
      </c>
      <c r="D147" s="54">
        <f t="shared" si="2"/>
        <v>-2.8930611039359122E-2</v>
      </c>
      <c r="E147" s="54">
        <f t="shared" si="2"/>
        <v>-1.6528359834683037E-2</v>
      </c>
    </row>
    <row r="148" spans="1:5" x14ac:dyDescent="0.25">
      <c r="A148" s="101">
        <v>45189</v>
      </c>
      <c r="B148">
        <v>422.3900146484375</v>
      </c>
      <c r="C148">
        <v>438.6400146484375</v>
      </c>
      <c r="D148" s="54">
        <f t="shared" si="2"/>
        <v>-2.9434736211587653E-2</v>
      </c>
      <c r="E148" s="54">
        <f t="shared" si="2"/>
        <v>-9.193324942280201E-3</v>
      </c>
    </row>
    <row r="149" spans="1:5" x14ac:dyDescent="0.25">
      <c r="A149" s="101">
        <v>45188</v>
      </c>
      <c r="B149">
        <v>435.20001220703119</v>
      </c>
      <c r="C149">
        <v>442.70999145507813</v>
      </c>
      <c r="D149" s="54">
        <f t="shared" si="2"/>
        <v>-1.0144182818380254E-2</v>
      </c>
      <c r="E149" s="54">
        <f t="shared" si="2"/>
        <v>-2.0738304839804655E-3</v>
      </c>
    </row>
    <row r="150" spans="1:5" x14ac:dyDescent="0.25">
      <c r="A150" s="101">
        <v>45187</v>
      </c>
      <c r="B150">
        <v>439.66000366210938</v>
      </c>
      <c r="C150">
        <v>443.6300048828125</v>
      </c>
      <c r="D150" s="54">
        <f t="shared" si="2"/>
        <v>1.5034251984267222E-3</v>
      </c>
      <c r="E150" s="54">
        <f t="shared" si="2"/>
        <v>5.8643969706673182E-4</v>
      </c>
    </row>
    <row r="151" spans="1:5" x14ac:dyDescent="0.25">
      <c r="A151" s="101">
        <v>45184</v>
      </c>
      <c r="B151">
        <v>439</v>
      </c>
      <c r="C151">
        <v>443.3699951171875</v>
      </c>
      <c r="D151" s="54">
        <f t="shared" si="2"/>
        <v>-3.687939634635351E-2</v>
      </c>
      <c r="E151" s="54">
        <f t="shared" si="2"/>
        <v>-1.5520895420845227E-2</v>
      </c>
    </row>
    <row r="152" spans="1:5" x14ac:dyDescent="0.25">
      <c r="A152" s="101">
        <v>45183</v>
      </c>
      <c r="B152">
        <v>455.80999755859381</v>
      </c>
      <c r="C152">
        <v>450.3599853515625</v>
      </c>
      <c r="D152" s="54">
        <f t="shared" si="2"/>
        <v>2.1105670928796005E-3</v>
      </c>
      <c r="E152" s="54">
        <f t="shared" si="2"/>
        <v>8.6223724031593285E-3</v>
      </c>
    </row>
    <row r="153" spans="1:5" x14ac:dyDescent="0.25">
      <c r="A153" s="101">
        <v>45182</v>
      </c>
      <c r="B153">
        <v>454.85000610351563</v>
      </c>
      <c r="C153">
        <v>446.510009765625</v>
      </c>
      <c r="D153" s="54">
        <f t="shared" si="2"/>
        <v>1.3706248560668266E-2</v>
      </c>
      <c r="E153" s="54">
        <f t="shared" si="2"/>
        <v>1.1659892433386609E-3</v>
      </c>
    </row>
    <row r="154" spans="1:5" x14ac:dyDescent="0.25">
      <c r="A154" s="101">
        <v>45181</v>
      </c>
      <c r="B154">
        <v>448.70001220703119</v>
      </c>
      <c r="C154">
        <v>445.989990234375</v>
      </c>
      <c r="D154" s="54">
        <f t="shared" si="2"/>
        <v>-6.8174478298901331E-3</v>
      </c>
      <c r="E154" s="54">
        <f t="shared" si="2"/>
        <v>-5.485610225650972E-3</v>
      </c>
    </row>
    <row r="155" spans="1:5" x14ac:dyDescent="0.25">
      <c r="A155" s="101">
        <v>45180</v>
      </c>
      <c r="B155">
        <v>451.77999877929688</v>
      </c>
      <c r="C155">
        <v>448.45001220703119</v>
      </c>
      <c r="D155" s="54">
        <f t="shared" si="2"/>
        <v>-8.6456649496455817E-3</v>
      </c>
      <c r="E155" s="54">
        <f t="shared" si="2"/>
        <v>6.5766368863628966E-3</v>
      </c>
    </row>
    <row r="156" spans="1:5" x14ac:dyDescent="0.25">
      <c r="A156" s="101">
        <v>45177</v>
      </c>
      <c r="B156">
        <v>455.72000122070313</v>
      </c>
      <c r="C156">
        <v>445.51998901367188</v>
      </c>
      <c r="D156" s="54">
        <f t="shared" si="2"/>
        <v>-1.4467685362392735E-2</v>
      </c>
      <c r="E156" s="54">
        <f t="shared" si="2"/>
        <v>1.5060872225780564E-3</v>
      </c>
    </row>
    <row r="157" spans="1:5" x14ac:dyDescent="0.25">
      <c r="A157" s="101">
        <v>45176</v>
      </c>
      <c r="B157">
        <v>462.41000366210938</v>
      </c>
      <c r="C157">
        <v>444.85000610351563</v>
      </c>
      <c r="D157" s="54">
        <f t="shared" si="2"/>
        <v>-1.7424155765261684E-2</v>
      </c>
      <c r="E157" s="54">
        <f t="shared" si="2"/>
        <v>-3.0702234625065161E-3</v>
      </c>
    </row>
    <row r="158" spans="1:5" x14ac:dyDescent="0.25">
      <c r="A158" s="101">
        <v>45175</v>
      </c>
      <c r="B158">
        <v>470.6099853515625</v>
      </c>
      <c r="C158">
        <v>446.22000122070313</v>
      </c>
      <c r="D158" s="54">
        <f t="shared" si="2"/>
        <v>-3.0629532211954191E-2</v>
      </c>
      <c r="E158" s="54">
        <f t="shared" si="2"/>
        <v>-6.7224402976598929E-3</v>
      </c>
    </row>
    <row r="159" spans="1:5" x14ac:dyDescent="0.25">
      <c r="A159" s="101">
        <v>45174</v>
      </c>
      <c r="B159">
        <v>485.48001098632813</v>
      </c>
      <c r="C159">
        <v>449.239990234375</v>
      </c>
      <c r="D159" s="54">
        <f t="shared" si="2"/>
        <v>8.04004723622187E-4</v>
      </c>
      <c r="E159" s="54">
        <f t="shared" si="2"/>
        <v>-4.3219313293282324E-3</v>
      </c>
    </row>
    <row r="160" spans="1:5" x14ac:dyDescent="0.25">
      <c r="A160" s="101">
        <v>45170</v>
      </c>
      <c r="B160">
        <v>485.08999633789063</v>
      </c>
      <c r="C160">
        <v>451.19000244140619</v>
      </c>
      <c r="D160" s="54">
        <f t="shared" si="2"/>
        <v>-1.714110356462395E-2</v>
      </c>
      <c r="E160" s="54">
        <f t="shared" si="2"/>
        <v>1.8652077861802674E-3</v>
      </c>
    </row>
    <row r="161" spans="1:5" x14ac:dyDescent="0.25">
      <c r="A161" s="101">
        <v>45169</v>
      </c>
      <c r="B161">
        <v>493.54998779296881</v>
      </c>
      <c r="C161">
        <v>450.35000610351563</v>
      </c>
      <c r="D161" s="54">
        <f t="shared" si="2"/>
        <v>1.8471360780156765E-3</v>
      </c>
      <c r="E161" s="54">
        <f t="shared" si="2"/>
        <v>-1.4633902747576144E-3</v>
      </c>
    </row>
    <row r="162" spans="1:5" x14ac:dyDescent="0.25">
      <c r="A162" s="101">
        <v>45168</v>
      </c>
      <c r="B162">
        <v>492.6400146484375</v>
      </c>
      <c r="C162">
        <v>451.010009765625</v>
      </c>
      <c r="D162" s="54">
        <f t="shared" si="2"/>
        <v>9.8393291787872705E-3</v>
      </c>
      <c r="E162" s="54">
        <f t="shared" si="2"/>
        <v>4.1188130920652988E-3</v>
      </c>
    </row>
    <row r="163" spans="1:5" x14ac:dyDescent="0.25">
      <c r="A163" s="101">
        <v>45167</v>
      </c>
      <c r="B163">
        <v>487.83999633789063</v>
      </c>
      <c r="C163">
        <v>449.16000366210938</v>
      </c>
      <c r="D163" s="54">
        <f t="shared" si="2"/>
        <v>4.1614156037968142E-2</v>
      </c>
      <c r="E163" s="54">
        <f t="shared" si="2"/>
        <v>1.4454769525983568E-2</v>
      </c>
    </row>
    <row r="164" spans="1:5" x14ac:dyDescent="0.25">
      <c r="A164" s="101">
        <v>45166</v>
      </c>
      <c r="B164">
        <v>468.35000610351563</v>
      </c>
      <c r="C164">
        <v>442.760009765625</v>
      </c>
      <c r="D164" s="54">
        <f t="shared" si="2"/>
        <v>1.775395184008044E-2</v>
      </c>
      <c r="E164" s="54">
        <f t="shared" si="2"/>
        <v>6.3413608591063042E-3</v>
      </c>
    </row>
    <row r="165" spans="1:5" x14ac:dyDescent="0.25">
      <c r="A165" s="101">
        <v>45163</v>
      </c>
      <c r="B165">
        <v>460.17999267578119</v>
      </c>
      <c r="C165">
        <v>439.97000122070313</v>
      </c>
      <c r="D165" s="54">
        <f t="shared" si="2"/>
        <v>-2.4277531303116162E-2</v>
      </c>
      <c r="E165" s="54">
        <f t="shared" si="2"/>
        <v>7.0497985053379342E-3</v>
      </c>
    </row>
    <row r="166" spans="1:5" x14ac:dyDescent="0.25">
      <c r="A166" s="101">
        <v>45162</v>
      </c>
      <c r="B166">
        <v>471.6300048828125</v>
      </c>
      <c r="C166">
        <v>436.8900146484375</v>
      </c>
      <c r="D166" s="54">
        <f t="shared" si="2"/>
        <v>9.975405744333532E-4</v>
      </c>
      <c r="E166" s="54">
        <f t="shared" si="2"/>
        <v>-1.3859070825400499E-2</v>
      </c>
    </row>
    <row r="167" spans="1:5" x14ac:dyDescent="0.25">
      <c r="A167" s="101">
        <v>45161</v>
      </c>
      <c r="B167">
        <v>471.16000366210938</v>
      </c>
      <c r="C167">
        <v>443.02999877929688</v>
      </c>
      <c r="D167" s="54">
        <f t="shared" si="2"/>
        <v>3.17071280077037E-2</v>
      </c>
      <c r="E167" s="54">
        <f t="shared" si="2"/>
        <v>1.1137749516813678E-2</v>
      </c>
    </row>
    <row r="168" spans="1:5" x14ac:dyDescent="0.25">
      <c r="A168" s="101">
        <v>45160</v>
      </c>
      <c r="B168">
        <v>456.67999267578119</v>
      </c>
      <c r="C168">
        <v>438.14999389648438</v>
      </c>
      <c r="D168" s="54">
        <f t="shared" si="2"/>
        <v>-2.765776051391855E-2</v>
      </c>
      <c r="E168" s="54">
        <f t="shared" si="2"/>
        <v>-2.7086139466597769E-3</v>
      </c>
    </row>
    <row r="169" spans="1:5" x14ac:dyDescent="0.25">
      <c r="A169" s="101">
        <v>45159</v>
      </c>
      <c r="B169">
        <v>469.67001342773438</v>
      </c>
      <c r="C169">
        <v>439.33999633789063</v>
      </c>
      <c r="D169" s="54">
        <f t="shared" si="2"/>
        <v>8.4713328300048518E-2</v>
      </c>
      <c r="E169" s="54">
        <f t="shared" si="2"/>
        <v>6.5062917248353003E-3</v>
      </c>
    </row>
    <row r="170" spans="1:5" x14ac:dyDescent="0.25">
      <c r="A170" s="101">
        <v>45156</v>
      </c>
      <c r="B170">
        <v>432.989990234375</v>
      </c>
      <c r="C170">
        <v>436.5</v>
      </c>
      <c r="D170" s="54">
        <f t="shared" si="2"/>
        <v>-1.0382341373579296E-3</v>
      </c>
      <c r="E170" s="54">
        <f t="shared" si="2"/>
        <v>4.8131162979969666E-4</v>
      </c>
    </row>
    <row r="171" spans="1:5" x14ac:dyDescent="0.25">
      <c r="A171" s="101">
        <v>45155</v>
      </c>
      <c r="B171">
        <v>433.44000244140619</v>
      </c>
      <c r="C171">
        <v>436.29000854492188</v>
      </c>
      <c r="D171" s="54">
        <f t="shared" si="2"/>
        <v>-3.2653795658119655E-3</v>
      </c>
      <c r="E171" s="54">
        <f t="shared" si="2"/>
        <v>-7.6198844324816273E-3</v>
      </c>
    </row>
    <row r="172" spans="1:5" x14ac:dyDescent="0.25">
      <c r="A172" s="101">
        <v>45154</v>
      </c>
      <c r="B172">
        <v>434.8599853515625</v>
      </c>
      <c r="C172">
        <v>439.6400146484375</v>
      </c>
      <c r="D172" s="54">
        <f t="shared" si="2"/>
        <v>-1.0332290869333627E-2</v>
      </c>
      <c r="E172" s="54">
        <f t="shared" si="2"/>
        <v>-7.3381649901947954E-3</v>
      </c>
    </row>
    <row r="173" spans="1:5" x14ac:dyDescent="0.25">
      <c r="A173" s="101">
        <v>45153</v>
      </c>
      <c r="B173">
        <v>439.39999389648438</v>
      </c>
      <c r="C173">
        <v>442.8900146484375</v>
      </c>
      <c r="D173" s="54">
        <f t="shared" si="2"/>
        <v>4.273981492479928E-3</v>
      </c>
      <c r="E173" s="54">
        <f t="shared" si="2"/>
        <v>-1.1648860489082202E-2</v>
      </c>
    </row>
    <row r="174" spans="1:5" x14ac:dyDescent="0.25">
      <c r="A174" s="101">
        <v>45152</v>
      </c>
      <c r="B174">
        <v>437.52999877929688</v>
      </c>
      <c r="C174">
        <v>448.1099853515625</v>
      </c>
      <c r="D174" s="54">
        <f t="shared" si="2"/>
        <v>7.0933819244203722E-2</v>
      </c>
      <c r="E174" s="54">
        <f t="shared" si="2"/>
        <v>5.5200078284967091E-3</v>
      </c>
    </row>
    <row r="175" spans="1:5" x14ac:dyDescent="0.25">
      <c r="A175" s="101">
        <v>45149</v>
      </c>
      <c r="B175">
        <v>408.54998779296881</v>
      </c>
      <c r="C175">
        <v>445.64999389648438</v>
      </c>
      <c r="D175" s="54">
        <f t="shared" si="2"/>
        <v>-3.6165935909342806E-2</v>
      </c>
      <c r="E175" s="54">
        <f t="shared" si="2"/>
        <v>-5.8309919824539591E-4</v>
      </c>
    </row>
    <row r="176" spans="1:5" x14ac:dyDescent="0.25">
      <c r="A176" s="101">
        <v>45148</v>
      </c>
      <c r="B176">
        <v>423.8800048828125</v>
      </c>
      <c r="C176">
        <v>445.91000366210938</v>
      </c>
      <c r="D176" s="54">
        <f t="shared" si="2"/>
        <v>-3.9009344098702714E-3</v>
      </c>
      <c r="E176" s="54">
        <f t="shared" si="2"/>
        <v>3.5895381292072592E-4</v>
      </c>
    </row>
    <row r="177" spans="1:5" x14ac:dyDescent="0.25">
      <c r="A177" s="101">
        <v>45147</v>
      </c>
      <c r="B177">
        <v>425.54000854492188</v>
      </c>
      <c r="C177">
        <v>445.75</v>
      </c>
      <c r="D177" s="54">
        <f t="shared" si="2"/>
        <v>-4.7241638481773762E-2</v>
      </c>
      <c r="E177" s="54">
        <f t="shared" si="2"/>
        <v>-6.6852367688022829E-3</v>
      </c>
    </row>
    <row r="178" spans="1:5" x14ac:dyDescent="0.25">
      <c r="A178" s="101">
        <v>45146</v>
      </c>
      <c r="B178">
        <v>446.6400146484375</v>
      </c>
      <c r="C178">
        <v>448.75</v>
      </c>
      <c r="D178" s="54">
        <f t="shared" si="2"/>
        <v>-1.6579691649975081E-2</v>
      </c>
      <c r="E178" s="54">
        <f t="shared" si="2"/>
        <v>-4.348675405997704E-3</v>
      </c>
    </row>
    <row r="179" spans="1:5" x14ac:dyDescent="0.25">
      <c r="A179" s="101">
        <v>45145</v>
      </c>
      <c r="B179">
        <v>454.17001342773438</v>
      </c>
      <c r="C179">
        <v>450.70999145507813</v>
      </c>
      <c r="D179" s="54">
        <f t="shared" si="2"/>
        <v>1.6495133921490934E-2</v>
      </c>
      <c r="E179" s="54">
        <f t="shared" si="2"/>
        <v>8.7285287209197815E-3</v>
      </c>
    </row>
    <row r="180" spans="1:5" x14ac:dyDescent="0.25">
      <c r="A180" s="101">
        <v>45142</v>
      </c>
      <c r="B180">
        <v>446.79998779296881</v>
      </c>
      <c r="C180">
        <v>446.80999755859381</v>
      </c>
      <c r="D180" s="54">
        <f t="shared" si="2"/>
        <v>3.7066020871789895E-3</v>
      </c>
      <c r="E180" s="54">
        <f t="shared" si="2"/>
        <v>-4.5227671238295963E-3</v>
      </c>
    </row>
    <row r="181" spans="1:5" x14ac:dyDescent="0.25">
      <c r="A181" s="101">
        <v>45141</v>
      </c>
      <c r="B181">
        <v>445.14999389648438</v>
      </c>
      <c r="C181">
        <v>448.83999633789063</v>
      </c>
      <c r="D181" s="54">
        <f t="shared" si="2"/>
        <v>5.5569166719633412E-3</v>
      </c>
      <c r="E181" s="54">
        <f t="shared" si="2"/>
        <v>-2.8658577098359395E-3</v>
      </c>
    </row>
    <row r="182" spans="1:5" x14ac:dyDescent="0.25">
      <c r="A182" s="101">
        <v>45140</v>
      </c>
      <c r="B182">
        <v>442.69000244140619</v>
      </c>
      <c r="C182">
        <v>450.1300048828125</v>
      </c>
      <c r="D182" s="54">
        <f t="shared" si="2"/>
        <v>-4.8121797859156712E-2</v>
      </c>
      <c r="E182" s="54">
        <f t="shared" si="2"/>
        <v>-1.3910808689727716E-2</v>
      </c>
    </row>
    <row r="183" spans="1:5" x14ac:dyDescent="0.25">
      <c r="A183" s="101">
        <v>45139</v>
      </c>
      <c r="B183">
        <v>465.07000732421881</v>
      </c>
      <c r="C183">
        <v>456.48001098632813</v>
      </c>
      <c r="D183" s="54">
        <f t="shared" si="2"/>
        <v>-4.7507996749509562E-3</v>
      </c>
      <c r="E183" s="54">
        <f t="shared" si="2"/>
        <v>-2.861568697747563E-3</v>
      </c>
    </row>
    <row r="184" spans="1:5" x14ac:dyDescent="0.25">
      <c r="A184" s="101">
        <v>45138</v>
      </c>
      <c r="B184">
        <v>467.29000854492188</v>
      </c>
      <c r="C184">
        <v>457.79000854492188</v>
      </c>
      <c r="D184" s="54">
        <f t="shared" si="2"/>
        <v>-4.4917958305479289E-4</v>
      </c>
      <c r="E184" s="54">
        <f t="shared" si="2"/>
        <v>1.9040424836307412E-3</v>
      </c>
    </row>
    <row r="185" spans="1:5" x14ac:dyDescent="0.25">
      <c r="A185" s="101">
        <v>45135</v>
      </c>
      <c r="B185">
        <v>467.5</v>
      </c>
      <c r="C185">
        <v>456.92001342773438</v>
      </c>
      <c r="D185" s="54">
        <f t="shared" si="2"/>
        <v>1.8518518518518601E-2</v>
      </c>
      <c r="E185" s="54">
        <f t="shared" si="2"/>
        <v>9.7903230766822613E-3</v>
      </c>
    </row>
    <row r="186" spans="1:5" x14ac:dyDescent="0.25">
      <c r="A186" s="101">
        <v>45134</v>
      </c>
      <c r="B186">
        <v>459</v>
      </c>
      <c r="C186">
        <v>452.489990234375</v>
      </c>
      <c r="D186" s="54">
        <f t="shared" si="2"/>
        <v>9.8565763764315584E-3</v>
      </c>
      <c r="E186" s="54">
        <f t="shared" si="2"/>
        <v>-6.629974021435614E-3</v>
      </c>
    </row>
    <row r="187" spans="1:5" x14ac:dyDescent="0.25">
      <c r="A187" s="101">
        <v>45133</v>
      </c>
      <c r="B187">
        <v>454.51998901367188</v>
      </c>
      <c r="C187">
        <v>455.510009765625</v>
      </c>
      <c r="D187" s="54">
        <f t="shared" si="2"/>
        <v>-4.9695034672080363E-3</v>
      </c>
      <c r="E187" s="54">
        <f t="shared" si="2"/>
        <v>1.5371360408300561E-4</v>
      </c>
    </row>
    <row r="188" spans="1:5" x14ac:dyDescent="0.25">
      <c r="A188" s="101">
        <v>45132</v>
      </c>
      <c r="B188">
        <v>456.79000854492188</v>
      </c>
      <c r="C188">
        <v>455.44000244140619</v>
      </c>
      <c r="D188" s="54">
        <f t="shared" si="2"/>
        <v>2.3917362020349664E-2</v>
      </c>
      <c r="E188" s="54">
        <f t="shared" si="2"/>
        <v>2.7300532828031798E-3</v>
      </c>
    </row>
    <row r="189" spans="1:5" x14ac:dyDescent="0.25">
      <c r="A189" s="101">
        <v>45131</v>
      </c>
      <c r="B189">
        <v>446.1199951171875</v>
      </c>
      <c r="C189">
        <v>454.20001220703119</v>
      </c>
      <c r="D189" s="54">
        <f t="shared" si="2"/>
        <v>6.8383371422049422E-3</v>
      </c>
      <c r="E189" s="54">
        <f t="shared" si="2"/>
        <v>4.4672908221712326E-3</v>
      </c>
    </row>
    <row r="190" spans="1:5" x14ac:dyDescent="0.25">
      <c r="A190" s="101">
        <v>45128</v>
      </c>
      <c r="B190">
        <v>443.08999633789063</v>
      </c>
      <c r="C190">
        <v>452.17999267578119</v>
      </c>
      <c r="D190" s="54">
        <f t="shared" si="2"/>
        <v>-2.660372483389295E-2</v>
      </c>
      <c r="E190" s="54">
        <f t="shared" si="2"/>
        <v>0</v>
      </c>
    </row>
    <row r="191" spans="1:5" x14ac:dyDescent="0.25">
      <c r="A191" s="101">
        <v>45127</v>
      </c>
      <c r="B191">
        <v>455.20001220703119</v>
      </c>
      <c r="C191">
        <v>452.17999267578119</v>
      </c>
      <c r="D191" s="54">
        <f t="shared" si="2"/>
        <v>-3.3073426875111389E-2</v>
      </c>
      <c r="E191" s="54">
        <f t="shared" si="2"/>
        <v>-6.6344891262358763E-3</v>
      </c>
    </row>
    <row r="192" spans="1:5" x14ac:dyDescent="0.25">
      <c r="A192" s="101">
        <v>45126</v>
      </c>
      <c r="B192">
        <v>470.76998901367188</v>
      </c>
      <c r="C192">
        <v>455.20001220703119</v>
      </c>
      <c r="D192" s="54">
        <f t="shared" si="2"/>
        <v>-8.7800846555323719E-3</v>
      </c>
      <c r="E192" s="54">
        <f t="shared" si="2"/>
        <v>2.2237604531052391E-3</v>
      </c>
    </row>
    <row r="193" spans="1:5" x14ac:dyDescent="0.25">
      <c r="A193" s="101">
        <v>45125</v>
      </c>
      <c r="B193">
        <v>474.94000244140619</v>
      </c>
      <c r="C193">
        <v>454.19000244140619</v>
      </c>
      <c r="D193" s="54">
        <f t="shared" si="2"/>
        <v>2.2233738868154385E-2</v>
      </c>
      <c r="E193" s="54">
        <f t="shared" si="2"/>
        <v>7.4305876380249547E-3</v>
      </c>
    </row>
    <row r="194" spans="1:5" x14ac:dyDescent="0.25">
      <c r="A194" s="101">
        <v>45124</v>
      </c>
      <c r="B194">
        <v>464.6099853515625</v>
      </c>
      <c r="C194">
        <v>450.83999633789063</v>
      </c>
      <c r="D194" s="54">
        <f t="shared" si="2"/>
        <v>2.1817024471380675E-2</v>
      </c>
      <c r="E194" s="54">
        <f t="shared" si="2"/>
        <v>3.4722167976146689E-3</v>
      </c>
    </row>
    <row r="195" spans="1:5" x14ac:dyDescent="0.25">
      <c r="A195" s="101">
        <v>45121</v>
      </c>
      <c r="B195">
        <v>454.69000244140619</v>
      </c>
      <c r="C195">
        <v>449.27999877929688</v>
      </c>
      <c r="D195" s="54">
        <f t="shared" ref="D195:E258" si="3">+B195/B196-1</f>
        <v>-1.1048973820939501E-2</v>
      </c>
      <c r="E195" s="54">
        <f t="shared" si="3"/>
        <v>-6.228285007952028E-4</v>
      </c>
    </row>
    <row r="196" spans="1:5" x14ac:dyDescent="0.25">
      <c r="A196" s="101">
        <v>45120</v>
      </c>
      <c r="B196">
        <v>459.76998901367188</v>
      </c>
      <c r="C196">
        <v>449.55999755859381</v>
      </c>
      <c r="D196" s="54">
        <f t="shared" si="3"/>
        <v>4.7264362715279118E-2</v>
      </c>
      <c r="E196" s="54">
        <f t="shared" si="3"/>
        <v>7.9368831714252686E-3</v>
      </c>
    </row>
    <row r="197" spans="1:5" x14ac:dyDescent="0.25">
      <c r="A197" s="101">
        <v>45119</v>
      </c>
      <c r="B197">
        <v>439.01998901367188</v>
      </c>
      <c r="C197">
        <v>446.01998901367188</v>
      </c>
      <c r="D197" s="54">
        <f t="shared" si="3"/>
        <v>3.5302444644832232E-2</v>
      </c>
      <c r="E197" s="54">
        <f t="shared" si="3"/>
        <v>8.045919692956538E-3</v>
      </c>
    </row>
    <row r="198" spans="1:5" x14ac:dyDescent="0.25">
      <c r="A198" s="101">
        <v>45118</v>
      </c>
      <c r="B198">
        <v>424.04998779296881</v>
      </c>
      <c r="C198">
        <v>442.45999145507813</v>
      </c>
      <c r="D198" s="54">
        <f t="shared" si="3"/>
        <v>5.3342818044470608E-3</v>
      </c>
      <c r="E198" s="54">
        <f t="shared" si="3"/>
        <v>6.3685297039677291E-3</v>
      </c>
    </row>
    <row r="199" spans="1:5" x14ac:dyDescent="0.25">
      <c r="A199" s="101">
        <v>45117</v>
      </c>
      <c r="B199">
        <v>421.79998779296881</v>
      </c>
      <c r="C199">
        <v>439.66000366210938</v>
      </c>
      <c r="D199" s="54">
        <f t="shared" si="3"/>
        <v>-7.599489437462692E-3</v>
      </c>
      <c r="E199" s="54">
        <f t="shared" si="3"/>
        <v>2.5311045491684947E-3</v>
      </c>
    </row>
    <row r="200" spans="1:5" x14ac:dyDescent="0.25">
      <c r="A200" s="101">
        <v>45114</v>
      </c>
      <c r="B200">
        <v>425.02999877929688</v>
      </c>
      <c r="C200">
        <v>438.54998779296881</v>
      </c>
      <c r="D200" s="54">
        <f t="shared" si="3"/>
        <v>9.5005106799925798E-3</v>
      </c>
      <c r="E200" s="54">
        <f t="shared" si="3"/>
        <v>-2.5247142334867689E-3</v>
      </c>
    </row>
    <row r="201" spans="1:5" x14ac:dyDescent="0.25">
      <c r="A201" s="101">
        <v>45113</v>
      </c>
      <c r="B201">
        <v>421.02999877929688</v>
      </c>
      <c r="C201">
        <v>439.66000366210938</v>
      </c>
      <c r="D201" s="54">
        <f t="shared" si="3"/>
        <v>-5.0571037184394818E-3</v>
      </c>
      <c r="E201" s="54">
        <f t="shared" si="3"/>
        <v>-7.8306618429523356E-3</v>
      </c>
    </row>
    <row r="202" spans="1:5" x14ac:dyDescent="0.25">
      <c r="A202" s="101">
        <v>45112</v>
      </c>
      <c r="B202">
        <v>423.17001342773438</v>
      </c>
      <c r="C202">
        <v>443.1300048828125</v>
      </c>
      <c r="D202" s="54">
        <f t="shared" si="3"/>
        <v>-2.2634367859528659E-3</v>
      </c>
      <c r="E202" s="54">
        <f t="shared" si="3"/>
        <v>-1.4871981103706799E-3</v>
      </c>
    </row>
    <row r="203" spans="1:5" x14ac:dyDescent="0.25">
      <c r="A203" s="101">
        <v>45110</v>
      </c>
      <c r="B203">
        <v>424.1300048828125</v>
      </c>
      <c r="C203">
        <v>443.79000854492188</v>
      </c>
      <c r="D203" s="54">
        <f t="shared" si="3"/>
        <v>2.6240269915585035E-3</v>
      </c>
      <c r="E203" s="54">
        <f t="shared" si="3"/>
        <v>1.1505363811348257E-3</v>
      </c>
    </row>
    <row r="204" spans="1:5" x14ac:dyDescent="0.25">
      <c r="A204" s="101">
        <v>45107</v>
      </c>
      <c r="B204">
        <v>423.01998901367188</v>
      </c>
      <c r="C204">
        <v>443.27999877929688</v>
      </c>
      <c r="D204" s="54">
        <f t="shared" si="3"/>
        <v>3.6254930548998754E-2</v>
      </c>
      <c r="E204" s="54">
        <f t="shared" si="3"/>
        <v>1.1800720368392525E-2</v>
      </c>
    </row>
    <row r="205" spans="1:5" x14ac:dyDescent="0.25">
      <c r="A205" s="101">
        <v>45106</v>
      </c>
      <c r="B205">
        <v>408.22000122070313</v>
      </c>
      <c r="C205">
        <v>438.1099853515625</v>
      </c>
      <c r="D205" s="54">
        <f t="shared" si="3"/>
        <v>-7.1746774100532873E-3</v>
      </c>
      <c r="E205" s="54">
        <f t="shared" si="3"/>
        <v>3.9413612717758006E-3</v>
      </c>
    </row>
    <row r="206" spans="1:5" x14ac:dyDescent="0.25">
      <c r="A206" s="101">
        <v>45105</v>
      </c>
      <c r="B206">
        <v>411.17001342773438</v>
      </c>
      <c r="C206">
        <v>436.3900146484375</v>
      </c>
      <c r="D206" s="54">
        <f t="shared" si="3"/>
        <v>-1.8124931132126654E-2</v>
      </c>
      <c r="E206" s="54">
        <f t="shared" si="3"/>
        <v>5.0439327310503046E-4</v>
      </c>
    </row>
    <row r="207" spans="1:5" x14ac:dyDescent="0.25">
      <c r="A207" s="101">
        <v>45104</v>
      </c>
      <c r="B207">
        <v>418.760009765625</v>
      </c>
      <c r="C207">
        <v>436.17001342773438</v>
      </c>
      <c r="D207" s="54">
        <f t="shared" si="3"/>
        <v>3.0616268500605281E-2</v>
      </c>
      <c r="E207" s="54">
        <f t="shared" si="3"/>
        <v>1.096331114306115E-2</v>
      </c>
    </row>
    <row r="208" spans="1:5" x14ac:dyDescent="0.25">
      <c r="A208" s="101">
        <v>45103</v>
      </c>
      <c r="B208">
        <v>406.32000732421881</v>
      </c>
      <c r="C208">
        <v>431.44000244140619</v>
      </c>
      <c r="D208" s="54">
        <f t="shared" si="3"/>
        <v>-3.7361674407103584E-2</v>
      </c>
      <c r="E208" s="54">
        <f t="shared" si="3"/>
        <v>-4.0857529802736936E-3</v>
      </c>
    </row>
    <row r="209" spans="1:5" x14ac:dyDescent="0.25">
      <c r="A209" s="101">
        <v>45100</v>
      </c>
      <c r="B209">
        <v>422.08999633789063</v>
      </c>
      <c r="C209">
        <v>433.20999145507813</v>
      </c>
      <c r="D209" s="54">
        <f t="shared" si="3"/>
        <v>-1.8965726117627812E-2</v>
      </c>
      <c r="E209" s="54">
        <f t="shared" si="3"/>
        <v>-7.5600060404542591E-3</v>
      </c>
    </row>
    <row r="210" spans="1:5" x14ac:dyDescent="0.25">
      <c r="A210" s="101">
        <v>45099</v>
      </c>
      <c r="B210">
        <v>430.25</v>
      </c>
      <c r="C210">
        <v>436.510009765625</v>
      </c>
      <c r="D210" s="54">
        <f t="shared" si="3"/>
        <v>-4.6465838392173442E-4</v>
      </c>
      <c r="E210" s="54">
        <f t="shared" si="3"/>
        <v>3.6097101103740314E-3</v>
      </c>
    </row>
    <row r="211" spans="1:5" x14ac:dyDescent="0.25">
      <c r="A211" s="101">
        <v>45098</v>
      </c>
      <c r="B211">
        <v>430.45001220703119</v>
      </c>
      <c r="C211">
        <v>434.94000244140619</v>
      </c>
      <c r="D211" s="54">
        <f t="shared" si="3"/>
        <v>-1.7416852171072139E-2</v>
      </c>
      <c r="E211" s="54">
        <f t="shared" si="3"/>
        <v>-5.1237254035003676E-3</v>
      </c>
    </row>
    <row r="212" spans="1:5" x14ac:dyDescent="0.25">
      <c r="A212" s="101">
        <v>45097</v>
      </c>
      <c r="B212">
        <v>438.07998657226563</v>
      </c>
      <c r="C212">
        <v>437.17999267578119</v>
      </c>
      <c r="D212" s="54">
        <f t="shared" si="3"/>
        <v>2.6140665214844372E-2</v>
      </c>
      <c r="E212" s="54">
        <f t="shared" si="3"/>
        <v>-5.1881828235323946E-3</v>
      </c>
    </row>
    <row r="213" spans="1:5" x14ac:dyDescent="0.25">
      <c r="A213" s="101">
        <v>45093</v>
      </c>
      <c r="B213">
        <v>426.92001342773438</v>
      </c>
      <c r="C213">
        <v>439.45999145507813</v>
      </c>
      <c r="D213" s="54">
        <f t="shared" si="3"/>
        <v>9.1438972535029528E-4</v>
      </c>
      <c r="E213" s="54">
        <f t="shared" si="3"/>
        <v>-7.0944749325265732E-3</v>
      </c>
    </row>
    <row r="214" spans="1:5" x14ac:dyDescent="0.25">
      <c r="A214" s="101">
        <v>45092</v>
      </c>
      <c r="B214">
        <v>426.52999877929688</v>
      </c>
      <c r="C214">
        <v>442.60000610351563</v>
      </c>
      <c r="D214" s="54">
        <f t="shared" si="3"/>
        <v>-8.0005638338487284E-3</v>
      </c>
      <c r="E214" s="54">
        <f t="shared" si="3"/>
        <v>1.2397670338390787E-2</v>
      </c>
    </row>
    <row r="215" spans="1:5" x14ac:dyDescent="0.25">
      <c r="A215" s="101">
        <v>45091</v>
      </c>
      <c r="B215">
        <v>429.97000122070313</v>
      </c>
      <c r="C215">
        <v>437.17999267578119</v>
      </c>
      <c r="D215" s="54">
        <f t="shared" si="3"/>
        <v>4.8144897716418944E-2</v>
      </c>
      <c r="E215" s="54">
        <f t="shared" si="3"/>
        <v>1.1908327057914558E-3</v>
      </c>
    </row>
    <row r="216" spans="1:5" x14ac:dyDescent="0.25">
      <c r="A216" s="101">
        <v>45090</v>
      </c>
      <c r="B216">
        <v>410.22000122070313</v>
      </c>
      <c r="C216">
        <v>436.66000366210938</v>
      </c>
      <c r="D216" s="54">
        <f t="shared" si="3"/>
        <v>3.9005100072950771E-2</v>
      </c>
      <c r="E216" s="54">
        <f t="shared" si="3"/>
        <v>6.5929367211174927E-3</v>
      </c>
    </row>
    <row r="217" spans="1:5" x14ac:dyDescent="0.25">
      <c r="A217" s="101">
        <v>45089</v>
      </c>
      <c r="B217">
        <v>394.82000732421881</v>
      </c>
      <c r="C217">
        <v>433.79998779296881</v>
      </c>
      <c r="D217" s="54">
        <f t="shared" si="3"/>
        <v>1.8364701813281314E-2</v>
      </c>
      <c r="E217" s="54">
        <f t="shared" si="3"/>
        <v>9.0718631120136894E-3</v>
      </c>
    </row>
    <row r="218" spans="1:5" x14ac:dyDescent="0.25">
      <c r="A218" s="101">
        <v>45086</v>
      </c>
      <c r="B218">
        <v>387.70001220703119</v>
      </c>
      <c r="C218">
        <v>429.89999389648438</v>
      </c>
      <c r="D218" s="54">
        <f t="shared" si="3"/>
        <v>6.7515088608351981E-3</v>
      </c>
      <c r="E218" s="54">
        <f t="shared" si="3"/>
        <v>1.7943024372815142E-3</v>
      </c>
    </row>
    <row r="219" spans="1:5" x14ac:dyDescent="0.25">
      <c r="A219" s="101">
        <v>45085</v>
      </c>
      <c r="B219">
        <v>385.10000610351563</v>
      </c>
      <c r="C219">
        <v>429.1300048828125</v>
      </c>
      <c r="D219" s="54">
        <f t="shared" si="3"/>
        <v>2.7618428561749564E-2</v>
      </c>
      <c r="E219" s="54">
        <f t="shared" si="3"/>
        <v>6.0485691329943414E-3</v>
      </c>
    </row>
    <row r="220" spans="1:5" x14ac:dyDescent="0.25">
      <c r="A220" s="101">
        <v>45084</v>
      </c>
      <c r="B220">
        <v>374.75</v>
      </c>
      <c r="C220">
        <v>426.54998779296881</v>
      </c>
      <c r="D220" s="54">
        <f t="shared" si="3"/>
        <v>-3.0501392570729702E-2</v>
      </c>
      <c r="E220" s="54">
        <f t="shared" si="3"/>
        <v>-3.4577272400273529E-3</v>
      </c>
    </row>
    <row r="221" spans="1:5" x14ac:dyDescent="0.25">
      <c r="A221" s="101">
        <v>45083</v>
      </c>
      <c r="B221">
        <v>386.54000854492188</v>
      </c>
      <c r="C221">
        <v>428.02999877929688</v>
      </c>
      <c r="D221" s="54">
        <f t="shared" si="3"/>
        <v>-1.3198496395130044E-2</v>
      </c>
      <c r="E221" s="54">
        <f t="shared" si="3"/>
        <v>2.1774588210983215E-3</v>
      </c>
    </row>
    <row r="222" spans="1:5" x14ac:dyDescent="0.25">
      <c r="A222" s="101">
        <v>45082</v>
      </c>
      <c r="B222">
        <v>391.70999145507813</v>
      </c>
      <c r="C222">
        <v>427.10000610351563</v>
      </c>
      <c r="D222" s="54">
        <f t="shared" si="3"/>
        <v>-3.9667343102031127E-3</v>
      </c>
      <c r="E222" s="54">
        <f t="shared" si="3"/>
        <v>-1.9162630830240612E-3</v>
      </c>
    </row>
    <row r="223" spans="1:5" x14ac:dyDescent="0.25">
      <c r="A223" s="101">
        <v>45079</v>
      </c>
      <c r="B223">
        <v>393.26998901367188</v>
      </c>
      <c r="C223">
        <v>427.92001342773438</v>
      </c>
      <c r="D223" s="54">
        <f t="shared" si="3"/>
        <v>-1.1139107511651702E-2</v>
      </c>
      <c r="E223" s="54">
        <f t="shared" si="3"/>
        <v>1.4461158782416383E-2</v>
      </c>
    </row>
    <row r="224" spans="1:5" x14ac:dyDescent="0.25">
      <c r="A224" s="101">
        <v>45078</v>
      </c>
      <c r="B224">
        <v>397.70001220703119</v>
      </c>
      <c r="C224">
        <v>421.82000732421881</v>
      </c>
      <c r="D224" s="54">
        <f t="shared" si="3"/>
        <v>5.1170946916884841E-2</v>
      </c>
      <c r="E224" s="54">
        <f t="shared" si="3"/>
        <v>9.5010198940135293E-3</v>
      </c>
    </row>
    <row r="225" spans="1:5" x14ac:dyDescent="0.25">
      <c r="A225" s="101">
        <v>45077</v>
      </c>
      <c r="B225">
        <v>378.33999633789063</v>
      </c>
      <c r="C225">
        <v>417.85000610351563</v>
      </c>
      <c r="D225" s="54">
        <f t="shared" si="3"/>
        <v>-5.6767444953320201E-2</v>
      </c>
      <c r="E225" s="54">
        <f t="shared" si="3"/>
        <v>-5.5452106546716173E-3</v>
      </c>
    </row>
    <row r="226" spans="1:5" x14ac:dyDescent="0.25">
      <c r="A226" s="101">
        <v>45076</v>
      </c>
      <c r="B226">
        <v>401.1099853515625</v>
      </c>
      <c r="C226">
        <v>420.17999267578119</v>
      </c>
      <c r="D226" s="54">
        <f t="shared" si="3"/>
        <v>2.9913198151518383E-2</v>
      </c>
      <c r="E226" s="54">
        <f t="shared" si="3"/>
        <v>3.8094297008361977E-4</v>
      </c>
    </row>
    <row r="227" spans="1:5" x14ac:dyDescent="0.25">
      <c r="A227" s="101">
        <v>45072</v>
      </c>
      <c r="B227">
        <v>389.45999145507813</v>
      </c>
      <c r="C227">
        <v>420.01998901367188</v>
      </c>
      <c r="D227" s="54">
        <f t="shared" si="3"/>
        <v>2.5434449638200185E-2</v>
      </c>
      <c r="E227" s="54">
        <f t="shared" si="3"/>
        <v>1.2950669712364915E-2</v>
      </c>
    </row>
    <row r="228" spans="1:5" x14ac:dyDescent="0.25">
      <c r="A228" s="101">
        <v>45071</v>
      </c>
      <c r="B228">
        <v>379.79998779296881</v>
      </c>
      <c r="C228">
        <v>414.64999389648438</v>
      </c>
      <c r="D228" s="54">
        <f t="shared" si="3"/>
        <v>0.24369631842371109</v>
      </c>
      <c r="E228" s="54">
        <f t="shared" si="3"/>
        <v>8.659898295524604E-3</v>
      </c>
    </row>
    <row r="229" spans="1:5" x14ac:dyDescent="0.25">
      <c r="A229" s="101">
        <v>45070</v>
      </c>
      <c r="B229">
        <v>305.3800048828125</v>
      </c>
      <c r="C229">
        <v>411.08999633789063</v>
      </c>
      <c r="D229" s="54">
        <f t="shared" si="3"/>
        <v>-4.887903988963993E-3</v>
      </c>
      <c r="E229" s="54">
        <f t="shared" si="3"/>
        <v>-7.244801918740551E-3</v>
      </c>
    </row>
    <row r="230" spans="1:5" x14ac:dyDescent="0.25">
      <c r="A230" s="101">
        <v>45069</v>
      </c>
      <c r="B230">
        <v>306.8800048828125</v>
      </c>
      <c r="C230">
        <v>414.08999633789063</v>
      </c>
      <c r="D230" s="54">
        <f t="shared" si="3"/>
        <v>-1.5653081633148491E-2</v>
      </c>
      <c r="E230" s="54">
        <f t="shared" si="3"/>
        <v>-1.1222837486886017E-2</v>
      </c>
    </row>
    <row r="231" spans="1:5" x14ac:dyDescent="0.25">
      <c r="A231" s="101">
        <v>45068</v>
      </c>
      <c r="B231">
        <v>311.760009765625</v>
      </c>
      <c r="C231">
        <v>418.79000854492188</v>
      </c>
      <c r="D231" s="54">
        <f t="shared" si="3"/>
        <v>-2.8147544830500193E-3</v>
      </c>
      <c r="E231" s="54">
        <f t="shared" si="3"/>
        <v>4.0612830184283411E-4</v>
      </c>
    </row>
    <row r="232" spans="1:5" x14ac:dyDescent="0.25">
      <c r="A232" s="101">
        <v>45065</v>
      </c>
      <c r="B232">
        <v>312.6400146484375</v>
      </c>
      <c r="C232">
        <v>418.6199951171875</v>
      </c>
      <c r="D232" s="54">
        <f t="shared" si="3"/>
        <v>-1.3068956836961632E-2</v>
      </c>
      <c r="E232" s="54">
        <f t="shared" si="3"/>
        <v>-1.4550863563069782E-3</v>
      </c>
    </row>
    <row r="233" spans="1:5" x14ac:dyDescent="0.25">
      <c r="A233" s="101">
        <v>45064</v>
      </c>
      <c r="B233">
        <v>316.77999877929688</v>
      </c>
      <c r="C233">
        <v>419.23001098632813</v>
      </c>
      <c r="D233" s="54">
        <f t="shared" si="3"/>
        <v>4.9705083374230075E-2</v>
      </c>
      <c r="E233" s="54">
        <f t="shared" si="3"/>
        <v>9.6332150715658926E-3</v>
      </c>
    </row>
    <row r="234" spans="1:5" x14ac:dyDescent="0.25">
      <c r="A234" s="101">
        <v>45063</v>
      </c>
      <c r="B234">
        <v>301.77999877929688</v>
      </c>
      <c r="C234">
        <v>415.23001098632813</v>
      </c>
      <c r="D234" s="54">
        <f t="shared" si="3"/>
        <v>3.3033217181355434E-2</v>
      </c>
      <c r="E234" s="54">
        <f t="shared" si="3"/>
        <v>1.213896645052559E-2</v>
      </c>
    </row>
    <row r="235" spans="1:5" x14ac:dyDescent="0.25">
      <c r="A235" s="101">
        <v>45062</v>
      </c>
      <c r="B235">
        <v>292.1300048828125</v>
      </c>
      <c r="C235">
        <v>410.25</v>
      </c>
      <c r="D235" s="54">
        <f t="shared" si="3"/>
        <v>8.9800922684268869E-3</v>
      </c>
      <c r="E235" s="54">
        <f t="shared" si="3"/>
        <v>-6.682670396272572E-3</v>
      </c>
    </row>
    <row r="236" spans="1:5" x14ac:dyDescent="0.25">
      <c r="A236" s="101">
        <v>45061</v>
      </c>
      <c r="B236">
        <v>289.52999877929688</v>
      </c>
      <c r="C236">
        <v>413.010009765625</v>
      </c>
      <c r="D236" s="54">
        <f t="shared" si="3"/>
        <v>2.1630222352974293E-2</v>
      </c>
      <c r="E236" s="54">
        <f t="shared" si="3"/>
        <v>3.4500678839837207E-3</v>
      </c>
    </row>
    <row r="237" spans="1:5" x14ac:dyDescent="0.25">
      <c r="A237" s="101">
        <v>45058</v>
      </c>
      <c r="B237">
        <v>283.39999389648438</v>
      </c>
      <c r="C237">
        <v>411.58999633789063</v>
      </c>
      <c r="D237" s="54">
        <f t="shared" si="3"/>
        <v>-8.3281016620430082E-3</v>
      </c>
      <c r="E237" s="54">
        <f t="shared" si="3"/>
        <v>-1.3102868961831771E-3</v>
      </c>
    </row>
    <row r="238" spans="1:5" x14ac:dyDescent="0.25">
      <c r="A238" s="101">
        <v>45057</v>
      </c>
      <c r="B238">
        <v>285.77999877929688</v>
      </c>
      <c r="C238">
        <v>412.1300048828125</v>
      </c>
      <c r="D238" s="54">
        <f t="shared" si="3"/>
        <v>-1.0628378948756345E-2</v>
      </c>
      <c r="E238" s="54">
        <f t="shared" si="3"/>
        <v>-1.7439777402415979E-3</v>
      </c>
    </row>
    <row r="239" spans="1:5" x14ac:dyDescent="0.25">
      <c r="A239" s="101">
        <v>45056</v>
      </c>
      <c r="B239">
        <v>288.85000610351563</v>
      </c>
      <c r="C239">
        <v>412.85000610351563</v>
      </c>
      <c r="D239" s="54">
        <f t="shared" si="3"/>
        <v>1.0990216451464807E-2</v>
      </c>
      <c r="E239" s="54">
        <f t="shared" si="3"/>
        <v>4.6723613801762376E-3</v>
      </c>
    </row>
    <row r="240" spans="1:5" x14ac:dyDescent="0.25">
      <c r="A240" s="101">
        <v>45055</v>
      </c>
      <c r="B240">
        <v>285.70999145507813</v>
      </c>
      <c r="C240">
        <v>410.92999267578119</v>
      </c>
      <c r="D240" s="54">
        <f t="shared" si="3"/>
        <v>-1.9896463641883577E-2</v>
      </c>
      <c r="E240" s="54">
        <f t="shared" si="3"/>
        <v>-4.3853215133479173E-3</v>
      </c>
    </row>
    <row r="241" spans="1:5" x14ac:dyDescent="0.25">
      <c r="A241" s="101">
        <v>45054</v>
      </c>
      <c r="B241">
        <v>291.510009765625</v>
      </c>
      <c r="C241">
        <v>412.739990234375</v>
      </c>
      <c r="D241" s="54">
        <f t="shared" si="3"/>
        <v>1.6422671454422E-2</v>
      </c>
      <c r="E241" s="54">
        <f t="shared" si="3"/>
        <v>2.6654714940987922E-4</v>
      </c>
    </row>
    <row r="242" spans="1:5" x14ac:dyDescent="0.25">
      <c r="A242" s="101">
        <v>45051</v>
      </c>
      <c r="B242">
        <v>286.79998779296881</v>
      </c>
      <c r="C242">
        <v>412.6300048828125</v>
      </c>
      <c r="D242" s="54">
        <f t="shared" si="3"/>
        <v>4.0563068260079715E-2</v>
      </c>
      <c r="E242" s="54">
        <f t="shared" si="3"/>
        <v>1.8512575986983304E-2</v>
      </c>
    </row>
    <row r="243" spans="1:5" x14ac:dyDescent="0.25">
      <c r="A243" s="101">
        <v>45050</v>
      </c>
      <c r="B243">
        <v>275.6199951171875</v>
      </c>
      <c r="C243">
        <v>405.1300048828125</v>
      </c>
      <c r="D243" s="54">
        <f t="shared" si="3"/>
        <v>-8.6324508716039139E-3</v>
      </c>
      <c r="E243" s="54">
        <f t="shared" si="3"/>
        <v>-7.082947425800068E-3</v>
      </c>
    </row>
    <row r="244" spans="1:5" x14ac:dyDescent="0.25">
      <c r="A244" s="101">
        <v>45049</v>
      </c>
      <c r="B244">
        <v>278.01998901367188</v>
      </c>
      <c r="C244">
        <v>408.01998901367188</v>
      </c>
      <c r="D244" s="54">
        <f t="shared" si="3"/>
        <v>-1.4463016666318662E-2</v>
      </c>
      <c r="E244" s="54">
        <f t="shared" si="3"/>
        <v>-6.8640038685510163E-3</v>
      </c>
    </row>
    <row r="245" spans="1:5" x14ac:dyDescent="0.25">
      <c r="A245" s="101">
        <v>45048</v>
      </c>
      <c r="B245">
        <v>282.10000610351563</v>
      </c>
      <c r="C245">
        <v>410.83999633789063</v>
      </c>
      <c r="D245" s="54">
        <f t="shared" si="3"/>
        <v>-2.4213074549343183E-2</v>
      </c>
      <c r="E245" s="54">
        <f t="shared" si="3"/>
        <v>-1.1239232071373118E-2</v>
      </c>
    </row>
    <row r="246" spans="1:5" x14ac:dyDescent="0.25">
      <c r="A246" s="101">
        <v>45047</v>
      </c>
      <c r="B246">
        <v>289.10000610351563</v>
      </c>
      <c r="C246">
        <v>415.510009765625</v>
      </c>
      <c r="D246" s="54">
        <f t="shared" si="3"/>
        <v>4.1839404222597354E-2</v>
      </c>
      <c r="E246" s="54">
        <f t="shared" si="3"/>
        <v>-1.0097442299227266E-3</v>
      </c>
    </row>
    <row r="247" spans="1:5" x14ac:dyDescent="0.25">
      <c r="A247" s="101">
        <v>45044</v>
      </c>
      <c r="B247">
        <v>277.489990234375</v>
      </c>
      <c r="C247">
        <v>415.92999267578119</v>
      </c>
      <c r="D247" s="54">
        <f t="shared" si="3"/>
        <v>1.9209506652307251E-2</v>
      </c>
      <c r="E247" s="54">
        <f t="shared" si="3"/>
        <v>8.5351688426931194E-3</v>
      </c>
    </row>
    <row r="248" spans="1:5" x14ac:dyDescent="0.25">
      <c r="A248" s="101">
        <v>45043</v>
      </c>
      <c r="B248">
        <v>272.260009765625</v>
      </c>
      <c r="C248">
        <v>412.41000366210938</v>
      </c>
      <c r="D248" s="54">
        <f t="shared" si="3"/>
        <v>1.0016368272314891E-2</v>
      </c>
      <c r="E248" s="54">
        <f t="shared" si="3"/>
        <v>1.990804877378749E-2</v>
      </c>
    </row>
    <row r="249" spans="1:5" x14ac:dyDescent="0.25">
      <c r="A249" s="101">
        <v>45042</v>
      </c>
      <c r="B249">
        <v>269.55999755859381</v>
      </c>
      <c r="C249">
        <v>404.3599853515625</v>
      </c>
      <c r="D249" s="54">
        <f t="shared" si="3"/>
        <v>2.7247413576850787E-2</v>
      </c>
      <c r="E249" s="54">
        <f t="shared" si="3"/>
        <v>-4.2356217434444954E-3</v>
      </c>
    </row>
    <row r="250" spans="1:5" x14ac:dyDescent="0.25">
      <c r="A250" s="101">
        <v>45041</v>
      </c>
      <c r="B250">
        <v>262.41000366210938</v>
      </c>
      <c r="C250">
        <v>406.07998657226563</v>
      </c>
      <c r="D250" s="54">
        <f t="shared" si="3"/>
        <v>-2.9620624835023701E-2</v>
      </c>
      <c r="E250" s="54">
        <f t="shared" si="3"/>
        <v>-1.5873829418699414E-2</v>
      </c>
    </row>
    <row r="251" spans="1:5" x14ac:dyDescent="0.25">
      <c r="A251" s="101">
        <v>45040</v>
      </c>
      <c r="B251">
        <v>270.42001342773438</v>
      </c>
      <c r="C251">
        <v>412.6300048828125</v>
      </c>
      <c r="D251" s="54">
        <f t="shared" si="3"/>
        <v>-2.839297196577828E-3</v>
      </c>
      <c r="E251" s="54">
        <f t="shared" si="3"/>
        <v>1.0431651214153348E-3</v>
      </c>
    </row>
    <row r="252" spans="1:5" x14ac:dyDescent="0.25">
      <c r="A252" s="101">
        <v>45037</v>
      </c>
      <c r="B252">
        <v>271.19000244140619</v>
      </c>
      <c r="C252">
        <v>412.20001220703119</v>
      </c>
      <c r="D252" s="54">
        <f t="shared" si="3"/>
        <v>5.534013125574333E-4</v>
      </c>
      <c r="E252" s="54">
        <f t="shared" si="3"/>
        <v>7.7694309125231342E-4</v>
      </c>
    </row>
    <row r="253" spans="1:5" x14ac:dyDescent="0.25">
      <c r="A253" s="101">
        <v>45036</v>
      </c>
      <c r="B253">
        <v>271.04000854492188</v>
      </c>
      <c r="C253">
        <v>411.8800048828125</v>
      </c>
      <c r="D253" s="54">
        <f t="shared" si="3"/>
        <v>-2.9608639454221652E-2</v>
      </c>
      <c r="E253" s="54">
        <f t="shared" si="3"/>
        <v>-5.4571151921736227E-3</v>
      </c>
    </row>
    <row r="254" spans="1:5" x14ac:dyDescent="0.25">
      <c r="A254" s="101">
        <v>45035</v>
      </c>
      <c r="B254">
        <v>279.30999755859381</v>
      </c>
      <c r="C254">
        <v>414.1400146484375</v>
      </c>
      <c r="D254" s="54">
        <f t="shared" si="3"/>
        <v>9.5419958894424894E-3</v>
      </c>
      <c r="E254" s="54">
        <f t="shared" si="3"/>
        <v>-1.6894041207171639E-4</v>
      </c>
    </row>
    <row r="255" spans="1:5" x14ac:dyDescent="0.25">
      <c r="A255" s="101">
        <v>45034</v>
      </c>
      <c r="B255">
        <v>276.67001342773438</v>
      </c>
      <c r="C255">
        <v>414.20999145507813</v>
      </c>
      <c r="D255" s="54">
        <f t="shared" si="3"/>
        <v>2.4627896765545776E-2</v>
      </c>
      <c r="E255" s="54">
        <f t="shared" si="3"/>
        <v>6.5224189998436266E-4</v>
      </c>
    </row>
    <row r="256" spans="1:5" x14ac:dyDescent="0.25">
      <c r="A256" s="101">
        <v>45033</v>
      </c>
      <c r="B256">
        <v>270.01998901367188</v>
      </c>
      <c r="C256">
        <v>413.94000244140619</v>
      </c>
      <c r="D256" s="54">
        <f t="shared" si="3"/>
        <v>9.1187778004737652E-3</v>
      </c>
      <c r="E256" s="54">
        <f t="shared" si="3"/>
        <v>3.5882534475812911E-3</v>
      </c>
    </row>
    <row r="257" spans="1:5" x14ac:dyDescent="0.25">
      <c r="A257" s="101">
        <v>45030</v>
      </c>
      <c r="B257">
        <v>267.57998657226563</v>
      </c>
      <c r="C257">
        <v>412.45999145507813</v>
      </c>
      <c r="D257" s="54">
        <f t="shared" si="3"/>
        <v>1.1147570702572107E-2</v>
      </c>
      <c r="E257" s="54">
        <f t="shared" si="3"/>
        <v>-2.4427643181926806E-3</v>
      </c>
    </row>
    <row r="258" spans="1:5" x14ac:dyDescent="0.25">
      <c r="A258" s="101">
        <v>45029</v>
      </c>
      <c r="B258">
        <v>264.6300048828125</v>
      </c>
      <c r="C258">
        <v>413.47000122070313</v>
      </c>
      <c r="D258" s="54">
        <f t="shared" si="3"/>
        <v>-1.2078026400264008E-3</v>
      </c>
      <c r="E258" s="54">
        <f t="shared" si="3"/>
        <v>1.3282719249790187E-2</v>
      </c>
    </row>
    <row r="259" spans="1:5" x14ac:dyDescent="0.25">
      <c r="A259" s="101">
        <v>45028</v>
      </c>
      <c r="B259">
        <v>264.95001220703119</v>
      </c>
      <c r="C259">
        <v>408.04998779296881</v>
      </c>
      <c r="D259" s="54">
        <f t="shared" ref="D259:E322" si="4">+B259/B260-1</f>
        <v>-2.480764906256927E-2</v>
      </c>
      <c r="E259" s="54">
        <f t="shared" si="4"/>
        <v>-4.0759870710698198E-3</v>
      </c>
    </row>
    <row r="260" spans="1:5" x14ac:dyDescent="0.25">
      <c r="A260" s="101">
        <v>45027</v>
      </c>
      <c r="B260">
        <v>271.69000244140619</v>
      </c>
      <c r="C260">
        <v>409.72000122070313</v>
      </c>
      <c r="D260" s="54">
        <f t="shared" si="4"/>
        <v>-1.4866405513192626E-2</v>
      </c>
      <c r="E260" s="54">
        <f t="shared" si="4"/>
        <v>2.685868828276039E-4</v>
      </c>
    </row>
    <row r="261" spans="1:5" x14ac:dyDescent="0.25">
      <c r="A261" s="101">
        <v>45026</v>
      </c>
      <c r="B261">
        <v>275.79000854492188</v>
      </c>
      <c r="C261">
        <v>409.6099853515625</v>
      </c>
      <c r="D261" s="54">
        <f t="shared" si="4"/>
        <v>2.0046652829893929E-2</v>
      </c>
      <c r="E261" s="54">
        <f t="shared" si="4"/>
        <v>1.0263762742259708E-3</v>
      </c>
    </row>
    <row r="262" spans="1:5" x14ac:dyDescent="0.25">
      <c r="A262" s="101">
        <v>45022</v>
      </c>
      <c r="B262">
        <v>270.3699951171875</v>
      </c>
      <c r="C262">
        <v>409.19000244140619</v>
      </c>
      <c r="D262" s="54">
        <f t="shared" si="4"/>
        <v>5.8033465003608509E-3</v>
      </c>
      <c r="E262" s="54">
        <f t="shared" si="4"/>
        <v>3.9008741758623788E-3</v>
      </c>
    </row>
    <row r="263" spans="1:5" x14ac:dyDescent="0.25">
      <c r="A263" s="101">
        <v>45021</v>
      </c>
      <c r="B263">
        <v>268.80999755859381</v>
      </c>
      <c r="C263">
        <v>407.60000610351563</v>
      </c>
      <c r="D263" s="54">
        <f t="shared" si="4"/>
        <v>-2.0835614490719245E-2</v>
      </c>
      <c r="E263" s="54">
        <f t="shared" si="4"/>
        <v>-2.6182672793729767E-3</v>
      </c>
    </row>
    <row r="264" spans="1:5" x14ac:dyDescent="0.25">
      <c r="A264" s="101">
        <v>45020</v>
      </c>
      <c r="B264">
        <v>274.52999877929688</v>
      </c>
      <c r="C264">
        <v>408.67001342773438</v>
      </c>
      <c r="D264" s="54">
        <f t="shared" si="4"/>
        <v>-1.8308582974912335E-2</v>
      </c>
      <c r="E264" s="54">
        <f t="shared" si="4"/>
        <v>-5.5481170740254715E-3</v>
      </c>
    </row>
    <row r="265" spans="1:5" x14ac:dyDescent="0.25">
      <c r="A265" s="101">
        <v>45019</v>
      </c>
      <c r="B265">
        <v>279.64999389648438</v>
      </c>
      <c r="C265">
        <v>410.95001220703119</v>
      </c>
      <c r="D265" s="54">
        <f t="shared" si="4"/>
        <v>6.7682073556187827E-3</v>
      </c>
      <c r="E265" s="54">
        <f t="shared" si="4"/>
        <v>3.8105412999223098E-3</v>
      </c>
    </row>
    <row r="266" spans="1:5" x14ac:dyDescent="0.25">
      <c r="A266" s="101">
        <v>45016</v>
      </c>
      <c r="B266">
        <v>277.76998901367188</v>
      </c>
      <c r="C266">
        <v>409.3900146484375</v>
      </c>
      <c r="D266" s="54">
        <f t="shared" si="4"/>
        <v>1.4388498829971841E-2</v>
      </c>
      <c r="E266" s="54">
        <f t="shared" si="4"/>
        <v>1.4094630342711634E-2</v>
      </c>
    </row>
    <row r="267" spans="1:5" x14ac:dyDescent="0.25">
      <c r="A267" s="101">
        <v>45015</v>
      </c>
      <c r="B267">
        <v>273.82998657226563</v>
      </c>
      <c r="C267">
        <v>403.70001220703119</v>
      </c>
      <c r="D267" s="54">
        <f t="shared" si="4"/>
        <v>1.4786504182199733E-2</v>
      </c>
      <c r="E267" s="54">
        <f t="shared" si="4"/>
        <v>5.8552536882470196E-3</v>
      </c>
    </row>
    <row r="268" spans="1:5" x14ac:dyDescent="0.25">
      <c r="A268" s="101">
        <v>45014</v>
      </c>
      <c r="B268">
        <v>269.83999633789063</v>
      </c>
      <c r="C268">
        <v>401.35000610351563</v>
      </c>
      <c r="D268" s="54">
        <f t="shared" si="4"/>
        <v>2.1734154114805948E-2</v>
      </c>
      <c r="E268" s="54">
        <f t="shared" si="4"/>
        <v>1.4534883496678752E-2</v>
      </c>
    </row>
    <row r="269" spans="1:5" x14ac:dyDescent="0.25">
      <c r="A269" s="101">
        <v>45013</v>
      </c>
      <c r="B269">
        <v>264.10000610351563</v>
      </c>
      <c r="C269">
        <v>395.60000610351563</v>
      </c>
      <c r="D269" s="54">
        <f t="shared" si="4"/>
        <v>-4.5606704090032091E-3</v>
      </c>
      <c r="E269" s="54">
        <f t="shared" si="4"/>
        <v>-2.2446572493123318E-3</v>
      </c>
    </row>
    <row r="270" spans="1:5" x14ac:dyDescent="0.25">
      <c r="A270" s="101">
        <v>45012</v>
      </c>
      <c r="B270">
        <v>265.30999755859381</v>
      </c>
      <c r="C270">
        <v>396.489990234375</v>
      </c>
      <c r="D270" s="54">
        <f t="shared" si="4"/>
        <v>-9.2610288180786648E-3</v>
      </c>
      <c r="E270" s="54">
        <f t="shared" si="4"/>
        <v>1.8698426642451693E-3</v>
      </c>
    </row>
    <row r="271" spans="1:5" x14ac:dyDescent="0.25">
      <c r="A271" s="101">
        <v>45009</v>
      </c>
      <c r="B271">
        <v>267.79000854492188</v>
      </c>
      <c r="C271">
        <v>395.75</v>
      </c>
      <c r="D271" s="54">
        <f t="shared" si="4"/>
        <v>-1.515205421536181E-2</v>
      </c>
      <c r="E271" s="54">
        <f t="shared" si="4"/>
        <v>6.5620125751015834E-3</v>
      </c>
    </row>
    <row r="272" spans="1:5" x14ac:dyDescent="0.25">
      <c r="A272" s="101">
        <v>45008</v>
      </c>
      <c r="B272">
        <v>271.91000366210938</v>
      </c>
      <c r="C272">
        <v>393.17001342773438</v>
      </c>
      <c r="D272" s="54">
        <f t="shared" si="4"/>
        <v>2.7316046495378776E-2</v>
      </c>
      <c r="E272" s="54">
        <f t="shared" si="4"/>
        <v>2.7033947508923184E-3</v>
      </c>
    </row>
    <row r="273" spans="1:5" x14ac:dyDescent="0.25">
      <c r="A273" s="101">
        <v>45007</v>
      </c>
      <c r="B273">
        <v>264.67999267578119</v>
      </c>
      <c r="C273">
        <v>392.1099853515625</v>
      </c>
      <c r="D273" s="54">
        <f t="shared" si="4"/>
        <v>1.0267577165828934E-2</v>
      </c>
      <c r="E273" s="54">
        <f t="shared" si="4"/>
        <v>-1.7046497325513887E-2</v>
      </c>
    </row>
    <row r="274" spans="1:5" x14ac:dyDescent="0.25">
      <c r="A274" s="101">
        <v>45006</v>
      </c>
      <c r="B274">
        <v>261.989990234375</v>
      </c>
      <c r="C274">
        <v>398.91000366210938</v>
      </c>
      <c r="D274" s="54">
        <f t="shared" si="4"/>
        <v>1.1544363839285809E-2</v>
      </c>
      <c r="E274" s="54">
        <f t="shared" si="4"/>
        <v>1.3130526631691453E-2</v>
      </c>
    </row>
    <row r="275" spans="1:5" x14ac:dyDescent="0.25">
      <c r="A275" s="101">
        <v>45005</v>
      </c>
      <c r="B275">
        <v>259</v>
      </c>
      <c r="C275">
        <v>393.739990234375</v>
      </c>
      <c r="D275" s="54">
        <f t="shared" si="4"/>
        <v>6.8027210884353817E-3</v>
      </c>
      <c r="E275" s="54">
        <f t="shared" si="4"/>
        <v>9.6156314108122309E-3</v>
      </c>
    </row>
    <row r="276" spans="1:5" x14ac:dyDescent="0.25">
      <c r="A276" s="101">
        <v>45002</v>
      </c>
      <c r="B276">
        <v>257.25</v>
      </c>
      <c r="C276">
        <v>389.989990234375</v>
      </c>
      <c r="D276" s="54">
        <f t="shared" si="4"/>
        <v>7.2040887651558805E-3</v>
      </c>
      <c r="E276" s="54">
        <f t="shared" si="4"/>
        <v>-1.5450241961852518E-2</v>
      </c>
    </row>
    <row r="277" spans="1:5" x14ac:dyDescent="0.25">
      <c r="A277" s="101">
        <v>45001</v>
      </c>
      <c r="B277">
        <v>255.4100036621094</v>
      </c>
      <c r="C277">
        <v>396.1099853515625</v>
      </c>
      <c r="D277" s="54">
        <f t="shared" si="4"/>
        <v>5.4193515556243632E-2</v>
      </c>
      <c r="E277" s="54">
        <f t="shared" si="4"/>
        <v>1.7545177234081111E-2</v>
      </c>
    </row>
    <row r="278" spans="1:5" x14ac:dyDescent="0.25">
      <c r="A278" s="101">
        <v>45000</v>
      </c>
      <c r="B278">
        <v>242.2799987792969</v>
      </c>
      <c r="C278">
        <v>389.27999877929688</v>
      </c>
      <c r="D278" s="54">
        <f t="shared" si="4"/>
        <v>6.8569748701454714E-3</v>
      </c>
      <c r="E278" s="54">
        <f t="shared" si="4"/>
        <v>-6.2543388004978606E-3</v>
      </c>
    </row>
    <row r="279" spans="1:5" x14ac:dyDescent="0.25">
      <c r="A279" s="101">
        <v>44999</v>
      </c>
      <c r="B279">
        <v>240.6300048828125</v>
      </c>
      <c r="C279">
        <v>391.73001098632813</v>
      </c>
      <c r="D279" s="54">
        <f t="shared" si="4"/>
        <v>4.77662677252364E-2</v>
      </c>
      <c r="E279" s="54">
        <f t="shared" si="4"/>
        <v>1.6530065073970368E-2</v>
      </c>
    </row>
    <row r="280" spans="1:5" x14ac:dyDescent="0.25">
      <c r="A280" s="101">
        <v>44998</v>
      </c>
      <c r="B280">
        <v>229.6600036621094</v>
      </c>
      <c r="C280">
        <v>385.3599853515625</v>
      </c>
      <c r="D280" s="54">
        <f t="shared" si="4"/>
        <v>4.3587049384008481E-5</v>
      </c>
      <c r="E280" s="54">
        <f t="shared" si="4"/>
        <v>-1.425250201672501E-3</v>
      </c>
    </row>
    <row r="281" spans="1:5" x14ac:dyDescent="0.25">
      <c r="A281" s="101">
        <v>44995</v>
      </c>
      <c r="B281">
        <v>229.6499938964844</v>
      </c>
      <c r="C281">
        <v>385.91000366210938</v>
      </c>
      <c r="D281" s="54">
        <f t="shared" si="4"/>
        <v>-2.0097314821645118E-2</v>
      </c>
      <c r="E281" s="54">
        <f t="shared" si="4"/>
        <v>-1.442944614289654E-2</v>
      </c>
    </row>
    <row r="282" spans="1:5" x14ac:dyDescent="0.25">
      <c r="A282" s="101">
        <v>44994</v>
      </c>
      <c r="B282">
        <v>234.36000061035159</v>
      </c>
      <c r="C282">
        <v>391.55999755859381</v>
      </c>
      <c r="D282" s="54">
        <f t="shared" si="4"/>
        <v>-3.0809300787644212E-2</v>
      </c>
      <c r="E282" s="54">
        <f t="shared" si="4"/>
        <v>-1.84498536583797E-2</v>
      </c>
    </row>
    <row r="283" spans="1:5" x14ac:dyDescent="0.25">
      <c r="A283" s="101">
        <v>44993</v>
      </c>
      <c r="B283">
        <v>241.80999755859381</v>
      </c>
      <c r="C283">
        <v>398.92001342773438</v>
      </c>
      <c r="D283" s="54">
        <f t="shared" si="4"/>
        <v>3.8345896979326222E-2</v>
      </c>
      <c r="E283" s="54">
        <f t="shared" si="4"/>
        <v>1.6321199989792756E-3</v>
      </c>
    </row>
    <row r="284" spans="1:5" x14ac:dyDescent="0.25">
      <c r="A284" s="101">
        <v>44992</v>
      </c>
      <c r="B284">
        <v>232.8800048828125</v>
      </c>
      <c r="C284">
        <v>398.26998901367188</v>
      </c>
      <c r="D284" s="54">
        <f t="shared" si="4"/>
        <v>-1.1293149694918125E-2</v>
      </c>
      <c r="E284" s="54">
        <f t="shared" si="4"/>
        <v>-1.5328731891906533E-2</v>
      </c>
    </row>
    <row r="285" spans="1:5" x14ac:dyDescent="0.25">
      <c r="A285" s="101">
        <v>44991</v>
      </c>
      <c r="B285">
        <v>235.53999328613281</v>
      </c>
      <c r="C285">
        <v>404.47000122070313</v>
      </c>
      <c r="D285" s="54">
        <f t="shared" si="4"/>
        <v>-1.4064465032207041E-2</v>
      </c>
      <c r="E285" s="54">
        <f t="shared" si="4"/>
        <v>6.9274048740863847E-4</v>
      </c>
    </row>
    <row r="286" spans="1:5" x14ac:dyDescent="0.25">
      <c r="A286" s="101">
        <v>44988</v>
      </c>
      <c r="B286">
        <v>238.8999938964844</v>
      </c>
      <c r="C286">
        <v>404.19000244140619</v>
      </c>
      <c r="D286" s="54">
        <f t="shared" si="4"/>
        <v>2.4706161627843448E-2</v>
      </c>
      <c r="E286" s="54">
        <f t="shared" si="4"/>
        <v>1.6037819365946504E-2</v>
      </c>
    </row>
    <row r="287" spans="1:5" x14ac:dyDescent="0.25">
      <c r="A287" s="101">
        <v>44987</v>
      </c>
      <c r="B287">
        <v>233.13999938964841</v>
      </c>
      <c r="C287">
        <v>397.80999755859381</v>
      </c>
      <c r="D287" s="54">
        <f t="shared" si="4"/>
        <v>2.7138971618906993E-2</v>
      </c>
      <c r="E287" s="54">
        <f t="shared" si="4"/>
        <v>7.7772898621089048E-3</v>
      </c>
    </row>
    <row r="288" spans="1:5" x14ac:dyDescent="0.25">
      <c r="A288" s="101">
        <v>44986</v>
      </c>
      <c r="B288">
        <v>226.97999572753909</v>
      </c>
      <c r="C288">
        <v>394.739990234375</v>
      </c>
      <c r="D288" s="54">
        <f t="shared" si="4"/>
        <v>-2.2312232309013136E-2</v>
      </c>
      <c r="E288" s="54">
        <f t="shared" si="4"/>
        <v>-3.835914535380569E-3</v>
      </c>
    </row>
    <row r="289" spans="1:5" x14ac:dyDescent="0.25">
      <c r="A289" s="101">
        <v>44985</v>
      </c>
      <c r="B289">
        <v>232.1600036621094</v>
      </c>
      <c r="C289">
        <v>396.260009765625</v>
      </c>
      <c r="D289" s="54">
        <f t="shared" si="4"/>
        <v>-1.2127104852315607E-2</v>
      </c>
      <c r="E289" s="54">
        <f t="shared" si="4"/>
        <v>-3.6959776232566854E-3</v>
      </c>
    </row>
    <row r="290" spans="1:5" x14ac:dyDescent="0.25">
      <c r="A290" s="101">
        <v>44984</v>
      </c>
      <c r="B290">
        <v>235.00999450683591</v>
      </c>
      <c r="C290">
        <v>397.73001098632813</v>
      </c>
      <c r="D290" s="54">
        <f t="shared" si="4"/>
        <v>9.2329893105254079E-3</v>
      </c>
      <c r="E290" s="54">
        <f t="shared" si="4"/>
        <v>3.4058380515806785E-3</v>
      </c>
    </row>
    <row r="291" spans="1:5" x14ac:dyDescent="0.25">
      <c r="A291" s="101">
        <v>44981</v>
      </c>
      <c r="B291">
        <v>232.86000061035159</v>
      </c>
      <c r="C291">
        <v>396.3800048828125</v>
      </c>
      <c r="D291" s="54">
        <f t="shared" si="4"/>
        <v>-1.5973625714360784E-2</v>
      </c>
      <c r="E291" s="54">
        <f t="shared" si="4"/>
        <v>-1.0682370938393859E-2</v>
      </c>
    </row>
    <row r="292" spans="1:5" x14ac:dyDescent="0.25">
      <c r="A292" s="101">
        <v>44980</v>
      </c>
      <c r="B292">
        <v>236.63999938964841</v>
      </c>
      <c r="C292">
        <v>400.66000366210938</v>
      </c>
      <c r="D292" s="54">
        <f t="shared" si="4"/>
        <v>0.14021396860794821</v>
      </c>
      <c r="E292" s="54">
        <f t="shared" si="4"/>
        <v>5.3194035021166819E-3</v>
      </c>
    </row>
    <row r="293" spans="1:5" x14ac:dyDescent="0.25">
      <c r="A293" s="101">
        <v>44979</v>
      </c>
      <c r="B293">
        <v>207.53999328613281</v>
      </c>
      <c r="C293">
        <v>398.54000854492188</v>
      </c>
      <c r="D293" s="54">
        <f t="shared" si="4"/>
        <v>4.7929809719098326E-3</v>
      </c>
      <c r="E293" s="54">
        <f t="shared" si="4"/>
        <v>-1.3781046831931043E-3</v>
      </c>
    </row>
    <row r="294" spans="1:5" x14ac:dyDescent="0.25">
      <c r="A294" s="101">
        <v>44978</v>
      </c>
      <c r="B294">
        <v>206.55000305175781</v>
      </c>
      <c r="C294">
        <v>399.08999633789063</v>
      </c>
      <c r="D294" s="54">
        <f t="shared" si="4"/>
        <v>-3.427156192123193E-2</v>
      </c>
      <c r="E294" s="54">
        <f t="shared" si="4"/>
        <v>-2.0060927249980098E-2</v>
      </c>
    </row>
    <row r="295" spans="1:5" x14ac:dyDescent="0.25">
      <c r="A295" s="101">
        <v>44974</v>
      </c>
      <c r="B295">
        <v>213.8800048828125</v>
      </c>
      <c r="C295">
        <v>407.260009765625</v>
      </c>
      <c r="D295" s="54">
        <f t="shared" si="4"/>
        <v>-2.7906550633664096E-2</v>
      </c>
      <c r="E295" s="54">
        <f t="shared" si="4"/>
        <v>-2.4982585890112041E-3</v>
      </c>
    </row>
    <row r="296" spans="1:5" x14ac:dyDescent="0.25">
      <c r="A296" s="101">
        <v>44973</v>
      </c>
      <c r="B296">
        <v>220.02000427246091</v>
      </c>
      <c r="C296">
        <v>408.27999877929688</v>
      </c>
      <c r="D296" s="54">
        <f t="shared" si="4"/>
        <v>-3.3473884807671439E-2</v>
      </c>
      <c r="E296" s="54">
        <f t="shared" si="4"/>
        <v>-1.3768810222142602E-2</v>
      </c>
    </row>
    <row r="297" spans="1:5" x14ac:dyDescent="0.25">
      <c r="A297" s="101">
        <v>44972</v>
      </c>
      <c r="B297">
        <v>227.63999938964841</v>
      </c>
      <c r="C297">
        <v>413.98001098632813</v>
      </c>
      <c r="D297" s="54">
        <f t="shared" si="4"/>
        <v>-9.0113937735295524E-3</v>
      </c>
      <c r="E297" s="54">
        <f t="shared" si="4"/>
        <v>3.2473737163669636E-3</v>
      </c>
    </row>
    <row r="298" spans="1:5" x14ac:dyDescent="0.25">
      <c r="A298" s="101">
        <v>44971</v>
      </c>
      <c r="B298">
        <v>229.71000671386719</v>
      </c>
      <c r="C298">
        <v>412.6400146484375</v>
      </c>
      <c r="D298" s="54">
        <f t="shared" si="4"/>
        <v>5.4295949907920527E-2</v>
      </c>
      <c r="E298" s="54">
        <f t="shared" si="4"/>
        <v>-4.6016987623753725E-4</v>
      </c>
    </row>
    <row r="299" spans="1:5" x14ac:dyDescent="0.25">
      <c r="A299" s="101">
        <v>44970</v>
      </c>
      <c r="B299">
        <v>217.8800048828125</v>
      </c>
      <c r="C299">
        <v>412.82998657226563</v>
      </c>
      <c r="D299" s="54">
        <f t="shared" si="4"/>
        <v>2.4594456319965818E-2</v>
      </c>
      <c r="E299" s="54">
        <f t="shared" si="4"/>
        <v>1.1738991096546858E-2</v>
      </c>
    </row>
    <row r="300" spans="1:5" x14ac:dyDescent="0.25">
      <c r="A300" s="101">
        <v>44967</v>
      </c>
      <c r="B300">
        <v>212.6499938964844</v>
      </c>
      <c r="C300">
        <v>408.04000854492188</v>
      </c>
      <c r="D300" s="54">
        <f t="shared" si="4"/>
        <v>-4.7992127210635505E-2</v>
      </c>
      <c r="E300" s="54">
        <f t="shared" si="4"/>
        <v>2.3336663037101246E-3</v>
      </c>
    </row>
    <row r="301" spans="1:5" x14ac:dyDescent="0.25">
      <c r="A301" s="101">
        <v>44966</v>
      </c>
      <c r="B301">
        <v>223.3699951171875</v>
      </c>
      <c r="C301">
        <v>407.08999633789063</v>
      </c>
      <c r="D301" s="54">
        <f t="shared" si="4"/>
        <v>5.9445712555203922E-3</v>
      </c>
      <c r="E301" s="54">
        <f t="shared" si="4"/>
        <v>-8.6691771861834299E-3</v>
      </c>
    </row>
    <row r="302" spans="1:5" x14ac:dyDescent="0.25">
      <c r="A302" s="101">
        <v>44965</v>
      </c>
      <c r="B302">
        <v>222.05000305175781</v>
      </c>
      <c r="C302">
        <v>410.64999389648438</v>
      </c>
      <c r="D302" s="54">
        <f t="shared" si="4"/>
        <v>1.443229740607288E-3</v>
      </c>
      <c r="E302" s="54">
        <f t="shared" si="4"/>
        <v>-1.0934773280246612E-2</v>
      </c>
    </row>
    <row r="303" spans="1:5" x14ac:dyDescent="0.25">
      <c r="A303" s="101">
        <v>44964</v>
      </c>
      <c r="B303">
        <v>221.72999572753909</v>
      </c>
      <c r="C303">
        <v>415.19000244140619</v>
      </c>
      <c r="D303" s="54">
        <f t="shared" si="4"/>
        <v>5.1401187203108156E-2</v>
      </c>
      <c r="E303" s="54">
        <f t="shared" si="4"/>
        <v>1.3078632712971272E-2</v>
      </c>
    </row>
    <row r="304" spans="1:5" x14ac:dyDescent="0.25">
      <c r="A304" s="101">
        <v>44963</v>
      </c>
      <c r="B304">
        <v>210.88999938964841</v>
      </c>
      <c r="C304">
        <v>409.82998657226563</v>
      </c>
      <c r="D304" s="54">
        <f t="shared" si="4"/>
        <v>-5.2132990687958625E-4</v>
      </c>
      <c r="E304" s="54">
        <f t="shared" si="4"/>
        <v>-6.1113604800514532E-3</v>
      </c>
    </row>
    <row r="305" spans="1:5" x14ac:dyDescent="0.25">
      <c r="A305" s="101">
        <v>44960</v>
      </c>
      <c r="B305">
        <v>211</v>
      </c>
      <c r="C305">
        <v>412.35000610351563</v>
      </c>
      <c r="D305" s="54">
        <f t="shared" si="4"/>
        <v>-2.8052864897615049E-2</v>
      </c>
      <c r="E305" s="54">
        <f t="shared" si="4"/>
        <v>-1.0629091340170427E-2</v>
      </c>
    </row>
    <row r="306" spans="1:5" x14ac:dyDescent="0.25">
      <c r="A306" s="101">
        <v>44959</v>
      </c>
      <c r="B306">
        <v>217.0899963378906</v>
      </c>
      <c r="C306">
        <v>416.77999877929688</v>
      </c>
      <c r="D306" s="54">
        <f t="shared" si="4"/>
        <v>3.6575485508266503E-2</v>
      </c>
      <c r="E306" s="54">
        <f t="shared" si="4"/>
        <v>1.4556989201620407E-2</v>
      </c>
    </row>
    <row r="307" spans="1:5" x14ac:dyDescent="0.25">
      <c r="A307" s="101">
        <v>44958</v>
      </c>
      <c r="B307">
        <v>209.42999267578119</v>
      </c>
      <c r="C307">
        <v>410.79998779296881</v>
      </c>
      <c r="D307" s="54">
        <f t="shared" si="4"/>
        <v>7.1966002508011329E-2</v>
      </c>
      <c r="E307" s="54">
        <f t="shared" si="4"/>
        <v>1.0627771821197785E-2</v>
      </c>
    </row>
    <row r="308" spans="1:5" x14ac:dyDescent="0.25">
      <c r="A308" s="101">
        <v>44957</v>
      </c>
      <c r="B308">
        <v>195.3699951171875</v>
      </c>
      <c r="C308">
        <v>406.48001098632813</v>
      </c>
      <c r="D308" s="54">
        <f t="shared" si="4"/>
        <v>1.95699827552267E-2</v>
      </c>
      <c r="E308" s="54">
        <f t="shared" si="4"/>
        <v>1.4703349315466685E-2</v>
      </c>
    </row>
    <row r="309" spans="1:5" x14ac:dyDescent="0.25">
      <c r="A309" s="101">
        <v>44956</v>
      </c>
      <c r="B309">
        <v>191.6199951171875</v>
      </c>
      <c r="C309">
        <v>400.58999633789063</v>
      </c>
      <c r="D309" s="54">
        <f t="shared" si="4"/>
        <v>-5.9071932923365433E-2</v>
      </c>
      <c r="E309" s="54">
        <f t="shared" si="4"/>
        <v>-1.2546826143231771E-2</v>
      </c>
    </row>
    <row r="310" spans="1:5" x14ac:dyDescent="0.25">
      <c r="A310" s="101">
        <v>44953</v>
      </c>
      <c r="B310">
        <v>203.6499938964844</v>
      </c>
      <c r="C310">
        <v>405.67999267578119</v>
      </c>
      <c r="D310" s="54">
        <f t="shared" si="4"/>
        <v>2.8431418556465804E-2</v>
      </c>
      <c r="E310" s="54">
        <f t="shared" si="4"/>
        <v>2.2976965430048235E-3</v>
      </c>
    </row>
    <row r="311" spans="1:5" x14ac:dyDescent="0.25">
      <c r="A311" s="101">
        <v>44952</v>
      </c>
      <c r="B311">
        <v>198.02000427246091</v>
      </c>
      <c r="C311">
        <v>404.75</v>
      </c>
      <c r="D311" s="54">
        <f t="shared" si="4"/>
        <v>2.4789156191235895E-2</v>
      </c>
      <c r="E311" s="54">
        <f t="shared" si="4"/>
        <v>1.0990368001509987E-2</v>
      </c>
    </row>
    <row r="312" spans="1:5" x14ac:dyDescent="0.25">
      <c r="A312" s="101">
        <v>44951</v>
      </c>
      <c r="B312">
        <v>193.22999572753909</v>
      </c>
      <c r="C312">
        <v>400.35000610351563</v>
      </c>
      <c r="D312" s="54">
        <f t="shared" si="4"/>
        <v>3.0106506588645221E-3</v>
      </c>
      <c r="E312" s="54">
        <f t="shared" si="4"/>
        <v>3.747973311076791E-4</v>
      </c>
    </row>
    <row r="313" spans="1:5" x14ac:dyDescent="0.25">
      <c r="A313" s="101">
        <v>44950</v>
      </c>
      <c r="B313">
        <v>192.6499938964844</v>
      </c>
      <c r="C313">
        <v>400.20001220703119</v>
      </c>
      <c r="D313" s="54">
        <f t="shared" si="4"/>
        <v>3.7513741894392716E-3</v>
      </c>
      <c r="E313" s="54">
        <f t="shared" si="4"/>
        <v>-1.0732912426444363E-3</v>
      </c>
    </row>
    <row r="314" spans="1:5" x14ac:dyDescent="0.25">
      <c r="A314" s="101">
        <v>44949</v>
      </c>
      <c r="B314">
        <v>191.92999267578119</v>
      </c>
      <c r="C314">
        <v>400.6300048828125</v>
      </c>
      <c r="D314" s="54">
        <f t="shared" si="4"/>
        <v>7.5901078157178725E-2</v>
      </c>
      <c r="E314" s="54">
        <f t="shared" si="4"/>
        <v>1.1998585281936869E-2</v>
      </c>
    </row>
    <row r="315" spans="1:5" x14ac:dyDescent="0.25">
      <c r="A315" s="101">
        <v>44946</v>
      </c>
      <c r="B315">
        <v>178.38999938964841</v>
      </c>
      <c r="C315">
        <v>395.8800048828125</v>
      </c>
      <c r="D315" s="54">
        <f t="shared" si="4"/>
        <v>6.4062069097332808E-2</v>
      </c>
      <c r="E315" s="54">
        <f t="shared" si="4"/>
        <v>1.8629039629190602E-2</v>
      </c>
    </row>
    <row r="316" spans="1:5" x14ac:dyDescent="0.25">
      <c r="A316" s="101">
        <v>44945</v>
      </c>
      <c r="B316">
        <v>167.6499938964844</v>
      </c>
      <c r="C316">
        <v>388.6400146484375</v>
      </c>
      <c r="D316" s="54">
        <f t="shared" si="4"/>
        <v>-3.5219026445903134E-2</v>
      </c>
      <c r="E316" s="54">
        <f t="shared" si="4"/>
        <v>-7.2798172546666429E-3</v>
      </c>
    </row>
    <row r="317" spans="1:5" x14ac:dyDescent="0.25">
      <c r="A317" s="101">
        <v>44944</v>
      </c>
      <c r="B317">
        <v>173.77000427246091</v>
      </c>
      <c r="C317">
        <v>391.489990234375</v>
      </c>
      <c r="D317" s="54">
        <f t="shared" si="4"/>
        <v>-1.8359506957178473E-2</v>
      </c>
      <c r="E317" s="54">
        <f t="shared" si="4"/>
        <v>-1.5788015568668268E-2</v>
      </c>
    </row>
    <row r="318" spans="1:5" x14ac:dyDescent="0.25">
      <c r="A318" s="101">
        <v>44943</v>
      </c>
      <c r="B318">
        <v>177.02000427246091</v>
      </c>
      <c r="C318">
        <v>397.76998901367188</v>
      </c>
      <c r="D318" s="54">
        <f t="shared" si="4"/>
        <v>4.75175958238645E-2</v>
      </c>
      <c r="E318" s="54">
        <f t="shared" si="4"/>
        <v>-1.8318970798698597E-3</v>
      </c>
    </row>
    <row r="319" spans="1:5" x14ac:dyDescent="0.25">
      <c r="A319" s="101">
        <v>44939</v>
      </c>
      <c r="B319">
        <v>168.99000549316409</v>
      </c>
      <c r="C319">
        <v>398.5</v>
      </c>
      <c r="D319" s="54">
        <f t="shared" si="4"/>
        <v>2.3499514677908895E-2</v>
      </c>
      <c r="E319" s="54">
        <f t="shared" si="4"/>
        <v>3.8795056884117773E-3</v>
      </c>
    </row>
    <row r="320" spans="1:5" x14ac:dyDescent="0.25">
      <c r="A320" s="101">
        <v>44938</v>
      </c>
      <c r="B320">
        <v>165.11000061035159</v>
      </c>
      <c r="C320">
        <v>396.95999145507813</v>
      </c>
      <c r="D320" s="54">
        <f t="shared" si="4"/>
        <v>3.1873047175798863E-2</v>
      </c>
      <c r="E320" s="54">
        <f t="shared" si="4"/>
        <v>3.6407829728082319E-3</v>
      </c>
    </row>
    <row r="321" spans="1:5" x14ac:dyDescent="0.25">
      <c r="A321" s="101">
        <v>44937</v>
      </c>
      <c r="B321">
        <v>160.00999450683591</v>
      </c>
      <c r="C321">
        <v>395.51998901367188</v>
      </c>
      <c r="D321" s="54">
        <f t="shared" si="4"/>
        <v>5.7828788115081853E-3</v>
      </c>
      <c r="E321" s="54">
        <f t="shared" si="4"/>
        <v>1.264786371867066E-2</v>
      </c>
    </row>
    <row r="322" spans="1:5" x14ac:dyDescent="0.25">
      <c r="A322" s="101">
        <v>44936</v>
      </c>
      <c r="B322">
        <v>159.0899963378906</v>
      </c>
      <c r="C322">
        <v>390.57998657226563</v>
      </c>
      <c r="D322" s="54">
        <f t="shared" si="4"/>
        <v>1.7980532253280002E-2</v>
      </c>
      <c r="E322" s="54">
        <f t="shared" si="4"/>
        <v>7.0128430965563648E-3</v>
      </c>
    </row>
    <row r="323" spans="1:5" x14ac:dyDescent="0.25">
      <c r="A323" s="101">
        <v>44935</v>
      </c>
      <c r="B323">
        <v>156.2799987792969</v>
      </c>
      <c r="C323">
        <v>387.8599853515625</v>
      </c>
      <c r="D323" s="54">
        <f t="shared" ref="D323:E386" si="5">+B323/B324-1</f>
        <v>5.1753163947318548E-2</v>
      </c>
      <c r="E323" s="54">
        <f t="shared" si="5"/>
        <v>-5.668965891446609E-4</v>
      </c>
    </row>
    <row r="324" spans="1:5" x14ac:dyDescent="0.25">
      <c r="A324" s="101">
        <v>44932</v>
      </c>
      <c r="B324">
        <v>148.5899963378906</v>
      </c>
      <c r="C324">
        <v>388.07998657226563</v>
      </c>
      <c r="D324" s="54">
        <f t="shared" si="5"/>
        <v>4.1640397445208643E-2</v>
      </c>
      <c r="E324" s="54">
        <f t="shared" si="5"/>
        <v>2.2932103899730993E-2</v>
      </c>
    </row>
    <row r="325" spans="1:5" x14ac:dyDescent="0.25">
      <c r="A325" s="101">
        <v>44931</v>
      </c>
      <c r="B325">
        <v>142.6499938964844</v>
      </c>
      <c r="C325">
        <v>379.3800048828125</v>
      </c>
      <c r="D325" s="54">
        <f t="shared" si="5"/>
        <v>-3.2815861525640866E-2</v>
      </c>
      <c r="E325" s="54">
        <f t="shared" si="5"/>
        <v>-1.1413395797773451E-2</v>
      </c>
    </row>
    <row r="326" spans="1:5" x14ac:dyDescent="0.25">
      <c r="A326" s="101">
        <v>44930</v>
      </c>
      <c r="B326">
        <v>147.49000549316409</v>
      </c>
      <c r="C326">
        <v>383.760009765625</v>
      </c>
      <c r="D326" s="54">
        <f t="shared" si="5"/>
        <v>3.0317930714115704E-2</v>
      </c>
      <c r="E326" s="54">
        <f t="shared" si="5"/>
        <v>7.7201890259488426E-3</v>
      </c>
    </row>
    <row r="327" spans="1:5" x14ac:dyDescent="0.25">
      <c r="A327" s="101">
        <v>44929</v>
      </c>
      <c r="B327">
        <v>143.1499938964844</v>
      </c>
      <c r="C327">
        <v>380.82000732421881</v>
      </c>
      <c r="D327" s="54">
        <f t="shared" si="5"/>
        <v>-2.0459870710631711E-2</v>
      </c>
      <c r="E327" s="54">
        <f t="shared" si="5"/>
        <v>-4.2098825468621648E-3</v>
      </c>
    </row>
    <row r="328" spans="1:5" x14ac:dyDescent="0.25">
      <c r="A328" s="101">
        <v>44925</v>
      </c>
      <c r="B328">
        <v>146.13999938964841</v>
      </c>
      <c r="C328">
        <v>382.42999267578119</v>
      </c>
      <c r="D328" s="54">
        <f t="shared" si="5"/>
        <v>7.5327406198066882E-4</v>
      </c>
      <c r="E328" s="54">
        <f t="shared" si="5"/>
        <v>-2.6340751074330759E-3</v>
      </c>
    </row>
    <row r="329" spans="1:5" x14ac:dyDescent="0.25">
      <c r="A329" s="101">
        <v>44924</v>
      </c>
      <c r="B329">
        <v>146.0299987792969</v>
      </c>
      <c r="C329">
        <v>383.44000244140619</v>
      </c>
      <c r="D329" s="54">
        <f t="shared" si="5"/>
        <v>4.0396111030845505E-2</v>
      </c>
      <c r="E329" s="54">
        <f t="shared" si="5"/>
        <v>1.8000315173837711E-2</v>
      </c>
    </row>
    <row r="330" spans="1:5" x14ac:dyDescent="0.25">
      <c r="A330" s="101">
        <v>44923</v>
      </c>
      <c r="B330">
        <v>140.36000061035159</v>
      </c>
      <c r="C330">
        <v>376.66000366210938</v>
      </c>
      <c r="D330" s="54">
        <f t="shared" si="5"/>
        <v>-6.019446661722494E-3</v>
      </c>
      <c r="E330" s="54">
        <f t="shared" si="5"/>
        <v>-1.2427871814967739E-2</v>
      </c>
    </row>
    <row r="331" spans="1:5" x14ac:dyDescent="0.25">
      <c r="A331" s="101">
        <v>44922</v>
      </c>
      <c r="B331">
        <v>141.21000671386719</v>
      </c>
      <c r="C331">
        <v>381.39999389648438</v>
      </c>
      <c r="D331" s="54">
        <f t="shared" si="5"/>
        <v>-7.1353354063719232E-2</v>
      </c>
      <c r="E331" s="54">
        <f t="shared" si="5"/>
        <v>-3.9435108803203001E-3</v>
      </c>
    </row>
    <row r="332" spans="1:5" x14ac:dyDescent="0.25">
      <c r="A332" s="101">
        <v>44918</v>
      </c>
      <c r="B332">
        <v>152.05999755859381</v>
      </c>
      <c r="C332">
        <v>382.91000366210938</v>
      </c>
      <c r="D332" s="54">
        <f t="shared" si="5"/>
        <v>-8.6707206229010847E-3</v>
      </c>
      <c r="E332" s="54">
        <f t="shared" si="5"/>
        <v>5.7522652720751744E-3</v>
      </c>
    </row>
    <row r="333" spans="1:5" x14ac:dyDescent="0.25">
      <c r="A333" s="101">
        <v>44917</v>
      </c>
      <c r="B333">
        <v>153.38999938964841</v>
      </c>
      <c r="C333">
        <v>380.72000122070313</v>
      </c>
      <c r="D333" s="54">
        <f t="shared" si="5"/>
        <v>-7.0419947300259578E-2</v>
      </c>
      <c r="E333" s="54">
        <f t="shared" si="5"/>
        <v>-1.4266135745262032E-2</v>
      </c>
    </row>
    <row r="334" spans="1:5" x14ac:dyDescent="0.25">
      <c r="A334" s="101">
        <v>44916</v>
      </c>
      <c r="B334">
        <v>165.00999450683591</v>
      </c>
      <c r="C334">
        <v>386.23001098632813</v>
      </c>
      <c r="D334" s="54">
        <f t="shared" si="5"/>
        <v>2.5862531833807489E-2</v>
      </c>
      <c r="E334" s="54">
        <f t="shared" si="5"/>
        <v>1.4952442091866303E-2</v>
      </c>
    </row>
    <row r="335" spans="1:5" x14ac:dyDescent="0.25">
      <c r="A335" s="101">
        <v>44915</v>
      </c>
      <c r="B335">
        <v>160.8500061035156</v>
      </c>
      <c r="C335">
        <v>380.54000854492188</v>
      </c>
      <c r="D335" s="54">
        <f t="shared" si="5"/>
        <v>-1.0397362202680727E-2</v>
      </c>
      <c r="E335" s="54">
        <f t="shared" si="5"/>
        <v>1.3684004691429941E-3</v>
      </c>
    </row>
    <row r="336" spans="1:5" x14ac:dyDescent="0.25">
      <c r="A336" s="101">
        <v>44914</v>
      </c>
      <c r="B336">
        <v>162.53999328613281</v>
      </c>
      <c r="C336">
        <v>380.01998901367188</v>
      </c>
      <c r="D336" s="54">
        <f t="shared" si="5"/>
        <v>-1.9129885337631158E-2</v>
      </c>
      <c r="E336" s="54">
        <f t="shared" si="5"/>
        <v>-8.4796621002435346E-3</v>
      </c>
    </row>
    <row r="337" spans="1:5" x14ac:dyDescent="0.25">
      <c r="A337" s="101">
        <v>44911</v>
      </c>
      <c r="B337">
        <v>165.71000671386719</v>
      </c>
      <c r="C337">
        <v>383.26998901367188</v>
      </c>
      <c r="D337" s="54">
        <f t="shared" si="5"/>
        <v>-2.2475209194014134E-2</v>
      </c>
      <c r="E337" s="54">
        <f t="shared" si="5"/>
        <v>-1.632321892420352E-2</v>
      </c>
    </row>
    <row r="338" spans="1:5" x14ac:dyDescent="0.25">
      <c r="A338" s="101">
        <v>44910</v>
      </c>
      <c r="B338">
        <v>169.52000427246091</v>
      </c>
      <c r="C338">
        <v>389.6300048828125</v>
      </c>
      <c r="D338" s="54">
        <f t="shared" si="5"/>
        <v>-4.0850973160020843E-2</v>
      </c>
      <c r="E338" s="54">
        <f t="shared" si="5"/>
        <v>-2.4461665405543398E-2</v>
      </c>
    </row>
    <row r="339" spans="1:5" x14ac:dyDescent="0.25">
      <c r="A339" s="101">
        <v>44909</v>
      </c>
      <c r="B339">
        <v>176.74000549316409</v>
      </c>
      <c r="C339">
        <v>399.39999389648438</v>
      </c>
      <c r="D339" s="54">
        <f t="shared" si="5"/>
        <v>-2.2022995244884158E-2</v>
      </c>
      <c r="E339" s="54">
        <f t="shared" si="5"/>
        <v>-6.3935301550218648E-3</v>
      </c>
    </row>
    <row r="340" spans="1:5" x14ac:dyDescent="0.25">
      <c r="A340" s="101">
        <v>44908</v>
      </c>
      <c r="B340">
        <v>180.7200012207031</v>
      </c>
      <c r="C340">
        <v>401.97000122070313</v>
      </c>
      <c r="D340" s="54">
        <f t="shared" si="5"/>
        <v>3.0624436442947101E-2</v>
      </c>
      <c r="E340" s="54">
        <f t="shared" si="5"/>
        <v>7.5698431414128464E-3</v>
      </c>
    </row>
    <row r="341" spans="1:5" x14ac:dyDescent="0.25">
      <c r="A341" s="101">
        <v>44907</v>
      </c>
      <c r="B341">
        <v>175.3500061035156</v>
      </c>
      <c r="C341">
        <v>398.95001220703119</v>
      </c>
      <c r="D341" s="54">
        <f t="shared" si="5"/>
        <v>3.1409986290335201E-2</v>
      </c>
      <c r="E341" s="54">
        <f t="shared" si="5"/>
        <v>1.4417243300786975E-2</v>
      </c>
    </row>
    <row r="342" spans="1:5" x14ac:dyDescent="0.25">
      <c r="A342" s="101">
        <v>44904</v>
      </c>
      <c r="B342">
        <v>170.00999450683591</v>
      </c>
      <c r="C342">
        <v>393.27999877929688</v>
      </c>
      <c r="D342" s="54">
        <f t="shared" si="5"/>
        <v>-9.7851238317946398E-3</v>
      </c>
      <c r="E342" s="54">
        <f t="shared" si="5"/>
        <v>-7.4701986877379056E-3</v>
      </c>
    </row>
    <row r="343" spans="1:5" x14ac:dyDescent="0.25">
      <c r="A343" s="101">
        <v>44903</v>
      </c>
      <c r="B343">
        <v>171.69000244140619</v>
      </c>
      <c r="C343">
        <v>396.239990234375</v>
      </c>
      <c r="D343" s="54">
        <f t="shared" si="5"/>
        <v>6.5074476996002106E-2</v>
      </c>
      <c r="E343" s="54">
        <f t="shared" si="5"/>
        <v>7.8339265021287741E-3</v>
      </c>
    </row>
    <row r="344" spans="1:5" x14ac:dyDescent="0.25">
      <c r="A344" s="101">
        <v>44902</v>
      </c>
      <c r="B344">
        <v>161.19999694824219</v>
      </c>
      <c r="C344">
        <v>393.16000366210938</v>
      </c>
      <c r="D344" s="54">
        <f t="shared" si="5"/>
        <v>8.3192711057491486E-3</v>
      </c>
      <c r="E344" s="54">
        <f t="shared" si="5"/>
        <v>-1.7011983165312605E-3</v>
      </c>
    </row>
    <row r="345" spans="1:5" x14ac:dyDescent="0.25">
      <c r="A345" s="101">
        <v>44901</v>
      </c>
      <c r="B345">
        <v>159.8699951171875</v>
      </c>
      <c r="C345">
        <v>393.82998657226563</v>
      </c>
      <c r="D345" s="54">
        <f t="shared" si="5"/>
        <v>-3.750759035159501E-2</v>
      </c>
      <c r="E345" s="54">
        <f t="shared" si="5"/>
        <v>-1.4414799715742554E-2</v>
      </c>
    </row>
    <row r="346" spans="1:5" x14ac:dyDescent="0.25">
      <c r="A346" s="101">
        <v>44900</v>
      </c>
      <c r="B346">
        <v>166.1000061035156</v>
      </c>
      <c r="C346">
        <v>399.58999633789063</v>
      </c>
      <c r="D346" s="54">
        <f t="shared" si="5"/>
        <v>-1.5761960712866507E-2</v>
      </c>
      <c r="E346" s="54">
        <f t="shared" si="5"/>
        <v>-1.7989253786685366E-2</v>
      </c>
    </row>
    <row r="347" spans="1:5" x14ac:dyDescent="0.25">
      <c r="A347" s="101">
        <v>44897</v>
      </c>
      <c r="B347">
        <v>168.75999450683591</v>
      </c>
      <c r="C347">
        <v>406.91000366210938</v>
      </c>
      <c r="D347" s="54">
        <f t="shared" si="5"/>
        <v>-1.511532830127249E-2</v>
      </c>
      <c r="E347" s="54">
        <f t="shared" si="5"/>
        <v>-1.1537169597666264E-3</v>
      </c>
    </row>
    <row r="348" spans="1:5" x14ac:dyDescent="0.25">
      <c r="A348" s="101">
        <v>44896</v>
      </c>
      <c r="B348">
        <v>171.3500061035156</v>
      </c>
      <c r="C348">
        <v>407.3800048828125</v>
      </c>
      <c r="D348" s="54">
        <f t="shared" si="5"/>
        <v>1.2527391298819968E-2</v>
      </c>
      <c r="E348" s="54">
        <f t="shared" si="5"/>
        <v>-7.3584134212656416E-4</v>
      </c>
    </row>
    <row r="349" spans="1:5" x14ac:dyDescent="0.25">
      <c r="A349" s="101">
        <v>44895</v>
      </c>
      <c r="B349">
        <v>169.22999572753909</v>
      </c>
      <c r="C349">
        <v>407.67999267578119</v>
      </c>
      <c r="D349" s="54">
        <f t="shared" si="5"/>
        <v>8.2102413121056372E-2</v>
      </c>
      <c r="E349" s="54">
        <f t="shared" si="5"/>
        <v>3.150059798946736E-2</v>
      </c>
    </row>
    <row r="350" spans="1:5" x14ac:dyDescent="0.25">
      <c r="A350" s="101">
        <v>44894</v>
      </c>
      <c r="B350">
        <v>156.38999938964841</v>
      </c>
      <c r="C350">
        <v>395.23001098632813</v>
      </c>
      <c r="D350" s="54">
        <f t="shared" si="5"/>
        <v>-1.1878466115260111E-2</v>
      </c>
      <c r="E350" s="54">
        <f t="shared" si="5"/>
        <v>-1.7175435565947028E-3</v>
      </c>
    </row>
    <row r="351" spans="1:5" x14ac:dyDescent="0.25">
      <c r="A351" s="101">
        <v>44893</v>
      </c>
      <c r="B351">
        <v>158.27000427246091</v>
      </c>
      <c r="C351">
        <v>395.91000366210938</v>
      </c>
      <c r="D351" s="54">
        <f t="shared" si="5"/>
        <v>-2.7227982537642803E-2</v>
      </c>
      <c r="E351" s="54">
        <f t="shared" si="5"/>
        <v>-1.5957008238070003E-2</v>
      </c>
    </row>
    <row r="352" spans="1:5" x14ac:dyDescent="0.25">
      <c r="A352" s="101">
        <v>44890</v>
      </c>
      <c r="B352">
        <v>162.69999694824219</v>
      </c>
      <c r="C352">
        <v>402.32998657226563</v>
      </c>
      <c r="D352" s="54">
        <f t="shared" si="5"/>
        <v>-1.5073584698609199E-2</v>
      </c>
      <c r="E352" s="54">
        <f t="shared" si="5"/>
        <v>-2.2371366349782651E-4</v>
      </c>
    </row>
    <row r="353" spans="1:5" x14ac:dyDescent="0.25">
      <c r="A353" s="101">
        <v>44888</v>
      </c>
      <c r="B353">
        <v>165.19000244140619</v>
      </c>
      <c r="C353">
        <v>402.42001342773438</v>
      </c>
      <c r="D353" s="54">
        <f t="shared" si="5"/>
        <v>2.9991254596283934E-2</v>
      </c>
      <c r="E353" s="54">
        <f t="shared" si="5"/>
        <v>6.3016243303628539E-3</v>
      </c>
    </row>
    <row r="354" spans="1:5" x14ac:dyDescent="0.25">
      <c r="A354" s="101">
        <v>44887</v>
      </c>
      <c r="B354">
        <v>160.3800048828125</v>
      </c>
      <c r="C354">
        <v>399.89999389648438</v>
      </c>
      <c r="D354" s="54">
        <f t="shared" si="5"/>
        <v>4.7071925312126783E-2</v>
      </c>
      <c r="E354" s="54">
        <f t="shared" si="5"/>
        <v>1.345699994392846E-2</v>
      </c>
    </row>
    <row r="355" spans="1:5" x14ac:dyDescent="0.25">
      <c r="A355" s="101">
        <v>44886</v>
      </c>
      <c r="B355">
        <v>153.16999816894531</v>
      </c>
      <c r="C355">
        <v>394.58999633789063</v>
      </c>
      <c r="D355" s="54">
        <f t="shared" si="5"/>
        <v>-5.9705249582062692E-3</v>
      </c>
      <c r="E355" s="54">
        <f t="shared" si="5"/>
        <v>-3.6360943510462818E-3</v>
      </c>
    </row>
    <row r="356" spans="1:5" x14ac:dyDescent="0.25">
      <c r="A356" s="101">
        <v>44883</v>
      </c>
      <c r="B356">
        <v>154.0899963378906</v>
      </c>
      <c r="C356">
        <v>396.02999877929688</v>
      </c>
      <c r="D356" s="54">
        <f t="shared" si="5"/>
        <v>-1.7095157629214208E-2</v>
      </c>
      <c r="E356" s="54">
        <f t="shared" si="5"/>
        <v>4.5404032803919581E-3</v>
      </c>
    </row>
    <row r="357" spans="1:5" x14ac:dyDescent="0.25">
      <c r="A357" s="101">
        <v>44882</v>
      </c>
      <c r="B357">
        <v>156.77000427246091</v>
      </c>
      <c r="C357">
        <v>394.239990234375</v>
      </c>
      <c r="D357" s="54">
        <f t="shared" si="5"/>
        <v>-1.4644888382585708E-2</v>
      </c>
      <c r="E357" s="54">
        <f t="shared" si="5"/>
        <v>-3.0598607543416145E-3</v>
      </c>
    </row>
    <row r="358" spans="1:5" x14ac:dyDescent="0.25">
      <c r="A358" s="101">
        <v>44881</v>
      </c>
      <c r="B358">
        <v>159.1000061035156</v>
      </c>
      <c r="C358">
        <v>395.45001220703119</v>
      </c>
      <c r="D358" s="54">
        <f t="shared" si="5"/>
        <v>-4.5361798826796695E-2</v>
      </c>
      <c r="E358" s="54">
        <f t="shared" si="5"/>
        <v>-7.628743762310819E-3</v>
      </c>
    </row>
    <row r="359" spans="1:5" x14ac:dyDescent="0.25">
      <c r="A359" s="101">
        <v>44880</v>
      </c>
      <c r="B359">
        <v>166.6600036621094</v>
      </c>
      <c r="C359">
        <v>398.489990234375</v>
      </c>
      <c r="D359" s="54">
        <f t="shared" si="5"/>
        <v>2.2767761787965135E-2</v>
      </c>
      <c r="E359" s="54">
        <f t="shared" si="5"/>
        <v>8.5290422120702925E-3</v>
      </c>
    </row>
    <row r="360" spans="1:5" x14ac:dyDescent="0.25">
      <c r="A360" s="101">
        <v>44879</v>
      </c>
      <c r="B360">
        <v>162.94999694824219</v>
      </c>
      <c r="C360">
        <v>395.1199951171875</v>
      </c>
      <c r="D360" s="54">
        <f t="shared" si="5"/>
        <v>-1.9599884598808792E-3</v>
      </c>
      <c r="E360" s="54">
        <f t="shared" si="5"/>
        <v>-8.5067239601616107E-3</v>
      </c>
    </row>
    <row r="361" spans="1:5" x14ac:dyDescent="0.25">
      <c r="A361" s="101">
        <v>44876</v>
      </c>
      <c r="B361">
        <v>163.27000427246091</v>
      </c>
      <c r="C361">
        <v>398.510009765625</v>
      </c>
      <c r="D361" s="54">
        <f t="shared" si="5"/>
        <v>3.6634947761656544E-2</v>
      </c>
      <c r="E361" s="54">
        <f t="shared" si="5"/>
        <v>9.6785003435344574E-3</v>
      </c>
    </row>
    <row r="362" spans="1:5" x14ac:dyDescent="0.25">
      <c r="A362" s="101">
        <v>44875</v>
      </c>
      <c r="B362">
        <v>157.5</v>
      </c>
      <c r="C362">
        <v>394.69000244140619</v>
      </c>
      <c r="D362" s="54">
        <f t="shared" si="5"/>
        <v>0.14329272851549479</v>
      </c>
      <c r="E362" s="54">
        <f t="shared" si="5"/>
        <v>5.4954153075836842E-2</v>
      </c>
    </row>
    <row r="363" spans="1:5" x14ac:dyDescent="0.25">
      <c r="A363" s="101">
        <v>44874</v>
      </c>
      <c r="B363">
        <v>137.75999450683591</v>
      </c>
      <c r="C363">
        <v>374.1300048828125</v>
      </c>
      <c r="D363" s="54">
        <f t="shared" si="5"/>
        <v>-5.6567658703889134E-2</v>
      </c>
      <c r="E363" s="54">
        <f t="shared" si="5"/>
        <v>-2.0602081458605981E-2</v>
      </c>
    </row>
    <row r="364" spans="1:5" x14ac:dyDescent="0.25">
      <c r="A364" s="101">
        <v>44873</v>
      </c>
      <c r="B364">
        <v>146.02000427246091</v>
      </c>
      <c r="C364">
        <v>382</v>
      </c>
      <c r="D364" s="54">
        <f t="shared" si="5"/>
        <v>2.1047548292026041E-2</v>
      </c>
      <c r="E364" s="54">
        <f t="shared" si="5"/>
        <v>5.3954144679742022E-3</v>
      </c>
    </row>
    <row r="365" spans="1:5" x14ac:dyDescent="0.25">
      <c r="A365" s="101">
        <v>44872</v>
      </c>
      <c r="B365">
        <v>143.00999450683591</v>
      </c>
      <c r="C365">
        <v>379.95001220703119</v>
      </c>
      <c r="D365" s="54">
        <f t="shared" si="5"/>
        <v>1.0242985117613568E-2</v>
      </c>
      <c r="E365" s="54">
        <f t="shared" si="5"/>
        <v>9.565580032235621E-3</v>
      </c>
    </row>
    <row r="366" spans="1:5" x14ac:dyDescent="0.25">
      <c r="A366" s="101">
        <v>44869</v>
      </c>
      <c r="B366">
        <v>141.55999755859381</v>
      </c>
      <c r="C366">
        <v>376.35000610351563</v>
      </c>
      <c r="D366" s="54">
        <f t="shared" si="5"/>
        <v>5.4764849691101292E-2</v>
      </c>
      <c r="E366" s="54">
        <f t="shared" si="5"/>
        <v>1.4393132792465568E-2</v>
      </c>
    </row>
    <row r="367" spans="1:5" x14ac:dyDescent="0.25">
      <c r="A367" s="101">
        <v>44868</v>
      </c>
      <c r="B367">
        <v>134.21000671386719</v>
      </c>
      <c r="C367">
        <v>371.010009765625</v>
      </c>
      <c r="D367" s="54">
        <f t="shared" si="5"/>
        <v>1.5281066912426811E-2</v>
      </c>
      <c r="E367" s="54">
        <f t="shared" si="5"/>
        <v>-1.0296863984421645E-2</v>
      </c>
    </row>
    <row r="368" spans="1:5" x14ac:dyDescent="0.25">
      <c r="A368" s="101">
        <v>44867</v>
      </c>
      <c r="B368">
        <v>132.19000244140619</v>
      </c>
      <c r="C368">
        <v>374.8699951171875</v>
      </c>
      <c r="D368" s="54">
        <f t="shared" si="5"/>
        <v>-2.3923727457709654E-2</v>
      </c>
      <c r="E368" s="54">
        <f t="shared" si="5"/>
        <v>-2.5096208707478307E-2</v>
      </c>
    </row>
    <row r="369" spans="1:5" x14ac:dyDescent="0.25">
      <c r="A369" s="101">
        <v>44866</v>
      </c>
      <c r="B369">
        <v>135.42999267578119</v>
      </c>
      <c r="C369">
        <v>384.51998901367188</v>
      </c>
      <c r="D369" s="54">
        <f t="shared" si="5"/>
        <v>3.4081014367475237E-3</v>
      </c>
      <c r="E369" s="54">
        <f t="shared" si="5"/>
        <v>-4.3758641122645381E-3</v>
      </c>
    </row>
    <row r="370" spans="1:5" x14ac:dyDescent="0.25">
      <c r="A370" s="101">
        <v>44865</v>
      </c>
      <c r="B370">
        <v>134.9700012207031</v>
      </c>
      <c r="C370">
        <v>386.20999145507813</v>
      </c>
      <c r="D370" s="54">
        <f t="shared" si="5"/>
        <v>-2.4360237143251084E-2</v>
      </c>
      <c r="E370" s="54">
        <f t="shared" si="5"/>
        <v>-7.223272936998093E-3</v>
      </c>
    </row>
    <row r="371" spans="1:5" x14ac:dyDescent="0.25">
      <c r="A371" s="101">
        <v>44862</v>
      </c>
      <c r="B371">
        <v>138.3399963378906</v>
      </c>
      <c r="C371">
        <v>389.01998901367188</v>
      </c>
      <c r="D371" s="54">
        <f t="shared" si="5"/>
        <v>4.9939299524737857E-2</v>
      </c>
      <c r="E371" s="54">
        <f t="shared" si="5"/>
        <v>2.3790667313994707E-2</v>
      </c>
    </row>
    <row r="372" spans="1:5" x14ac:dyDescent="0.25">
      <c r="A372" s="101">
        <v>44861</v>
      </c>
      <c r="B372">
        <v>131.75999450683591</v>
      </c>
      <c r="C372">
        <v>379.98001098632813</v>
      </c>
      <c r="D372" s="54">
        <f t="shared" si="5"/>
        <v>2.1712063021067207E-2</v>
      </c>
      <c r="E372" s="54">
        <f t="shared" si="5"/>
        <v>-5.3399771897033599E-3</v>
      </c>
    </row>
    <row r="373" spans="1:5" x14ac:dyDescent="0.25">
      <c r="A373" s="101">
        <v>44860</v>
      </c>
      <c r="B373">
        <v>128.96000671386719</v>
      </c>
      <c r="C373">
        <v>382.01998901367188</v>
      </c>
      <c r="D373" s="54">
        <f t="shared" si="5"/>
        <v>-2.7524273280181921E-2</v>
      </c>
      <c r="E373" s="54">
        <f t="shared" si="5"/>
        <v>-7.5340962093335406E-3</v>
      </c>
    </row>
    <row r="374" spans="1:5" x14ac:dyDescent="0.25">
      <c r="A374" s="101">
        <v>44859</v>
      </c>
      <c r="B374">
        <v>132.61000061035159</v>
      </c>
      <c r="C374">
        <v>384.92001342773438</v>
      </c>
      <c r="D374" s="54">
        <f t="shared" si="5"/>
        <v>5.2543875377632387E-2</v>
      </c>
      <c r="E374" s="54">
        <f t="shared" si="5"/>
        <v>1.5968586556123432E-2</v>
      </c>
    </row>
    <row r="375" spans="1:5" x14ac:dyDescent="0.25">
      <c r="A375" s="101">
        <v>44858</v>
      </c>
      <c r="B375">
        <v>125.9899978637695</v>
      </c>
      <c r="C375">
        <v>378.8699951171875</v>
      </c>
      <c r="D375" s="54">
        <f t="shared" si="5"/>
        <v>1.0668972907020402E-2</v>
      </c>
      <c r="E375" s="54">
        <f t="shared" si="5"/>
        <v>1.2236464954195947E-2</v>
      </c>
    </row>
    <row r="376" spans="1:5" x14ac:dyDescent="0.25">
      <c r="A376" s="101">
        <v>44855</v>
      </c>
      <c r="B376">
        <v>124.6600036621094</v>
      </c>
      <c r="C376">
        <v>374.29000854492188</v>
      </c>
      <c r="D376" s="54">
        <f t="shared" si="5"/>
        <v>2.2306061720887671E-2</v>
      </c>
      <c r="E376" s="54">
        <f t="shared" si="5"/>
        <v>2.4301482701124311E-2</v>
      </c>
    </row>
    <row r="377" spans="1:5" x14ac:dyDescent="0.25">
      <c r="A377" s="101">
        <v>44854</v>
      </c>
      <c r="B377">
        <v>121.94000244140619</v>
      </c>
      <c r="C377">
        <v>365.41000366210938</v>
      </c>
      <c r="D377" s="54">
        <f t="shared" si="5"/>
        <v>1.1866237489226439E-2</v>
      </c>
      <c r="E377" s="54">
        <f t="shared" si="5"/>
        <v>-8.3853360594047244E-3</v>
      </c>
    </row>
    <row r="378" spans="1:5" x14ac:dyDescent="0.25">
      <c r="A378" s="101">
        <v>44853</v>
      </c>
      <c r="B378">
        <v>120.5100021362305</v>
      </c>
      <c r="C378">
        <v>368.5</v>
      </c>
      <c r="D378" s="54">
        <f t="shared" si="5"/>
        <v>7.019336342759086E-3</v>
      </c>
      <c r="E378" s="54">
        <f t="shared" si="5"/>
        <v>-7.0864787223090531E-3</v>
      </c>
    </row>
    <row r="379" spans="1:5" x14ac:dyDescent="0.25">
      <c r="A379" s="101">
        <v>44852</v>
      </c>
      <c r="B379">
        <v>119.6699981689453</v>
      </c>
      <c r="C379">
        <v>371.1300048828125</v>
      </c>
      <c r="D379" s="54">
        <f t="shared" si="5"/>
        <v>6.6453645169863851E-3</v>
      </c>
      <c r="E379" s="54">
        <f t="shared" si="5"/>
        <v>1.1749625081884485E-2</v>
      </c>
    </row>
    <row r="380" spans="1:5" x14ac:dyDescent="0.25">
      <c r="A380" s="101">
        <v>44851</v>
      </c>
      <c r="B380">
        <v>118.879997253418</v>
      </c>
      <c r="C380">
        <v>366.82000732421881</v>
      </c>
      <c r="D380" s="54">
        <f t="shared" si="5"/>
        <v>5.8875931308401075E-2</v>
      </c>
      <c r="E380" s="54">
        <f t="shared" si="5"/>
        <v>2.5696955836850721E-2</v>
      </c>
    </row>
    <row r="381" spans="1:5" x14ac:dyDescent="0.25">
      <c r="A381" s="101">
        <v>44848</v>
      </c>
      <c r="B381">
        <v>112.26999664306641</v>
      </c>
      <c r="C381">
        <v>357.6300048828125</v>
      </c>
      <c r="D381" s="54">
        <f t="shared" si="5"/>
        <v>-6.1287641509801039E-2</v>
      </c>
      <c r="E381" s="54">
        <f t="shared" si="5"/>
        <v>-2.2788743093893893E-2</v>
      </c>
    </row>
    <row r="382" spans="1:5" x14ac:dyDescent="0.25">
      <c r="A382" s="101">
        <v>44847</v>
      </c>
      <c r="B382">
        <v>119.59999847412109</v>
      </c>
      <c r="C382">
        <v>365.97000122070313</v>
      </c>
      <c r="D382" s="54">
        <f t="shared" si="5"/>
        <v>3.9999986731487747E-2</v>
      </c>
      <c r="E382" s="54">
        <f t="shared" si="5"/>
        <v>2.639108067798035E-2</v>
      </c>
    </row>
    <row r="383" spans="1:5" x14ac:dyDescent="0.25">
      <c r="A383" s="101">
        <v>44846</v>
      </c>
      <c r="B383">
        <v>115</v>
      </c>
      <c r="C383">
        <v>356.55999755859381</v>
      </c>
      <c r="D383" s="54">
        <f t="shared" si="5"/>
        <v>-7.4227568256612919E-3</v>
      </c>
      <c r="E383" s="54">
        <f t="shared" si="5"/>
        <v>-3.2984645496526577E-3</v>
      </c>
    </row>
    <row r="384" spans="1:5" x14ac:dyDescent="0.25">
      <c r="A384" s="101">
        <v>44845</v>
      </c>
      <c r="B384">
        <v>115.86000061035161</v>
      </c>
      <c r="C384">
        <v>357.739990234375</v>
      </c>
      <c r="D384" s="54">
        <f t="shared" si="5"/>
        <v>-7.1979122524153949E-3</v>
      </c>
      <c r="E384" s="54">
        <f t="shared" si="5"/>
        <v>-6.3329783036305543E-3</v>
      </c>
    </row>
    <row r="385" spans="1:5" x14ac:dyDescent="0.25">
      <c r="A385" s="101">
        <v>44844</v>
      </c>
      <c r="B385">
        <v>116.6999969482422</v>
      </c>
      <c r="C385">
        <v>360.01998901367188</v>
      </c>
      <c r="D385" s="54">
        <f t="shared" si="5"/>
        <v>-3.3620446473726973E-2</v>
      </c>
      <c r="E385" s="54">
        <f t="shared" si="5"/>
        <v>-7.6353247498739396E-3</v>
      </c>
    </row>
    <row r="386" spans="1:5" x14ac:dyDescent="0.25">
      <c r="A386" s="101">
        <v>44841</v>
      </c>
      <c r="B386">
        <v>120.7600021362305</v>
      </c>
      <c r="C386">
        <v>362.79000854492188</v>
      </c>
      <c r="D386" s="54">
        <f t="shared" si="5"/>
        <v>-8.0274186371286693E-2</v>
      </c>
      <c r="E386" s="54">
        <f t="shared" si="5"/>
        <v>-2.7893899575583081E-2</v>
      </c>
    </row>
    <row r="387" spans="1:5" x14ac:dyDescent="0.25">
      <c r="A387" s="101">
        <v>44840</v>
      </c>
      <c r="B387">
        <v>131.30000305175781</v>
      </c>
      <c r="C387">
        <v>373.20001220703119</v>
      </c>
      <c r="D387" s="54">
        <f t="shared" ref="D387:E450" si="6">+B387/B388-1</f>
        <v>-5.980720024489683E-3</v>
      </c>
      <c r="E387" s="54">
        <f t="shared" si="6"/>
        <v>-1.0315797736977994E-2</v>
      </c>
    </row>
    <row r="388" spans="1:5" x14ac:dyDescent="0.25">
      <c r="A388" s="101">
        <v>44839</v>
      </c>
      <c r="B388">
        <v>132.0899963378906</v>
      </c>
      <c r="C388">
        <v>377.08999633789063</v>
      </c>
      <c r="D388" s="54">
        <f t="shared" si="6"/>
        <v>3.1897788014425554E-3</v>
      </c>
      <c r="E388" s="54">
        <f t="shared" si="6"/>
        <v>-2.3282400189708063E-3</v>
      </c>
    </row>
    <row r="389" spans="1:5" x14ac:dyDescent="0.25">
      <c r="A389" s="101">
        <v>44838</v>
      </c>
      <c r="B389">
        <v>131.66999816894531</v>
      </c>
      <c r="C389">
        <v>377.97000122070313</v>
      </c>
      <c r="D389" s="54">
        <f t="shared" si="6"/>
        <v>5.2349706510394389E-2</v>
      </c>
      <c r="E389" s="54">
        <f t="shared" si="6"/>
        <v>3.0986651545366062E-2</v>
      </c>
    </row>
    <row r="390" spans="1:5" x14ac:dyDescent="0.25">
      <c r="A390" s="101">
        <v>44837</v>
      </c>
      <c r="B390">
        <v>125.120002746582</v>
      </c>
      <c r="C390">
        <v>366.6099853515625</v>
      </c>
      <c r="D390" s="54">
        <f t="shared" si="6"/>
        <v>3.0727435338068654E-2</v>
      </c>
      <c r="E390" s="54">
        <f t="shared" si="6"/>
        <v>2.6401234305251542E-2</v>
      </c>
    </row>
    <row r="391" spans="1:5" x14ac:dyDescent="0.25">
      <c r="A391" s="101">
        <v>44834</v>
      </c>
      <c r="B391">
        <v>121.38999938964839</v>
      </c>
      <c r="C391">
        <v>357.17999267578119</v>
      </c>
      <c r="D391" s="54">
        <f t="shared" si="6"/>
        <v>-6.6284580918350988E-3</v>
      </c>
      <c r="E391" s="54">
        <f t="shared" si="6"/>
        <v>-1.5463534653672895E-2</v>
      </c>
    </row>
    <row r="392" spans="1:5" x14ac:dyDescent="0.25">
      <c r="A392" s="101">
        <v>44833</v>
      </c>
      <c r="B392">
        <v>122.1999969482422</v>
      </c>
      <c r="C392">
        <v>362.79000854492188</v>
      </c>
      <c r="D392" s="54">
        <f t="shared" si="6"/>
        <v>-4.0515103936722197E-2</v>
      </c>
      <c r="E392" s="54">
        <f t="shared" si="6"/>
        <v>-2.0888970555351105E-2</v>
      </c>
    </row>
    <row r="393" spans="1:5" x14ac:dyDescent="0.25">
      <c r="A393" s="101">
        <v>44832</v>
      </c>
      <c r="B393">
        <v>127.36000061035161</v>
      </c>
      <c r="C393">
        <v>370.52999877929688</v>
      </c>
      <c r="D393" s="54">
        <f t="shared" si="6"/>
        <v>2.6021134523505962E-2</v>
      </c>
      <c r="E393" s="54">
        <f t="shared" si="6"/>
        <v>1.9676354781243965E-2</v>
      </c>
    </row>
    <row r="394" spans="1:5" x14ac:dyDescent="0.25">
      <c r="A394" s="101">
        <v>44831</v>
      </c>
      <c r="B394">
        <v>124.129997253418</v>
      </c>
      <c r="C394">
        <v>363.3800048828125</v>
      </c>
      <c r="D394" s="54">
        <f t="shared" si="6"/>
        <v>1.5129199317871711E-2</v>
      </c>
      <c r="E394" s="54">
        <f t="shared" si="6"/>
        <v>-2.5527509044868113E-3</v>
      </c>
    </row>
    <row r="395" spans="1:5" x14ac:dyDescent="0.25">
      <c r="A395" s="101">
        <v>44830</v>
      </c>
      <c r="B395">
        <v>122.2799987792969</v>
      </c>
      <c r="C395">
        <v>364.30999755859381</v>
      </c>
      <c r="D395" s="54">
        <f t="shared" si="6"/>
        <v>-2.3010584839766812E-2</v>
      </c>
      <c r="E395" s="54">
        <f t="shared" si="6"/>
        <v>-9.892687940418643E-3</v>
      </c>
    </row>
    <row r="396" spans="1:5" x14ac:dyDescent="0.25">
      <c r="A396" s="101">
        <v>44827</v>
      </c>
      <c r="B396">
        <v>125.1600036621094</v>
      </c>
      <c r="C396">
        <v>367.95001220703119</v>
      </c>
      <c r="D396" s="54">
        <f t="shared" si="6"/>
        <v>-3.5824930025922797E-3</v>
      </c>
      <c r="E396" s="54">
        <f t="shared" si="6"/>
        <v>-1.6754820675589976E-2</v>
      </c>
    </row>
    <row r="397" spans="1:5" x14ac:dyDescent="0.25">
      <c r="A397" s="101">
        <v>44826</v>
      </c>
      <c r="B397">
        <v>125.61000061035161</v>
      </c>
      <c r="C397">
        <v>374.22000122070313</v>
      </c>
      <c r="D397" s="54">
        <f t="shared" si="6"/>
        <v>-5.2786365792788947E-2</v>
      </c>
      <c r="E397" s="54">
        <f t="shared" si="6"/>
        <v>-8.3998338713000553E-3</v>
      </c>
    </row>
    <row r="398" spans="1:5" x14ac:dyDescent="0.25">
      <c r="A398" s="101">
        <v>44825</v>
      </c>
      <c r="B398">
        <v>132.61000061035159</v>
      </c>
      <c r="C398">
        <v>377.3900146484375</v>
      </c>
      <c r="D398" s="54">
        <f t="shared" si="6"/>
        <v>6.4511698463343148E-3</v>
      </c>
      <c r="E398" s="54">
        <f t="shared" si="6"/>
        <v>-1.7443780763191308E-2</v>
      </c>
    </row>
    <row r="399" spans="1:5" x14ac:dyDescent="0.25">
      <c r="A399" s="101">
        <v>44824</v>
      </c>
      <c r="B399">
        <v>131.75999450683591</v>
      </c>
      <c r="C399">
        <v>384.08999633789063</v>
      </c>
      <c r="D399" s="54">
        <f t="shared" si="6"/>
        <v>-1.5393907522302741E-2</v>
      </c>
      <c r="E399" s="54">
        <f t="shared" si="6"/>
        <v>-1.1478552554876398E-2</v>
      </c>
    </row>
    <row r="400" spans="1:5" x14ac:dyDescent="0.25">
      <c r="A400" s="101">
        <v>44823</v>
      </c>
      <c r="B400">
        <v>133.82000732421881</v>
      </c>
      <c r="C400">
        <v>388.54998779296881</v>
      </c>
      <c r="D400" s="54">
        <f t="shared" si="6"/>
        <v>1.3941594607096874E-2</v>
      </c>
      <c r="E400" s="54">
        <f t="shared" si="6"/>
        <v>7.7549285540718937E-3</v>
      </c>
    </row>
    <row r="401" spans="1:5" x14ac:dyDescent="0.25">
      <c r="A401" s="101">
        <v>44820</v>
      </c>
      <c r="B401">
        <v>131.97999572753909</v>
      </c>
      <c r="C401">
        <v>385.55999755859381</v>
      </c>
      <c r="D401" s="54">
        <f t="shared" si="6"/>
        <v>2.0805960098188025E-2</v>
      </c>
      <c r="E401" s="54">
        <f t="shared" si="6"/>
        <v>-1.1688705054002435E-2</v>
      </c>
    </row>
    <row r="402" spans="1:5" x14ac:dyDescent="0.25">
      <c r="A402" s="101">
        <v>44819</v>
      </c>
      <c r="B402">
        <v>129.28999328613281</v>
      </c>
      <c r="C402">
        <v>390.1199951171875</v>
      </c>
      <c r="D402" s="54">
        <f t="shared" si="6"/>
        <v>-1.515848195968994E-2</v>
      </c>
      <c r="E402" s="54">
        <f t="shared" si="6"/>
        <v>-1.1353296799374357E-2</v>
      </c>
    </row>
    <row r="403" spans="1:5" x14ac:dyDescent="0.25">
      <c r="A403" s="101">
        <v>44818</v>
      </c>
      <c r="B403">
        <v>131.2799987792969</v>
      </c>
      <c r="C403">
        <v>394.60000610351563</v>
      </c>
      <c r="D403" s="54">
        <f t="shared" si="6"/>
        <v>-2.2845769442281227E-4</v>
      </c>
      <c r="E403" s="54">
        <f t="shared" si="6"/>
        <v>3.8158228865685651E-3</v>
      </c>
    </row>
    <row r="404" spans="1:5" x14ac:dyDescent="0.25">
      <c r="A404" s="101">
        <v>44817</v>
      </c>
      <c r="B404">
        <v>131.30999755859381</v>
      </c>
      <c r="C404">
        <v>393.10000610351563</v>
      </c>
      <c r="D404" s="54">
        <f t="shared" si="6"/>
        <v>-9.4725992444558593E-2</v>
      </c>
      <c r="E404" s="54">
        <f t="shared" si="6"/>
        <v>-4.3482480629019826E-2</v>
      </c>
    </row>
    <row r="405" spans="1:5" x14ac:dyDescent="0.25">
      <c r="A405" s="101">
        <v>44816</v>
      </c>
      <c r="B405">
        <v>145.05000305175781</v>
      </c>
      <c r="C405">
        <v>410.97000122070313</v>
      </c>
      <c r="D405" s="54">
        <f t="shared" si="6"/>
        <v>8.2019043206968956E-3</v>
      </c>
      <c r="E405" s="54">
        <f t="shared" si="6"/>
        <v>1.0747651381183054E-2</v>
      </c>
    </row>
    <row r="406" spans="1:5" x14ac:dyDescent="0.25">
      <c r="A406" s="101">
        <v>44813</v>
      </c>
      <c r="B406">
        <v>143.8699951171875</v>
      </c>
      <c r="C406">
        <v>406.60000610351563</v>
      </c>
      <c r="D406" s="54">
        <f t="shared" si="6"/>
        <v>2.8377422401037355E-2</v>
      </c>
      <c r="E406" s="54">
        <f t="shared" si="6"/>
        <v>1.553524437995768E-2</v>
      </c>
    </row>
    <row r="407" spans="1:5" x14ac:dyDescent="0.25">
      <c r="A407" s="101">
        <v>44812</v>
      </c>
      <c r="B407">
        <v>139.8999938964844</v>
      </c>
      <c r="C407">
        <v>400.3800048828125</v>
      </c>
      <c r="D407" s="54">
        <f t="shared" si="6"/>
        <v>2.0125379313982394E-2</v>
      </c>
      <c r="E407" s="54">
        <f t="shared" si="6"/>
        <v>6.5362916976583474E-3</v>
      </c>
    </row>
    <row r="408" spans="1:5" x14ac:dyDescent="0.25">
      <c r="A408" s="101">
        <v>44811</v>
      </c>
      <c r="B408">
        <v>137.13999938964841</v>
      </c>
      <c r="C408">
        <v>397.77999877929688</v>
      </c>
      <c r="D408" s="54">
        <f t="shared" si="6"/>
        <v>1.8492429305851044E-2</v>
      </c>
      <c r="E408" s="54">
        <f t="shared" si="6"/>
        <v>1.7964962734754897E-2</v>
      </c>
    </row>
    <row r="409" spans="1:5" x14ac:dyDescent="0.25">
      <c r="A409" s="101">
        <v>44810</v>
      </c>
      <c r="B409">
        <v>134.6499938964844</v>
      </c>
      <c r="C409">
        <v>390.760009765625</v>
      </c>
      <c r="D409" s="54">
        <f t="shared" si="6"/>
        <v>-1.3336317930233821E-2</v>
      </c>
      <c r="E409" s="54">
        <f t="shared" si="6"/>
        <v>-3.7731503813919209E-3</v>
      </c>
    </row>
    <row r="410" spans="1:5" x14ac:dyDescent="0.25">
      <c r="A410" s="101">
        <v>44806</v>
      </c>
      <c r="B410">
        <v>136.4700012207031</v>
      </c>
      <c r="C410">
        <v>392.239990234375</v>
      </c>
      <c r="D410" s="54">
        <f t="shared" si="6"/>
        <v>-2.0807878295797999E-2</v>
      </c>
      <c r="E410" s="54">
        <f t="shared" si="6"/>
        <v>-1.0544430280438832E-2</v>
      </c>
    </row>
    <row r="411" spans="1:5" x14ac:dyDescent="0.25">
      <c r="A411" s="101">
        <v>44805</v>
      </c>
      <c r="B411">
        <v>139.3699951171875</v>
      </c>
      <c r="C411">
        <v>396.42001342773438</v>
      </c>
      <c r="D411" s="54">
        <f t="shared" si="6"/>
        <v>-7.6653021976133107E-2</v>
      </c>
      <c r="E411" s="54">
        <f t="shared" si="6"/>
        <v>3.1378631887635233E-3</v>
      </c>
    </row>
    <row r="412" spans="1:5" x14ac:dyDescent="0.25">
      <c r="A412" s="101">
        <v>44804</v>
      </c>
      <c r="B412">
        <v>150.94000244140619</v>
      </c>
      <c r="C412">
        <v>395.17999267578119</v>
      </c>
      <c r="D412" s="54">
        <f t="shared" si="6"/>
        <v>-2.4178888101024532E-2</v>
      </c>
      <c r="E412" s="54">
        <f t="shared" si="6"/>
        <v>-7.6090475987937722E-3</v>
      </c>
    </row>
    <row r="413" spans="1:5" x14ac:dyDescent="0.25">
      <c r="A413" s="101">
        <v>44803</v>
      </c>
      <c r="B413">
        <v>154.67999267578119</v>
      </c>
      <c r="C413">
        <v>398.20999145507813</v>
      </c>
      <c r="D413" s="54">
        <f t="shared" si="6"/>
        <v>-2.1074627851535355E-2</v>
      </c>
      <c r="E413" s="54">
        <f t="shared" si="6"/>
        <v>-1.0977854044983193E-2</v>
      </c>
    </row>
    <row r="414" spans="1:5" x14ac:dyDescent="0.25">
      <c r="A414" s="101">
        <v>44802</v>
      </c>
      <c r="B414">
        <v>158.00999450683591</v>
      </c>
      <c r="C414">
        <v>402.6300048828125</v>
      </c>
      <c r="D414" s="54">
        <f t="shared" si="6"/>
        <v>-2.8228852548489836E-2</v>
      </c>
      <c r="E414" s="54">
        <f t="shared" si="6"/>
        <v>-6.6122047122557648E-3</v>
      </c>
    </row>
    <row r="415" spans="1:5" x14ac:dyDescent="0.25">
      <c r="A415" s="101">
        <v>44799</v>
      </c>
      <c r="B415">
        <v>162.6000061035156</v>
      </c>
      <c r="C415">
        <v>405.30999755859381</v>
      </c>
      <c r="D415" s="54">
        <f t="shared" si="6"/>
        <v>-9.2279340862581272E-2</v>
      </c>
      <c r="E415" s="54">
        <f t="shared" si="6"/>
        <v>-3.3849042636585835E-2</v>
      </c>
    </row>
    <row r="416" spans="1:5" x14ac:dyDescent="0.25">
      <c r="A416" s="101">
        <v>44798</v>
      </c>
      <c r="B416">
        <v>179.1300048828125</v>
      </c>
      <c r="C416">
        <v>419.510009765625</v>
      </c>
      <c r="D416" s="54">
        <f t="shared" si="6"/>
        <v>4.0123119342300395E-2</v>
      </c>
      <c r="E416" s="54">
        <f t="shared" si="6"/>
        <v>1.4117523988503633E-2</v>
      </c>
    </row>
    <row r="417" spans="1:5" x14ac:dyDescent="0.25">
      <c r="A417" s="101">
        <v>44797</v>
      </c>
      <c r="B417">
        <v>172.2200012207031</v>
      </c>
      <c r="C417">
        <v>413.67001342773438</v>
      </c>
      <c r="D417" s="54">
        <f t="shared" si="6"/>
        <v>2.3863783710809106E-3</v>
      </c>
      <c r="E417" s="54">
        <f t="shared" si="6"/>
        <v>3.2011817744155291E-3</v>
      </c>
    </row>
    <row r="418" spans="1:5" x14ac:dyDescent="0.25">
      <c r="A418" s="101">
        <v>44796</v>
      </c>
      <c r="B418">
        <v>171.80999755859381</v>
      </c>
      <c r="C418">
        <v>412.35000610351563</v>
      </c>
      <c r="D418" s="54">
        <f t="shared" si="6"/>
        <v>8.6298065768843912E-3</v>
      </c>
      <c r="E418" s="54">
        <f t="shared" si="6"/>
        <v>-2.4192572522898637E-3</v>
      </c>
    </row>
    <row r="419" spans="1:5" x14ac:dyDescent="0.25">
      <c r="A419" s="101">
        <v>44795</v>
      </c>
      <c r="B419">
        <v>170.3399963378906</v>
      </c>
      <c r="C419">
        <v>413.35000610351563</v>
      </c>
      <c r="D419" s="54">
        <f t="shared" si="6"/>
        <v>-4.5660871222201971E-2</v>
      </c>
      <c r="E419" s="54">
        <f t="shared" si="6"/>
        <v>-2.0822495475209313E-2</v>
      </c>
    </row>
    <row r="420" spans="1:5" x14ac:dyDescent="0.25">
      <c r="A420" s="101">
        <v>44792</v>
      </c>
      <c r="B420">
        <v>178.49000549316409</v>
      </c>
      <c r="C420">
        <v>422.1400146484375</v>
      </c>
      <c r="D420" s="54">
        <f t="shared" si="6"/>
        <v>-4.9219573028624675E-2</v>
      </c>
      <c r="E420" s="54">
        <f t="shared" si="6"/>
        <v>-1.3438032679318979E-2</v>
      </c>
    </row>
    <row r="421" spans="1:5" x14ac:dyDescent="0.25">
      <c r="A421" s="101">
        <v>44791</v>
      </c>
      <c r="B421">
        <v>187.72999572753909</v>
      </c>
      <c r="C421">
        <v>427.8900146484375</v>
      </c>
      <c r="D421" s="54">
        <f t="shared" si="6"/>
        <v>2.3888680001192153E-2</v>
      </c>
      <c r="E421" s="54">
        <f t="shared" si="6"/>
        <v>2.9064122106936541E-3</v>
      </c>
    </row>
    <row r="422" spans="1:5" x14ac:dyDescent="0.25">
      <c r="A422" s="101">
        <v>44790</v>
      </c>
      <c r="B422">
        <v>183.3500061035156</v>
      </c>
      <c r="C422">
        <v>426.64999389648438</v>
      </c>
      <c r="D422" s="54">
        <f t="shared" si="6"/>
        <v>-2.8815018677246784E-2</v>
      </c>
      <c r="E422" s="54">
        <f t="shared" si="6"/>
        <v>-7.0980177423809465E-3</v>
      </c>
    </row>
    <row r="423" spans="1:5" x14ac:dyDescent="0.25">
      <c r="A423" s="101">
        <v>44789</v>
      </c>
      <c r="B423">
        <v>188.78999328613281</v>
      </c>
      <c r="C423">
        <v>429.70001220703119</v>
      </c>
      <c r="D423" s="54">
        <f t="shared" si="6"/>
        <v>-8.0391655065435996E-3</v>
      </c>
      <c r="E423" s="54">
        <f t="shared" si="6"/>
        <v>1.9587438421890813E-3</v>
      </c>
    </row>
    <row r="424" spans="1:5" x14ac:dyDescent="0.25">
      <c r="A424" s="101">
        <v>44788</v>
      </c>
      <c r="B424">
        <v>190.32000732421881</v>
      </c>
      <c r="C424">
        <v>428.8599853515625</v>
      </c>
      <c r="D424" s="54">
        <f t="shared" si="6"/>
        <v>1.7264477254543831E-2</v>
      </c>
      <c r="E424" s="54">
        <f t="shared" si="6"/>
        <v>4.1207661505402449E-3</v>
      </c>
    </row>
    <row r="425" spans="1:5" x14ac:dyDescent="0.25">
      <c r="A425" s="101">
        <v>44785</v>
      </c>
      <c r="B425">
        <v>187.0899963378906</v>
      </c>
      <c r="C425">
        <v>427.10000610351563</v>
      </c>
      <c r="D425" s="54">
        <f t="shared" si="6"/>
        <v>4.2748847660354361E-2</v>
      </c>
      <c r="E425" s="54">
        <f t="shared" si="6"/>
        <v>1.6929012677594724E-2</v>
      </c>
    </row>
    <row r="426" spans="1:5" x14ac:dyDescent="0.25">
      <c r="A426" s="101">
        <v>44784</v>
      </c>
      <c r="B426">
        <v>179.41999816894531</v>
      </c>
      <c r="C426">
        <v>419.989990234375</v>
      </c>
      <c r="D426" s="54">
        <f t="shared" si="6"/>
        <v>-8.5649723230507568E-3</v>
      </c>
      <c r="E426" s="54">
        <f t="shared" si="6"/>
        <v>0</v>
      </c>
    </row>
    <row r="427" spans="1:5" x14ac:dyDescent="0.25">
      <c r="A427" s="101">
        <v>44783</v>
      </c>
      <c r="B427">
        <v>180.9700012207031</v>
      </c>
      <c r="C427">
        <v>419.989990234375</v>
      </c>
      <c r="D427" s="54">
        <f t="shared" si="6"/>
        <v>5.9171254677725882E-2</v>
      </c>
      <c r="E427" s="54">
        <f t="shared" si="6"/>
        <v>2.1003972292843898E-2</v>
      </c>
    </row>
    <row r="428" spans="1:5" x14ac:dyDescent="0.25">
      <c r="A428" s="101">
        <v>44782</v>
      </c>
      <c r="B428">
        <v>170.86000061035159</v>
      </c>
      <c r="C428">
        <v>411.35000610351563</v>
      </c>
      <c r="D428" s="54">
        <f t="shared" si="6"/>
        <v>-3.9734684181729429E-2</v>
      </c>
      <c r="E428" s="54">
        <f t="shared" si="6"/>
        <v>-3.9710021299272924E-3</v>
      </c>
    </row>
    <row r="429" spans="1:5" x14ac:dyDescent="0.25">
      <c r="A429" s="101">
        <v>44781</v>
      </c>
      <c r="B429">
        <v>177.92999267578119</v>
      </c>
      <c r="C429">
        <v>412.989990234375</v>
      </c>
      <c r="D429" s="54">
        <f t="shared" si="6"/>
        <v>-6.2983868304331558E-2</v>
      </c>
      <c r="E429" s="54">
        <f t="shared" si="6"/>
        <v>-1.1609330420851993E-3</v>
      </c>
    </row>
    <row r="430" spans="1:5" x14ac:dyDescent="0.25">
      <c r="A430" s="101">
        <v>44778</v>
      </c>
      <c r="B430">
        <v>189.88999938964841</v>
      </c>
      <c r="C430">
        <v>413.47000122070313</v>
      </c>
      <c r="D430" s="54">
        <f t="shared" si="6"/>
        <v>-1.1761616334234781E-2</v>
      </c>
      <c r="E430" s="54">
        <f t="shared" si="6"/>
        <v>-1.6901566611204899E-3</v>
      </c>
    </row>
    <row r="431" spans="1:5" x14ac:dyDescent="0.25">
      <c r="A431" s="101">
        <v>44777</v>
      </c>
      <c r="B431">
        <v>192.1499938964844</v>
      </c>
      <c r="C431">
        <v>414.17001342773438</v>
      </c>
      <c r="D431" s="54">
        <f t="shared" si="6"/>
        <v>1.7043356510519692E-2</v>
      </c>
      <c r="E431" s="54">
        <f t="shared" si="6"/>
        <v>-6.7559119568072479E-4</v>
      </c>
    </row>
    <row r="432" spans="1:5" x14ac:dyDescent="0.25">
      <c r="A432" s="101">
        <v>44776</v>
      </c>
      <c r="B432">
        <v>188.92999267578119</v>
      </c>
      <c r="C432">
        <v>414.45001220703119</v>
      </c>
      <c r="D432" s="54">
        <f t="shared" si="6"/>
        <v>1.9809987464993961E-2</v>
      </c>
      <c r="E432" s="54">
        <f t="shared" si="6"/>
        <v>1.5659497835290415E-2</v>
      </c>
    </row>
    <row r="433" spans="1:5" x14ac:dyDescent="0.25">
      <c r="A433" s="101">
        <v>44775</v>
      </c>
      <c r="B433">
        <v>185.25999450683591</v>
      </c>
      <c r="C433">
        <v>408.05999755859381</v>
      </c>
      <c r="D433" s="54">
        <f t="shared" si="6"/>
        <v>4.6092447689765059E-3</v>
      </c>
      <c r="E433" s="54">
        <f t="shared" si="6"/>
        <v>-6.5973452967807988E-3</v>
      </c>
    </row>
    <row r="434" spans="1:5" x14ac:dyDescent="0.25">
      <c r="A434" s="101">
        <v>44774</v>
      </c>
      <c r="B434">
        <v>184.4100036621094</v>
      </c>
      <c r="C434">
        <v>410.76998901367188</v>
      </c>
      <c r="D434" s="54">
        <f t="shared" si="6"/>
        <v>1.530583441370581E-2</v>
      </c>
      <c r="E434" s="54">
        <f t="shared" si="6"/>
        <v>-2.961239956361772E-3</v>
      </c>
    </row>
    <row r="435" spans="1:5" x14ac:dyDescent="0.25">
      <c r="A435" s="101">
        <v>44771</v>
      </c>
      <c r="B435">
        <v>181.6300048828125</v>
      </c>
      <c r="C435">
        <v>411.989990234375</v>
      </c>
      <c r="D435" s="54">
        <f t="shared" si="6"/>
        <v>9.9533395316511175E-3</v>
      </c>
      <c r="E435" s="54">
        <f t="shared" si="6"/>
        <v>1.4578724858715031E-2</v>
      </c>
    </row>
    <row r="436" spans="1:5" x14ac:dyDescent="0.25">
      <c r="A436" s="101">
        <v>44770</v>
      </c>
      <c r="B436">
        <v>179.8399963378906</v>
      </c>
      <c r="C436">
        <v>406.07000732421881</v>
      </c>
      <c r="D436" s="54">
        <f t="shared" si="6"/>
        <v>1.0905016908179466E-2</v>
      </c>
      <c r="E436" s="54">
        <f t="shared" si="6"/>
        <v>1.2542386475471901E-2</v>
      </c>
    </row>
    <row r="437" spans="1:5" x14ac:dyDescent="0.25">
      <c r="A437" s="101">
        <v>44769</v>
      </c>
      <c r="B437">
        <v>177.8999938964844</v>
      </c>
      <c r="C437">
        <v>401.04000854492188</v>
      </c>
      <c r="D437" s="54">
        <f t="shared" si="6"/>
        <v>7.6029709830128578E-2</v>
      </c>
      <c r="E437" s="54">
        <f t="shared" si="6"/>
        <v>2.5966367817333857E-2</v>
      </c>
    </row>
    <row r="438" spans="1:5" x14ac:dyDescent="0.25">
      <c r="A438" s="101">
        <v>44768</v>
      </c>
      <c r="B438">
        <v>165.33000183105469</v>
      </c>
      <c r="C438">
        <v>390.8900146484375</v>
      </c>
      <c r="D438" s="54">
        <f t="shared" si="6"/>
        <v>-2.8841655919157994E-2</v>
      </c>
      <c r="E438" s="54">
        <f t="shared" si="6"/>
        <v>-1.1831009907547041E-2</v>
      </c>
    </row>
    <row r="439" spans="1:5" x14ac:dyDescent="0.25">
      <c r="A439" s="101">
        <v>44767</v>
      </c>
      <c r="B439">
        <v>170.24000549316409</v>
      </c>
      <c r="C439">
        <v>395.57000732421881</v>
      </c>
      <c r="D439" s="54">
        <f t="shared" si="6"/>
        <v>-1.7033298150337162E-2</v>
      </c>
      <c r="E439" s="54">
        <f t="shared" si="6"/>
        <v>1.2149408761989999E-3</v>
      </c>
    </row>
    <row r="440" spans="1:5" x14ac:dyDescent="0.25">
      <c r="A440" s="101">
        <v>44764</v>
      </c>
      <c r="B440">
        <v>173.19000244140619</v>
      </c>
      <c r="C440">
        <v>395.08999633789063</v>
      </c>
      <c r="D440" s="54">
        <f t="shared" si="6"/>
        <v>-4.0498601432652714E-2</v>
      </c>
      <c r="E440" s="54">
        <f t="shared" si="6"/>
        <v>-9.2780965614750466E-3</v>
      </c>
    </row>
    <row r="441" spans="1:5" x14ac:dyDescent="0.25">
      <c r="A441" s="101">
        <v>44763</v>
      </c>
      <c r="B441">
        <v>180.5</v>
      </c>
      <c r="C441">
        <v>398.79000854492188</v>
      </c>
      <c r="D441" s="54">
        <f t="shared" si="6"/>
        <v>1.364627717096023E-2</v>
      </c>
      <c r="E441" s="54">
        <f t="shared" si="6"/>
        <v>1.0183194374258298E-2</v>
      </c>
    </row>
    <row r="442" spans="1:5" x14ac:dyDescent="0.25">
      <c r="A442" s="101">
        <v>44762</v>
      </c>
      <c r="B442">
        <v>178.07000732421881</v>
      </c>
      <c r="C442">
        <v>394.76998901367188</v>
      </c>
      <c r="D442" s="54">
        <f t="shared" si="6"/>
        <v>4.7963802042713333E-2</v>
      </c>
      <c r="E442" s="54">
        <f t="shared" si="6"/>
        <v>6.373161521445958E-3</v>
      </c>
    </row>
    <row r="443" spans="1:5" x14ac:dyDescent="0.25">
      <c r="A443" s="101">
        <v>44761</v>
      </c>
      <c r="B443">
        <v>169.91999816894531</v>
      </c>
      <c r="C443">
        <v>392.26998901367188</v>
      </c>
      <c r="D443" s="54">
        <f t="shared" si="6"/>
        <v>5.533820238551157E-2</v>
      </c>
      <c r="E443" s="54">
        <f t="shared" si="6"/>
        <v>2.7019181769385225E-2</v>
      </c>
    </row>
    <row r="444" spans="1:5" x14ac:dyDescent="0.25">
      <c r="A444" s="101">
        <v>44760</v>
      </c>
      <c r="B444">
        <v>161.00999450683591</v>
      </c>
      <c r="C444">
        <v>381.95001220703119</v>
      </c>
      <c r="D444" s="54">
        <f t="shared" si="6"/>
        <v>2.1507419709840825E-2</v>
      </c>
      <c r="E444" s="54">
        <f t="shared" si="6"/>
        <v>-8.2569330757517045E-3</v>
      </c>
    </row>
    <row r="445" spans="1:5" x14ac:dyDescent="0.25">
      <c r="A445" s="101">
        <v>44757</v>
      </c>
      <c r="B445">
        <v>157.6199951171875</v>
      </c>
      <c r="C445">
        <v>385.1300048828125</v>
      </c>
      <c r="D445" s="54">
        <f t="shared" si="6"/>
        <v>2.5370764152447434E-2</v>
      </c>
      <c r="E445" s="54">
        <f t="shared" si="6"/>
        <v>1.9105080973613298E-2</v>
      </c>
    </row>
    <row r="446" spans="1:5" x14ac:dyDescent="0.25">
      <c r="A446" s="101">
        <v>44756</v>
      </c>
      <c r="B446">
        <v>153.7200012207031</v>
      </c>
      <c r="C446">
        <v>377.91000366210938</v>
      </c>
      <c r="D446" s="54">
        <f t="shared" si="6"/>
        <v>1.3716709571529373E-2</v>
      </c>
      <c r="E446" s="54">
        <f t="shared" si="6"/>
        <v>-2.4284849213771498E-3</v>
      </c>
    </row>
    <row r="447" spans="1:5" x14ac:dyDescent="0.25">
      <c r="A447" s="101">
        <v>44755</v>
      </c>
      <c r="B447">
        <v>151.63999938964841</v>
      </c>
      <c r="C447">
        <v>378.82998657226563</v>
      </c>
      <c r="D447" s="54">
        <f t="shared" si="6"/>
        <v>5.4368918287270862E-3</v>
      </c>
      <c r="E447" s="54">
        <f t="shared" si="6"/>
        <v>-5.251687289652196E-3</v>
      </c>
    </row>
    <row r="448" spans="1:5" x14ac:dyDescent="0.25">
      <c r="A448" s="101">
        <v>44754</v>
      </c>
      <c r="B448">
        <v>150.82000732421881</v>
      </c>
      <c r="C448">
        <v>380.82998657226563</v>
      </c>
      <c r="D448" s="54">
        <f t="shared" si="6"/>
        <v>-4.6198318935061211E-3</v>
      </c>
      <c r="E448" s="54">
        <f t="shared" si="6"/>
        <v>-8.8489298515088688E-3</v>
      </c>
    </row>
    <row r="449" spans="1:5" x14ac:dyDescent="0.25">
      <c r="A449" s="101">
        <v>44753</v>
      </c>
      <c r="B449">
        <v>151.52000427246091</v>
      </c>
      <c r="C449">
        <v>384.23001098632813</v>
      </c>
      <c r="D449" s="54">
        <f t="shared" si="6"/>
        <v>-4.3313552208988693E-2</v>
      </c>
      <c r="E449" s="54">
        <f t="shared" si="6"/>
        <v>-1.14235785834087E-2</v>
      </c>
    </row>
    <row r="450" spans="1:5" x14ac:dyDescent="0.25">
      <c r="A450" s="101">
        <v>44750</v>
      </c>
      <c r="B450">
        <v>158.3800048828125</v>
      </c>
      <c r="C450">
        <v>388.67001342773438</v>
      </c>
      <c r="D450" s="54">
        <f t="shared" si="6"/>
        <v>-1.2611738298203834E-3</v>
      </c>
      <c r="E450" s="54">
        <f t="shared" si="6"/>
        <v>-8.2258365169718406E-4</v>
      </c>
    </row>
    <row r="451" spans="1:5" x14ac:dyDescent="0.25">
      <c r="A451" s="101">
        <v>44749</v>
      </c>
      <c r="B451">
        <v>158.58000183105469</v>
      </c>
      <c r="C451">
        <v>388.989990234375</v>
      </c>
      <c r="D451" s="54">
        <f t="shared" ref="D451:E514" si="7">+B451/B452-1</f>
        <v>4.8116316143143045E-2</v>
      </c>
      <c r="E451" s="54">
        <f t="shared" si="7"/>
        <v>1.4977143468688947E-2</v>
      </c>
    </row>
    <row r="452" spans="1:5" x14ac:dyDescent="0.25">
      <c r="A452" s="101">
        <v>44748</v>
      </c>
      <c r="B452">
        <v>151.30000305175781</v>
      </c>
      <c r="C452">
        <v>383.25</v>
      </c>
      <c r="D452" s="54">
        <f t="shared" si="7"/>
        <v>1.1093315082065125E-2</v>
      </c>
      <c r="E452" s="54">
        <f t="shared" si="7"/>
        <v>3.3773394433473936E-3</v>
      </c>
    </row>
    <row r="453" spans="1:5" x14ac:dyDescent="0.25">
      <c r="A453" s="101">
        <v>44747</v>
      </c>
      <c r="B453">
        <v>149.63999938964841</v>
      </c>
      <c r="C453">
        <v>381.95999145507813</v>
      </c>
      <c r="D453" s="54">
        <f t="shared" si="7"/>
        <v>3.0365653045826502E-2</v>
      </c>
      <c r="E453" s="54">
        <f t="shared" si="7"/>
        <v>1.8885773768393399E-3</v>
      </c>
    </row>
    <row r="454" spans="1:5" x14ac:dyDescent="0.25">
      <c r="A454" s="101">
        <v>44743</v>
      </c>
      <c r="B454">
        <v>145.22999572753909</v>
      </c>
      <c r="C454">
        <v>381.239990234375</v>
      </c>
      <c r="D454" s="54">
        <f t="shared" si="7"/>
        <v>-4.1955279134483381E-2</v>
      </c>
      <c r="E454" s="54">
        <f t="shared" si="7"/>
        <v>1.0576514869118592E-2</v>
      </c>
    </row>
    <row r="455" spans="1:5" x14ac:dyDescent="0.25">
      <c r="A455" s="101">
        <v>44742</v>
      </c>
      <c r="B455">
        <v>151.5899963378906</v>
      </c>
      <c r="C455">
        <v>377.25</v>
      </c>
      <c r="D455" s="54">
        <f t="shared" si="7"/>
        <v>-2.4642915172932933E-2</v>
      </c>
      <c r="E455" s="54">
        <f t="shared" si="7"/>
        <v>-8.1243002777585671E-3</v>
      </c>
    </row>
    <row r="456" spans="1:5" x14ac:dyDescent="0.25">
      <c r="A456" s="101">
        <v>44741</v>
      </c>
      <c r="B456">
        <v>155.41999816894531</v>
      </c>
      <c r="C456">
        <v>380.33999633789063</v>
      </c>
      <c r="D456" s="54">
        <f t="shared" si="7"/>
        <v>-2.7531028367101862E-2</v>
      </c>
      <c r="E456" s="54">
        <f t="shared" si="7"/>
        <v>-8.1439002644001501E-4</v>
      </c>
    </row>
    <row r="457" spans="1:5" x14ac:dyDescent="0.25">
      <c r="A457" s="101">
        <v>44740</v>
      </c>
      <c r="B457">
        <v>159.82000732421881</v>
      </c>
      <c r="C457">
        <v>380.64999389648438</v>
      </c>
      <c r="D457" s="54">
        <f t="shared" si="7"/>
        <v>-5.2581628957343529E-2</v>
      </c>
      <c r="E457" s="54">
        <f t="shared" si="7"/>
        <v>-2.0432853434812048E-2</v>
      </c>
    </row>
    <row r="458" spans="1:5" x14ac:dyDescent="0.25">
      <c r="A458" s="101">
        <v>44739</v>
      </c>
      <c r="B458">
        <v>168.69000244140619</v>
      </c>
      <c r="C458">
        <v>388.58999633789063</v>
      </c>
      <c r="D458" s="54">
        <f t="shared" si="7"/>
        <v>-1.500637713337738E-2</v>
      </c>
      <c r="E458" s="54">
        <f t="shared" si="7"/>
        <v>-3.8197043828572808E-3</v>
      </c>
    </row>
    <row r="459" spans="1:5" x14ac:dyDescent="0.25">
      <c r="A459" s="101">
        <v>44736</v>
      </c>
      <c r="B459">
        <v>171.25999450683591</v>
      </c>
      <c r="C459">
        <v>390.07998657226563</v>
      </c>
      <c r="D459" s="54">
        <f t="shared" si="7"/>
        <v>5.553155320083758E-2</v>
      </c>
      <c r="E459" s="54">
        <f t="shared" si="7"/>
        <v>3.179386629448655E-2</v>
      </c>
    </row>
    <row r="460" spans="1:5" x14ac:dyDescent="0.25">
      <c r="A460" s="101">
        <v>44735</v>
      </c>
      <c r="B460">
        <v>162.25</v>
      </c>
      <c r="C460">
        <v>378.05999755859381</v>
      </c>
      <c r="D460" s="54">
        <f t="shared" si="7"/>
        <v>-8.25187074052669E-3</v>
      </c>
      <c r="E460" s="54">
        <f t="shared" si="7"/>
        <v>9.8025662185530216E-3</v>
      </c>
    </row>
    <row r="461" spans="1:5" x14ac:dyDescent="0.25">
      <c r="A461" s="101">
        <v>44734</v>
      </c>
      <c r="B461">
        <v>163.6000061035156</v>
      </c>
      <c r="C461">
        <v>374.3900146484375</v>
      </c>
      <c r="D461" s="54">
        <f t="shared" si="7"/>
        <v>-1.2435093040294221E-2</v>
      </c>
      <c r="E461" s="54">
        <f t="shared" si="7"/>
        <v>-1.8129753446094465E-3</v>
      </c>
    </row>
    <row r="462" spans="1:5" x14ac:dyDescent="0.25">
      <c r="A462" s="101">
        <v>44733</v>
      </c>
      <c r="B462">
        <v>165.6600036621094</v>
      </c>
      <c r="C462">
        <v>375.07000732421881</v>
      </c>
      <c r="D462" s="54">
        <f t="shared" si="7"/>
        <v>4.3198995456666944E-2</v>
      </c>
      <c r="E462" s="54">
        <f t="shared" si="7"/>
        <v>2.5173624723693777E-2</v>
      </c>
    </row>
    <row r="463" spans="1:5" x14ac:dyDescent="0.25">
      <c r="A463" s="101">
        <v>44729</v>
      </c>
      <c r="B463">
        <v>158.80000305175781</v>
      </c>
      <c r="C463">
        <v>365.8599853515625</v>
      </c>
      <c r="D463" s="54">
        <f t="shared" si="7"/>
        <v>1.7883524409711082E-2</v>
      </c>
      <c r="E463" s="54">
        <f t="shared" si="7"/>
        <v>-2.1546667341413306E-3</v>
      </c>
    </row>
    <row r="464" spans="1:5" x14ac:dyDescent="0.25">
      <c r="A464" s="101">
        <v>44728</v>
      </c>
      <c r="B464">
        <v>156.00999450683591</v>
      </c>
      <c r="C464">
        <v>366.64999389648438</v>
      </c>
      <c r="D464" s="54">
        <f t="shared" si="7"/>
        <v>-5.6029585080418665E-2</v>
      </c>
      <c r="E464" s="54">
        <f t="shared" si="7"/>
        <v>-3.3096038783076098E-2</v>
      </c>
    </row>
    <row r="465" spans="1:5" x14ac:dyDescent="0.25">
      <c r="A465" s="101">
        <v>44727</v>
      </c>
      <c r="B465">
        <v>165.27000427246091</v>
      </c>
      <c r="C465">
        <v>379.20001220703119</v>
      </c>
      <c r="D465" s="54">
        <f t="shared" si="7"/>
        <v>4.3634779208618024E-2</v>
      </c>
      <c r="E465" s="54">
        <f t="shared" si="7"/>
        <v>1.4256338190961282E-2</v>
      </c>
    </row>
    <row r="466" spans="1:5" x14ac:dyDescent="0.25">
      <c r="A466" s="101">
        <v>44726</v>
      </c>
      <c r="B466">
        <v>158.36000061035159</v>
      </c>
      <c r="C466">
        <v>373.8699951171875</v>
      </c>
      <c r="D466" s="54">
        <f t="shared" si="7"/>
        <v>1.2078988783176481E-2</v>
      </c>
      <c r="E466" s="54">
        <f t="shared" si="7"/>
        <v>-3.0133463541666128E-3</v>
      </c>
    </row>
    <row r="467" spans="1:5" x14ac:dyDescent="0.25">
      <c r="A467" s="101">
        <v>44725</v>
      </c>
      <c r="B467">
        <v>156.4700012207031</v>
      </c>
      <c r="C467">
        <v>375</v>
      </c>
      <c r="D467" s="54">
        <f t="shared" si="7"/>
        <v>-7.8178413120149282E-2</v>
      </c>
      <c r="E467" s="54">
        <f t="shared" si="7"/>
        <v>-3.7968158687653464E-2</v>
      </c>
    </row>
    <row r="468" spans="1:5" x14ac:dyDescent="0.25">
      <c r="A468" s="101">
        <v>44722</v>
      </c>
      <c r="B468">
        <v>169.74000549316409</v>
      </c>
      <c r="C468">
        <v>389.79998779296881</v>
      </c>
      <c r="D468" s="54">
        <f t="shared" si="7"/>
        <v>-5.9507926022940416E-2</v>
      </c>
      <c r="E468" s="54">
        <f t="shared" si="7"/>
        <v>-2.8995652096570401E-2</v>
      </c>
    </row>
    <row r="469" spans="1:5" x14ac:dyDescent="0.25">
      <c r="A469" s="101">
        <v>44721</v>
      </c>
      <c r="B469">
        <v>180.47999572753909</v>
      </c>
      <c r="C469">
        <v>401.44000244140619</v>
      </c>
      <c r="D469" s="54">
        <f t="shared" si="7"/>
        <v>-3.2175032912197365E-2</v>
      </c>
      <c r="E469" s="54">
        <f t="shared" si="7"/>
        <v>-2.3782886898169098E-2</v>
      </c>
    </row>
    <row r="470" spans="1:5" x14ac:dyDescent="0.25">
      <c r="A470" s="101">
        <v>44720</v>
      </c>
      <c r="B470">
        <v>186.47999572753909</v>
      </c>
      <c r="C470">
        <v>411.22000122070313</v>
      </c>
      <c r="D470" s="54">
        <f t="shared" si="7"/>
        <v>-1.4688781887269964E-2</v>
      </c>
      <c r="E470" s="54">
        <f t="shared" si="7"/>
        <v>-1.0872153557139663E-2</v>
      </c>
    </row>
    <row r="471" spans="1:5" x14ac:dyDescent="0.25">
      <c r="A471" s="101">
        <v>44719</v>
      </c>
      <c r="B471">
        <v>189.25999450683591</v>
      </c>
      <c r="C471">
        <v>415.739990234375</v>
      </c>
      <c r="D471" s="54">
        <f t="shared" si="7"/>
        <v>7.45232562512399E-3</v>
      </c>
      <c r="E471" s="54">
        <f t="shared" si="7"/>
        <v>9.5922232387584128E-3</v>
      </c>
    </row>
    <row r="472" spans="1:5" x14ac:dyDescent="0.25">
      <c r="A472" s="101">
        <v>44718</v>
      </c>
      <c r="B472">
        <v>187.86000061035159</v>
      </c>
      <c r="C472">
        <v>411.79000854492188</v>
      </c>
      <c r="D472" s="54">
        <f t="shared" si="7"/>
        <v>3.5256606456670614E-3</v>
      </c>
      <c r="E472" s="54">
        <f t="shared" si="7"/>
        <v>3.044770239154948E-3</v>
      </c>
    </row>
    <row r="473" spans="1:5" x14ac:dyDescent="0.25">
      <c r="A473" s="101">
        <v>44715</v>
      </c>
      <c r="B473">
        <v>187.19999694824219</v>
      </c>
      <c r="C473">
        <v>410.54000854492188</v>
      </c>
      <c r="D473" s="54">
        <f t="shared" si="7"/>
        <v>-4.4507969080235021E-2</v>
      </c>
      <c r="E473" s="54">
        <f t="shared" si="7"/>
        <v>-1.6411523666384986E-2</v>
      </c>
    </row>
    <row r="474" spans="1:5" x14ac:dyDescent="0.25">
      <c r="A474" s="101">
        <v>44714</v>
      </c>
      <c r="B474">
        <v>195.91999816894531</v>
      </c>
      <c r="C474">
        <v>417.3900146484375</v>
      </c>
      <c r="D474" s="54">
        <f t="shared" si="7"/>
        <v>6.9432322230315258E-2</v>
      </c>
      <c r="E474" s="54">
        <f t="shared" si="7"/>
        <v>1.9043478552421167E-2</v>
      </c>
    </row>
    <row r="475" spans="1:5" x14ac:dyDescent="0.25">
      <c r="A475" s="101">
        <v>44713</v>
      </c>
      <c r="B475">
        <v>183.19999694824219</v>
      </c>
      <c r="C475">
        <v>409.58999633789063</v>
      </c>
      <c r="D475" s="54">
        <f t="shared" si="7"/>
        <v>-1.8851779399359891E-2</v>
      </c>
      <c r="E475" s="54">
        <f t="shared" si="7"/>
        <v>-8.0885292837350464E-3</v>
      </c>
    </row>
    <row r="476" spans="1:5" x14ac:dyDescent="0.25">
      <c r="A476" s="101">
        <v>44712</v>
      </c>
      <c r="B476">
        <v>186.7200012207031</v>
      </c>
      <c r="C476">
        <v>412.92999267578119</v>
      </c>
      <c r="D476" s="54">
        <f t="shared" si="7"/>
        <v>-7.3892902298571261E-3</v>
      </c>
      <c r="E476" s="54">
        <f t="shared" si="7"/>
        <v>-5.6109835646318551E-3</v>
      </c>
    </row>
    <row r="477" spans="1:5" x14ac:dyDescent="0.25">
      <c r="A477" s="101">
        <v>44708</v>
      </c>
      <c r="B477">
        <v>188.11000061035159</v>
      </c>
      <c r="C477">
        <v>415.260009765625</v>
      </c>
      <c r="D477" s="54">
        <f t="shared" si="7"/>
        <v>5.3778535650271797E-2</v>
      </c>
      <c r="E477" s="54">
        <f t="shared" si="7"/>
        <v>2.4549140822988758E-2</v>
      </c>
    </row>
    <row r="478" spans="1:5" x14ac:dyDescent="0.25">
      <c r="A478" s="101">
        <v>44707</v>
      </c>
      <c r="B478">
        <v>178.50999450683591</v>
      </c>
      <c r="C478">
        <v>405.30999755859381</v>
      </c>
      <c r="D478" s="54">
        <f t="shared" si="7"/>
        <v>5.1605269554261701E-2</v>
      </c>
      <c r="E478" s="54">
        <f t="shared" si="7"/>
        <v>1.9981383946879872E-2</v>
      </c>
    </row>
    <row r="479" spans="1:5" x14ac:dyDescent="0.25">
      <c r="A479" s="101">
        <v>44706</v>
      </c>
      <c r="B479">
        <v>169.75</v>
      </c>
      <c r="C479">
        <v>397.3699951171875</v>
      </c>
      <c r="D479" s="54">
        <f t="shared" si="7"/>
        <v>5.0823369166079768E-2</v>
      </c>
      <c r="E479" s="54">
        <f t="shared" si="7"/>
        <v>8.8349040070385687E-3</v>
      </c>
    </row>
    <row r="480" spans="1:5" x14ac:dyDescent="0.25">
      <c r="A480" s="101">
        <v>44705</v>
      </c>
      <c r="B480">
        <v>161.53999328613281</v>
      </c>
      <c r="C480">
        <v>393.8900146484375</v>
      </c>
      <c r="D480" s="54">
        <f t="shared" si="7"/>
        <v>-4.4028894718416423E-2</v>
      </c>
      <c r="E480" s="54">
        <f t="shared" si="7"/>
        <v>-7.6337767731344819E-3</v>
      </c>
    </row>
    <row r="481" spans="1:5" x14ac:dyDescent="0.25">
      <c r="A481" s="101">
        <v>44704</v>
      </c>
      <c r="B481">
        <v>168.97999572753909</v>
      </c>
      <c r="C481">
        <v>396.92001342773438</v>
      </c>
      <c r="D481" s="54">
        <f t="shared" si="7"/>
        <v>1.2219918870846502E-2</v>
      </c>
      <c r="E481" s="54">
        <f t="shared" si="7"/>
        <v>1.871007995678986E-2</v>
      </c>
    </row>
    <row r="482" spans="1:5" x14ac:dyDescent="0.25">
      <c r="A482" s="101">
        <v>44701</v>
      </c>
      <c r="B482">
        <v>166.94000244140619</v>
      </c>
      <c r="C482">
        <v>389.6300048828125</v>
      </c>
      <c r="D482" s="54">
        <f t="shared" si="7"/>
        <v>-2.5110972400252285E-2</v>
      </c>
      <c r="E482" s="54">
        <f t="shared" si="7"/>
        <v>4.3653631044149321E-4</v>
      </c>
    </row>
    <row r="483" spans="1:5" x14ac:dyDescent="0.25">
      <c r="A483" s="101">
        <v>44700</v>
      </c>
      <c r="B483">
        <v>171.24000549316409</v>
      </c>
      <c r="C483">
        <v>389.45999145507813</v>
      </c>
      <c r="D483" s="54">
        <f t="shared" si="7"/>
        <v>1.0981228933358844E-2</v>
      </c>
      <c r="E483" s="54">
        <f t="shared" si="7"/>
        <v>-6.1246210029104464E-3</v>
      </c>
    </row>
    <row r="484" spans="1:5" x14ac:dyDescent="0.25">
      <c r="A484" s="101">
        <v>44699</v>
      </c>
      <c r="B484">
        <v>169.3800048828125</v>
      </c>
      <c r="C484">
        <v>391.8599853515625</v>
      </c>
      <c r="D484" s="54">
        <f t="shared" si="7"/>
        <v>-6.8163058251770936E-2</v>
      </c>
      <c r="E484" s="54">
        <f t="shared" si="7"/>
        <v>-4.0311573465432793E-2</v>
      </c>
    </row>
    <row r="485" spans="1:5" x14ac:dyDescent="0.25">
      <c r="A485" s="101">
        <v>44698</v>
      </c>
      <c r="B485">
        <v>181.77000427246091</v>
      </c>
      <c r="C485">
        <v>408.32000732421881</v>
      </c>
      <c r="D485" s="54">
        <f t="shared" si="7"/>
        <v>5.2884643854788749E-2</v>
      </c>
      <c r="E485" s="54">
        <f t="shared" si="7"/>
        <v>2.0570399314302268E-2</v>
      </c>
    </row>
    <row r="486" spans="1:5" x14ac:dyDescent="0.25">
      <c r="A486" s="101">
        <v>44697</v>
      </c>
      <c r="B486">
        <v>172.63999938964841</v>
      </c>
      <c r="C486">
        <v>400.08999633789063</v>
      </c>
      <c r="D486" s="54">
        <f t="shared" si="7"/>
        <v>-2.4963279283242379E-2</v>
      </c>
      <c r="E486" s="54">
        <f t="shared" si="7"/>
        <v>-4.0575646665822473E-3</v>
      </c>
    </row>
    <row r="487" spans="1:5" x14ac:dyDescent="0.25">
      <c r="A487" s="101">
        <v>44694</v>
      </c>
      <c r="B487">
        <v>177.05999755859381</v>
      </c>
      <c r="C487">
        <v>401.72000122070313</v>
      </c>
      <c r="D487" s="54">
        <f t="shared" si="7"/>
        <v>9.465222601912715E-2</v>
      </c>
      <c r="E487" s="54">
        <f t="shared" si="7"/>
        <v>2.390784770955201E-2</v>
      </c>
    </row>
    <row r="488" spans="1:5" x14ac:dyDescent="0.25">
      <c r="A488" s="101">
        <v>44693</v>
      </c>
      <c r="B488">
        <v>161.75</v>
      </c>
      <c r="C488">
        <v>392.33999633789063</v>
      </c>
      <c r="D488" s="54">
        <f t="shared" si="7"/>
        <v>-2.7360210272165175E-2</v>
      </c>
      <c r="E488" s="54">
        <f t="shared" si="7"/>
        <v>-1.0439303936584654E-3</v>
      </c>
    </row>
    <row r="489" spans="1:5" x14ac:dyDescent="0.25">
      <c r="A489" s="101">
        <v>44692</v>
      </c>
      <c r="B489">
        <v>166.30000305175781</v>
      </c>
      <c r="C489">
        <v>392.75</v>
      </c>
      <c r="D489" s="54">
        <f t="shared" si="7"/>
        <v>-5.4845092718717292E-2</v>
      </c>
      <c r="E489" s="54">
        <f t="shared" si="7"/>
        <v>-1.5886131940332726E-2</v>
      </c>
    </row>
    <row r="490" spans="1:5" x14ac:dyDescent="0.25">
      <c r="A490" s="101">
        <v>44691</v>
      </c>
      <c r="B490">
        <v>175.94999694824219</v>
      </c>
      <c r="C490">
        <v>399.08999633789063</v>
      </c>
      <c r="D490" s="54">
        <f t="shared" si="7"/>
        <v>3.8053079340661933E-2</v>
      </c>
      <c r="E490" s="54">
        <f t="shared" si="7"/>
        <v>2.3105278627999493E-3</v>
      </c>
    </row>
    <row r="491" spans="1:5" x14ac:dyDescent="0.25">
      <c r="A491" s="101">
        <v>44690</v>
      </c>
      <c r="B491">
        <v>169.5</v>
      </c>
      <c r="C491">
        <v>398.17001342773438</v>
      </c>
      <c r="D491" s="54">
        <f t="shared" si="7"/>
        <v>-9.2369477911646625E-2</v>
      </c>
      <c r="E491" s="54">
        <f t="shared" si="7"/>
        <v>-3.2017268020146372E-2</v>
      </c>
    </row>
    <row r="492" spans="1:5" x14ac:dyDescent="0.25">
      <c r="A492" s="101">
        <v>44687</v>
      </c>
      <c r="B492">
        <v>186.75</v>
      </c>
      <c r="C492">
        <v>411.33999633789063</v>
      </c>
      <c r="D492" s="54">
        <f t="shared" si="7"/>
        <v>-8.9683847352510782E-3</v>
      </c>
      <c r="E492" s="54">
        <f t="shared" si="7"/>
        <v>-5.9689259207746925E-3</v>
      </c>
    </row>
    <row r="493" spans="1:5" x14ac:dyDescent="0.25">
      <c r="A493" s="101">
        <v>44686</v>
      </c>
      <c r="B493">
        <v>188.44000244140619</v>
      </c>
      <c r="C493">
        <v>413.80999755859381</v>
      </c>
      <c r="D493" s="54">
        <f t="shared" si="7"/>
        <v>-7.3276257326792882E-2</v>
      </c>
      <c r="E493" s="54">
        <f t="shared" si="7"/>
        <v>-3.5542814727018257E-2</v>
      </c>
    </row>
    <row r="494" spans="1:5" x14ac:dyDescent="0.25">
      <c r="A494" s="101">
        <v>44685</v>
      </c>
      <c r="B494">
        <v>203.3399963378906</v>
      </c>
      <c r="C494">
        <v>429.05999755859381</v>
      </c>
      <c r="D494" s="54">
        <f t="shared" si="7"/>
        <v>3.7343086959916283E-2</v>
      </c>
      <c r="E494" s="54">
        <f t="shared" si="7"/>
        <v>3.045293368337898E-2</v>
      </c>
    </row>
    <row r="495" spans="1:5" x14ac:dyDescent="0.25">
      <c r="A495" s="101">
        <v>44684</v>
      </c>
      <c r="B495">
        <v>196.02000427246091</v>
      </c>
      <c r="C495">
        <v>416.3800048828125</v>
      </c>
      <c r="D495" s="54">
        <f t="shared" si="7"/>
        <v>3.5324959552451851E-3</v>
      </c>
      <c r="E495" s="54">
        <f t="shared" si="7"/>
        <v>4.5840422846037399E-3</v>
      </c>
    </row>
    <row r="496" spans="1:5" x14ac:dyDescent="0.25">
      <c r="A496" s="101">
        <v>44683</v>
      </c>
      <c r="B496">
        <v>195.33000183105469</v>
      </c>
      <c r="C496">
        <v>414.48001098632813</v>
      </c>
      <c r="D496" s="54">
        <f t="shared" si="7"/>
        <v>5.3162239421234103E-2</v>
      </c>
      <c r="E496" s="54">
        <f t="shared" si="7"/>
        <v>6.0194441415730715E-3</v>
      </c>
    </row>
    <row r="497" spans="1:5" x14ac:dyDescent="0.25">
      <c r="A497" s="101">
        <v>44680</v>
      </c>
      <c r="B497">
        <v>185.4700012207031</v>
      </c>
      <c r="C497">
        <v>412</v>
      </c>
      <c r="D497" s="54">
        <f t="shared" si="7"/>
        <v>-6.243052090921497E-2</v>
      </c>
      <c r="E497" s="54">
        <f t="shared" si="7"/>
        <v>-3.695565238965326E-2</v>
      </c>
    </row>
    <row r="498" spans="1:5" x14ac:dyDescent="0.25">
      <c r="A498" s="101">
        <v>44679</v>
      </c>
      <c r="B498">
        <v>197.82000732421881</v>
      </c>
      <c r="C498">
        <v>427.80999755859381</v>
      </c>
      <c r="D498" s="54">
        <f t="shared" si="7"/>
        <v>7.4233037636801003E-2</v>
      </c>
      <c r="E498" s="54">
        <f t="shared" si="7"/>
        <v>2.5259445496753852E-2</v>
      </c>
    </row>
    <row r="499" spans="1:5" x14ac:dyDescent="0.25">
      <c r="A499" s="101">
        <v>44678</v>
      </c>
      <c r="B499">
        <v>184.1499938964844</v>
      </c>
      <c r="C499">
        <v>417.26998901367188</v>
      </c>
      <c r="D499" s="54">
        <f t="shared" si="7"/>
        <v>-1.9853155681226586E-2</v>
      </c>
      <c r="E499" s="54">
        <f t="shared" si="7"/>
        <v>2.811782968023202E-3</v>
      </c>
    </row>
    <row r="500" spans="1:5" x14ac:dyDescent="0.25">
      <c r="A500" s="101">
        <v>44677</v>
      </c>
      <c r="B500">
        <v>187.8800048828125</v>
      </c>
      <c r="C500">
        <v>416.10000610351563</v>
      </c>
      <c r="D500" s="54">
        <f t="shared" si="7"/>
        <v>-5.5974269673904731E-2</v>
      </c>
      <c r="E500" s="54">
        <f t="shared" si="7"/>
        <v>-2.8960825603343676E-2</v>
      </c>
    </row>
    <row r="501" spans="1:5" x14ac:dyDescent="0.25">
      <c r="A501" s="101">
        <v>44676</v>
      </c>
      <c r="B501">
        <v>199.02000427246091</v>
      </c>
      <c r="C501">
        <v>428.510009765625</v>
      </c>
      <c r="D501" s="54">
        <f t="shared" si="7"/>
        <v>1.9830953097694337E-2</v>
      </c>
      <c r="E501" s="54">
        <f t="shared" si="7"/>
        <v>5.7975804411869447E-3</v>
      </c>
    </row>
    <row r="502" spans="1:5" x14ac:dyDescent="0.25">
      <c r="A502" s="101">
        <v>44673</v>
      </c>
      <c r="B502">
        <v>195.1499938964844</v>
      </c>
      <c r="C502">
        <v>426.04000854492188</v>
      </c>
      <c r="D502" s="54">
        <f t="shared" si="7"/>
        <v>-3.309719998992966E-2</v>
      </c>
      <c r="E502" s="54">
        <f t="shared" si="7"/>
        <v>-2.7439138658316264E-2</v>
      </c>
    </row>
    <row r="503" spans="1:5" x14ac:dyDescent="0.25">
      <c r="A503" s="101">
        <v>44672</v>
      </c>
      <c r="B503">
        <v>201.83000183105469</v>
      </c>
      <c r="C503">
        <v>438.05999755859381</v>
      </c>
      <c r="D503" s="54">
        <f t="shared" si="7"/>
        <v>-6.0469253562396741E-2</v>
      </c>
      <c r="E503" s="54">
        <f t="shared" si="7"/>
        <v>-1.4953551807382892E-2</v>
      </c>
    </row>
    <row r="504" spans="1:5" x14ac:dyDescent="0.25">
      <c r="A504" s="101">
        <v>44671</v>
      </c>
      <c r="B504">
        <v>214.82000732421881</v>
      </c>
      <c r="C504">
        <v>444.70999145507813</v>
      </c>
      <c r="D504" s="54">
        <f t="shared" si="7"/>
        <v>-3.2255106501166586E-2</v>
      </c>
      <c r="E504" s="54">
        <f t="shared" si="7"/>
        <v>-7.4154476790244672E-4</v>
      </c>
    </row>
    <row r="505" spans="1:5" x14ac:dyDescent="0.25">
      <c r="A505" s="101">
        <v>44670</v>
      </c>
      <c r="B505">
        <v>221.97999572753909</v>
      </c>
      <c r="C505">
        <v>445.04000854492188</v>
      </c>
      <c r="D505" s="54">
        <f t="shared" si="7"/>
        <v>1.9051525784327339E-2</v>
      </c>
      <c r="E505" s="54">
        <f t="shared" si="7"/>
        <v>1.6142674851047589E-2</v>
      </c>
    </row>
    <row r="506" spans="1:5" x14ac:dyDescent="0.25">
      <c r="A506" s="101">
        <v>44669</v>
      </c>
      <c r="B506">
        <v>217.83000183105469</v>
      </c>
      <c r="C506">
        <v>437.97000122070313</v>
      </c>
      <c r="D506" s="54">
        <f t="shared" si="7"/>
        <v>2.4696584602404759E-2</v>
      </c>
      <c r="E506" s="54">
        <f t="shared" si="7"/>
        <v>4.1113929570824048E-4</v>
      </c>
    </row>
    <row r="507" spans="1:5" x14ac:dyDescent="0.25">
      <c r="A507" s="101">
        <v>44665</v>
      </c>
      <c r="B507">
        <v>212.58000183105469</v>
      </c>
      <c r="C507">
        <v>437.79000854492188</v>
      </c>
      <c r="D507" s="54">
        <f t="shared" si="7"/>
        <v>-4.256180246001684E-2</v>
      </c>
      <c r="E507" s="54">
        <f t="shared" si="7"/>
        <v>-1.2451758462637241E-2</v>
      </c>
    </row>
    <row r="508" spans="1:5" x14ac:dyDescent="0.25">
      <c r="A508" s="101">
        <v>44664</v>
      </c>
      <c r="B508">
        <v>222.0299987792969</v>
      </c>
      <c r="C508">
        <v>443.30999755859381</v>
      </c>
      <c r="D508" s="54">
        <f t="shared" si="7"/>
        <v>3.2505606916863883E-2</v>
      </c>
      <c r="E508" s="54">
        <f t="shared" si="7"/>
        <v>1.1453578488676452E-2</v>
      </c>
    </row>
    <row r="509" spans="1:5" x14ac:dyDescent="0.25">
      <c r="A509" s="101">
        <v>44663</v>
      </c>
      <c r="B509">
        <v>215.03999328613281</v>
      </c>
      <c r="C509">
        <v>438.29000854492188</v>
      </c>
      <c r="D509" s="54">
        <f t="shared" si="7"/>
        <v>-1.8843842301941915E-2</v>
      </c>
      <c r="E509" s="54">
        <f t="shared" si="7"/>
        <v>-3.7052301169749891E-3</v>
      </c>
    </row>
    <row r="510" spans="1:5" x14ac:dyDescent="0.25">
      <c r="A510" s="101">
        <v>44662</v>
      </c>
      <c r="B510">
        <v>219.16999816894531</v>
      </c>
      <c r="C510">
        <v>439.92001342773438</v>
      </c>
      <c r="D510" s="54">
        <f t="shared" si="7"/>
        <v>-5.1991886091645734E-2</v>
      </c>
      <c r="E510" s="54">
        <f t="shared" si="7"/>
        <v>-1.7092284494708787E-2</v>
      </c>
    </row>
    <row r="511" spans="1:5" x14ac:dyDescent="0.25">
      <c r="A511" s="101">
        <v>44659</v>
      </c>
      <c r="B511">
        <v>231.19000244140619</v>
      </c>
      <c r="C511">
        <v>447.57000732421881</v>
      </c>
      <c r="D511" s="54">
        <f t="shared" si="7"/>
        <v>-4.498512602147331E-2</v>
      </c>
      <c r="E511" s="54">
        <f t="shared" si="7"/>
        <v>-2.6739347969556571E-3</v>
      </c>
    </row>
    <row r="512" spans="1:5" x14ac:dyDescent="0.25">
      <c r="A512" s="101">
        <v>44658</v>
      </c>
      <c r="B512">
        <v>242.08000183105469</v>
      </c>
      <c r="C512">
        <v>448.76998901367188</v>
      </c>
      <c r="D512" s="54">
        <f t="shared" si="7"/>
        <v>-8.1534208769888927E-3</v>
      </c>
      <c r="E512" s="54">
        <f t="shared" si="7"/>
        <v>5.0389681433300471E-3</v>
      </c>
    </row>
    <row r="513" spans="1:5" x14ac:dyDescent="0.25">
      <c r="A513" s="101">
        <v>44657</v>
      </c>
      <c r="B513">
        <v>244.07000732421881</v>
      </c>
      <c r="C513">
        <v>446.51998901367188</v>
      </c>
      <c r="D513" s="54">
        <f t="shared" si="7"/>
        <v>-5.8771317642434373E-2</v>
      </c>
      <c r="E513" s="54">
        <f t="shared" si="7"/>
        <v>-9.9993565346678803E-3</v>
      </c>
    </row>
    <row r="514" spans="1:5" x14ac:dyDescent="0.25">
      <c r="A514" s="101">
        <v>44656</v>
      </c>
      <c r="B514">
        <v>259.30999755859381</v>
      </c>
      <c r="C514">
        <v>451.02999877929688</v>
      </c>
      <c r="D514" s="54">
        <f t="shared" si="7"/>
        <v>-5.2229562230036053E-2</v>
      </c>
      <c r="E514" s="54">
        <f t="shared" si="7"/>
        <v>-1.2631324798298871E-2</v>
      </c>
    </row>
    <row r="515" spans="1:5" x14ac:dyDescent="0.25">
      <c r="A515" s="101">
        <v>44655</v>
      </c>
      <c r="B515">
        <v>273.60000610351563</v>
      </c>
      <c r="C515">
        <v>456.79998779296881</v>
      </c>
      <c r="D515" s="54">
        <f t="shared" ref="D515:E578" si="8">+B515/B516-1</f>
        <v>2.4258801680066222E-2</v>
      </c>
      <c r="E515" s="54">
        <f t="shared" si="8"/>
        <v>8.5665774313448129E-3</v>
      </c>
    </row>
    <row r="516" spans="1:5" x14ac:dyDescent="0.25">
      <c r="A516" s="101">
        <v>44652</v>
      </c>
      <c r="B516">
        <v>267.1199951171875</v>
      </c>
      <c r="C516">
        <v>452.92001342773438</v>
      </c>
      <c r="D516" s="54">
        <f t="shared" si="8"/>
        <v>-2.1036394277377801E-2</v>
      </c>
      <c r="E516" s="54">
        <f t="shared" si="8"/>
        <v>2.8341128726010467E-3</v>
      </c>
    </row>
    <row r="517" spans="1:5" x14ac:dyDescent="0.25">
      <c r="A517" s="101">
        <v>44651</v>
      </c>
      <c r="B517">
        <v>272.8599853515625</v>
      </c>
      <c r="C517">
        <v>451.6400146484375</v>
      </c>
      <c r="D517" s="54">
        <f t="shared" si="8"/>
        <v>-1.4590135911784041E-2</v>
      </c>
      <c r="E517" s="54">
        <f t="shared" si="8"/>
        <v>-1.5391317572948315E-2</v>
      </c>
    </row>
    <row r="518" spans="1:5" x14ac:dyDescent="0.25">
      <c r="A518" s="101">
        <v>44650</v>
      </c>
      <c r="B518">
        <v>276.89999389648438</v>
      </c>
      <c r="C518">
        <v>458.70001220703119</v>
      </c>
      <c r="D518" s="54">
        <f t="shared" si="8"/>
        <v>-3.3710230822200593E-2</v>
      </c>
      <c r="E518" s="54">
        <f t="shared" si="8"/>
        <v>-6.1747928963568066E-3</v>
      </c>
    </row>
    <row r="519" spans="1:5" x14ac:dyDescent="0.25">
      <c r="A519" s="101">
        <v>44649</v>
      </c>
      <c r="B519">
        <v>286.55999755859381</v>
      </c>
      <c r="C519">
        <v>461.54998779296881</v>
      </c>
      <c r="D519" s="54">
        <f t="shared" si="8"/>
        <v>1.5486002620149542E-2</v>
      </c>
      <c r="E519" s="54">
        <f t="shared" si="8"/>
        <v>1.2370827763278136E-2</v>
      </c>
    </row>
    <row r="520" spans="1:5" x14ac:dyDescent="0.25">
      <c r="A520" s="101">
        <v>44648</v>
      </c>
      <c r="B520">
        <v>282.19000244140619</v>
      </c>
      <c r="C520">
        <v>455.91000366210938</v>
      </c>
      <c r="D520" s="54">
        <f t="shared" si="8"/>
        <v>1.9030726412437859E-2</v>
      </c>
      <c r="E520" s="54">
        <f t="shared" si="8"/>
        <v>7.1130380687387529E-3</v>
      </c>
    </row>
    <row r="521" spans="1:5" x14ac:dyDescent="0.25">
      <c r="A521" s="101">
        <v>44645</v>
      </c>
      <c r="B521">
        <v>276.92001342773438</v>
      </c>
      <c r="C521">
        <v>452.69000244140619</v>
      </c>
      <c r="D521" s="54">
        <f t="shared" si="8"/>
        <v>-1.6269934537355701E-2</v>
      </c>
      <c r="E521" s="54">
        <f t="shared" si="8"/>
        <v>4.8835984255424236E-3</v>
      </c>
    </row>
    <row r="522" spans="1:5" x14ac:dyDescent="0.25">
      <c r="A522" s="101">
        <v>44644</v>
      </c>
      <c r="B522">
        <v>281.5</v>
      </c>
      <c r="C522">
        <v>450.489990234375</v>
      </c>
      <c r="D522" s="54">
        <f t="shared" si="8"/>
        <v>9.8150909033115186E-2</v>
      </c>
      <c r="E522" s="54">
        <f t="shared" si="8"/>
        <v>1.5074363734608909E-2</v>
      </c>
    </row>
    <row r="523" spans="1:5" x14ac:dyDescent="0.25">
      <c r="A523" s="101">
        <v>44643</v>
      </c>
      <c r="B523">
        <v>256.33999633789063</v>
      </c>
      <c r="C523">
        <v>443.79998779296881</v>
      </c>
      <c r="D523" s="54">
        <f t="shared" si="8"/>
        <v>-3.3554494888271003E-2</v>
      </c>
      <c r="E523" s="54">
        <f t="shared" si="8"/>
        <v>-1.2878419431224031E-2</v>
      </c>
    </row>
    <row r="524" spans="1:5" x14ac:dyDescent="0.25">
      <c r="A524" s="101">
        <v>44642</v>
      </c>
      <c r="B524">
        <v>265.239990234375</v>
      </c>
      <c r="C524">
        <v>449.58999633789063</v>
      </c>
      <c r="D524" s="54">
        <f t="shared" si="8"/>
        <v>-7.8551886447302266E-3</v>
      </c>
      <c r="E524" s="54">
        <f t="shared" si="8"/>
        <v>1.1701391836103525E-2</v>
      </c>
    </row>
    <row r="525" spans="1:5" x14ac:dyDescent="0.25">
      <c r="A525" s="101">
        <v>44641</v>
      </c>
      <c r="B525">
        <v>267.33999633789063</v>
      </c>
      <c r="C525">
        <v>444.3900146484375</v>
      </c>
      <c r="D525" s="54">
        <f t="shared" si="8"/>
        <v>1.0622604512005474E-2</v>
      </c>
      <c r="E525" s="54">
        <f t="shared" si="8"/>
        <v>-2.9239262225932983E-4</v>
      </c>
    </row>
    <row r="526" spans="1:5" x14ac:dyDescent="0.25">
      <c r="A526" s="101">
        <v>44638</v>
      </c>
      <c r="B526">
        <v>264.52999877929688</v>
      </c>
      <c r="C526">
        <v>444.51998901367188</v>
      </c>
      <c r="D526" s="54">
        <f t="shared" si="8"/>
        <v>6.8117559830951802E-2</v>
      </c>
      <c r="E526" s="54">
        <f t="shared" si="8"/>
        <v>7.8218460384160693E-3</v>
      </c>
    </row>
    <row r="527" spans="1:5" x14ac:dyDescent="0.25">
      <c r="A527" s="101">
        <v>44637</v>
      </c>
      <c r="B527">
        <v>247.6600036621094</v>
      </c>
      <c r="C527">
        <v>441.07000732421881</v>
      </c>
      <c r="D527" s="54">
        <f t="shared" si="8"/>
        <v>1.1022194947096109E-2</v>
      </c>
      <c r="E527" s="54">
        <f t="shared" si="8"/>
        <v>1.2510932161332811E-2</v>
      </c>
    </row>
    <row r="528" spans="1:5" x14ac:dyDescent="0.25">
      <c r="A528" s="101">
        <v>44636</v>
      </c>
      <c r="B528">
        <v>244.96000671386719</v>
      </c>
      <c r="C528">
        <v>435.6199951171875</v>
      </c>
      <c r="D528" s="54">
        <f t="shared" si="8"/>
        <v>6.6295265179001639E-2</v>
      </c>
      <c r="E528" s="54">
        <f t="shared" si="8"/>
        <v>2.2174206048534151E-2</v>
      </c>
    </row>
    <row r="529" spans="1:5" x14ac:dyDescent="0.25">
      <c r="A529" s="101">
        <v>44635</v>
      </c>
      <c r="B529">
        <v>229.72999572753909</v>
      </c>
      <c r="C529">
        <v>426.17001342773438</v>
      </c>
      <c r="D529" s="54">
        <f t="shared" si="8"/>
        <v>7.7027625132262578E-2</v>
      </c>
      <c r="E529" s="54">
        <f t="shared" si="8"/>
        <v>2.199043987466287E-2</v>
      </c>
    </row>
    <row r="530" spans="1:5" x14ac:dyDescent="0.25">
      <c r="A530" s="101">
        <v>44634</v>
      </c>
      <c r="B530">
        <v>213.30000305175781</v>
      </c>
      <c r="C530">
        <v>417</v>
      </c>
      <c r="D530" s="54">
        <f t="shared" si="8"/>
        <v>-3.4841615150417171E-2</v>
      </c>
      <c r="E530" s="54">
        <f t="shared" si="8"/>
        <v>-7.3083230668484767E-3</v>
      </c>
    </row>
    <row r="531" spans="1:5" x14ac:dyDescent="0.25">
      <c r="A531" s="101">
        <v>44631</v>
      </c>
      <c r="B531">
        <v>221</v>
      </c>
      <c r="C531">
        <v>420.07000732421881</v>
      </c>
      <c r="D531" s="54">
        <f t="shared" si="8"/>
        <v>-2.462707117115881E-2</v>
      </c>
      <c r="E531" s="54">
        <f t="shared" si="8"/>
        <v>-1.2715059514942006E-2</v>
      </c>
    </row>
    <row r="532" spans="1:5" x14ac:dyDescent="0.25">
      <c r="A532" s="101">
        <v>44630</v>
      </c>
      <c r="B532">
        <v>226.58000183105469</v>
      </c>
      <c r="C532">
        <v>425.48001098632813</v>
      </c>
      <c r="D532" s="54">
        <f t="shared" si="8"/>
        <v>-1.5468834483510663E-2</v>
      </c>
      <c r="E532" s="54">
        <f t="shared" si="8"/>
        <v>-4.5155533544951609E-3</v>
      </c>
    </row>
    <row r="533" spans="1:5" x14ac:dyDescent="0.25">
      <c r="A533" s="101">
        <v>44629</v>
      </c>
      <c r="B533">
        <v>230.13999938964841</v>
      </c>
      <c r="C533">
        <v>427.41000366210938</v>
      </c>
      <c r="D533" s="54">
        <f t="shared" si="8"/>
        <v>6.9722041659175282E-2</v>
      </c>
      <c r="E533" s="54">
        <f t="shared" si="8"/>
        <v>2.6810819608671155E-2</v>
      </c>
    </row>
    <row r="534" spans="1:5" x14ac:dyDescent="0.25">
      <c r="A534" s="101">
        <v>44628</v>
      </c>
      <c r="B534">
        <v>215.13999938964841</v>
      </c>
      <c r="C534">
        <v>416.25</v>
      </c>
      <c r="D534" s="54">
        <f t="shared" si="8"/>
        <v>7.5870882576432042E-3</v>
      </c>
      <c r="E534" s="54">
        <f t="shared" si="8"/>
        <v>-7.5817007159983962E-3</v>
      </c>
    </row>
    <row r="535" spans="1:5" x14ac:dyDescent="0.25">
      <c r="A535" s="101">
        <v>44627</v>
      </c>
      <c r="B535">
        <v>213.52000427246091</v>
      </c>
      <c r="C535">
        <v>419.42999267578119</v>
      </c>
      <c r="D535" s="54">
        <f t="shared" si="8"/>
        <v>-6.9061720856900766E-2</v>
      </c>
      <c r="E535" s="54">
        <f t="shared" si="8"/>
        <v>-2.9479187255280315E-2</v>
      </c>
    </row>
    <row r="536" spans="1:5" x14ac:dyDescent="0.25">
      <c r="A536" s="101">
        <v>44624</v>
      </c>
      <c r="B536">
        <v>229.36000061035159</v>
      </c>
      <c r="C536">
        <v>432.17001342773438</v>
      </c>
      <c r="D536" s="54">
        <f t="shared" si="8"/>
        <v>-3.2807619125078014E-2</v>
      </c>
      <c r="E536" s="54">
        <f t="shared" si="8"/>
        <v>-8.1246198085148658E-3</v>
      </c>
    </row>
    <row r="537" spans="1:5" x14ac:dyDescent="0.25">
      <c r="A537" s="101">
        <v>44623</v>
      </c>
      <c r="B537">
        <v>237.13999938964841</v>
      </c>
      <c r="C537">
        <v>435.70999145507813</v>
      </c>
      <c r="D537" s="54">
        <f t="shared" si="8"/>
        <v>-2.0891815121183099E-2</v>
      </c>
      <c r="E537" s="54">
        <f t="shared" si="8"/>
        <v>-4.9784720373439173E-3</v>
      </c>
    </row>
    <row r="538" spans="1:5" x14ac:dyDescent="0.25">
      <c r="A538" s="101">
        <v>44622</v>
      </c>
      <c r="B538">
        <v>242.19999694824219</v>
      </c>
      <c r="C538">
        <v>437.8900146484375</v>
      </c>
      <c r="D538" s="54">
        <f t="shared" si="8"/>
        <v>3.1647964137524243E-2</v>
      </c>
      <c r="E538" s="54">
        <f t="shared" si="8"/>
        <v>1.8396212521518462E-2</v>
      </c>
    </row>
    <row r="539" spans="1:5" x14ac:dyDescent="0.25">
      <c r="A539" s="101">
        <v>44621</v>
      </c>
      <c r="B539">
        <v>234.77000427246091</v>
      </c>
      <c r="C539">
        <v>429.98001098632813</v>
      </c>
      <c r="D539" s="54">
        <f t="shared" si="8"/>
        <v>-3.7236012318163203E-2</v>
      </c>
      <c r="E539" s="54">
        <f t="shared" si="8"/>
        <v>-1.5230272363598085E-2</v>
      </c>
    </row>
    <row r="540" spans="1:5" x14ac:dyDescent="0.25">
      <c r="A540" s="101">
        <v>44620</v>
      </c>
      <c r="B540">
        <v>243.8500061035156</v>
      </c>
      <c r="C540">
        <v>436.6300048828125</v>
      </c>
      <c r="D540" s="54">
        <f t="shared" si="8"/>
        <v>9.4382527224778912E-3</v>
      </c>
      <c r="E540" s="54">
        <f t="shared" si="8"/>
        <v>-2.5585268239577408E-3</v>
      </c>
    </row>
    <row r="541" spans="1:5" x14ac:dyDescent="0.25">
      <c r="A541" s="101">
        <v>44617</v>
      </c>
      <c r="B541">
        <v>241.57000732421881</v>
      </c>
      <c r="C541">
        <v>437.75</v>
      </c>
      <c r="D541" s="54">
        <f t="shared" si="8"/>
        <v>1.7222552089701804E-2</v>
      </c>
      <c r="E541" s="54">
        <f t="shared" si="8"/>
        <v>2.206400298007738E-2</v>
      </c>
    </row>
    <row r="542" spans="1:5" x14ac:dyDescent="0.25">
      <c r="A542" s="101">
        <v>44616</v>
      </c>
      <c r="B542">
        <v>237.47999572753909</v>
      </c>
      <c r="C542">
        <v>428.29998779296881</v>
      </c>
      <c r="D542" s="54">
        <f t="shared" si="8"/>
        <v>6.0794214978328265E-2</v>
      </c>
      <c r="E542" s="54">
        <f t="shared" si="8"/>
        <v>1.5049118147250962E-2</v>
      </c>
    </row>
    <row r="543" spans="1:5" x14ac:dyDescent="0.25">
      <c r="A543" s="101">
        <v>44615</v>
      </c>
      <c r="B543">
        <v>223.8699951171875</v>
      </c>
      <c r="C543">
        <v>421.95001220703119</v>
      </c>
      <c r="D543" s="54">
        <f t="shared" si="8"/>
        <v>-4.2881569221997595E-2</v>
      </c>
      <c r="E543" s="54">
        <f t="shared" si="8"/>
        <v>-1.7738657232269084E-2</v>
      </c>
    </row>
    <row r="544" spans="1:5" x14ac:dyDescent="0.25">
      <c r="A544" s="101">
        <v>44614</v>
      </c>
      <c r="B544">
        <v>233.8999938964844</v>
      </c>
      <c r="C544">
        <v>429.57000732421881</v>
      </c>
      <c r="D544" s="54">
        <f t="shared" si="8"/>
        <v>-1.0659014854826787E-2</v>
      </c>
      <c r="E544" s="54">
        <f t="shared" si="8"/>
        <v>-1.0731648076383271E-2</v>
      </c>
    </row>
    <row r="545" spans="1:5" x14ac:dyDescent="0.25">
      <c r="A545" s="101">
        <v>44610</v>
      </c>
      <c r="B545">
        <v>236.41999816894531</v>
      </c>
      <c r="C545">
        <v>434.23001098632813</v>
      </c>
      <c r="D545" s="54">
        <f t="shared" si="8"/>
        <v>-3.5296074169654856E-2</v>
      </c>
      <c r="E545" s="54">
        <f t="shared" si="8"/>
        <v>-6.4750528258681328E-3</v>
      </c>
    </row>
    <row r="546" spans="1:5" x14ac:dyDescent="0.25">
      <c r="A546" s="101">
        <v>44609</v>
      </c>
      <c r="B546">
        <v>245.07000732421881</v>
      </c>
      <c r="C546">
        <v>437.05999755859381</v>
      </c>
      <c r="D546" s="54">
        <f t="shared" si="8"/>
        <v>-7.5591185299069941E-2</v>
      </c>
      <c r="E546" s="54">
        <f t="shared" si="8"/>
        <v>-2.136141606480535E-2</v>
      </c>
    </row>
    <row r="547" spans="1:5" x14ac:dyDescent="0.25">
      <c r="A547" s="101">
        <v>44608</v>
      </c>
      <c r="B547">
        <v>265.1099853515625</v>
      </c>
      <c r="C547">
        <v>446.60000610351563</v>
      </c>
      <c r="D547" s="54">
        <f t="shared" si="8"/>
        <v>6.0378613761424837E-4</v>
      </c>
      <c r="E547" s="54">
        <f t="shared" si="8"/>
        <v>1.1208249118113134E-3</v>
      </c>
    </row>
    <row r="548" spans="1:5" x14ac:dyDescent="0.25">
      <c r="A548" s="101">
        <v>44607</v>
      </c>
      <c r="B548">
        <v>264.95001220703119</v>
      </c>
      <c r="C548">
        <v>446.10000610351563</v>
      </c>
      <c r="D548" s="54">
        <f t="shared" si="8"/>
        <v>9.1811984201584984E-2</v>
      </c>
      <c r="E548" s="54">
        <f t="shared" si="8"/>
        <v>1.6126867265771061E-2</v>
      </c>
    </row>
    <row r="549" spans="1:5" x14ac:dyDescent="0.25">
      <c r="A549" s="101">
        <v>44606</v>
      </c>
      <c r="B549">
        <v>242.66999816894531</v>
      </c>
      <c r="C549">
        <v>439.01998901367188</v>
      </c>
      <c r="D549" s="54">
        <f t="shared" si="8"/>
        <v>1.3278185322318059E-2</v>
      </c>
      <c r="E549" s="54">
        <f t="shared" si="8"/>
        <v>-3.2693149646785269E-3</v>
      </c>
    </row>
    <row r="550" spans="1:5" x14ac:dyDescent="0.25">
      <c r="A550" s="101">
        <v>44603</v>
      </c>
      <c r="B550">
        <v>239.49000549316409</v>
      </c>
      <c r="C550">
        <v>440.45999145507813</v>
      </c>
      <c r="D550" s="54">
        <f t="shared" si="8"/>
        <v>-7.26068209814974E-2</v>
      </c>
      <c r="E550" s="54">
        <f t="shared" si="8"/>
        <v>-1.9718721011120044E-2</v>
      </c>
    </row>
    <row r="551" spans="1:5" x14ac:dyDescent="0.25">
      <c r="A551" s="101">
        <v>44602</v>
      </c>
      <c r="B551">
        <v>258.239990234375</v>
      </c>
      <c r="C551">
        <v>449.32000732421881</v>
      </c>
      <c r="D551" s="54">
        <f t="shared" si="8"/>
        <v>-3.2990069130517163E-2</v>
      </c>
      <c r="E551" s="54">
        <f t="shared" si="8"/>
        <v>-1.7965644680657533E-2</v>
      </c>
    </row>
    <row r="552" spans="1:5" x14ac:dyDescent="0.25">
      <c r="A552" s="101">
        <v>44601</v>
      </c>
      <c r="B552">
        <v>267.04998779296881</v>
      </c>
      <c r="C552">
        <v>457.54000854492188</v>
      </c>
      <c r="D552" s="54">
        <f t="shared" si="8"/>
        <v>6.3605169051495825E-2</v>
      </c>
      <c r="E552" s="54">
        <f t="shared" si="8"/>
        <v>1.4636106949445615E-2</v>
      </c>
    </row>
    <row r="553" spans="1:5" x14ac:dyDescent="0.25">
      <c r="A553" s="101">
        <v>44600</v>
      </c>
      <c r="B553">
        <v>251.08000183105469</v>
      </c>
      <c r="C553">
        <v>450.94000244140619</v>
      </c>
      <c r="D553" s="54">
        <f t="shared" si="8"/>
        <v>1.5367207499662694E-2</v>
      </c>
      <c r="E553" s="54">
        <f t="shared" si="8"/>
        <v>8.2278598475853393E-3</v>
      </c>
    </row>
    <row r="554" spans="1:5" x14ac:dyDescent="0.25">
      <c r="A554" s="101">
        <v>44599</v>
      </c>
      <c r="B554">
        <v>247.2799987792969</v>
      </c>
      <c r="C554">
        <v>447.260009765625</v>
      </c>
      <c r="D554" s="54">
        <f t="shared" si="8"/>
        <v>1.681811051782911E-2</v>
      </c>
      <c r="E554" s="54">
        <f t="shared" si="8"/>
        <v>-3.2092765817482993E-3</v>
      </c>
    </row>
    <row r="555" spans="1:5" x14ac:dyDescent="0.25">
      <c r="A555" s="101">
        <v>44596</v>
      </c>
      <c r="B555">
        <v>243.19000244140619</v>
      </c>
      <c r="C555">
        <v>448.70001220703119</v>
      </c>
      <c r="D555" s="54">
        <f t="shared" si="8"/>
        <v>1.5491927426322771E-2</v>
      </c>
      <c r="E555" s="54">
        <f t="shared" si="8"/>
        <v>4.702207959730309E-3</v>
      </c>
    </row>
    <row r="556" spans="1:5" x14ac:dyDescent="0.25">
      <c r="A556" s="101">
        <v>44595</v>
      </c>
      <c r="B556">
        <v>239.47999572753909</v>
      </c>
      <c r="C556">
        <v>446.60000610351563</v>
      </c>
      <c r="D556" s="54">
        <f t="shared" si="8"/>
        <v>-5.1263776781843795E-2</v>
      </c>
      <c r="E556" s="54">
        <f t="shared" si="8"/>
        <v>-2.3504973994833311E-2</v>
      </c>
    </row>
    <row r="557" spans="1:5" x14ac:dyDescent="0.25">
      <c r="A557" s="101">
        <v>44594</v>
      </c>
      <c r="B557">
        <v>252.41999816894531</v>
      </c>
      <c r="C557">
        <v>457.35000610351563</v>
      </c>
      <c r="D557" s="54">
        <f t="shared" si="8"/>
        <v>2.4514949129113228E-2</v>
      </c>
      <c r="E557" s="54">
        <f t="shared" si="8"/>
        <v>9.7140827418131792E-3</v>
      </c>
    </row>
    <row r="558" spans="1:5" x14ac:dyDescent="0.25">
      <c r="A558" s="101">
        <v>44593</v>
      </c>
      <c r="B558">
        <v>246.3800048828125</v>
      </c>
      <c r="C558">
        <v>452.95001220703119</v>
      </c>
      <c r="D558" s="54">
        <f t="shared" si="8"/>
        <v>6.2076462822513445E-3</v>
      </c>
      <c r="E558" s="54">
        <f t="shared" si="8"/>
        <v>6.7569258744575311E-3</v>
      </c>
    </row>
    <row r="559" spans="1:5" x14ac:dyDescent="0.25">
      <c r="A559" s="101">
        <v>44592</v>
      </c>
      <c r="B559">
        <v>244.86000061035159</v>
      </c>
      <c r="C559">
        <v>449.91000366210938</v>
      </c>
      <c r="D559" s="54">
        <f t="shared" si="8"/>
        <v>7.206658123347931E-2</v>
      </c>
      <c r="E559" s="54">
        <f t="shared" si="8"/>
        <v>1.8011067394991587E-2</v>
      </c>
    </row>
    <row r="560" spans="1:5" x14ac:dyDescent="0.25">
      <c r="A560" s="101">
        <v>44589</v>
      </c>
      <c r="B560">
        <v>228.3999938964844</v>
      </c>
      <c r="C560">
        <v>441.95001220703119</v>
      </c>
      <c r="D560" s="54">
        <f t="shared" si="8"/>
        <v>4.083116731403913E-2</v>
      </c>
      <c r="E560" s="54">
        <f t="shared" si="8"/>
        <v>2.4835410015744186E-2</v>
      </c>
    </row>
    <row r="561" spans="1:5" x14ac:dyDescent="0.25">
      <c r="A561" s="101">
        <v>44588</v>
      </c>
      <c r="B561">
        <v>219.44000244140619</v>
      </c>
      <c r="C561">
        <v>431.239990234375</v>
      </c>
      <c r="D561" s="54">
        <f t="shared" si="8"/>
        <v>-3.6360437093411191E-2</v>
      </c>
      <c r="E561" s="54">
        <f t="shared" si="8"/>
        <v>-4.9379635062216654E-3</v>
      </c>
    </row>
    <row r="562" spans="1:5" x14ac:dyDescent="0.25">
      <c r="A562" s="101">
        <v>44587</v>
      </c>
      <c r="B562">
        <v>227.7200012207031</v>
      </c>
      <c r="C562">
        <v>433.3800048828125</v>
      </c>
      <c r="D562" s="54">
        <f t="shared" si="8"/>
        <v>2.0068068524018212E-2</v>
      </c>
      <c r="E562" s="54">
        <f t="shared" si="8"/>
        <v>-2.5087953939929575E-3</v>
      </c>
    </row>
    <row r="563" spans="1:5" x14ac:dyDescent="0.25">
      <c r="A563" s="101">
        <v>44586</v>
      </c>
      <c r="B563">
        <v>223.24000549316409</v>
      </c>
      <c r="C563">
        <v>434.47000122070313</v>
      </c>
      <c r="D563" s="54">
        <f t="shared" si="8"/>
        <v>-4.4839960948154789E-2</v>
      </c>
      <c r="E563" s="54">
        <f t="shared" si="8"/>
        <v>-1.2208974085799573E-2</v>
      </c>
    </row>
    <row r="564" spans="1:5" x14ac:dyDescent="0.25">
      <c r="A564" s="101">
        <v>44585</v>
      </c>
      <c r="B564">
        <v>233.7200012207031</v>
      </c>
      <c r="C564">
        <v>439.83999633789063</v>
      </c>
      <c r="D564" s="54">
        <f t="shared" si="8"/>
        <v>-8.558343454634354E-5</v>
      </c>
      <c r="E564" s="54">
        <f t="shared" si="8"/>
        <v>4.2467357068962652E-3</v>
      </c>
    </row>
    <row r="565" spans="1:5" x14ac:dyDescent="0.25">
      <c r="A565" s="101">
        <v>44582</v>
      </c>
      <c r="B565">
        <v>233.74000549316409</v>
      </c>
      <c r="C565">
        <v>437.98001098632813</v>
      </c>
      <c r="D565" s="54">
        <f t="shared" si="8"/>
        <v>-3.2132482429962361E-2</v>
      </c>
      <c r="E565" s="54">
        <f t="shared" si="8"/>
        <v>-1.963064132886827E-2</v>
      </c>
    </row>
    <row r="566" spans="1:5" x14ac:dyDescent="0.25">
      <c r="A566" s="101">
        <v>44581</v>
      </c>
      <c r="B566">
        <v>241.5</v>
      </c>
      <c r="C566">
        <v>446.75</v>
      </c>
      <c r="D566" s="54">
        <f t="shared" si="8"/>
        <v>-3.6581953308847726E-2</v>
      </c>
      <c r="E566" s="54">
        <f t="shared" si="8"/>
        <v>-1.1068068622025473E-2</v>
      </c>
    </row>
    <row r="567" spans="1:5" x14ac:dyDescent="0.25">
      <c r="A567" s="101">
        <v>44580</v>
      </c>
      <c r="B567">
        <v>250.66999816894531</v>
      </c>
      <c r="C567">
        <v>451.75</v>
      </c>
      <c r="D567" s="54">
        <f t="shared" si="8"/>
        <v>-3.2274256455811501E-2</v>
      </c>
      <c r="E567" s="54">
        <f t="shared" si="8"/>
        <v>-1.0383557878106742E-2</v>
      </c>
    </row>
    <row r="568" spans="1:5" x14ac:dyDescent="0.25">
      <c r="A568" s="101">
        <v>44579</v>
      </c>
      <c r="B568">
        <v>259.02999877929688</v>
      </c>
      <c r="C568">
        <v>456.489990234375</v>
      </c>
      <c r="D568" s="54">
        <f t="shared" si="8"/>
        <v>-3.8564375809536422E-2</v>
      </c>
      <c r="E568" s="54">
        <f t="shared" si="8"/>
        <v>-1.7709612163689825E-2</v>
      </c>
    </row>
    <row r="569" spans="1:5" x14ac:dyDescent="0.25">
      <c r="A569" s="101">
        <v>44575</v>
      </c>
      <c r="B569">
        <v>269.42001342773438</v>
      </c>
      <c r="C569">
        <v>464.72000122070313</v>
      </c>
      <c r="D569" s="54">
        <f t="shared" si="8"/>
        <v>1.3810022305679626E-2</v>
      </c>
      <c r="E569" s="54">
        <f t="shared" si="8"/>
        <v>4.0902082084159908E-4</v>
      </c>
    </row>
    <row r="570" spans="1:5" x14ac:dyDescent="0.25">
      <c r="A570" s="101">
        <v>44574</v>
      </c>
      <c r="B570">
        <v>265.75</v>
      </c>
      <c r="C570">
        <v>464.52999877929688</v>
      </c>
      <c r="D570" s="54">
        <f t="shared" si="8"/>
        <v>-5.0858926143948713E-2</v>
      </c>
      <c r="E570" s="54">
        <f t="shared" si="8"/>
        <v>-1.3778587715492119E-2</v>
      </c>
    </row>
    <row r="571" spans="1:5" x14ac:dyDescent="0.25">
      <c r="A571" s="101">
        <v>44573</v>
      </c>
      <c r="B571">
        <v>279.989990234375</v>
      </c>
      <c r="C571">
        <v>471.01998901367188</v>
      </c>
      <c r="D571" s="54">
        <f t="shared" si="8"/>
        <v>6.5426779264021739E-3</v>
      </c>
      <c r="E571" s="54">
        <f t="shared" si="8"/>
        <v>2.7035423388437341E-3</v>
      </c>
    </row>
    <row r="572" spans="1:5" x14ac:dyDescent="0.25">
      <c r="A572" s="101">
        <v>44572</v>
      </c>
      <c r="B572">
        <v>278.17001342773438</v>
      </c>
      <c r="C572">
        <v>469.75</v>
      </c>
      <c r="D572" s="54">
        <f t="shared" si="8"/>
        <v>1.5219027108519523E-2</v>
      </c>
      <c r="E572" s="54">
        <f t="shared" si="8"/>
        <v>9.1082686632446563E-3</v>
      </c>
    </row>
    <row r="573" spans="1:5" x14ac:dyDescent="0.25">
      <c r="A573" s="101">
        <v>44571</v>
      </c>
      <c r="B573">
        <v>274</v>
      </c>
      <c r="C573">
        <v>465.510009765625</v>
      </c>
      <c r="D573" s="54">
        <f t="shared" si="8"/>
        <v>5.6152925916330698E-3</v>
      </c>
      <c r="E573" s="54">
        <f t="shared" si="8"/>
        <v>-1.244366059822366E-3</v>
      </c>
    </row>
    <row r="574" spans="1:5" x14ac:dyDescent="0.25">
      <c r="A574" s="101">
        <v>44568</v>
      </c>
      <c r="B574">
        <v>272.47000122070313</v>
      </c>
      <c r="C574">
        <v>466.08999633789063</v>
      </c>
      <c r="D574" s="54">
        <f t="shared" si="8"/>
        <v>-3.3039951731583916E-2</v>
      </c>
      <c r="E574" s="54">
        <f t="shared" si="8"/>
        <v>-3.9535113344947304E-3</v>
      </c>
    </row>
    <row r="575" spans="1:5" x14ac:dyDescent="0.25">
      <c r="A575" s="101">
        <v>44567</v>
      </c>
      <c r="B575">
        <v>281.77999877929688</v>
      </c>
      <c r="C575">
        <v>467.94000244140619</v>
      </c>
      <c r="D575" s="54">
        <f t="shared" si="8"/>
        <v>2.0794051792100587E-2</v>
      </c>
      <c r="E575" s="54">
        <f t="shared" si="8"/>
        <v>-9.3941337550562665E-4</v>
      </c>
    </row>
    <row r="576" spans="1:5" x14ac:dyDescent="0.25">
      <c r="A576" s="101">
        <v>44566</v>
      </c>
      <c r="B576">
        <v>276.04000854492188</v>
      </c>
      <c r="C576">
        <v>468.3800048828125</v>
      </c>
      <c r="D576" s="54">
        <f t="shared" si="8"/>
        <v>-5.7562259142692529E-2</v>
      </c>
      <c r="E576" s="54">
        <f t="shared" si="8"/>
        <v>-1.9202142486770879E-2</v>
      </c>
    </row>
    <row r="577" spans="1:5" x14ac:dyDescent="0.25">
      <c r="A577" s="101">
        <v>44565</v>
      </c>
      <c r="B577">
        <v>292.89999389648438</v>
      </c>
      <c r="C577">
        <v>477.54998779296881</v>
      </c>
      <c r="D577" s="54">
        <f t="shared" si="8"/>
        <v>-2.7588718151247305E-2</v>
      </c>
      <c r="E577" s="54">
        <f t="shared" si="8"/>
        <v>-3.3493890638958135E-4</v>
      </c>
    </row>
    <row r="578" spans="1:5" x14ac:dyDescent="0.25">
      <c r="A578" s="101">
        <v>44564</v>
      </c>
      <c r="B578">
        <v>301.20999145507813</v>
      </c>
      <c r="C578">
        <v>477.70999145507813</v>
      </c>
      <c r="D578" s="54">
        <f t="shared" si="8"/>
        <v>2.414064961116047E-2</v>
      </c>
      <c r="E578" s="54">
        <f t="shared" si="8"/>
        <v>5.7899613640617353E-3</v>
      </c>
    </row>
    <row r="579" spans="1:5" x14ac:dyDescent="0.25">
      <c r="A579" s="101">
        <v>44561</v>
      </c>
      <c r="B579">
        <v>294.1099853515625</v>
      </c>
      <c r="C579">
        <v>474.95999145507813</v>
      </c>
      <c r="D579" s="54">
        <f t="shared" ref="D579:E642" si="9">+B579/B580-1</f>
        <v>-5.9149600711313477E-3</v>
      </c>
      <c r="E579" s="54">
        <f t="shared" si="9"/>
        <v>-2.5201869073463445E-3</v>
      </c>
    </row>
    <row r="580" spans="1:5" x14ac:dyDescent="0.25">
      <c r="A580" s="101">
        <v>44560</v>
      </c>
      <c r="B580">
        <v>295.8599853515625</v>
      </c>
      <c r="C580">
        <v>476.16000366210938</v>
      </c>
      <c r="D580" s="54">
        <f t="shared" si="9"/>
        <v>-1.3832953164811368E-2</v>
      </c>
      <c r="E580" s="54">
        <f t="shared" si="9"/>
        <v>-2.7645289726202504E-3</v>
      </c>
    </row>
    <row r="581" spans="1:5" x14ac:dyDescent="0.25">
      <c r="A581" s="101">
        <v>44559</v>
      </c>
      <c r="B581">
        <v>300.010009765625</v>
      </c>
      <c r="C581">
        <v>477.48001098632813</v>
      </c>
      <c r="D581" s="54">
        <f t="shared" si="9"/>
        <v>-1.058634470732589E-2</v>
      </c>
      <c r="E581" s="54">
        <f t="shared" si="9"/>
        <v>1.2792079086265673E-3</v>
      </c>
    </row>
    <row r="582" spans="1:5" x14ac:dyDescent="0.25">
      <c r="A582" s="101">
        <v>44558</v>
      </c>
      <c r="B582">
        <v>303.22000122070313</v>
      </c>
      <c r="C582">
        <v>476.8699951171875</v>
      </c>
      <c r="D582" s="54">
        <f t="shared" si="9"/>
        <v>-2.0132527841556502E-2</v>
      </c>
      <c r="E582" s="54">
        <f t="shared" si="9"/>
        <v>-8.1719532426161035E-4</v>
      </c>
    </row>
    <row r="583" spans="1:5" x14ac:dyDescent="0.25">
      <c r="A583" s="101">
        <v>44557</v>
      </c>
      <c r="B583">
        <v>309.45001220703119</v>
      </c>
      <c r="C583">
        <v>477.260009765625</v>
      </c>
      <c r="D583" s="54">
        <f t="shared" si="9"/>
        <v>4.4028402764085151E-2</v>
      </c>
      <c r="E583" s="54">
        <f t="shared" si="9"/>
        <v>1.4152153794584565E-2</v>
      </c>
    </row>
    <row r="584" spans="1:5" x14ac:dyDescent="0.25">
      <c r="A584" s="101">
        <v>44553</v>
      </c>
      <c r="B584">
        <v>296.39999389648438</v>
      </c>
      <c r="C584">
        <v>470.60000610351563</v>
      </c>
      <c r="D584" s="54">
        <f t="shared" si="9"/>
        <v>8.1632445458652558E-3</v>
      </c>
      <c r="E584" s="54">
        <f t="shared" si="9"/>
        <v>6.2220779724151409E-3</v>
      </c>
    </row>
    <row r="585" spans="1:5" x14ac:dyDescent="0.25">
      <c r="A585" s="101">
        <v>44552</v>
      </c>
      <c r="B585">
        <v>294</v>
      </c>
      <c r="C585">
        <v>467.69000244140619</v>
      </c>
      <c r="D585" s="54">
        <f t="shared" si="9"/>
        <v>1.1177987962166736E-2</v>
      </c>
      <c r="E585" s="54">
        <f t="shared" si="9"/>
        <v>9.9987148689657523E-3</v>
      </c>
    </row>
    <row r="586" spans="1:5" x14ac:dyDescent="0.25">
      <c r="A586" s="101">
        <v>44551</v>
      </c>
      <c r="B586">
        <v>290.75</v>
      </c>
      <c r="C586">
        <v>463.05999755859381</v>
      </c>
      <c r="D586" s="54">
        <f t="shared" si="9"/>
        <v>4.8919504452402451E-2</v>
      </c>
      <c r="E586" s="54">
        <f t="shared" si="9"/>
        <v>1.7758992432985066E-2</v>
      </c>
    </row>
    <row r="587" spans="1:5" x14ac:dyDescent="0.25">
      <c r="A587" s="101">
        <v>44550</v>
      </c>
      <c r="B587">
        <v>277.19000244140619</v>
      </c>
      <c r="C587">
        <v>454.98001098632813</v>
      </c>
      <c r="D587" s="54">
        <f t="shared" si="9"/>
        <v>-2.9495604309719425E-3</v>
      </c>
      <c r="E587" s="54">
        <f t="shared" si="9"/>
        <v>-1.0633405490204417E-2</v>
      </c>
    </row>
    <row r="588" spans="1:5" x14ac:dyDescent="0.25">
      <c r="A588" s="101">
        <v>44547</v>
      </c>
      <c r="B588">
        <v>278.010009765625</v>
      </c>
      <c r="C588">
        <v>459.8699951171875</v>
      </c>
      <c r="D588" s="54">
        <f t="shared" si="9"/>
        <v>-2.0643200945360096E-2</v>
      </c>
      <c r="E588" s="54">
        <f t="shared" si="9"/>
        <v>-1.4106585738330235E-2</v>
      </c>
    </row>
    <row r="589" spans="1:5" x14ac:dyDescent="0.25">
      <c r="A589" s="101">
        <v>44546</v>
      </c>
      <c r="B589">
        <v>283.8699951171875</v>
      </c>
      <c r="C589">
        <v>466.45001220703119</v>
      </c>
      <c r="D589" s="54">
        <f t="shared" si="9"/>
        <v>-6.8025875668345392E-2</v>
      </c>
      <c r="E589" s="54">
        <f t="shared" si="9"/>
        <v>-8.8185164527422311E-3</v>
      </c>
    </row>
    <row r="590" spans="1:5" x14ac:dyDescent="0.25">
      <c r="A590" s="101">
        <v>44545</v>
      </c>
      <c r="B590">
        <v>304.58999633789063</v>
      </c>
      <c r="C590">
        <v>470.60000610351563</v>
      </c>
      <c r="D590" s="54">
        <f t="shared" si="9"/>
        <v>7.4884432319404892E-2</v>
      </c>
      <c r="E590" s="54">
        <f t="shared" si="9"/>
        <v>1.5625045279773042E-2</v>
      </c>
    </row>
    <row r="591" spans="1:5" x14ac:dyDescent="0.25">
      <c r="A591" s="101">
        <v>44544</v>
      </c>
      <c r="B591">
        <v>283.3699951171875</v>
      </c>
      <c r="C591">
        <v>463.3599853515625</v>
      </c>
      <c r="D591" s="54">
        <f t="shared" si="9"/>
        <v>6.2498130647881123E-3</v>
      </c>
      <c r="E591" s="54">
        <f t="shared" si="9"/>
        <v>-6.8800435567339946E-3</v>
      </c>
    </row>
    <row r="592" spans="1:5" x14ac:dyDescent="0.25">
      <c r="A592" s="101">
        <v>44543</v>
      </c>
      <c r="B592">
        <v>281.6099853515625</v>
      </c>
      <c r="C592">
        <v>466.57000732421881</v>
      </c>
      <c r="D592" s="54">
        <f t="shared" si="9"/>
        <v>-6.7454880765892344E-2</v>
      </c>
      <c r="E592" s="54">
        <f t="shared" si="9"/>
        <v>-8.8583570477621665E-3</v>
      </c>
    </row>
    <row r="593" spans="1:5" x14ac:dyDescent="0.25">
      <c r="A593" s="101">
        <v>44540</v>
      </c>
      <c r="B593">
        <v>301.98001098632813</v>
      </c>
      <c r="C593">
        <v>470.739990234375</v>
      </c>
      <c r="D593" s="54">
        <f t="shared" si="9"/>
        <v>-9.5768546035052138E-3</v>
      </c>
      <c r="E593" s="54">
        <f t="shared" si="9"/>
        <v>9.4134964584624559E-3</v>
      </c>
    </row>
    <row r="594" spans="1:5" x14ac:dyDescent="0.25">
      <c r="A594" s="101">
        <v>44539</v>
      </c>
      <c r="B594">
        <v>304.89999389648438</v>
      </c>
      <c r="C594">
        <v>466.35000610351563</v>
      </c>
      <c r="D594" s="54">
        <f t="shared" si="9"/>
        <v>-4.1978305345303335E-2</v>
      </c>
      <c r="E594" s="54">
        <f t="shared" si="9"/>
        <v>-6.7515398371333912E-3</v>
      </c>
    </row>
    <row r="595" spans="1:5" x14ac:dyDescent="0.25">
      <c r="A595" s="101">
        <v>44538</v>
      </c>
      <c r="B595">
        <v>318.260009765625</v>
      </c>
      <c r="C595">
        <v>469.51998901367188</v>
      </c>
      <c r="D595" s="54">
        <f t="shared" si="9"/>
        <v>-1.8533874399932482E-2</v>
      </c>
      <c r="E595" s="54">
        <f t="shared" si="9"/>
        <v>2.6479675356780863E-3</v>
      </c>
    </row>
    <row r="596" spans="1:5" x14ac:dyDescent="0.25">
      <c r="A596" s="101">
        <v>44537</v>
      </c>
      <c r="B596">
        <v>324.26998901367188</v>
      </c>
      <c r="C596">
        <v>468.27999877929688</v>
      </c>
      <c r="D596" s="54">
        <f t="shared" si="9"/>
        <v>7.9568513117163953E-2</v>
      </c>
      <c r="E596" s="54">
        <f t="shared" si="9"/>
        <v>2.0684823247291373E-2</v>
      </c>
    </row>
    <row r="597" spans="1:5" x14ac:dyDescent="0.25">
      <c r="A597" s="101">
        <v>44536</v>
      </c>
      <c r="B597">
        <v>300.3699951171875</v>
      </c>
      <c r="C597">
        <v>458.79000854492188</v>
      </c>
      <c r="D597" s="54">
        <f t="shared" si="9"/>
        <v>-2.1372944043051567E-2</v>
      </c>
      <c r="E597" s="54">
        <f t="shared" si="9"/>
        <v>1.184331295081531E-2</v>
      </c>
    </row>
    <row r="598" spans="1:5" x14ac:dyDescent="0.25">
      <c r="A598" s="101">
        <v>44533</v>
      </c>
      <c r="B598">
        <v>306.92999267578119</v>
      </c>
      <c r="C598">
        <v>453.42001342773438</v>
      </c>
      <c r="D598" s="54">
        <f t="shared" si="9"/>
        <v>-4.4605667229787649E-2</v>
      </c>
      <c r="E598" s="54">
        <f t="shared" si="9"/>
        <v>-8.7013129030577563E-3</v>
      </c>
    </row>
    <row r="599" spans="1:5" x14ac:dyDescent="0.25">
      <c r="A599" s="101">
        <v>44532</v>
      </c>
      <c r="B599">
        <v>321.260009765625</v>
      </c>
      <c r="C599">
        <v>457.39999389648438</v>
      </c>
      <c r="D599" s="54">
        <f t="shared" si="9"/>
        <v>2.1981878568292146E-2</v>
      </c>
      <c r="E599" s="54">
        <f t="shared" si="9"/>
        <v>1.5316301657013032E-2</v>
      </c>
    </row>
    <row r="600" spans="1:5" x14ac:dyDescent="0.25">
      <c r="A600" s="101">
        <v>44531</v>
      </c>
      <c r="B600">
        <v>314.35000610351563</v>
      </c>
      <c r="C600">
        <v>450.5</v>
      </c>
      <c r="D600" s="54">
        <f t="shared" si="9"/>
        <v>-3.7978954863573056E-2</v>
      </c>
      <c r="E600" s="54">
        <f t="shared" si="9"/>
        <v>-1.1107203410551825E-2</v>
      </c>
    </row>
    <row r="601" spans="1:5" x14ac:dyDescent="0.25">
      <c r="A601" s="101">
        <v>44530</v>
      </c>
      <c r="B601">
        <v>326.760009765625</v>
      </c>
      <c r="C601">
        <v>455.55999755859381</v>
      </c>
      <c r="D601" s="54">
        <f t="shared" si="9"/>
        <v>-2.0973153748753748E-2</v>
      </c>
      <c r="E601" s="54">
        <f t="shared" si="9"/>
        <v>-1.9457616070086003E-2</v>
      </c>
    </row>
    <row r="602" spans="1:5" x14ac:dyDescent="0.25">
      <c r="A602" s="101">
        <v>44529</v>
      </c>
      <c r="B602">
        <v>333.760009765625</v>
      </c>
      <c r="C602">
        <v>464.60000610351563</v>
      </c>
      <c r="D602" s="54">
        <f t="shared" si="9"/>
        <v>5.9454690216502071E-2</v>
      </c>
      <c r="E602" s="54">
        <f t="shared" si="9"/>
        <v>1.2266607551340236E-2</v>
      </c>
    </row>
    <row r="603" spans="1:5" x14ac:dyDescent="0.25">
      <c r="A603" s="101">
        <v>44526</v>
      </c>
      <c r="B603">
        <v>315.02999877929688</v>
      </c>
      <c r="C603">
        <v>458.97000122070313</v>
      </c>
      <c r="D603" s="54">
        <f t="shared" si="9"/>
        <v>-3.5838868228766252E-2</v>
      </c>
      <c r="E603" s="54">
        <f t="shared" si="9"/>
        <v>-2.2303172218498535E-2</v>
      </c>
    </row>
    <row r="604" spans="1:5" x14ac:dyDescent="0.25">
      <c r="A604" s="101">
        <v>44524</v>
      </c>
      <c r="B604">
        <v>326.739990234375</v>
      </c>
      <c r="C604">
        <v>469.44000244140619</v>
      </c>
      <c r="D604" s="54">
        <f t="shared" si="9"/>
        <v>2.9232026173635184E-2</v>
      </c>
      <c r="E604" s="54">
        <f t="shared" si="9"/>
        <v>2.6698562410170101E-3</v>
      </c>
    </row>
    <row r="605" spans="1:5" x14ac:dyDescent="0.25">
      <c r="A605" s="101">
        <v>44523</v>
      </c>
      <c r="B605">
        <v>317.45999145507813</v>
      </c>
      <c r="C605">
        <v>468.19000244140619</v>
      </c>
      <c r="D605" s="54">
        <f t="shared" si="9"/>
        <v>-6.5715550117646515E-3</v>
      </c>
      <c r="E605" s="54">
        <f t="shared" si="9"/>
        <v>1.3259941986771828E-3</v>
      </c>
    </row>
    <row r="606" spans="1:5" x14ac:dyDescent="0.25">
      <c r="A606" s="101">
        <v>44522</v>
      </c>
      <c r="B606">
        <v>319.55999755859381</v>
      </c>
      <c r="C606">
        <v>467.57000732421881</v>
      </c>
      <c r="D606" s="54">
        <f t="shared" si="9"/>
        <v>-3.1196023509220572E-2</v>
      </c>
      <c r="E606" s="54">
        <f t="shared" si="9"/>
        <v>-2.8151747381705006E-3</v>
      </c>
    </row>
    <row r="607" spans="1:5" x14ac:dyDescent="0.25">
      <c r="A607" s="101">
        <v>44519</v>
      </c>
      <c r="B607">
        <v>329.85000610351563</v>
      </c>
      <c r="C607">
        <v>468.8900146484375</v>
      </c>
      <c r="D607" s="54">
        <f t="shared" si="9"/>
        <v>4.1357556759323177E-2</v>
      </c>
      <c r="E607" s="54">
        <f t="shared" si="9"/>
        <v>-1.7882535035962377E-3</v>
      </c>
    </row>
    <row r="608" spans="1:5" x14ac:dyDescent="0.25">
      <c r="A608" s="101">
        <v>44518</v>
      </c>
      <c r="B608">
        <v>316.75</v>
      </c>
      <c r="C608">
        <v>469.73001098632813</v>
      </c>
      <c r="D608" s="54">
        <f t="shared" si="9"/>
        <v>8.2498943497891775E-2</v>
      </c>
      <c r="E608" s="54">
        <f t="shared" si="9"/>
        <v>3.3964119454403807E-3</v>
      </c>
    </row>
    <row r="609" spans="1:5" x14ac:dyDescent="0.25">
      <c r="A609" s="101">
        <v>44517</v>
      </c>
      <c r="B609">
        <v>292.6099853515625</v>
      </c>
      <c r="C609">
        <v>468.1400146484375</v>
      </c>
      <c r="D609" s="54">
        <f t="shared" si="9"/>
        <v>-3.1188999323931044E-2</v>
      </c>
      <c r="E609" s="54">
        <f t="shared" si="9"/>
        <v>-2.4292195146282669E-3</v>
      </c>
    </row>
    <row r="610" spans="1:5" x14ac:dyDescent="0.25">
      <c r="A610" s="101">
        <v>44516</v>
      </c>
      <c r="B610">
        <v>302.02999877929688</v>
      </c>
      <c r="C610">
        <v>469.27999877929688</v>
      </c>
      <c r="D610" s="54">
        <f t="shared" si="9"/>
        <v>5.9283889402059753E-3</v>
      </c>
      <c r="E610" s="54">
        <f t="shared" si="9"/>
        <v>3.9578249844973712E-3</v>
      </c>
    </row>
    <row r="611" spans="1:5" x14ac:dyDescent="0.25">
      <c r="A611" s="101">
        <v>44515</v>
      </c>
      <c r="B611">
        <v>300.25</v>
      </c>
      <c r="C611">
        <v>467.42999267578119</v>
      </c>
      <c r="D611" s="54">
        <f t="shared" si="9"/>
        <v>-1.2010509936790759E-2</v>
      </c>
      <c r="E611" s="54">
        <f t="shared" si="9"/>
        <v>3.4242229518532952E-4</v>
      </c>
    </row>
    <row r="612" spans="1:5" x14ac:dyDescent="0.25">
      <c r="A612" s="101">
        <v>44512</v>
      </c>
      <c r="B612">
        <v>303.89999389648438</v>
      </c>
      <c r="C612">
        <v>467.26998901367188</v>
      </c>
      <c r="D612" s="54">
        <f t="shared" si="9"/>
        <v>0</v>
      </c>
      <c r="E612" s="54">
        <f t="shared" si="9"/>
        <v>7.5468445197233169E-3</v>
      </c>
    </row>
    <row r="613" spans="1:5" x14ac:dyDescent="0.25">
      <c r="A613" s="101">
        <v>44511</v>
      </c>
      <c r="B613">
        <v>303.89999389648438</v>
      </c>
      <c r="C613">
        <v>463.76998901367188</v>
      </c>
      <c r="D613" s="54">
        <f t="shared" si="9"/>
        <v>3.1603237293622577E-2</v>
      </c>
      <c r="E613" s="54">
        <f t="shared" si="9"/>
        <v>3.2352766935006549E-4</v>
      </c>
    </row>
    <row r="614" spans="1:5" x14ac:dyDescent="0.25">
      <c r="A614" s="101">
        <v>44510</v>
      </c>
      <c r="B614">
        <v>294.58999633789063</v>
      </c>
      <c r="C614">
        <v>463.6199951171875</v>
      </c>
      <c r="D614" s="54">
        <f t="shared" si="9"/>
        <v>-3.9077570212726287E-2</v>
      </c>
      <c r="E614" s="54">
        <f t="shared" si="9"/>
        <v>-8.0448665461582136E-3</v>
      </c>
    </row>
    <row r="615" spans="1:5" x14ac:dyDescent="0.25">
      <c r="A615" s="101">
        <v>44509</v>
      </c>
      <c r="B615">
        <v>306.57000732421881</v>
      </c>
      <c r="C615">
        <v>467.3800048828125</v>
      </c>
      <c r="D615" s="54">
        <f t="shared" si="9"/>
        <v>-4.7721113489344047E-3</v>
      </c>
      <c r="E615" s="54">
        <f t="shared" si="9"/>
        <v>-3.305371414023317E-3</v>
      </c>
    </row>
    <row r="616" spans="1:5" x14ac:dyDescent="0.25">
      <c r="A616" s="101">
        <v>44508</v>
      </c>
      <c r="B616">
        <v>308.04000854492188</v>
      </c>
      <c r="C616">
        <v>468.92999267578119</v>
      </c>
      <c r="D616" s="54">
        <f t="shared" si="9"/>
        <v>3.5359034416899471E-2</v>
      </c>
      <c r="E616" s="54">
        <f t="shared" si="9"/>
        <v>8.5372099444325222E-4</v>
      </c>
    </row>
    <row r="617" spans="1:5" x14ac:dyDescent="0.25">
      <c r="A617" s="101">
        <v>44505</v>
      </c>
      <c r="B617">
        <v>297.51998901367188</v>
      </c>
      <c r="C617">
        <v>468.52999877929688</v>
      </c>
      <c r="D617" s="54">
        <f t="shared" si="9"/>
        <v>-1.6443097073769453E-3</v>
      </c>
      <c r="E617" s="54">
        <f t="shared" si="9"/>
        <v>3.4696089278050124E-3</v>
      </c>
    </row>
    <row r="618" spans="1:5" x14ac:dyDescent="0.25">
      <c r="A618" s="101">
        <v>44504</v>
      </c>
      <c r="B618">
        <v>298.010009765625</v>
      </c>
      <c r="C618">
        <v>466.91000366210938</v>
      </c>
      <c r="D618" s="54">
        <f t="shared" si="9"/>
        <v>0.12042257860100358</v>
      </c>
      <c r="E618" s="54">
        <f t="shared" si="9"/>
        <v>4.712520303954415E-3</v>
      </c>
    </row>
    <row r="619" spans="1:5" x14ac:dyDescent="0.25">
      <c r="A619" s="101">
        <v>44503</v>
      </c>
      <c r="B619">
        <v>265.98001098632813</v>
      </c>
      <c r="C619">
        <v>464.72000122070313</v>
      </c>
      <c r="D619" s="54">
        <f t="shared" si="9"/>
        <v>7.4618429144106546E-3</v>
      </c>
      <c r="E619" s="54">
        <f t="shared" si="9"/>
        <v>6.1052335169562433E-3</v>
      </c>
    </row>
    <row r="620" spans="1:5" x14ac:dyDescent="0.25">
      <c r="A620" s="101">
        <v>44502</v>
      </c>
      <c r="B620">
        <v>264.010009765625</v>
      </c>
      <c r="C620">
        <v>461.89999389648438</v>
      </c>
      <c r="D620" s="54">
        <f t="shared" si="9"/>
        <v>2.2224884795458255E-2</v>
      </c>
      <c r="E620" s="54">
        <f t="shared" si="9"/>
        <v>4.0430947678780083E-3</v>
      </c>
    </row>
    <row r="621" spans="1:5" x14ac:dyDescent="0.25">
      <c r="A621" s="101">
        <v>44501</v>
      </c>
      <c r="B621">
        <v>258.26998901367188</v>
      </c>
      <c r="C621">
        <v>460.04000854492188</v>
      </c>
      <c r="D621" s="54">
        <f t="shared" si="9"/>
        <v>1.0169323203141456E-2</v>
      </c>
      <c r="E621" s="54">
        <f t="shared" si="9"/>
        <v>1.7202145779464662E-3</v>
      </c>
    </row>
    <row r="622" spans="1:5" x14ac:dyDescent="0.25">
      <c r="A622" s="101">
        <v>44498</v>
      </c>
      <c r="B622">
        <v>255.66999816894531</v>
      </c>
      <c r="C622">
        <v>459.25</v>
      </c>
      <c r="D622" s="54">
        <f t="shared" si="9"/>
        <v>2.5099211799526344E-2</v>
      </c>
      <c r="E622" s="54">
        <f t="shared" si="9"/>
        <v>2.0291339259019825E-3</v>
      </c>
    </row>
    <row r="623" spans="1:5" x14ac:dyDescent="0.25">
      <c r="A623" s="101">
        <v>44497</v>
      </c>
      <c r="B623">
        <v>249.4100036621094</v>
      </c>
      <c r="C623">
        <v>458.32000732421881</v>
      </c>
      <c r="D623" s="54">
        <f t="shared" si="9"/>
        <v>2.0040118053892053E-2</v>
      </c>
      <c r="E623" s="54">
        <f t="shared" si="9"/>
        <v>9.6488629758466615E-3</v>
      </c>
    </row>
    <row r="624" spans="1:5" x14ac:dyDescent="0.25">
      <c r="A624" s="101">
        <v>44496</v>
      </c>
      <c r="B624">
        <v>244.50999450683591</v>
      </c>
      <c r="C624">
        <v>453.94000244140619</v>
      </c>
      <c r="D624" s="54">
        <f t="shared" si="9"/>
        <v>-1.076183874181702E-2</v>
      </c>
      <c r="E624" s="54">
        <f t="shared" si="9"/>
        <v>-4.4301891646800762E-3</v>
      </c>
    </row>
    <row r="625" spans="1:5" x14ac:dyDescent="0.25">
      <c r="A625" s="101">
        <v>44495</v>
      </c>
      <c r="B625">
        <v>247.16999816894531</v>
      </c>
      <c r="C625">
        <v>455.95999145507813</v>
      </c>
      <c r="D625" s="54">
        <f t="shared" si="9"/>
        <v>6.695154218100674E-2</v>
      </c>
      <c r="E625" s="54">
        <f t="shared" si="9"/>
        <v>9.0001903873537792E-4</v>
      </c>
    </row>
    <row r="626" spans="1:5" x14ac:dyDescent="0.25">
      <c r="A626" s="101">
        <v>44494</v>
      </c>
      <c r="B626">
        <v>231.6600036621094</v>
      </c>
      <c r="C626">
        <v>455.54998779296881</v>
      </c>
      <c r="D626" s="54">
        <f t="shared" si="9"/>
        <v>1.9361124974158761E-2</v>
      </c>
      <c r="E626" s="54">
        <f t="shared" si="9"/>
        <v>5.3628016904283538E-3</v>
      </c>
    </row>
    <row r="627" spans="1:5" x14ac:dyDescent="0.25">
      <c r="A627" s="101">
        <v>44491</v>
      </c>
      <c r="B627">
        <v>227.25999450683591</v>
      </c>
      <c r="C627">
        <v>453.1199951171875</v>
      </c>
      <c r="D627" s="54">
        <f t="shared" si="9"/>
        <v>1.4983092747844484E-3</v>
      </c>
      <c r="E627" s="54">
        <f t="shared" si="9"/>
        <v>-1.0361807458226791E-3</v>
      </c>
    </row>
    <row r="628" spans="1:5" x14ac:dyDescent="0.25">
      <c r="A628" s="101">
        <v>44490</v>
      </c>
      <c r="B628">
        <v>226.91999816894531</v>
      </c>
      <c r="C628">
        <v>453.58999633789063</v>
      </c>
      <c r="D628" s="54">
        <f t="shared" si="9"/>
        <v>2.6647963725185075E-2</v>
      </c>
      <c r="E628" s="54">
        <f t="shared" si="9"/>
        <v>2.6082373648450563E-3</v>
      </c>
    </row>
    <row r="629" spans="1:5" x14ac:dyDescent="0.25">
      <c r="A629" s="101">
        <v>44489</v>
      </c>
      <c r="B629">
        <v>221.0299987792969</v>
      </c>
      <c r="C629">
        <v>452.41000366210938</v>
      </c>
      <c r="D629" s="54">
        <f t="shared" si="9"/>
        <v>-8.3893906163852172E-3</v>
      </c>
      <c r="E629" s="54">
        <f t="shared" si="9"/>
        <v>3.9277226969129941E-3</v>
      </c>
    </row>
    <row r="630" spans="1:5" x14ac:dyDescent="0.25">
      <c r="A630" s="101">
        <v>44488</v>
      </c>
      <c r="B630">
        <v>222.8999938964844</v>
      </c>
      <c r="C630">
        <v>450.6400146484375</v>
      </c>
      <c r="D630" s="54">
        <f t="shared" si="9"/>
        <v>3.0599976241829641E-3</v>
      </c>
      <c r="E630" s="54">
        <f t="shared" si="9"/>
        <v>7.7148688212977934E-3</v>
      </c>
    </row>
    <row r="631" spans="1:5" x14ac:dyDescent="0.25">
      <c r="A631" s="101">
        <v>44487</v>
      </c>
      <c r="B631">
        <v>222.2200012207031</v>
      </c>
      <c r="C631">
        <v>447.19000244140619</v>
      </c>
      <c r="D631" s="54">
        <f t="shared" si="9"/>
        <v>1.6466957203918442E-2</v>
      </c>
      <c r="E631" s="54">
        <f t="shared" si="9"/>
        <v>2.9605206420579844E-3</v>
      </c>
    </row>
    <row r="632" spans="1:5" x14ac:dyDescent="0.25">
      <c r="A632" s="101">
        <v>44484</v>
      </c>
      <c r="B632">
        <v>218.6199951171875</v>
      </c>
      <c r="C632">
        <v>445.8699951171875</v>
      </c>
      <c r="D632" s="54">
        <f t="shared" si="9"/>
        <v>5.3342608640982725E-3</v>
      </c>
      <c r="E632" s="54">
        <f t="shared" si="9"/>
        <v>7.6158081744350792E-3</v>
      </c>
    </row>
    <row r="633" spans="1:5" x14ac:dyDescent="0.25">
      <c r="A633" s="101">
        <v>44483</v>
      </c>
      <c r="B633">
        <v>217.46000671386719</v>
      </c>
      <c r="C633">
        <v>442.5</v>
      </c>
      <c r="D633" s="54">
        <f t="shared" si="9"/>
        <v>3.8540557561211441E-2</v>
      </c>
      <c r="E633" s="54">
        <f t="shared" si="9"/>
        <v>1.6820643061300711E-2</v>
      </c>
    </row>
    <row r="634" spans="1:5" x14ac:dyDescent="0.25">
      <c r="A634" s="101">
        <v>44482</v>
      </c>
      <c r="B634">
        <v>209.38999938964841</v>
      </c>
      <c r="C634">
        <v>435.17999267578119</v>
      </c>
      <c r="D634" s="54">
        <f t="shared" si="9"/>
        <v>1.2964987609385137E-2</v>
      </c>
      <c r="E634" s="54">
        <f t="shared" si="9"/>
        <v>3.5976144461975501E-3</v>
      </c>
    </row>
    <row r="635" spans="1:5" x14ac:dyDescent="0.25">
      <c r="A635" s="101">
        <v>44481</v>
      </c>
      <c r="B635">
        <v>206.71000671386719</v>
      </c>
      <c r="C635">
        <v>433.6199951171875</v>
      </c>
      <c r="D635" s="54">
        <f t="shared" si="9"/>
        <v>-1.1596532394974046E-3</v>
      </c>
      <c r="E635" s="54">
        <f t="shared" si="9"/>
        <v>-2.4615411401437415E-3</v>
      </c>
    </row>
    <row r="636" spans="1:5" x14ac:dyDescent="0.25">
      <c r="A636" s="101">
        <v>44480</v>
      </c>
      <c r="B636">
        <v>206.94999694824219</v>
      </c>
      <c r="C636">
        <v>434.69000244140619</v>
      </c>
      <c r="D636" s="54">
        <f t="shared" si="9"/>
        <v>-6.5287342244295665E-3</v>
      </c>
      <c r="E636" s="54">
        <f t="shared" si="9"/>
        <v>-7.2397182117728276E-3</v>
      </c>
    </row>
    <row r="637" spans="1:5" x14ac:dyDescent="0.25">
      <c r="A637" s="101">
        <v>44477</v>
      </c>
      <c r="B637">
        <v>208.30999755859381</v>
      </c>
      <c r="C637">
        <v>437.8599853515625</v>
      </c>
      <c r="D637" s="54">
        <f t="shared" si="9"/>
        <v>-1.1577710279507492E-2</v>
      </c>
      <c r="E637" s="54">
        <f t="shared" si="9"/>
        <v>-1.8237776498153391E-3</v>
      </c>
    </row>
    <row r="638" spans="1:5" x14ac:dyDescent="0.25">
      <c r="A638" s="101">
        <v>44476</v>
      </c>
      <c r="B638">
        <v>210.75</v>
      </c>
      <c r="C638">
        <v>438.66000366210938</v>
      </c>
      <c r="D638" s="54">
        <f t="shared" si="9"/>
        <v>1.8115942028985588E-2</v>
      </c>
      <c r="E638" s="54">
        <f t="shared" si="9"/>
        <v>8.6456882464798213E-3</v>
      </c>
    </row>
    <row r="639" spans="1:5" x14ac:dyDescent="0.25">
      <c r="A639" s="101">
        <v>44475</v>
      </c>
      <c r="B639">
        <v>207</v>
      </c>
      <c r="C639">
        <v>434.89999389648438</v>
      </c>
      <c r="D639" s="54">
        <f t="shared" si="9"/>
        <v>1.2175470930741561E-2</v>
      </c>
      <c r="E639" s="54">
        <f t="shared" si="9"/>
        <v>4.1560558014366311E-3</v>
      </c>
    </row>
    <row r="640" spans="1:5" x14ac:dyDescent="0.25">
      <c r="A640" s="101">
        <v>44474</v>
      </c>
      <c r="B640">
        <v>204.50999450683591</v>
      </c>
      <c r="C640">
        <v>433.10000610351563</v>
      </c>
      <c r="D640" s="54">
        <f t="shared" si="9"/>
        <v>3.6438206546400176E-2</v>
      </c>
      <c r="E640" s="54">
        <f t="shared" si="9"/>
        <v>1.0404981575824479E-2</v>
      </c>
    </row>
    <row r="641" spans="1:5" x14ac:dyDescent="0.25">
      <c r="A641" s="101">
        <v>44473</v>
      </c>
      <c r="B641">
        <v>197.32000732421881</v>
      </c>
      <c r="C641">
        <v>428.6400146484375</v>
      </c>
      <c r="D641" s="54">
        <f t="shared" si="9"/>
        <v>-4.8693428473082778E-2</v>
      </c>
      <c r="E641" s="54">
        <f t="shared" si="9"/>
        <v>-1.289603839322806E-2</v>
      </c>
    </row>
    <row r="642" spans="1:5" x14ac:dyDescent="0.25">
      <c r="A642" s="101">
        <v>44470</v>
      </c>
      <c r="B642">
        <v>207.41999816894531</v>
      </c>
      <c r="C642">
        <v>434.239990234375</v>
      </c>
      <c r="D642" s="54">
        <f t="shared" si="9"/>
        <v>1.2550420073365043E-3</v>
      </c>
      <c r="E642" s="54">
        <f t="shared" si="9"/>
        <v>1.18841762871158E-2</v>
      </c>
    </row>
    <row r="643" spans="1:5" x14ac:dyDescent="0.25">
      <c r="A643" s="101">
        <v>44469</v>
      </c>
      <c r="B643">
        <v>207.1600036621094</v>
      </c>
      <c r="C643">
        <v>429.1400146484375</v>
      </c>
      <c r="D643" s="54">
        <f t="shared" ref="D643:E706" si="10">+B643/B644-1</f>
        <v>9.6993006332506404E-3</v>
      </c>
      <c r="E643" s="54">
        <f t="shared" si="10"/>
        <v>-1.2222344134871999E-2</v>
      </c>
    </row>
    <row r="644" spans="1:5" x14ac:dyDescent="0.25">
      <c r="A644" s="101">
        <v>44468</v>
      </c>
      <c r="B644">
        <v>205.16999816894531</v>
      </c>
      <c r="C644">
        <v>434.45001220703119</v>
      </c>
      <c r="D644" s="54">
        <f t="shared" si="10"/>
        <v>-8.7927304503544468E-3</v>
      </c>
      <c r="E644" s="54">
        <f t="shared" si="10"/>
        <v>1.683138855191002E-3</v>
      </c>
    </row>
    <row r="645" spans="1:5" x14ac:dyDescent="0.25">
      <c r="A645" s="101">
        <v>44467</v>
      </c>
      <c r="B645">
        <v>206.99000549316409</v>
      </c>
      <c r="C645">
        <v>433.72000122070313</v>
      </c>
      <c r="D645" s="54">
        <f t="shared" si="10"/>
        <v>-4.4367499259251097E-2</v>
      </c>
      <c r="E645" s="54">
        <f t="shared" si="10"/>
        <v>-2.0151846043153121E-2</v>
      </c>
    </row>
    <row r="646" spans="1:5" x14ac:dyDescent="0.25">
      <c r="A646" s="101">
        <v>44466</v>
      </c>
      <c r="B646">
        <v>216.6000061035156</v>
      </c>
      <c r="C646">
        <v>442.6400146484375</v>
      </c>
      <c r="D646" s="54">
        <f t="shared" si="10"/>
        <v>-1.9066126994367827E-2</v>
      </c>
      <c r="E646" s="54">
        <f t="shared" si="10"/>
        <v>-2.8609155080869808E-3</v>
      </c>
    </row>
    <row r="647" spans="1:5" x14ac:dyDescent="0.25">
      <c r="A647" s="101">
        <v>44463</v>
      </c>
      <c r="B647">
        <v>220.80999755859381</v>
      </c>
      <c r="C647">
        <v>443.91000366210938</v>
      </c>
      <c r="D647" s="54">
        <f t="shared" si="10"/>
        <v>-1.7836534271801097E-2</v>
      </c>
      <c r="E647" s="54">
        <f t="shared" si="10"/>
        <v>1.6472110618546143E-3</v>
      </c>
    </row>
    <row r="648" spans="1:5" x14ac:dyDescent="0.25">
      <c r="A648" s="101">
        <v>44462</v>
      </c>
      <c r="B648">
        <v>224.82000732421881</v>
      </c>
      <c r="C648">
        <v>443.17999267578119</v>
      </c>
      <c r="D648" s="54">
        <f t="shared" si="10"/>
        <v>2.4657051054248091E-2</v>
      </c>
      <c r="E648" s="54">
        <f t="shared" si="10"/>
        <v>1.2150019417616287E-2</v>
      </c>
    </row>
    <row r="649" spans="1:5" x14ac:dyDescent="0.25">
      <c r="A649" s="101">
        <v>44461</v>
      </c>
      <c r="B649">
        <v>219.4100036621094</v>
      </c>
      <c r="C649">
        <v>437.8599853515625</v>
      </c>
      <c r="D649" s="54">
        <f t="shared" si="10"/>
        <v>3.2712024515758387E-2</v>
      </c>
      <c r="E649" s="54">
        <f t="shared" si="10"/>
        <v>9.7548149830939401E-3</v>
      </c>
    </row>
    <row r="650" spans="1:5" x14ac:dyDescent="0.25">
      <c r="A650" s="101">
        <v>44460</v>
      </c>
      <c r="B650">
        <v>212.46000671386719</v>
      </c>
      <c r="C650">
        <v>433.6300048828125</v>
      </c>
      <c r="D650" s="54">
        <f t="shared" si="10"/>
        <v>6.299444893173245E-3</v>
      </c>
      <c r="E650" s="54">
        <f t="shared" si="10"/>
        <v>-9.4462181835230918E-4</v>
      </c>
    </row>
    <row r="651" spans="1:5" x14ac:dyDescent="0.25">
      <c r="A651" s="101">
        <v>44459</v>
      </c>
      <c r="B651">
        <v>211.1300048828125</v>
      </c>
      <c r="C651">
        <v>434.04000854492188</v>
      </c>
      <c r="D651" s="54">
        <f t="shared" si="10"/>
        <v>-3.5936050763413219E-2</v>
      </c>
      <c r="E651" s="54">
        <f t="shared" si="10"/>
        <v>-1.6674185440266553E-2</v>
      </c>
    </row>
    <row r="652" spans="1:5" x14ac:dyDescent="0.25">
      <c r="A652" s="101">
        <v>44456</v>
      </c>
      <c r="B652">
        <v>219</v>
      </c>
      <c r="C652">
        <v>441.39999389648438</v>
      </c>
      <c r="D652" s="54">
        <f t="shared" si="10"/>
        <v>-1.5376306973744147E-2</v>
      </c>
      <c r="E652" s="54">
        <f t="shared" si="10"/>
        <v>-1.2903413372959749E-2</v>
      </c>
    </row>
    <row r="653" spans="1:5" x14ac:dyDescent="0.25">
      <c r="A653" s="101">
        <v>44455</v>
      </c>
      <c r="B653">
        <v>222.41999816894531</v>
      </c>
      <c r="C653">
        <v>447.17001342773438</v>
      </c>
      <c r="D653" s="54">
        <f t="shared" si="10"/>
        <v>-4.4313391385167877E-3</v>
      </c>
      <c r="E653" s="54">
        <f t="shared" si="10"/>
        <v>-1.5852269521696716E-3</v>
      </c>
    </row>
    <row r="654" spans="1:5" x14ac:dyDescent="0.25">
      <c r="A654" s="101">
        <v>44454</v>
      </c>
      <c r="B654">
        <v>223.4100036621094</v>
      </c>
      <c r="C654">
        <v>447.8800048828125</v>
      </c>
      <c r="D654" s="54">
        <f t="shared" si="10"/>
        <v>4.4510633095684593E-3</v>
      </c>
      <c r="E654" s="54">
        <f t="shared" si="10"/>
        <v>8.3526382757077577E-3</v>
      </c>
    </row>
    <row r="655" spans="1:5" x14ac:dyDescent="0.25">
      <c r="A655" s="101">
        <v>44453</v>
      </c>
      <c r="B655">
        <v>222.41999816894531</v>
      </c>
      <c r="C655">
        <v>444.17001342773438</v>
      </c>
      <c r="D655" s="54">
        <f t="shared" si="10"/>
        <v>4.0628109386340316E-3</v>
      </c>
      <c r="E655" s="54">
        <f t="shared" si="10"/>
        <v>-5.3965095100411142E-3</v>
      </c>
    </row>
    <row r="656" spans="1:5" x14ac:dyDescent="0.25">
      <c r="A656" s="101">
        <v>44452</v>
      </c>
      <c r="B656">
        <v>221.52000427246091</v>
      </c>
      <c r="C656">
        <v>446.57998657226563</v>
      </c>
      <c r="D656" s="54">
        <f t="shared" si="10"/>
        <v>-1.4503045308923879E-2</v>
      </c>
      <c r="E656" s="54">
        <f t="shared" si="10"/>
        <v>2.5592316015878858E-3</v>
      </c>
    </row>
    <row r="657" spans="1:5" x14ac:dyDescent="0.25">
      <c r="A657" s="101">
        <v>44449</v>
      </c>
      <c r="B657">
        <v>224.7799987792969</v>
      </c>
      <c r="C657">
        <v>445.44000244140619</v>
      </c>
      <c r="D657" s="54">
        <f t="shared" si="10"/>
        <v>1.3572595251150288E-2</v>
      </c>
      <c r="E657" s="54">
        <f t="shared" si="10"/>
        <v>-7.8845571257062375E-3</v>
      </c>
    </row>
    <row r="658" spans="1:5" x14ac:dyDescent="0.25">
      <c r="A658" s="101">
        <v>44448</v>
      </c>
      <c r="B658">
        <v>221.77000427246091</v>
      </c>
      <c r="C658">
        <v>448.98001098632813</v>
      </c>
      <c r="D658" s="54">
        <f t="shared" si="10"/>
        <v>-7.2518694731800171E-3</v>
      </c>
      <c r="E658" s="54">
        <f t="shared" si="10"/>
        <v>-4.2802170280247243E-3</v>
      </c>
    </row>
    <row r="659" spans="1:5" x14ac:dyDescent="0.25">
      <c r="A659" s="101">
        <v>44447</v>
      </c>
      <c r="B659">
        <v>223.38999938964841</v>
      </c>
      <c r="C659">
        <v>450.91000366210938</v>
      </c>
      <c r="D659" s="54">
        <f t="shared" si="10"/>
        <v>-1.4252915881799555E-2</v>
      </c>
      <c r="E659" s="54">
        <f t="shared" si="10"/>
        <v>-1.2182425981892564E-3</v>
      </c>
    </row>
    <row r="660" spans="1:5" x14ac:dyDescent="0.25">
      <c r="A660" s="101">
        <v>44446</v>
      </c>
      <c r="B660">
        <v>226.6199951171875</v>
      </c>
      <c r="C660">
        <v>451.45999145507813</v>
      </c>
      <c r="D660" s="54">
        <f t="shared" si="10"/>
        <v>-7.9236423264378297E-3</v>
      </c>
      <c r="E660" s="54">
        <f t="shared" si="10"/>
        <v>-3.5755168296958129E-3</v>
      </c>
    </row>
    <row r="661" spans="1:5" x14ac:dyDescent="0.25">
      <c r="A661" s="101">
        <v>44442</v>
      </c>
      <c r="B661">
        <v>228.42999267578119</v>
      </c>
      <c r="C661">
        <v>453.07998657226563</v>
      </c>
      <c r="D661" s="54">
        <f t="shared" si="10"/>
        <v>1.9958857956388965E-2</v>
      </c>
      <c r="E661" s="54">
        <f t="shared" si="10"/>
        <v>-2.4275881759949769E-4</v>
      </c>
    </row>
    <row r="662" spans="1:5" x14ac:dyDescent="0.25">
      <c r="A662" s="101">
        <v>44441</v>
      </c>
      <c r="B662">
        <v>223.96000671386719</v>
      </c>
      <c r="C662">
        <v>453.19000244140619</v>
      </c>
      <c r="D662" s="54">
        <f t="shared" si="10"/>
        <v>-2.0052446009481972E-3</v>
      </c>
      <c r="E662" s="54">
        <f t="shared" si="10"/>
        <v>3.0766150641738932E-3</v>
      </c>
    </row>
    <row r="663" spans="1:5" x14ac:dyDescent="0.25">
      <c r="A663" s="101">
        <v>44440</v>
      </c>
      <c r="B663">
        <v>224.4100036621094</v>
      </c>
      <c r="C663">
        <v>451.79998779296881</v>
      </c>
      <c r="D663" s="54">
        <f t="shared" si="10"/>
        <v>2.5016642542992074E-3</v>
      </c>
      <c r="E663" s="54">
        <f t="shared" si="10"/>
        <v>5.3146920823921029E-4</v>
      </c>
    </row>
    <row r="664" spans="1:5" x14ac:dyDescent="0.25">
      <c r="A664" s="101">
        <v>44439</v>
      </c>
      <c r="B664">
        <v>223.8500061035156</v>
      </c>
      <c r="C664">
        <v>451.55999755859381</v>
      </c>
      <c r="D664" s="54">
        <f t="shared" si="10"/>
        <v>-1.3355071906234972E-2</v>
      </c>
      <c r="E664" s="54">
        <f t="shared" si="10"/>
        <v>-1.4815766566951272E-3</v>
      </c>
    </row>
    <row r="665" spans="1:5" x14ac:dyDescent="0.25">
      <c r="A665" s="101">
        <v>44438</v>
      </c>
      <c r="B665">
        <v>226.8800048828125</v>
      </c>
      <c r="C665">
        <v>452.23001098632813</v>
      </c>
      <c r="D665" s="54">
        <f t="shared" si="10"/>
        <v>2.2972445266777886E-3</v>
      </c>
      <c r="E665" s="54">
        <f t="shared" si="10"/>
        <v>4.3975813133327879E-3</v>
      </c>
    </row>
    <row r="666" spans="1:5" x14ac:dyDescent="0.25">
      <c r="A666" s="101">
        <v>44435</v>
      </c>
      <c r="B666">
        <v>226.36000061035159</v>
      </c>
      <c r="C666">
        <v>450.25</v>
      </c>
      <c r="D666" s="54">
        <f t="shared" si="10"/>
        <v>2.5738662874234208E-2</v>
      </c>
      <c r="E666" s="54">
        <f t="shared" si="10"/>
        <v>8.9409540336597981E-3</v>
      </c>
    </row>
    <row r="667" spans="1:5" x14ac:dyDescent="0.25">
      <c r="A667" s="101">
        <v>44434</v>
      </c>
      <c r="B667">
        <v>220.67999267578119</v>
      </c>
      <c r="C667">
        <v>446.260009765625</v>
      </c>
      <c r="D667" s="54">
        <f t="shared" si="10"/>
        <v>-6.5277638101898239E-3</v>
      </c>
      <c r="E667" s="54">
        <f t="shared" si="10"/>
        <v>-5.9031740769114327E-3</v>
      </c>
    </row>
    <row r="668" spans="1:5" x14ac:dyDescent="0.25">
      <c r="A668" s="101">
        <v>44433</v>
      </c>
      <c r="B668">
        <v>222.1300048828125</v>
      </c>
      <c r="C668">
        <v>448.91000366210938</v>
      </c>
      <c r="D668" s="54">
        <f t="shared" si="10"/>
        <v>1.9272300042150414E-2</v>
      </c>
      <c r="E668" s="54">
        <f t="shared" si="10"/>
        <v>2.0983602447592897E-3</v>
      </c>
    </row>
    <row r="669" spans="1:5" x14ac:dyDescent="0.25">
      <c r="A669" s="101">
        <v>44432</v>
      </c>
      <c r="B669">
        <v>217.92999267578119</v>
      </c>
      <c r="C669">
        <v>447.97000122070313</v>
      </c>
      <c r="D669" s="54">
        <f t="shared" si="10"/>
        <v>-7.5143872006295798E-3</v>
      </c>
      <c r="E669" s="54">
        <f t="shared" si="10"/>
        <v>1.5874244054374653E-3</v>
      </c>
    </row>
    <row r="670" spans="1:5" x14ac:dyDescent="0.25">
      <c r="A670" s="101">
        <v>44431</v>
      </c>
      <c r="B670">
        <v>219.58000183105469</v>
      </c>
      <c r="C670">
        <v>447.260009765625</v>
      </c>
      <c r="D670" s="54">
        <f t="shared" si="10"/>
        <v>5.4861635126998376E-2</v>
      </c>
      <c r="E670" s="54">
        <f t="shared" si="10"/>
        <v>8.7965187272593948E-3</v>
      </c>
    </row>
    <row r="671" spans="1:5" x14ac:dyDescent="0.25">
      <c r="A671" s="101">
        <v>44428</v>
      </c>
      <c r="B671">
        <v>208.1600036621094</v>
      </c>
      <c r="C671">
        <v>443.3599853515625</v>
      </c>
      <c r="D671" s="54">
        <f t="shared" si="10"/>
        <v>5.1419376473672118E-2</v>
      </c>
      <c r="E671" s="54">
        <f t="shared" si="10"/>
        <v>7.9570775168433805E-3</v>
      </c>
    </row>
    <row r="672" spans="1:5" x14ac:dyDescent="0.25">
      <c r="A672" s="101">
        <v>44427</v>
      </c>
      <c r="B672">
        <v>197.97999572753909</v>
      </c>
      <c r="C672">
        <v>439.8599853515625</v>
      </c>
      <c r="D672" s="54">
        <f t="shared" si="10"/>
        <v>3.98109352628222E-2</v>
      </c>
      <c r="E672" s="54">
        <f t="shared" si="10"/>
        <v>1.5483234371365118E-3</v>
      </c>
    </row>
    <row r="673" spans="1:5" x14ac:dyDescent="0.25">
      <c r="A673" s="101">
        <v>44426</v>
      </c>
      <c r="B673">
        <v>190.3999938964844</v>
      </c>
      <c r="C673">
        <v>439.17999267578119</v>
      </c>
      <c r="D673" s="54">
        <f t="shared" si="10"/>
        <v>-2.1482207293838984E-2</v>
      </c>
      <c r="E673" s="54">
        <f t="shared" si="10"/>
        <v>-1.0944995440988592E-2</v>
      </c>
    </row>
    <row r="674" spans="1:5" x14ac:dyDescent="0.25">
      <c r="A674" s="101">
        <v>44425</v>
      </c>
      <c r="B674">
        <v>194.58000183105469</v>
      </c>
      <c r="C674">
        <v>444.04000854492188</v>
      </c>
      <c r="D674" s="54">
        <f t="shared" si="10"/>
        <v>-2.4661644957119311E-2</v>
      </c>
      <c r="E674" s="54">
        <f t="shared" si="10"/>
        <v>-6.5552333887716197E-3</v>
      </c>
    </row>
    <row r="675" spans="1:5" x14ac:dyDescent="0.25">
      <c r="A675" s="101">
        <v>44424</v>
      </c>
      <c r="B675">
        <v>199.5</v>
      </c>
      <c r="C675">
        <v>446.97000122070313</v>
      </c>
      <c r="D675" s="54">
        <f t="shared" si="10"/>
        <v>-1.1789205593659702E-2</v>
      </c>
      <c r="E675" s="54">
        <f t="shared" si="10"/>
        <v>2.3546550084119211E-3</v>
      </c>
    </row>
    <row r="676" spans="1:5" x14ac:dyDescent="0.25">
      <c r="A676" s="101">
        <v>44421</v>
      </c>
      <c r="B676">
        <v>201.8800048828125</v>
      </c>
      <c r="C676">
        <v>445.92001342773438</v>
      </c>
      <c r="D676" s="54">
        <f t="shared" si="10"/>
        <v>1.4217542264085337E-2</v>
      </c>
      <c r="E676" s="54">
        <f t="shared" si="10"/>
        <v>1.8198380239258238E-3</v>
      </c>
    </row>
    <row r="677" spans="1:5" x14ac:dyDescent="0.25">
      <c r="A677" s="101">
        <v>44420</v>
      </c>
      <c r="B677">
        <v>199.05000305175781</v>
      </c>
      <c r="C677">
        <v>445.1099853515625</v>
      </c>
      <c r="D677" s="54">
        <f t="shared" si="10"/>
        <v>1.0457370938370847E-2</v>
      </c>
      <c r="E677" s="54">
        <f t="shared" si="10"/>
        <v>2.9969502364324274E-3</v>
      </c>
    </row>
    <row r="678" spans="1:5" x14ac:dyDescent="0.25">
      <c r="A678" s="101">
        <v>44419</v>
      </c>
      <c r="B678">
        <v>196.99000549316409</v>
      </c>
      <c r="C678">
        <v>443.77999877929688</v>
      </c>
      <c r="D678" s="54">
        <f t="shared" si="10"/>
        <v>-1.1888017204713219E-2</v>
      </c>
      <c r="E678" s="54">
        <f t="shared" si="10"/>
        <v>2.484878742467389E-3</v>
      </c>
    </row>
    <row r="679" spans="1:5" x14ac:dyDescent="0.25">
      <c r="A679" s="101">
        <v>44418</v>
      </c>
      <c r="B679">
        <v>199.36000061035159</v>
      </c>
      <c r="C679">
        <v>442.67999267578119</v>
      </c>
      <c r="D679" s="54">
        <f t="shared" si="10"/>
        <v>-1.7689068203367131E-2</v>
      </c>
      <c r="E679" s="54">
        <f t="shared" si="10"/>
        <v>1.2439503921803929E-3</v>
      </c>
    </row>
    <row r="680" spans="1:5" x14ac:dyDescent="0.25">
      <c r="A680" s="101">
        <v>44417</v>
      </c>
      <c r="B680">
        <v>202.94999694824219</v>
      </c>
      <c r="C680">
        <v>442.1300048828125</v>
      </c>
      <c r="D680" s="54">
        <f t="shared" si="10"/>
        <v>-3.4862353977228588E-3</v>
      </c>
      <c r="E680" s="54">
        <f t="shared" si="10"/>
        <v>-8.1354462136384864E-4</v>
      </c>
    </row>
    <row r="681" spans="1:5" x14ac:dyDescent="0.25">
      <c r="A681" s="101">
        <v>44414</v>
      </c>
      <c r="B681">
        <v>203.6600036621094</v>
      </c>
      <c r="C681">
        <v>442.489990234375</v>
      </c>
      <c r="D681" s="54">
        <f t="shared" si="10"/>
        <v>-1.3131712551232244E-2</v>
      </c>
      <c r="E681" s="54">
        <f t="shared" si="10"/>
        <v>1.6524367362660275E-3</v>
      </c>
    </row>
    <row r="682" spans="1:5" x14ac:dyDescent="0.25">
      <c r="A682" s="101">
        <v>44413</v>
      </c>
      <c r="B682">
        <v>206.3699951171875</v>
      </c>
      <c r="C682">
        <v>441.760009765625</v>
      </c>
      <c r="D682" s="54">
        <f t="shared" si="10"/>
        <v>1.790465387032758E-2</v>
      </c>
      <c r="E682" s="54">
        <f t="shared" si="10"/>
        <v>6.332859605726826E-3</v>
      </c>
    </row>
    <row r="683" spans="1:5" x14ac:dyDescent="0.25">
      <c r="A683" s="101">
        <v>44412</v>
      </c>
      <c r="B683">
        <v>202.74000549316409</v>
      </c>
      <c r="C683">
        <v>438.98001098632813</v>
      </c>
      <c r="D683" s="54">
        <f t="shared" si="10"/>
        <v>2.3164328731080097E-2</v>
      </c>
      <c r="E683" s="54">
        <f t="shared" si="10"/>
        <v>-4.9189231331270289E-3</v>
      </c>
    </row>
    <row r="684" spans="1:5" x14ac:dyDescent="0.25">
      <c r="A684" s="101">
        <v>44411</v>
      </c>
      <c r="B684">
        <v>198.1499938964844</v>
      </c>
      <c r="C684">
        <v>441.14999389648438</v>
      </c>
      <c r="D684" s="54">
        <f t="shared" si="10"/>
        <v>3.2911083366298222E-3</v>
      </c>
      <c r="E684" s="54">
        <f t="shared" si="10"/>
        <v>8.135463763766726E-3</v>
      </c>
    </row>
    <row r="685" spans="1:5" x14ac:dyDescent="0.25">
      <c r="A685" s="101">
        <v>44410</v>
      </c>
      <c r="B685">
        <v>197.5</v>
      </c>
      <c r="C685">
        <v>437.58999633789063</v>
      </c>
      <c r="D685" s="54">
        <f t="shared" si="10"/>
        <v>1.2872426463539366E-2</v>
      </c>
      <c r="E685" s="54">
        <f t="shared" si="10"/>
        <v>-2.0980443028566498E-3</v>
      </c>
    </row>
    <row r="686" spans="1:5" x14ac:dyDescent="0.25">
      <c r="A686" s="101">
        <v>44407</v>
      </c>
      <c r="B686">
        <v>194.99000549316409</v>
      </c>
      <c r="C686">
        <v>438.510009765625</v>
      </c>
      <c r="D686" s="54">
        <f t="shared" si="10"/>
        <v>-8.2900501703904173E-3</v>
      </c>
      <c r="E686" s="54">
        <f t="shared" si="10"/>
        <v>-4.8564260989462094E-3</v>
      </c>
    </row>
    <row r="687" spans="1:5" x14ac:dyDescent="0.25">
      <c r="A687" s="101">
        <v>44406</v>
      </c>
      <c r="B687">
        <v>196.6199951171875</v>
      </c>
      <c r="C687">
        <v>440.64999389648438</v>
      </c>
      <c r="D687" s="54">
        <f t="shared" si="10"/>
        <v>8.1525731828049341E-3</v>
      </c>
      <c r="E687" s="54">
        <f t="shared" si="10"/>
        <v>4.1474087457764597E-3</v>
      </c>
    </row>
    <row r="688" spans="1:5" x14ac:dyDescent="0.25">
      <c r="A688" s="101">
        <v>44405</v>
      </c>
      <c r="B688">
        <v>195.0299987792969</v>
      </c>
      <c r="C688">
        <v>438.82998657226563</v>
      </c>
      <c r="D688" s="54">
        <f t="shared" si="10"/>
        <v>1.5358168055604748E-2</v>
      </c>
      <c r="E688" s="54">
        <f t="shared" si="10"/>
        <v>-4.1006626125783541E-4</v>
      </c>
    </row>
    <row r="689" spans="1:5" x14ac:dyDescent="0.25">
      <c r="A689" s="101">
        <v>44404</v>
      </c>
      <c r="B689">
        <v>192.08000183105469</v>
      </c>
      <c r="C689">
        <v>439.010009765625</v>
      </c>
      <c r="D689" s="54">
        <f t="shared" si="10"/>
        <v>-4.4573473591236201E-3</v>
      </c>
      <c r="E689" s="54">
        <f t="shared" si="10"/>
        <v>-4.5575694937142197E-3</v>
      </c>
    </row>
    <row r="690" spans="1:5" x14ac:dyDescent="0.25">
      <c r="A690" s="101">
        <v>44403</v>
      </c>
      <c r="B690">
        <v>192.94000244140619</v>
      </c>
      <c r="C690">
        <v>441.01998901367188</v>
      </c>
      <c r="D690" s="54">
        <f t="shared" si="10"/>
        <v>-1.349830946381203E-2</v>
      </c>
      <c r="E690" s="54">
        <f t="shared" si="10"/>
        <v>2.454849675574744E-3</v>
      </c>
    </row>
    <row r="691" spans="1:5" x14ac:dyDescent="0.25">
      <c r="A691" s="101">
        <v>44400</v>
      </c>
      <c r="B691">
        <v>195.58000183105469</v>
      </c>
      <c r="C691">
        <v>439.94000244140619</v>
      </c>
      <c r="D691" s="54">
        <f t="shared" si="10"/>
        <v>-1.8373002238741831E-3</v>
      </c>
      <c r="E691" s="54">
        <f t="shared" si="10"/>
        <v>1.0287996771777497E-2</v>
      </c>
    </row>
    <row r="692" spans="1:5" x14ac:dyDescent="0.25">
      <c r="A692" s="101">
        <v>44399</v>
      </c>
      <c r="B692">
        <v>195.94000244140619</v>
      </c>
      <c r="C692">
        <v>435.45999145507813</v>
      </c>
      <c r="D692" s="54">
        <f t="shared" si="10"/>
        <v>9.4796304999047454E-3</v>
      </c>
      <c r="E692" s="54">
        <f t="shared" si="10"/>
        <v>2.0941288405762482E-3</v>
      </c>
    </row>
    <row r="693" spans="1:5" x14ac:dyDescent="0.25">
      <c r="A693" s="101">
        <v>44398</v>
      </c>
      <c r="B693">
        <v>194.1000061035156</v>
      </c>
      <c r="C693">
        <v>434.54998779296881</v>
      </c>
      <c r="D693" s="54">
        <f t="shared" si="10"/>
        <v>4.2875624305188653E-2</v>
      </c>
      <c r="E693" s="54">
        <f t="shared" si="10"/>
        <v>8.0962980887611113E-3</v>
      </c>
    </row>
    <row r="694" spans="1:5" x14ac:dyDescent="0.25">
      <c r="A694" s="101">
        <v>44397</v>
      </c>
      <c r="B694">
        <v>186.1199951171875</v>
      </c>
      <c r="C694">
        <v>431.05999755859381</v>
      </c>
      <c r="D694" s="54">
        <f t="shared" si="10"/>
        <v>-8.9325229979744236E-3</v>
      </c>
      <c r="E694" s="54">
        <f t="shared" si="10"/>
        <v>1.4330414665499891E-2</v>
      </c>
    </row>
    <row r="695" spans="1:5" x14ac:dyDescent="0.25">
      <c r="A695" s="101">
        <v>44396</v>
      </c>
      <c r="B695">
        <v>187.79750061035159</v>
      </c>
      <c r="C695">
        <v>424.97000122070313</v>
      </c>
      <c r="D695" s="54">
        <f t="shared" si="10"/>
        <v>3.4070260333710412E-2</v>
      </c>
      <c r="E695" s="54">
        <f t="shared" si="10"/>
        <v>-1.4767921294730924E-2</v>
      </c>
    </row>
    <row r="696" spans="1:5" x14ac:dyDescent="0.25">
      <c r="A696" s="101">
        <v>44393</v>
      </c>
      <c r="B696">
        <v>181.61000061035159</v>
      </c>
      <c r="C696">
        <v>431.33999633789063</v>
      </c>
      <c r="D696" s="54">
        <f t="shared" si="10"/>
        <v>-4.2457023576230934E-2</v>
      </c>
      <c r="E696" s="54">
        <f t="shared" si="10"/>
        <v>-7.8435966926034828E-3</v>
      </c>
    </row>
    <row r="697" spans="1:5" x14ac:dyDescent="0.25">
      <c r="A697" s="101">
        <v>44392</v>
      </c>
      <c r="B697">
        <v>189.6625061035156</v>
      </c>
      <c r="C697">
        <v>434.75</v>
      </c>
      <c r="D697" s="54">
        <f t="shared" si="10"/>
        <v>-4.4112025193556392E-2</v>
      </c>
      <c r="E697" s="54">
        <f t="shared" si="10"/>
        <v>-3.4155287633637066E-3</v>
      </c>
    </row>
    <row r="698" spans="1:5" x14ac:dyDescent="0.25">
      <c r="A698" s="101">
        <v>44391</v>
      </c>
      <c r="B698">
        <v>198.41499328613281</v>
      </c>
      <c r="C698">
        <v>436.239990234375</v>
      </c>
      <c r="D698" s="54">
        <f t="shared" si="10"/>
        <v>-2.0172872661072483E-2</v>
      </c>
      <c r="E698" s="54">
        <f t="shared" si="10"/>
        <v>1.4922149313552069E-3</v>
      </c>
    </row>
    <row r="699" spans="1:5" x14ac:dyDescent="0.25">
      <c r="A699" s="101">
        <v>44390</v>
      </c>
      <c r="B699">
        <v>202.5</v>
      </c>
      <c r="C699">
        <v>435.58999633789063</v>
      </c>
      <c r="D699" s="54">
        <f t="shared" si="10"/>
        <v>-1.2797074954296161E-2</v>
      </c>
      <c r="E699" s="54">
        <f t="shared" si="10"/>
        <v>-3.4089646750015135E-3</v>
      </c>
    </row>
    <row r="700" spans="1:5" x14ac:dyDescent="0.25">
      <c r="A700" s="101">
        <v>44389</v>
      </c>
      <c r="B700">
        <v>205.125</v>
      </c>
      <c r="C700">
        <v>437.07998657226563</v>
      </c>
      <c r="D700" s="54">
        <f t="shared" si="10"/>
        <v>2.3054562922199207E-2</v>
      </c>
      <c r="E700" s="54">
        <f t="shared" si="10"/>
        <v>3.5819195397361892E-3</v>
      </c>
    </row>
    <row r="701" spans="1:5" x14ac:dyDescent="0.25">
      <c r="A701" s="101">
        <v>44386</v>
      </c>
      <c r="B701">
        <v>200.50250244140619</v>
      </c>
      <c r="C701">
        <v>435.51998901367188</v>
      </c>
      <c r="D701" s="54">
        <f t="shared" si="10"/>
        <v>7.4110669664027018E-3</v>
      </c>
      <c r="E701" s="54">
        <f t="shared" si="10"/>
        <v>1.0674778247933281E-2</v>
      </c>
    </row>
    <row r="702" spans="1:5" x14ac:dyDescent="0.25">
      <c r="A702" s="101">
        <v>44385</v>
      </c>
      <c r="B702">
        <v>199.0274963378906</v>
      </c>
      <c r="C702">
        <v>430.92001342773438</v>
      </c>
      <c r="D702" s="54">
        <f t="shared" si="10"/>
        <v>-2.3022089263364465E-2</v>
      </c>
      <c r="E702" s="54">
        <f t="shared" si="10"/>
        <v>-8.1479954356390438E-3</v>
      </c>
    </row>
    <row r="703" spans="1:5" x14ac:dyDescent="0.25">
      <c r="A703" s="101">
        <v>44384</v>
      </c>
      <c r="B703">
        <v>203.7174987792969</v>
      </c>
      <c r="C703">
        <v>434.45999145507813</v>
      </c>
      <c r="D703" s="54">
        <f t="shared" si="10"/>
        <v>-1.5786176879578617E-2</v>
      </c>
      <c r="E703" s="54">
        <f t="shared" si="10"/>
        <v>3.5340558639529451E-3</v>
      </c>
    </row>
    <row r="704" spans="1:5" x14ac:dyDescent="0.25">
      <c r="A704" s="101">
        <v>44383</v>
      </c>
      <c r="B704">
        <v>206.98500061035159</v>
      </c>
      <c r="C704">
        <v>432.92999267578119</v>
      </c>
      <c r="D704" s="54">
        <f t="shared" si="10"/>
        <v>1.032364691547083E-2</v>
      </c>
      <c r="E704" s="54">
        <f t="shared" si="10"/>
        <v>-1.8214713241225811E-3</v>
      </c>
    </row>
    <row r="705" spans="1:5" x14ac:dyDescent="0.25">
      <c r="A705" s="101">
        <v>44379</v>
      </c>
      <c r="B705">
        <v>204.8699951171875</v>
      </c>
      <c r="C705">
        <v>433.72000122070313</v>
      </c>
      <c r="D705" s="54">
        <f t="shared" si="10"/>
        <v>1.3605779073988078E-2</v>
      </c>
      <c r="E705" s="54">
        <f t="shared" si="10"/>
        <v>7.643539253548548E-3</v>
      </c>
    </row>
    <row r="706" spans="1:5" x14ac:dyDescent="0.25">
      <c r="A706" s="101">
        <v>44378</v>
      </c>
      <c r="B706">
        <v>202.1199951171875</v>
      </c>
      <c r="C706">
        <v>430.42999267578119</v>
      </c>
      <c r="D706" s="54">
        <f t="shared" si="10"/>
        <v>1.0473697210996002E-2</v>
      </c>
      <c r="E706" s="54">
        <f t="shared" si="10"/>
        <v>5.5365956424437979E-3</v>
      </c>
    </row>
    <row r="707" spans="1:5" x14ac:dyDescent="0.25">
      <c r="A707" s="101">
        <v>44377</v>
      </c>
      <c r="B707">
        <v>200.0249938964844</v>
      </c>
      <c r="C707">
        <v>428.05999755859381</v>
      </c>
      <c r="D707" s="54">
        <f t="shared" ref="D707:E755" si="11">+B707/B708-1</f>
        <v>-1.2109200561899458E-3</v>
      </c>
      <c r="E707" s="54">
        <f t="shared" si="11"/>
        <v>8.4167720665950796E-4</v>
      </c>
    </row>
    <row r="708" spans="1:5" x14ac:dyDescent="0.25">
      <c r="A708" s="101">
        <v>44376</v>
      </c>
      <c r="B708">
        <v>200.26750183105469</v>
      </c>
      <c r="C708">
        <v>427.70001220703119</v>
      </c>
      <c r="D708" s="54">
        <f t="shared" si="11"/>
        <v>2.0890453579613943E-3</v>
      </c>
      <c r="E708" s="54">
        <f t="shared" si="11"/>
        <v>5.3807515304282738E-4</v>
      </c>
    </row>
    <row r="709" spans="1:5" x14ac:dyDescent="0.25">
      <c r="A709" s="101">
        <v>44375</v>
      </c>
      <c r="B709">
        <v>199.8500061035156</v>
      </c>
      <c r="C709">
        <v>427.47000122070313</v>
      </c>
      <c r="D709" s="54">
        <f t="shared" si="11"/>
        <v>5.0128782866410093E-2</v>
      </c>
      <c r="E709" s="54">
        <f t="shared" si="11"/>
        <v>2.0159300032134286E-3</v>
      </c>
    </row>
    <row r="710" spans="1:5" x14ac:dyDescent="0.25">
      <c r="A710" s="101">
        <v>44372</v>
      </c>
      <c r="B710">
        <v>190.30999755859381</v>
      </c>
      <c r="C710">
        <v>426.6099853515625</v>
      </c>
      <c r="D710" s="54">
        <f t="shared" si="11"/>
        <v>-9.0859138462139333E-3</v>
      </c>
      <c r="E710" s="54">
        <f t="shared" si="11"/>
        <v>3.5520565193292164E-3</v>
      </c>
    </row>
    <row r="711" spans="1:5" x14ac:dyDescent="0.25">
      <c r="A711" s="101">
        <v>44371</v>
      </c>
      <c r="B711">
        <v>192.05499267578119</v>
      </c>
      <c r="C711">
        <v>425.10000610351563</v>
      </c>
      <c r="D711" s="54">
        <f t="shared" si="11"/>
        <v>7.7791822622761408E-3</v>
      </c>
      <c r="E711" s="54">
        <f t="shared" si="11"/>
        <v>5.9157594980905337E-3</v>
      </c>
    </row>
    <row r="712" spans="1:5" x14ac:dyDescent="0.25">
      <c r="A712" s="101">
        <v>44370</v>
      </c>
      <c r="B712">
        <v>190.57249450683591</v>
      </c>
      <c r="C712">
        <v>422.60000610351563</v>
      </c>
      <c r="D712" s="54">
        <f t="shared" si="11"/>
        <v>9.0275028640403043E-3</v>
      </c>
      <c r="E712" s="54">
        <f t="shared" si="11"/>
        <v>-1.2053113036865071E-3</v>
      </c>
    </row>
    <row r="713" spans="1:5" x14ac:dyDescent="0.25">
      <c r="A713" s="101">
        <v>44369</v>
      </c>
      <c r="B713">
        <v>188.86749267578119</v>
      </c>
      <c r="C713">
        <v>423.1099853515625</v>
      </c>
      <c r="D713" s="54">
        <f t="shared" si="11"/>
        <v>2.4935819476580745E-2</v>
      </c>
      <c r="E713" s="54">
        <f t="shared" si="11"/>
        <v>5.3461960706966405E-3</v>
      </c>
    </row>
    <row r="714" spans="1:5" x14ac:dyDescent="0.25">
      <c r="A714" s="101">
        <v>44368</v>
      </c>
      <c r="B714">
        <v>184.27250671386719</v>
      </c>
      <c r="C714">
        <v>420.8599853515625</v>
      </c>
      <c r="D714" s="54">
        <f t="shared" si="11"/>
        <v>-1.1347275267945212E-2</v>
      </c>
      <c r="E714" s="54">
        <f t="shared" si="11"/>
        <v>1.43159445955785E-2</v>
      </c>
    </row>
    <row r="715" spans="1:5" x14ac:dyDescent="0.25">
      <c r="A715" s="101">
        <v>44365</v>
      </c>
      <c r="B715">
        <v>186.38749694824219</v>
      </c>
      <c r="C715">
        <v>414.92001342773438</v>
      </c>
      <c r="D715" s="54">
        <f t="shared" si="11"/>
        <v>-9.9155858468169544E-4</v>
      </c>
      <c r="E715" s="54">
        <f t="shared" si="11"/>
        <v>-1.670731988666041E-2</v>
      </c>
    </row>
    <row r="716" spans="1:5" x14ac:dyDescent="0.25">
      <c r="A716" s="101">
        <v>44364</v>
      </c>
      <c r="B716">
        <v>186.57249450683591</v>
      </c>
      <c r="C716">
        <v>421.97000122070313</v>
      </c>
      <c r="D716" s="54">
        <f t="shared" si="11"/>
        <v>4.755689302504873E-2</v>
      </c>
      <c r="E716" s="54">
        <f t="shared" si="11"/>
        <v>-3.3162951770204785E-4</v>
      </c>
    </row>
    <row r="717" spans="1:5" x14ac:dyDescent="0.25">
      <c r="A717" s="101">
        <v>44363</v>
      </c>
      <c r="B717">
        <v>178.10249328613281</v>
      </c>
      <c r="C717">
        <v>422.1099853515625</v>
      </c>
      <c r="D717" s="54">
        <f t="shared" si="11"/>
        <v>1.2226932344681085E-3</v>
      </c>
      <c r="E717" s="54">
        <f t="shared" si="11"/>
        <v>-5.5833621688300417E-3</v>
      </c>
    </row>
    <row r="718" spans="1:5" x14ac:dyDescent="0.25">
      <c r="A718" s="101">
        <v>44362</v>
      </c>
      <c r="B718">
        <v>177.88499450683591</v>
      </c>
      <c r="C718">
        <v>424.48001098632813</v>
      </c>
      <c r="D718" s="54">
        <f t="shared" si="11"/>
        <v>-1.2778386365114636E-2</v>
      </c>
      <c r="E718" s="54">
        <f t="shared" si="11"/>
        <v>-1.8341691233246804E-3</v>
      </c>
    </row>
    <row r="719" spans="1:5" x14ac:dyDescent="0.25">
      <c r="A719" s="101">
        <v>44361</v>
      </c>
      <c r="B719">
        <v>180.1875</v>
      </c>
      <c r="C719">
        <v>425.260009765625</v>
      </c>
      <c r="D719" s="54">
        <f t="shared" si="11"/>
        <v>1.0855373877457053E-2</v>
      </c>
      <c r="E719" s="54">
        <f t="shared" si="11"/>
        <v>2.2389578668835508E-3</v>
      </c>
    </row>
    <row r="720" spans="1:5" x14ac:dyDescent="0.25">
      <c r="A720" s="101">
        <v>44358</v>
      </c>
      <c r="B720">
        <v>178.25250244140619</v>
      </c>
      <c r="C720">
        <v>424.30999755859381</v>
      </c>
      <c r="D720" s="54">
        <f t="shared" si="11"/>
        <v>2.2969884886118841E-2</v>
      </c>
      <c r="E720" s="54">
        <f t="shared" si="11"/>
        <v>1.6524922245408913E-3</v>
      </c>
    </row>
    <row r="721" spans="1:5" x14ac:dyDescent="0.25">
      <c r="A721" s="101">
        <v>44357</v>
      </c>
      <c r="B721">
        <v>174.25</v>
      </c>
      <c r="C721">
        <v>423.6099853515625</v>
      </c>
      <c r="D721" s="54">
        <f t="shared" si="11"/>
        <v>3.8454090193984491E-3</v>
      </c>
      <c r="E721" s="54">
        <f t="shared" si="11"/>
        <v>4.6483848771483594E-3</v>
      </c>
    </row>
    <row r="722" spans="1:5" x14ac:dyDescent="0.25">
      <c r="A722" s="101">
        <v>44356</v>
      </c>
      <c r="B722">
        <v>173.58250427246091</v>
      </c>
      <c r="C722">
        <v>421.64999389648438</v>
      </c>
      <c r="D722" s="54">
        <f t="shared" si="11"/>
        <v>-5.6567738461731354E-3</v>
      </c>
      <c r="E722" s="54">
        <f t="shared" si="11"/>
        <v>-1.4919126755557066E-3</v>
      </c>
    </row>
    <row r="723" spans="1:5" x14ac:dyDescent="0.25">
      <c r="A723" s="101">
        <v>44355</v>
      </c>
      <c r="B723">
        <v>174.57000732421881</v>
      </c>
      <c r="C723">
        <v>422.27999877929688</v>
      </c>
      <c r="D723" s="54">
        <f t="shared" si="11"/>
        <v>-9.1945916041753506E-3</v>
      </c>
      <c r="E723" s="54">
        <f t="shared" si="11"/>
        <v>2.131654879800049E-4</v>
      </c>
    </row>
    <row r="724" spans="1:5" x14ac:dyDescent="0.25">
      <c r="A724" s="101">
        <v>44354</v>
      </c>
      <c r="B724">
        <v>176.19000244140619</v>
      </c>
      <c r="C724">
        <v>422.19000244140619</v>
      </c>
      <c r="D724" s="54">
        <f t="shared" si="11"/>
        <v>2.3182126654999191E-3</v>
      </c>
      <c r="E724" s="54">
        <f t="shared" si="11"/>
        <v>-9.701932233503463E-4</v>
      </c>
    </row>
    <row r="725" spans="1:5" x14ac:dyDescent="0.25">
      <c r="A725" s="101">
        <v>44351</v>
      </c>
      <c r="B725">
        <v>175.7825012207031</v>
      </c>
      <c r="C725">
        <v>422.60000610351563</v>
      </c>
      <c r="D725" s="54">
        <f t="shared" si="11"/>
        <v>3.5857964382745022E-2</v>
      </c>
      <c r="E725" s="54">
        <f t="shared" si="11"/>
        <v>9.1458728904250108E-3</v>
      </c>
    </row>
    <row r="726" spans="1:5" x14ac:dyDescent="0.25">
      <c r="A726" s="101">
        <v>44350</v>
      </c>
      <c r="B726">
        <v>169.69749450683591</v>
      </c>
      <c r="C726">
        <v>418.76998901367188</v>
      </c>
      <c r="D726" s="54">
        <f t="shared" si="11"/>
        <v>1.1413545943112391E-2</v>
      </c>
      <c r="E726" s="54">
        <f t="shared" si="11"/>
        <v>-3.7113639483952188E-3</v>
      </c>
    </row>
    <row r="727" spans="1:5" x14ac:dyDescent="0.25">
      <c r="A727" s="101">
        <v>44349</v>
      </c>
      <c r="B727">
        <v>167.7825012207031</v>
      </c>
      <c r="C727">
        <v>420.32998657226563</v>
      </c>
      <c r="D727" s="54">
        <f t="shared" si="11"/>
        <v>3.1587179521578967E-2</v>
      </c>
      <c r="E727" s="54">
        <f t="shared" si="11"/>
        <v>1.5726001939970757E-3</v>
      </c>
    </row>
    <row r="728" spans="1:5" x14ac:dyDescent="0.25">
      <c r="A728" s="101">
        <v>44348</v>
      </c>
      <c r="B728">
        <v>162.64500427246091</v>
      </c>
      <c r="C728">
        <v>419.67001342773438</v>
      </c>
      <c r="D728" s="54">
        <f t="shared" si="11"/>
        <v>1.2311670979394673E-3</v>
      </c>
      <c r="E728" s="54">
        <f t="shared" si="11"/>
        <v>-8.8085684615901716E-4</v>
      </c>
    </row>
    <row r="729" spans="1:5" x14ac:dyDescent="0.25">
      <c r="A729" s="101">
        <v>44344</v>
      </c>
      <c r="B729">
        <v>162.44500732421881</v>
      </c>
      <c r="C729">
        <v>420.04000854492188</v>
      </c>
      <c r="D729" s="54">
        <f t="shared" si="11"/>
        <v>4.8844280752252445E-2</v>
      </c>
      <c r="E729" s="54">
        <f t="shared" si="11"/>
        <v>1.7887380684380449E-3</v>
      </c>
    </row>
    <row r="730" spans="1:5" x14ac:dyDescent="0.25">
      <c r="A730" s="101">
        <v>44343</v>
      </c>
      <c r="B730">
        <v>154.8800048828125</v>
      </c>
      <c r="C730">
        <v>419.29000854492188</v>
      </c>
      <c r="D730" s="54">
        <f t="shared" si="11"/>
        <v>-1.3503153612659191E-2</v>
      </c>
      <c r="E730" s="54">
        <f t="shared" si="11"/>
        <v>5.2497486543545691E-4</v>
      </c>
    </row>
    <row r="731" spans="1:5" x14ac:dyDescent="0.25">
      <c r="A731" s="101">
        <v>44342</v>
      </c>
      <c r="B731">
        <v>157</v>
      </c>
      <c r="C731">
        <v>419.07000732421881</v>
      </c>
      <c r="D731" s="54">
        <f t="shared" si="11"/>
        <v>3.3391812643095431E-3</v>
      </c>
      <c r="E731" s="54">
        <f t="shared" si="11"/>
        <v>1.9845474111135353E-3</v>
      </c>
    </row>
    <row r="732" spans="1:5" x14ac:dyDescent="0.25">
      <c r="A732" s="101">
        <v>44341</v>
      </c>
      <c r="B732">
        <v>156.47749328613281</v>
      </c>
      <c r="C732">
        <v>418.239990234375</v>
      </c>
      <c r="D732" s="54">
        <f t="shared" si="11"/>
        <v>2.2898935442379198E-3</v>
      </c>
      <c r="E732" s="54">
        <f t="shared" si="11"/>
        <v>-2.2187254898178299E-3</v>
      </c>
    </row>
    <row r="733" spans="1:5" x14ac:dyDescent="0.25">
      <c r="A733" s="101">
        <v>44340</v>
      </c>
      <c r="B733">
        <v>156.1199951171875</v>
      </c>
      <c r="C733">
        <v>419.17001342773438</v>
      </c>
      <c r="D733" s="54">
        <f t="shared" si="11"/>
        <v>4.1372752123080225E-2</v>
      </c>
      <c r="E733" s="54">
        <f t="shared" si="11"/>
        <v>1.0194271368004548E-2</v>
      </c>
    </row>
    <row r="734" spans="1:5" x14ac:dyDescent="0.25">
      <c r="A734" s="101">
        <v>44337</v>
      </c>
      <c r="B734">
        <v>149.91749572753909</v>
      </c>
      <c r="C734">
        <v>414.94000244140619</v>
      </c>
      <c r="D734" s="54">
        <f t="shared" si="11"/>
        <v>2.5953777433971537E-2</v>
      </c>
      <c r="E734" s="54">
        <f t="shared" si="11"/>
        <v>-8.187158998509414E-4</v>
      </c>
    </row>
    <row r="735" spans="1:5" x14ac:dyDescent="0.25">
      <c r="A735" s="101">
        <v>44336</v>
      </c>
      <c r="B735">
        <v>146.125</v>
      </c>
      <c r="C735">
        <v>415.27999877929688</v>
      </c>
      <c r="D735" s="54">
        <f t="shared" si="11"/>
        <v>3.8871007460298479E-2</v>
      </c>
      <c r="E735" s="54">
        <f t="shared" si="11"/>
        <v>1.0757955472233016E-2</v>
      </c>
    </row>
    <row r="736" spans="1:5" x14ac:dyDescent="0.25">
      <c r="A736" s="101">
        <v>44335</v>
      </c>
      <c r="B736">
        <v>140.6575012207031</v>
      </c>
      <c r="C736">
        <v>410.8599853515625</v>
      </c>
      <c r="D736" s="54">
        <f t="shared" si="11"/>
        <v>3.5674151982252322E-3</v>
      </c>
      <c r="E736" s="54">
        <f t="shared" si="11"/>
        <v>-2.6217825009536844E-3</v>
      </c>
    </row>
    <row r="737" spans="1:5" x14ac:dyDescent="0.25">
      <c r="A737" s="101">
        <v>44334</v>
      </c>
      <c r="B737">
        <v>140.1575012207031</v>
      </c>
      <c r="C737">
        <v>411.94000244140619</v>
      </c>
      <c r="D737" s="54">
        <f t="shared" si="11"/>
        <v>-1.0571441682244886E-2</v>
      </c>
      <c r="E737" s="54">
        <f t="shared" si="11"/>
        <v>-8.6156783474209409E-3</v>
      </c>
    </row>
    <row r="738" spans="1:5" x14ac:dyDescent="0.25">
      <c r="A738" s="101">
        <v>44333</v>
      </c>
      <c r="B738">
        <v>141.6549987792969</v>
      </c>
      <c r="C738">
        <v>415.51998901367188</v>
      </c>
      <c r="D738" s="54">
        <f t="shared" si="11"/>
        <v>-5.4412268225586535E-3</v>
      </c>
      <c r="E738" s="54">
        <f t="shared" si="11"/>
        <v>-2.5445234835108632E-3</v>
      </c>
    </row>
    <row r="739" spans="1:5" x14ac:dyDescent="0.25">
      <c r="A739" s="101">
        <v>44330</v>
      </c>
      <c r="B739">
        <v>142.42999267578119</v>
      </c>
      <c r="C739">
        <v>416.57998657226563</v>
      </c>
      <c r="D739" s="54">
        <f t="shared" si="11"/>
        <v>4.2278747133934536E-2</v>
      </c>
      <c r="E739" s="54">
        <f t="shared" si="11"/>
        <v>1.5355337359152399E-2</v>
      </c>
    </row>
    <row r="740" spans="1:5" x14ac:dyDescent="0.25">
      <c r="A740" s="101">
        <v>44329</v>
      </c>
      <c r="B740">
        <v>136.6524963378906</v>
      </c>
      <c r="C740">
        <v>410.27999877929688</v>
      </c>
      <c r="D740" s="54">
        <f t="shared" si="11"/>
        <v>-6.7777034594759256E-3</v>
      </c>
      <c r="E740" s="54">
        <f t="shared" si="11"/>
        <v>1.2012518372009451E-2</v>
      </c>
    </row>
    <row r="741" spans="1:5" x14ac:dyDescent="0.25">
      <c r="A741" s="101">
        <v>44328</v>
      </c>
      <c r="B741">
        <v>137.58500671386719</v>
      </c>
      <c r="C741">
        <v>405.41000366210938</v>
      </c>
      <c r="D741" s="54">
        <f t="shared" si="11"/>
        <v>-3.8287414844091261E-2</v>
      </c>
      <c r="E741" s="54">
        <f t="shared" si="11"/>
        <v>-2.1245233032779476E-2</v>
      </c>
    </row>
    <row r="742" spans="1:5" x14ac:dyDescent="0.25">
      <c r="A742" s="101">
        <v>44327</v>
      </c>
      <c r="B742">
        <v>143.0625</v>
      </c>
      <c r="C742">
        <v>414.20999145507813</v>
      </c>
      <c r="D742" s="54">
        <f t="shared" si="11"/>
        <v>2.8389588758486184E-3</v>
      </c>
      <c r="E742" s="54">
        <f t="shared" si="11"/>
        <v>-8.9247522719507755E-3</v>
      </c>
    </row>
    <row r="743" spans="1:5" x14ac:dyDescent="0.25">
      <c r="A743" s="101">
        <v>44326</v>
      </c>
      <c r="B743">
        <v>142.6575012207031</v>
      </c>
      <c r="C743">
        <v>417.94000244140619</v>
      </c>
      <c r="D743" s="54">
        <f t="shared" si="11"/>
        <v>-3.6895113355274622E-2</v>
      </c>
      <c r="E743" s="54">
        <f t="shared" si="11"/>
        <v>-9.9023801860437244E-3</v>
      </c>
    </row>
    <row r="744" spans="1:5" x14ac:dyDescent="0.25">
      <c r="A744" s="101">
        <v>44323</v>
      </c>
      <c r="B744">
        <v>148.12249755859381</v>
      </c>
      <c r="C744">
        <v>422.1199951171875</v>
      </c>
      <c r="D744" s="54">
        <f t="shared" si="11"/>
        <v>1.9916697074626732E-2</v>
      </c>
      <c r="E744" s="54">
        <f t="shared" si="11"/>
        <v>7.2779911223974647E-3</v>
      </c>
    </row>
    <row r="745" spans="1:5" x14ac:dyDescent="0.25">
      <c r="A745" s="101">
        <v>44322</v>
      </c>
      <c r="B745">
        <v>145.22999572753909</v>
      </c>
      <c r="C745">
        <v>419.07000732421881</v>
      </c>
      <c r="D745" s="54">
        <f t="shared" si="11"/>
        <v>4.4609674843278935E-3</v>
      </c>
      <c r="E745" s="54">
        <f t="shared" si="11"/>
        <v>7.9855858670325741E-3</v>
      </c>
    </row>
    <row r="746" spans="1:5" x14ac:dyDescent="0.25">
      <c r="A746" s="101">
        <v>44321</v>
      </c>
      <c r="B746">
        <v>144.58500671386719</v>
      </c>
      <c r="C746">
        <v>415.75</v>
      </c>
      <c r="D746" s="54">
        <f t="shared" si="11"/>
        <v>7.4732848248875161E-3</v>
      </c>
      <c r="E746" s="54">
        <f t="shared" si="11"/>
        <v>3.1279746965928723E-4</v>
      </c>
    </row>
    <row r="747" spans="1:5" x14ac:dyDescent="0.25">
      <c r="A747" s="101">
        <v>44320</v>
      </c>
      <c r="B747">
        <v>143.51249694824219</v>
      </c>
      <c r="C747">
        <v>415.6199951171875</v>
      </c>
      <c r="D747" s="54">
        <f t="shared" si="11"/>
        <v>-3.2722772623436702E-2</v>
      </c>
      <c r="E747" s="54">
        <f t="shared" si="11"/>
        <v>-6.1693376722486981E-3</v>
      </c>
    </row>
    <row r="748" spans="1:5" x14ac:dyDescent="0.25">
      <c r="A748" s="101">
        <v>44319</v>
      </c>
      <c r="B748">
        <v>148.36749267578119</v>
      </c>
      <c r="C748">
        <v>418.20001220703119</v>
      </c>
      <c r="D748" s="54">
        <f t="shared" si="11"/>
        <v>-1.1509434230802529E-2</v>
      </c>
      <c r="E748" s="54">
        <f t="shared" si="11"/>
        <v>2.1567803508033556E-3</v>
      </c>
    </row>
    <row r="749" spans="1:5" x14ac:dyDescent="0.25">
      <c r="A749" s="101">
        <v>44316</v>
      </c>
      <c r="B749">
        <v>150.0950012207031</v>
      </c>
      <c r="C749">
        <v>417.29998779296881</v>
      </c>
      <c r="D749" s="54">
        <f t="shared" si="11"/>
        <v>-2.0571274494615266E-2</v>
      </c>
      <c r="E749" s="54">
        <f t="shared" si="11"/>
        <v>-6.570513216365037E-3</v>
      </c>
    </row>
    <row r="750" spans="1:5" x14ac:dyDescent="0.25">
      <c r="A750" s="101">
        <v>44315</v>
      </c>
      <c r="B750">
        <v>153.24749755859381</v>
      </c>
      <c r="C750">
        <v>420.05999755859381</v>
      </c>
      <c r="D750" s="54">
        <f t="shared" si="11"/>
        <v>3.1420015499759035E-3</v>
      </c>
      <c r="E750" s="54">
        <f t="shared" si="11"/>
        <v>6.3727927671439755E-3</v>
      </c>
    </row>
    <row r="751" spans="1:5" x14ac:dyDescent="0.25">
      <c r="A751" s="101">
        <v>44314</v>
      </c>
      <c r="B751">
        <v>152.76750183105469</v>
      </c>
      <c r="C751">
        <v>417.39999389648438</v>
      </c>
      <c r="D751" s="54">
        <f t="shared" si="11"/>
        <v>-6.8262910164728074E-3</v>
      </c>
      <c r="E751" s="54">
        <f t="shared" si="11"/>
        <v>-2.8739969425406464E-4</v>
      </c>
    </row>
    <row r="752" spans="1:5" x14ac:dyDescent="0.25">
      <c r="A752" s="101">
        <v>44313</v>
      </c>
      <c r="B752">
        <v>153.8175048828125</v>
      </c>
      <c r="C752">
        <v>417.51998901367188</v>
      </c>
      <c r="D752" s="54">
        <f t="shared" si="11"/>
        <v>-6.2184642981993887E-3</v>
      </c>
      <c r="E752" s="54">
        <f t="shared" si="11"/>
        <v>-2.1550331899955477E-4</v>
      </c>
    </row>
    <row r="753" spans="1:5" x14ac:dyDescent="0.25">
      <c r="A753" s="101">
        <v>44312</v>
      </c>
      <c r="B753">
        <v>154.7799987792969</v>
      </c>
      <c r="C753">
        <v>417.6099853515625</v>
      </c>
      <c r="D753" s="54">
        <f t="shared" si="11"/>
        <v>1.3936899116914203E-2</v>
      </c>
      <c r="E753" s="54">
        <f t="shared" si="11"/>
        <v>2.0876209088986908E-3</v>
      </c>
    </row>
    <row r="754" spans="1:5" x14ac:dyDescent="0.25">
      <c r="A754" s="101">
        <v>44309</v>
      </c>
      <c r="B754">
        <v>152.6524963378906</v>
      </c>
      <c r="C754">
        <v>416.739990234375</v>
      </c>
      <c r="D754" s="54">
        <f t="shared" si="11"/>
        <v>2.7945615920659916E-2</v>
      </c>
      <c r="E754" s="54">
        <f t="shared" si="11"/>
        <v>1.0842412350696051E-2</v>
      </c>
    </row>
    <row r="755" spans="1:5" x14ac:dyDescent="0.25">
      <c r="A755" s="101">
        <v>44308</v>
      </c>
      <c r="B755">
        <v>148.50250244140619</v>
      </c>
      <c r="C755">
        <v>412.26998901367188</v>
      </c>
      <c r="D755" s="54">
        <f t="shared" si="11"/>
        <v>-3.3218276931458512E-2</v>
      </c>
      <c r="E755" s="54">
        <f t="shared" si="11"/>
        <v>-9.1331224160692281E-3</v>
      </c>
    </row>
    <row r="756" spans="1:5" x14ac:dyDescent="0.25">
      <c r="A756" s="101">
        <v>44307</v>
      </c>
      <c r="B756">
        <v>153.60499572753909</v>
      </c>
      <c r="C756">
        <v>416.07000732421881</v>
      </c>
    </row>
  </sheetData>
  <autoFilter ref="A1:C756" xr:uid="{9ADD7AD2-5C06-477E-B1AA-D93266B58C3D}">
    <sortState xmlns:xlrd2="http://schemas.microsoft.com/office/spreadsheetml/2017/richdata2" ref="A2:C756">
      <sortCondition descending="1" ref="A1:A75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DCF</vt:lpstr>
      <vt:lpstr>Financial Statement</vt:lpstr>
      <vt:lpstr>Debt Schedule</vt:lpstr>
      <vt:lpstr>Reference</vt:lpstr>
      <vt:lpstr>df</vt:lpstr>
      <vt:lpstr>AV</vt:lpstr>
      <vt:lpstr>DCAI</vt:lpstr>
      <vt:lpstr>forecastSALES</vt:lpstr>
      <vt:lpstr>FORTax</vt:lpstr>
      <vt:lpstr>FX</vt:lpstr>
      <vt:lpstr>GFX</vt:lpstr>
      <vt:lpstr>GPUprices</vt:lpstr>
      <vt:lpstr>GROSS</vt:lpstr>
      <vt:lpstr>historicalREV</vt:lpstr>
      <vt:lpstr>OEMO</vt:lpstr>
      <vt:lpstr>RD</vt:lpstr>
      <vt:lpstr>Revenue</vt:lpstr>
      <vt:lpstr>sensitivityTEV</vt:lpstr>
      <vt:lpstr>sensitivityTV</vt:lpstr>
      <vt:lpstr>SGA</vt:lpstr>
      <vt:lpstr>USTax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Viet Quang</dc:creator>
  <cp:lastModifiedBy>Minh Nguyen Viet Quang</cp:lastModifiedBy>
  <dcterms:created xsi:type="dcterms:W3CDTF">2015-06-05T18:17:20Z</dcterms:created>
  <dcterms:modified xsi:type="dcterms:W3CDTF">2024-05-31T20:24:20Z</dcterms:modified>
</cp:coreProperties>
</file>