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23DB25D6-4995-4502-A832-7E44620B8771}" xr6:coauthVersionLast="47" xr6:coauthVersionMax="47" xr10:uidLastSave="{00000000-0000-0000-0000-000000000000}"/>
  <bookViews>
    <workbookView xWindow="28800" yWindow="0" windowWidth="28800" windowHeight="15600" xr2:uid="{4F253F1D-C666-48CD-B068-2F5E046DEF10}"/>
  </bookViews>
  <sheets>
    <sheet name="DCF" sheetId="7" r:id="rId1"/>
    <sheet name="Financial Statement" sheetId="6" r:id="rId2"/>
    <sheet name="df" sheetId="8" r:id="rId3"/>
  </sheets>
  <definedNames>
    <definedName name="_xlnm._FilterDatabase" localSheetId="2" hidden="1">df!$A$2:$A$153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F10" i="7" a="1"/>
  <c r="F10" i="7" s="1"/>
  <c r="G23" i="7"/>
  <c r="H23" i="7" s="1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F23" i="7"/>
  <c r="E20" i="7"/>
  <c r="E66" i="6"/>
  <c r="D66" i="6"/>
  <c r="E19" i="7"/>
  <c r="D19" i="7"/>
  <c r="C19" i="7"/>
  <c r="E18" i="7"/>
  <c r="D18" i="7"/>
  <c r="C18" i="7"/>
  <c r="C32" i="7"/>
  <c r="C33" i="7" s="1"/>
  <c r="D34" i="7" s="1"/>
  <c r="C30" i="7"/>
  <c r="C37" i="7" s="1"/>
  <c r="D3" i="8"/>
  <c r="E14" i="7"/>
  <c r="D14" i="7"/>
  <c r="C14" i="7"/>
  <c r="E13" i="7"/>
  <c r="D13" i="7"/>
  <c r="C13" i="7"/>
  <c r="E12" i="7"/>
  <c r="D12" i="7"/>
  <c r="C12" i="7"/>
  <c r="E15" i="7"/>
  <c r="D15" i="7"/>
  <c r="C15" i="7"/>
  <c r="E9" i="7"/>
  <c r="D9" i="7"/>
  <c r="C9" i="7"/>
  <c r="E8" i="7"/>
  <c r="D8" i="7"/>
  <c r="C8" i="7"/>
  <c r="E7" i="7"/>
  <c r="D7" i="7"/>
  <c r="C7" i="7"/>
  <c r="E6" i="7"/>
  <c r="D6" i="7"/>
  <c r="C6" i="7"/>
  <c r="B9" i="7"/>
  <c r="B8" i="7"/>
  <c r="B7" i="7"/>
  <c r="B6" i="7"/>
  <c r="E10" i="7"/>
  <c r="D10" i="7"/>
  <c r="C10" i="7"/>
  <c r="E4" i="7"/>
  <c r="D4" i="7"/>
  <c r="C4" i="7"/>
  <c r="F4" i="7" l="1" a="1"/>
  <c r="F4" i="7" s="1"/>
  <c r="F7" i="7" a="1"/>
  <c r="F7" i="7" s="1"/>
  <c r="F8" i="7" a="1"/>
  <c r="F8" i="7" s="1"/>
  <c r="F6" i="7" a="1"/>
  <c r="F6" i="7" s="1"/>
  <c r="F9" i="7" a="1"/>
  <c r="F9" i="7" s="1"/>
  <c r="C39" i="7" a="1"/>
  <c r="C39" i="7" s="1"/>
  <c r="D33" i="7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3" i="7"/>
  <c r="E5" i="7" s="1"/>
  <c r="E11" i="7" s="1"/>
  <c r="E16" i="7" s="1"/>
  <c r="E22" i="7" s="1"/>
  <c r="E24" i="7" s="1"/>
  <c r="D3" i="7"/>
  <c r="D5" i="7" s="1"/>
  <c r="D11" i="7" s="1"/>
  <c r="D16" i="7" s="1"/>
  <c r="C3" i="7"/>
  <c r="C5" i="7" s="1"/>
  <c r="C11" i="7" s="1"/>
  <c r="C16" i="7" s="1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D11" i="6"/>
  <c r="E11" i="6" s="1"/>
  <c r="J19" i="7" l="1" a="1"/>
  <c r="J19" i="7" s="1"/>
  <c r="H19" i="7" a="1"/>
  <c r="H19" i="7" s="1"/>
  <c r="I19" i="7" a="1"/>
  <c r="I19" i="7" s="1"/>
  <c r="G19" i="7" a="1"/>
  <c r="G19" i="7" s="1"/>
  <c r="S19" i="7" a="1"/>
  <c r="S19" i="7" s="1"/>
  <c r="F19" i="7" a="1"/>
  <c r="F19" i="7" s="1"/>
  <c r="R19" i="7" a="1"/>
  <c r="R19" i="7" s="1"/>
  <c r="Q19" i="7" a="1"/>
  <c r="Q19" i="7" s="1"/>
  <c r="F18" i="7" a="1"/>
  <c r="F18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G4" i="7" a="1"/>
  <c r="G4" i="7" s="1"/>
  <c r="G5" i="7" s="1"/>
  <c r="H8" i="7" a="1"/>
  <c r="H8" i="7" s="1"/>
  <c r="H6" i="7" a="1"/>
  <c r="H6" i="7" s="1"/>
  <c r="H18" i="7" s="1" a="1"/>
  <c r="H18" i="7" s="1"/>
  <c r="H7" i="7" a="1"/>
  <c r="H7" i="7" s="1"/>
  <c r="H10" i="7" a="1"/>
  <c r="H10" i="7" s="1"/>
  <c r="H9" i="7" a="1"/>
  <c r="H9" i="7" s="1"/>
  <c r="F5" i="7"/>
  <c r="F11" i="7" s="1"/>
  <c r="G9" i="7" a="1"/>
  <c r="G9" i="7" s="1"/>
  <c r="G8" i="7" a="1"/>
  <c r="G8" i="7" s="1"/>
  <c r="G6" i="7" a="1"/>
  <c r="G6" i="7" s="1"/>
  <c r="G18" i="7" s="1" a="1"/>
  <c r="G18" i="7" s="1"/>
  <c r="G7" i="7" a="1"/>
  <c r="G7" i="7" s="1"/>
  <c r="G10" i="7" a="1"/>
  <c r="G10" i="7" s="1"/>
  <c r="C41" i="7"/>
  <c r="H4" i="7" l="1" a="1"/>
  <c r="H4" i="7" s="1"/>
  <c r="H5" i="7" s="1"/>
  <c r="H11" i="7" s="1"/>
  <c r="H15" i="7" s="1"/>
  <c r="H16" i="7" s="1"/>
  <c r="H22" i="7" s="1"/>
  <c r="H24" i="7" s="1"/>
  <c r="G11" i="7"/>
  <c r="F15" i="7"/>
  <c r="F16" i="7" s="1"/>
  <c r="I8" i="7" a="1"/>
  <c r="I8" i="7" s="1"/>
  <c r="I6" i="7" a="1"/>
  <c r="I6" i="7" s="1"/>
  <c r="I18" i="7" s="1" a="1"/>
  <c r="I18" i="7" s="1"/>
  <c r="I7" i="7" a="1"/>
  <c r="I7" i="7" s="1"/>
  <c r="I9" i="7" a="1"/>
  <c r="I9" i="7" s="1"/>
  <c r="I10" i="7" a="1"/>
  <c r="I10" i="7" s="1"/>
  <c r="F22" i="7" l="1"/>
  <c r="F24" i="7" s="1"/>
  <c r="G15" i="7"/>
  <c r="G16" i="7" s="1"/>
  <c r="G22" i="7" s="1"/>
  <c r="G24" i="7" s="1"/>
  <c r="I4" i="7" a="1"/>
  <c r="I4" i="7" s="1"/>
  <c r="I5" i="7" s="1"/>
  <c r="I11" i="7" s="1"/>
  <c r="I15" i="7" s="1"/>
  <c r="I16" i="7" s="1"/>
  <c r="I22" i="7" s="1"/>
  <c r="I24" i="7" s="1"/>
  <c r="J9" i="7" a="1"/>
  <c r="J9" i="7" s="1"/>
  <c r="J7" i="7" a="1"/>
  <c r="J7" i="7" s="1"/>
  <c r="J6" i="7" a="1"/>
  <c r="J6" i="7" s="1"/>
  <c r="J18" i="7" s="1" a="1"/>
  <c r="J18" i="7" s="1"/>
  <c r="J8" i="7" a="1"/>
  <c r="J8" i="7" s="1"/>
  <c r="J10" i="7" a="1"/>
  <c r="J10" i="7" s="1"/>
  <c r="J4" i="7" l="1" a="1"/>
  <c r="J4" i="7" s="1"/>
  <c r="J5" i="7" s="1"/>
  <c r="J11" i="7" s="1"/>
  <c r="K8" i="7" a="1"/>
  <c r="K8" i="7" s="1"/>
  <c r="K7" i="7" a="1"/>
  <c r="K7" i="7" s="1"/>
  <c r="K10" i="7" a="1"/>
  <c r="K10" i="7" s="1"/>
  <c r="K9" i="7" a="1"/>
  <c r="K9" i="7" s="1"/>
  <c r="K6" i="7" a="1"/>
  <c r="K6" i="7" s="1"/>
  <c r="K18" i="7" s="1" a="1"/>
  <c r="K18" i="7" s="1"/>
  <c r="K4" i="7" l="1" a="1"/>
  <c r="K4" i="7" s="1"/>
  <c r="L4" i="7" s="1" a="1"/>
  <c r="L4" i="7" s="1"/>
  <c r="L5" i="7" s="1"/>
  <c r="L6" i="7" a="1"/>
  <c r="L6" i="7" s="1"/>
  <c r="L18" i="7" s="1" a="1"/>
  <c r="L18" i="7" s="1"/>
  <c r="L10" i="7" a="1"/>
  <c r="L10" i="7" s="1"/>
  <c r="L9" i="7" a="1"/>
  <c r="L9" i="7" s="1"/>
  <c r="L8" i="7" a="1"/>
  <c r="L8" i="7" s="1"/>
  <c r="L7" i="7" a="1"/>
  <c r="L7" i="7" s="1"/>
  <c r="J15" i="7"/>
  <c r="J16" i="7" s="1"/>
  <c r="J22" i="7" s="1"/>
  <c r="J24" i="7" s="1"/>
  <c r="K5" i="7" l="1"/>
  <c r="K11" i="7" s="1"/>
  <c r="K15" i="7" s="1"/>
  <c r="K16" i="7" s="1"/>
  <c r="K22" i="7" s="1"/>
  <c r="K24" i="7" s="1"/>
  <c r="L11" i="7"/>
  <c r="M8" i="7" a="1"/>
  <c r="M8" i="7" s="1"/>
  <c r="M9" i="7" a="1"/>
  <c r="M9" i="7" s="1"/>
  <c r="M10" i="7" a="1"/>
  <c r="M10" i="7" s="1"/>
  <c r="M7" i="7" a="1"/>
  <c r="M7" i="7" s="1"/>
  <c r="M6" i="7" a="1"/>
  <c r="M6" i="7" s="1"/>
  <c r="M18" i="7" s="1" a="1"/>
  <c r="M18" i="7" s="1"/>
  <c r="M4" i="7" a="1"/>
  <c r="M4" i="7" s="1"/>
  <c r="N4" i="7" l="1" a="1"/>
  <c r="N4" i="7" s="1"/>
  <c r="N5" i="7" s="1"/>
  <c r="M5" i="7"/>
  <c r="M11" i="7" s="1"/>
  <c r="M15" i="7" s="1"/>
  <c r="M16" i="7" s="1"/>
  <c r="M22" i="7" s="1"/>
  <c r="M24" i="7" s="1"/>
  <c r="N8" i="7" a="1"/>
  <c r="N8" i="7" s="1"/>
  <c r="N7" i="7" a="1"/>
  <c r="N7" i="7" s="1"/>
  <c r="N10" i="7" a="1"/>
  <c r="N10" i="7" s="1"/>
  <c r="N6" i="7" a="1"/>
  <c r="N6" i="7" s="1"/>
  <c r="N18" i="7" s="1" a="1"/>
  <c r="N18" i="7" s="1"/>
  <c r="N9" i="7" a="1"/>
  <c r="N9" i="7" s="1"/>
  <c r="L15" i="7"/>
  <c r="L16" i="7" s="1"/>
  <c r="L22" i="7" s="1"/>
  <c r="L24" i="7" s="1"/>
  <c r="N11" i="7" l="1"/>
  <c r="N15" i="7" s="1"/>
  <c r="N16" i="7" s="1"/>
  <c r="N22" i="7" s="1"/>
  <c r="N24" i="7" s="1"/>
  <c r="O10" i="7" a="1"/>
  <c r="O10" i="7" s="1"/>
  <c r="O6" i="7" a="1"/>
  <c r="O6" i="7" s="1"/>
  <c r="O18" i="7" s="1" a="1"/>
  <c r="O18" i="7" s="1"/>
  <c r="O9" i="7" a="1"/>
  <c r="O9" i="7" s="1"/>
  <c r="O8" i="7" a="1"/>
  <c r="O8" i="7" s="1"/>
  <c r="O7" i="7" a="1"/>
  <c r="O7" i="7" s="1"/>
  <c r="O4" i="7" a="1"/>
  <c r="O4" i="7" s="1"/>
  <c r="P4" i="7" l="1" a="1"/>
  <c r="P4" i="7" s="1"/>
  <c r="P5" i="7" s="1"/>
  <c r="O5" i="7"/>
  <c r="O11" i="7" s="1"/>
  <c r="P10" i="7" a="1"/>
  <c r="P10" i="7" s="1"/>
  <c r="P9" i="7" a="1"/>
  <c r="P9" i="7" s="1"/>
  <c r="P7" i="7" a="1"/>
  <c r="P7" i="7" s="1"/>
  <c r="P8" i="7" a="1"/>
  <c r="P8" i="7" s="1"/>
  <c r="P6" i="7" a="1"/>
  <c r="P6" i="7" s="1"/>
  <c r="P18" i="7" s="1" a="1"/>
  <c r="P18" i="7" s="1"/>
  <c r="P11" i="7" l="1"/>
  <c r="P15" i="7" s="1"/>
  <c r="P16" i="7" s="1"/>
  <c r="P22" i="7" s="1"/>
  <c r="P24" i="7" s="1"/>
  <c r="O15" i="7"/>
  <c r="O16" i="7" s="1"/>
  <c r="O22" i="7" s="1"/>
  <c r="O24" i="7" s="1"/>
  <c r="Q10" i="7" a="1"/>
  <c r="Q10" i="7" s="1"/>
  <c r="Q9" i="7" a="1"/>
  <c r="Q9" i="7" s="1"/>
  <c r="Q8" i="7" a="1"/>
  <c r="Q8" i="7" s="1"/>
  <c r="Q7" i="7" a="1"/>
  <c r="Q7" i="7" s="1"/>
  <c r="Q6" i="7" a="1"/>
  <c r="Q6" i="7" s="1"/>
  <c r="Q18" i="7" s="1" a="1"/>
  <c r="Q18" i="7" s="1"/>
  <c r="Q4" i="7" a="1"/>
  <c r="Q4" i="7" s="1"/>
  <c r="R10" i="7" l="1" a="1"/>
  <c r="R10" i="7" s="1"/>
  <c r="R9" i="7" a="1"/>
  <c r="R9" i="7" s="1"/>
  <c r="R8" i="7" a="1"/>
  <c r="R8" i="7" s="1"/>
  <c r="R7" i="7" a="1"/>
  <c r="R7" i="7" s="1"/>
  <c r="R6" i="7" a="1"/>
  <c r="R6" i="7" s="1"/>
  <c r="R18" i="7" s="1" a="1"/>
  <c r="R18" i="7" s="1"/>
  <c r="R4" i="7" a="1"/>
  <c r="R4" i="7" s="1"/>
  <c r="Q5" i="7"/>
  <c r="Q11" i="7" s="1"/>
  <c r="S4" i="7" l="1" a="1"/>
  <c r="S4" i="7" s="1"/>
  <c r="S5" i="7" s="1"/>
  <c r="Q15" i="7"/>
  <c r="Q16" i="7" s="1"/>
  <c r="Q22" i="7" s="1"/>
  <c r="Q24" i="7" s="1"/>
  <c r="S9" i="7" a="1"/>
  <c r="S9" i="7" s="1"/>
  <c r="S8" i="7" a="1"/>
  <c r="S8" i="7" s="1"/>
  <c r="S7" i="7" a="1"/>
  <c r="S7" i="7" s="1"/>
  <c r="S6" i="7" a="1"/>
  <c r="S6" i="7" s="1"/>
  <c r="S18" i="7" s="1" a="1"/>
  <c r="S18" i="7" s="1"/>
  <c r="S10" i="7" a="1"/>
  <c r="S10" i="7" s="1"/>
  <c r="R5" i="7"/>
  <c r="R11" i="7" s="1"/>
  <c r="R15" i="7" l="1"/>
  <c r="R16" i="7" s="1"/>
  <c r="R22" i="7" s="1"/>
  <c r="R24" i="7" s="1"/>
  <c r="S11" i="7"/>
  <c r="S15" i="7" l="1"/>
  <c r="S16" i="7" s="1"/>
  <c r="S22" i="7" s="1"/>
  <c r="C44" i="7" s="1"/>
  <c r="S24" i="7" l="1"/>
  <c r="S25" i="7" s="1"/>
  <c r="C45" i="7" l="1"/>
  <c r="C47" i="7" s="1"/>
  <c r="C4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<sst xmlns="http://schemas.openxmlformats.org/spreadsheetml/2006/main" count="294" uniqueCount="186">
  <si>
    <t>Revenue from external customers</t>
  </si>
  <si>
    <t>Revenue from related parties</t>
  </si>
  <si>
    <t>Gross profit</t>
  </si>
  <si>
    <t>Cost of sales</t>
  </si>
  <si>
    <t>Total operating expense</t>
  </si>
  <si>
    <t>Operating income (loss)</t>
  </si>
  <si>
    <t>Income (loss) from equity investments, net</t>
  </si>
  <si>
    <t>Interest income, net</t>
  </si>
  <si>
    <t>Other non-operating income (loss), net</t>
  </si>
  <si>
    <t>Net income (loss)</t>
  </si>
  <si>
    <t>Short-term investments</t>
  </si>
  <si>
    <t>Accounts receivable, net</t>
  </si>
  <si>
    <t>Contract assets</t>
  </si>
  <si>
    <t>Total current assets</t>
  </si>
  <si>
    <t>Operating lease right of use assets</t>
  </si>
  <si>
    <t>Equity investments</t>
  </si>
  <si>
    <t>Goodwill</t>
  </si>
  <si>
    <t>Intangible assets, net</t>
  </si>
  <si>
    <t>Deferred tax assets</t>
  </si>
  <si>
    <t>Non-current portion of contract assets</t>
  </si>
  <si>
    <t>Other non-current assets</t>
  </si>
  <si>
    <t>Total non-current assets</t>
  </si>
  <si>
    <t>Total assets</t>
  </si>
  <si>
    <t>Tax liabilities</t>
  </si>
  <si>
    <t>Contract liabilities</t>
  </si>
  <si>
    <t>Operating lease liabilities</t>
  </si>
  <si>
    <t>Other current liabilities</t>
  </si>
  <si>
    <t>Deferred tax liabilities</t>
  </si>
  <si>
    <t>Non-current portion of contract liabilities</t>
  </si>
  <si>
    <t>Non-current portion of operating lease liabilities</t>
  </si>
  <si>
    <t>Other non-current liabilities</t>
  </si>
  <si>
    <t>Total non-current liabilities</t>
  </si>
  <si>
    <t>Total liabilities</t>
  </si>
  <si>
    <t>Ordinary shares</t>
  </si>
  <si>
    <t>Additional paid-in capital</t>
  </si>
  <si>
    <t>x</t>
  </si>
  <si>
    <t>Deferred income taxes</t>
  </si>
  <si>
    <t>Share-based compensation cost</t>
  </si>
  <si>
    <t>Operating lease expense</t>
  </si>
  <si>
    <t>Other non-cash operating activities, net</t>
  </si>
  <si>
    <t>Accounts receivable, net (including receivables from related parties)</t>
  </si>
  <si>
    <t>Other liabilities (including payables to related parties)</t>
  </si>
  <si>
    <t>Contract liabilities (including contract liabilities from related parties)</t>
  </si>
  <si>
    <t>Purchase of short-term investments</t>
  </si>
  <si>
    <t>Proceeds from maturity of short-term investments</t>
  </si>
  <si>
    <t>Payment of intangible asset obligations</t>
  </si>
  <si>
    <t>Other financing activities, net</t>
  </si>
  <si>
    <t>Total shareholders equity</t>
  </si>
  <si>
    <t>Retained earnings (deficit)</t>
  </si>
  <si>
    <t>Accumulated other comprehensive income (loss)</t>
  </si>
  <si>
    <t>Non-current portion of accrued compensation &amp; share-based compensation</t>
  </si>
  <si>
    <t>Total current liabilities</t>
  </si>
  <si>
    <t>-</t>
  </si>
  <si>
    <t>Restructuring liabilities</t>
  </si>
  <si>
    <t>Payables to related parties</t>
  </si>
  <si>
    <t>Accounts payable</t>
  </si>
  <si>
    <t>Vendor accruals</t>
  </si>
  <si>
    <t>Accrued compensation &amp; benefits</t>
  </si>
  <si>
    <t>Property &amp; equipment, net</t>
  </si>
  <si>
    <t>Less: accumulated depreciation</t>
  </si>
  <si>
    <t>Total property &amp; equipment, gross</t>
  </si>
  <si>
    <t>Fixtures, fittings &amp; motor vehicles</t>
  </si>
  <si>
    <t>Equipment</t>
  </si>
  <si>
    <t>Leasehold improvements</t>
  </si>
  <si>
    <t>Buildings</t>
  </si>
  <si>
    <t>Prepaid expenses &amp; other current assets</t>
  </si>
  <si>
    <t>Less: allowance for current expected credit losses</t>
  </si>
  <si>
    <t>Total gross receivables</t>
  </si>
  <si>
    <t>Royalty receivables</t>
  </si>
  <si>
    <t>Trade receivables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</si>
  <si>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</si>
  <si>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</si>
  <si>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</si>
  <si>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</si>
  <si>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</si>
  <si>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</si>
  <si>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</si>
  <si>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</si>
  <si>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</si>
  <si>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03/31/2022</t>
  </si>
  <si>
    <t>03/31/2023</t>
  </si>
  <si>
    <t>Report Date</t>
  </si>
  <si>
    <t>Cash payments for interest</t>
  </si>
  <si>
    <t>Cash payments for income taxes</t>
  </si>
  <si>
    <t>Cash &amp; cash equivalents from continuing operations, end of the year</t>
  </si>
  <si>
    <t>Less cash from discontinued operations, end of the year</t>
  </si>
  <si>
    <t>Cash &amp; cash equivalents at the end of the year</t>
  </si>
  <si>
    <t>Cash &amp; cash equivalents at the beginning of the year</t>
  </si>
  <si>
    <t>Net increase (decrease) in cash &amp; cash equivalents</t>
  </si>
  <si>
    <t>Effect of foreign exchange rate changes on cash &amp; cash equivalents</t>
  </si>
  <si>
    <t>Net cash flows from financing activities</t>
  </si>
  <si>
    <t>Proceeds from short-term debt borrowing</t>
  </si>
  <si>
    <t>Cash transfers associated with distribution &amp; sale of Treasure Data &amp; IoTP, respectively</t>
  </si>
  <si>
    <t>Cash dividends declared &amp; paid to shareholders</t>
  </si>
  <si>
    <t>Net cash flows from investing activities</t>
  </si>
  <si>
    <t>Investments in convertible loans &amp; other investing activities</t>
  </si>
  <si>
    <t>Purchase of property &amp; equipment</t>
  </si>
  <si>
    <t>Purchases of intangible assets</t>
  </si>
  <si>
    <t>Purchases of equity investments</t>
  </si>
  <si>
    <t>Net cash flows from operating activities</t>
  </si>
  <si>
    <t>Prepaid expenses &amp; other assets</t>
  </si>
  <si>
    <t>Impairment losses on long-lived assets and loans receivable</t>
  </si>
  <si>
    <t>Loss (income) from equity investments, net</t>
  </si>
  <si>
    <t>Depreciation &amp; amortization</t>
  </si>
  <si>
    <t>03/31/2021</t>
  </si>
  <si>
    <t>Retained earnings (accumulated deficit)</t>
  </si>
  <si>
    <t>Distribution to ordinary shareholders related to Treasure Data &amp; Arm China</t>
  </si>
  <si>
    <t>Cash dividends</t>
  </si>
  <si>
    <t>Previous retained earnings (accumulated deficit)</t>
  </si>
  <si>
    <t>Total number of employees</t>
  </si>
  <si>
    <t>Year end shares outstanding</t>
  </si>
  <si>
    <t>Net income (loss) from discontinued operations</t>
  </si>
  <si>
    <t>Income tax benefit (expense) from discontinued operations</t>
  </si>
  <si>
    <t>Income (loss) from discontinued operations before income taxes</t>
  </si>
  <si>
    <t>Net income (loss) from continuing operations</t>
  </si>
  <si>
    <t>Income tax expense (benefit)</t>
  </si>
  <si>
    <t>Total deferred income taxes expense (benefit)</t>
  </si>
  <si>
    <t>Deferred income taxes expense (benefit) - Foreign</t>
  </si>
  <si>
    <t>Deferred income taxes expense (benefit) - United Kingdom</t>
  </si>
  <si>
    <t>Total current income taxes expense (benefit)</t>
  </si>
  <si>
    <t>Current income taxes expense (benefit) - Foreign</t>
  </si>
  <si>
    <t>Current income taxes expense (benefit) - United Kingdom</t>
  </si>
  <si>
    <t>Income (loss) from continuing operations before income taxes</t>
  </si>
  <si>
    <t>Income (loss) from continuing operations before income taxes - Foreign</t>
  </si>
  <si>
    <t>Income (loss) from continuing operations before income taxes - United Kingdom</t>
  </si>
  <si>
    <t>Disposal, restructuring &amp; other operating expenses, net</t>
  </si>
  <si>
    <t>Impairment of long-lived assets</t>
  </si>
  <si>
    <t>Selling, general &amp; administrative expenses</t>
  </si>
  <si>
    <t>Research &amp; development expenses</t>
  </si>
  <si>
    <t>Revenue</t>
  </si>
  <si>
    <t xml:space="preserve">As Reported Annual Cash Flow </t>
  </si>
  <si>
    <t xml:space="preserve">As Reported Annual Retained Earnings </t>
  </si>
  <si>
    <t>Dividends per share</t>
  </si>
  <si>
    <t>Net income (loss) per share - diluted</t>
  </si>
  <si>
    <t>Net income (loss) per share from discontinued operations - basic</t>
  </si>
  <si>
    <t>Net income (loss) per share from continuing operations - diluted</t>
  </si>
  <si>
    <t>Net income (loss) per share - basic</t>
  </si>
  <si>
    <t>Net income (loss) per share from continuing operations - basic</t>
  </si>
  <si>
    <t>Weighted average shares outstanding - diluted</t>
  </si>
  <si>
    <t>Weighted average shares outstanding - basic</t>
  </si>
  <si>
    <t xml:space="preserve">As Reported Annual Income Statement </t>
  </si>
  <si>
    <t xml:space="preserve">As Reported Annual Balance Sheet </t>
  </si>
  <si>
    <t xml:space="preserve">Exchange rate used is that of the Year End reported date </t>
  </si>
  <si>
    <t>Arm Holdings plc (NMS: ARM)</t>
  </si>
  <si>
    <t>Powered by Clearbit</t>
  </si>
  <si>
    <t xml:space="preserve"> </t>
  </si>
  <si>
    <t>COGS</t>
  </si>
  <si>
    <t>Gross Profit</t>
  </si>
  <si>
    <t>OPEX</t>
  </si>
  <si>
    <t>EBIT</t>
  </si>
  <si>
    <t>Taxes</t>
  </si>
  <si>
    <t>NOPAT</t>
  </si>
  <si>
    <t>Beta</t>
  </si>
  <si>
    <t>SPY</t>
  </si>
  <si>
    <t>ARM</t>
  </si>
  <si>
    <t>% Change of ARM</t>
  </si>
  <si>
    <t>% Change of SPY</t>
  </si>
  <si>
    <t xml:space="preserve">  </t>
  </si>
  <si>
    <t>d</t>
  </si>
  <si>
    <t>(US$, thousands)</t>
  </si>
  <si>
    <t>Other income</t>
  </si>
  <si>
    <t>Interest income</t>
  </si>
  <si>
    <t>Income from equity investments</t>
  </si>
  <si>
    <t>Share Price</t>
  </si>
  <si>
    <t>Shares Outstanding</t>
  </si>
  <si>
    <t>Market Value of Equity</t>
  </si>
  <si>
    <t>Market Value of Debt</t>
  </si>
  <si>
    <t>Cost of Equity</t>
  </si>
  <si>
    <t>Lord Aswarth's ERP</t>
  </si>
  <si>
    <t>10Y Bond Yield</t>
  </si>
  <si>
    <t>Cost of Debt</t>
  </si>
  <si>
    <t>WACC</t>
  </si>
  <si>
    <t>Tax Rate</t>
  </si>
  <si>
    <t>Perpetual Growth Rate</t>
  </si>
  <si>
    <t>Terminal Value</t>
  </si>
  <si>
    <t>FCFF</t>
  </si>
  <si>
    <t>Discount Factor</t>
  </si>
  <si>
    <t>PV of FCFF</t>
  </si>
  <si>
    <t>+ D&amp;A</t>
  </si>
  <si>
    <t>- CAPEX</t>
  </si>
  <si>
    <t>- Change in NWC</t>
  </si>
  <si>
    <t>Net Working Capital</t>
  </si>
  <si>
    <t>Total Enterprise Value</t>
  </si>
  <si>
    <t>- Net Debt</t>
  </si>
  <si>
    <t>Equity Value</t>
  </si>
  <si>
    <t>x Fair because ARM charges very little for the licenses - they could grow a lot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</si>
</sst>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yyyy\-mm\-dd\ hh:mm:ss"/>
  </numFmts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/>
  </cellStyleXfs>
  <cellXfs count="50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right" vertical="top" wrapText="1"/>
    </xf>
    <xf numFmtId="0" fontId="2" fillId="0" borderId="0" xfId="1" applyFont="1"/>
    <xf numFmtId="0" fontId="4" fillId="0" borderId="0" xfId="1" applyFont="1"/>
    <xf numFmtId="0" fontId="4" fillId="0" borderId="0" xfId="1" applyFont="1" applyAlignment="1">
      <alignment vertical="top" wrapText="1"/>
    </xf>
    <xf numFmtId="0" fontId="3" fillId="0" borderId="0" xfId="1" applyAlignment="1">
      <alignment horizontal="left" vertical="top" wrapText="1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43" fontId="4" fillId="0" borderId="0" xfId="3" applyFont="1"/>
    <xf numFmtId="43" fontId="3" fillId="0" borderId="0" xfId="3" applyFont="1"/>
    <xf numFmtId="43" fontId="3" fillId="0" borderId="0" xfId="3" applyFont="1" applyAlignment="1">
      <alignment horizontal="right"/>
    </xf>
    <xf numFmtId="43" fontId="5" fillId="0" borderId="0" xfId="3" applyFont="1"/>
    <xf numFmtId="43" fontId="5" fillId="0" borderId="0" xfId="3" applyFont="1" applyAlignment="1">
      <alignment horizontal="right"/>
    </xf>
    <xf numFmtId="0" fontId="1" fillId="0" borderId="0" xfId="0" applyFont="1"/>
    <xf numFmtId="4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10" fillId="0" borderId="0" xfId="5"/>
    <xf numFmtId="167" fontId="11" fillId="0" borderId="3" xfId="5" applyNumberFormat="1" applyFont="1" applyBorder="1" applyAlignment="1">
      <alignment horizontal="center" vertical="top"/>
    </xf>
    <xf numFmtId="0" fontId="11" fillId="0" borderId="3" xfId="5" applyFont="1" applyBorder="1" applyAlignment="1">
      <alignment horizontal="center" vertical="top"/>
    </xf>
    <xf numFmtId="0" fontId="11" fillId="0" borderId="3" xfId="5" applyFont="1" applyBorder="1" applyAlignment="1">
      <alignment horizontal="left" vertical="top"/>
    </xf>
    <xf numFmtId="10" fontId="10" fillId="0" borderId="0" xfId="5" applyNumberFormat="1"/>
    <xf numFmtId="43" fontId="0" fillId="0" borderId="0" xfId="0" applyNumberFormat="1"/>
    <xf numFmtId="43" fontId="0" fillId="0" borderId="0" xfId="3" applyFont="1"/>
    <xf numFmtId="0" fontId="12" fillId="0" borderId="2" xfId="0" applyFont="1" applyBorder="1"/>
    <xf numFmtId="43" fontId="0" fillId="0" borderId="1" xfId="0" applyNumberFormat="1" applyBorder="1"/>
    <xf numFmtId="9" fontId="0" fillId="0" borderId="0" xfId="4" applyFont="1"/>
    <xf numFmtId="43" fontId="3" fillId="0" borderId="0" xfId="1" applyNumberFormat="1"/>
    <xf numFmtId="0" fontId="12" fillId="0" borderId="0" xfId="0" applyFont="1"/>
    <xf numFmtId="10" fontId="0" fillId="0" borderId="0" xfId="3" applyNumberFormat="1" applyFont="1"/>
    <xf numFmtId="43" fontId="13" fillId="2" borderId="4" xfId="3" applyFont="1" applyFill="1" applyBorder="1"/>
    <xf numFmtId="10" fontId="13" fillId="2" borderId="4" xfId="3" applyNumberFormat="1" applyFont="1" applyFill="1" applyBorder="1"/>
    <xf numFmtId="0" fontId="0" fillId="0" borderId="7" xfId="0" applyBorder="1"/>
    <xf numFmtId="43" fontId="13" fillId="2" borderId="7" xfId="3" applyFont="1" applyFill="1" applyBorder="1"/>
    <xf numFmtId="43" fontId="14" fillId="0" borderId="5" xfId="0" applyNumberFormat="1" applyFont="1" applyBorder="1"/>
    <xf numFmtId="43" fontId="14" fillId="0" borderId="6" xfId="0" applyNumberFormat="1" applyFont="1" applyBorder="1"/>
    <xf numFmtId="10" fontId="0" fillId="0" borderId="8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0" xfId="0" quotePrefix="1"/>
    <xf numFmtId="43" fontId="0" fillId="0" borderId="1" xfId="3" applyFont="1" applyBorder="1"/>
    <xf numFmtId="43" fontId="12" fillId="0" borderId="1" xfId="3" applyFont="1" applyBorder="1"/>
    <xf numFmtId="43" fontId="1" fillId="0" borderId="0" xfId="3" applyFont="1"/>
    <xf numFmtId="43" fontId="6" fillId="0" borderId="0" xfId="0" applyNumberFormat="1" applyFont="1"/>
    <xf numFmtId="0" fontId="0" fillId="0" borderId="1" xfId="0" quotePrefix="1" applyBorder="1"/>
    <xf numFmtId="0" fontId="2" fillId="0" borderId="0" xfId="0" applyFont="1"/>
  </cellXfs>
  <cellStyles count="6">
    <cellStyle name="Comma" xfId="3" builtinId="3"/>
    <cellStyle name="Comma 2" xfId="2" xr:uid="{F75EFD5E-8B9A-4F34-BE6F-6902D1E0C4FF}"/>
    <cellStyle name="Normal" xfId="0" builtinId="0"/>
    <cellStyle name="Normal 2" xfId="1" xr:uid="{0D97DD5A-E4F0-4AC2-89C7-5E5D3AC75196}"/>
    <cellStyle name="Normal 3" xfId="5" xr:uid="{E1DC06F8-55A6-49FD-B049-F984C5FE8FA7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9067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7D937CF-0E44-4A78-B78C-3958A394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067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FDF7-11E6-46B0-8C9F-E8AC3DD8BF2D}">
  <dimension ref="A1:S49"/>
  <sheetViews>
    <sheetView showGridLines="0" tabSelected="1" workbookViewId="0"/>
  </sheetViews>
  <sheetFormatPr defaultRowHeight="12.75" x14ac:dyDescent="0.2"/>
  <cols>
    <col min="1" max="1" width="1.7109375" customWidth="1"/>
    <col min="2" max="2" width="20.140625" bestFit="1" customWidth="1"/>
    <col min="3" max="3" width="16.5703125" bestFit="1" customWidth="1"/>
    <col min="4" max="19" width="14" customWidth="1"/>
  </cols>
  <sheetData>
    <row r="1" spans="1:19" x14ac:dyDescent="0.2">
      <c r="A1" s="49"/>
    </row>
    <row r="2" spans="1:19" x14ac:dyDescent="0.2">
      <c r="A2" s="49"/>
      <c r="B2" s="28" t="s">
        <v>159</v>
      </c>
      <c r="C2" s="20">
        <f>+'Financial Statement'!C11</f>
        <v>2021</v>
      </c>
      <c r="D2" s="20">
        <f>+C2+1</f>
        <v>2022</v>
      </c>
      <c r="E2" s="20">
        <f t="shared" ref="E2:S2" si="0">+D2+1</f>
        <v>2023</v>
      </c>
      <c r="F2" s="20">
        <f t="shared" si="0"/>
        <v>2024</v>
      </c>
      <c r="G2" s="20">
        <f t="shared" si="0"/>
        <v>2025</v>
      </c>
      <c r="H2" s="20">
        <f t="shared" si="0"/>
        <v>2026</v>
      </c>
      <c r="I2" s="20">
        <f t="shared" si="0"/>
        <v>2027</v>
      </c>
      <c r="J2" s="20">
        <f t="shared" si="0"/>
        <v>2028</v>
      </c>
      <c r="K2" s="20">
        <f t="shared" si="0"/>
        <v>2029</v>
      </c>
      <c r="L2" s="20">
        <f t="shared" si="0"/>
        <v>2030</v>
      </c>
      <c r="M2" s="20">
        <f t="shared" si="0"/>
        <v>2031</v>
      </c>
      <c r="N2" s="20">
        <f t="shared" si="0"/>
        <v>2032</v>
      </c>
      <c r="O2" s="20">
        <f t="shared" si="0"/>
        <v>2033</v>
      </c>
      <c r="P2" s="20">
        <f t="shared" si="0"/>
        <v>2034</v>
      </c>
      <c r="Q2" s="20">
        <f t="shared" si="0"/>
        <v>2035</v>
      </c>
      <c r="R2" s="20">
        <f t="shared" si="0"/>
        <v>2036</v>
      </c>
      <c r="S2" s="20">
        <f t="shared" si="0"/>
        <v>2037</v>
      </c>
    </row>
    <row r="3" spans="1:19" x14ac:dyDescent="0.2">
      <c r="A3" s="49" t="s">
        <v>35</v>
      </c>
      <c r="B3" s="17" t="s">
        <v>129</v>
      </c>
      <c r="C3" s="18">
        <f>+'Financial Statement'!C76</f>
        <v>2027000</v>
      </c>
      <c r="D3" s="18">
        <f>+'Financial Statement'!D76</f>
        <v>2703000</v>
      </c>
      <c r="E3" s="18">
        <f>+'Financial Statement'!E76</f>
        <v>2679000</v>
      </c>
      <c r="F3" s="46">
        <f>+E3*(1+$C$43)</f>
        <v>3080849.9999999995</v>
      </c>
      <c r="G3" s="46">
        <f t="shared" ref="G3:S3" si="1">+F3*(1+$C$43)</f>
        <v>3542977.4999999991</v>
      </c>
      <c r="H3" s="46">
        <f t="shared" si="1"/>
        <v>4074424.1249999986</v>
      </c>
      <c r="I3" s="46">
        <f t="shared" si="1"/>
        <v>4685587.7437499976</v>
      </c>
      <c r="J3" s="46">
        <f t="shared" si="1"/>
        <v>5388425.9053124972</v>
      </c>
      <c r="K3" s="46">
        <f t="shared" si="1"/>
        <v>6196689.791109371</v>
      </c>
      <c r="L3" s="46">
        <f t="shared" si="1"/>
        <v>7126193.2597757764</v>
      </c>
      <c r="M3" s="46">
        <f t="shared" si="1"/>
        <v>8195122.2487421427</v>
      </c>
      <c r="N3" s="46">
        <f t="shared" si="1"/>
        <v>9424390.5860534627</v>
      </c>
      <c r="O3" s="46">
        <f t="shared" si="1"/>
        <v>10838049.173961481</v>
      </c>
      <c r="P3" s="46">
        <f t="shared" si="1"/>
        <v>12463756.550055703</v>
      </c>
      <c r="Q3" s="46">
        <f t="shared" si="1"/>
        <v>14333320.032564057</v>
      </c>
      <c r="R3" s="46">
        <f t="shared" si="1"/>
        <v>16483318.037448665</v>
      </c>
      <c r="S3" s="46">
        <f t="shared" si="1"/>
        <v>18955815.743065964</v>
      </c>
    </row>
    <row r="4" spans="1:19" x14ac:dyDescent="0.2">
      <c r="A4" s="49"/>
      <c r="B4" t="s">
        <v>146</v>
      </c>
      <c r="C4" s="26">
        <f>+'Financial Statement'!C77</f>
        <v>145000</v>
      </c>
      <c r="D4" s="26">
        <f>+'Financial Statement'!D77</f>
        <v>131000</v>
      </c>
      <c r="E4" s="26">
        <f>+'Financial Statement'!E77</f>
        <v>106000</v>
      </c>
      <c r="F4" s="27" cm="1">
        <f t="array" ref="F4">+AVERAGE(C4:E4/C3:E3)*F3</f>
        <v>163866.2612080604</v>
      </c>
      <c r="G4" s="27" cm="1">
        <f t="array" ref="G4">+AVERAGE(D4:F4/D3:F3)*G3</f>
        <v>166780.14393293808</v>
      </c>
      <c r="H4" s="27" cm="1">
        <f t="array" ref="H4">+AVERAGE(E4:G4/E3:G3)*H3</f>
        <v>189907.68199017952</v>
      </c>
      <c r="I4" s="27" cm="1">
        <f t="array" ref="I4">+AVERAGE(F4:H4/F3:H3)*I3</f>
        <v>229393.55821827526</v>
      </c>
      <c r="J4" s="27" cm="1">
        <f t="array" ref="J4">+AVERAGE(G4:I4/G3:I3)*J3</f>
        <v>256202.41759567868</v>
      </c>
      <c r="K4" s="27" cm="1">
        <f t="array" ref="K4">+AVERAGE(H4:J4/H3:J3)*K3</f>
        <v>295610.53560850455</v>
      </c>
      <c r="L4" s="27" cm="1">
        <f t="array" ref="L4">+AVERAGE(I4:K4/I3:K3)*L3</f>
        <v>342552.9136917615</v>
      </c>
      <c r="M4" s="27" cm="1">
        <f t="array" ref="M4">+AVERAGE(J4:L4/J3:L3)*M3</f>
        <v>391510.87864953355</v>
      </c>
      <c r="N4" s="27" cm="1">
        <f t="array" ref="N4">+AVERAGE(K4:M4/K3:M3)*N3</f>
        <v>450950.1373826341</v>
      </c>
      <c r="O4" s="27" cm="1">
        <f t="array" ref="O4">+AVERAGE(L4:N4/L3:N3)*O3</f>
        <v>519115.31920499826</v>
      </c>
      <c r="P4" s="27" cm="1">
        <f t="array" ref="P4">+AVERAGE(M4:O4/M3:O3)*P3</f>
        <v>596267.76044679689</v>
      </c>
      <c r="Q4" s="27" cm="1">
        <f t="array" ref="Q4">+AVERAGE(N4:P4/N3:P3)*Q3</f>
        <v>686025.57478474663</v>
      </c>
      <c r="R4" s="27" cm="1">
        <f t="array" ref="R4">+AVERAGE(O4:Q4/O3:Q3)*R3</f>
        <v>789001.01176308293</v>
      </c>
      <c r="S4" s="27" cm="1">
        <f t="array" ref="S4">+AVERAGE(P4:R4/P3:R3)*S3</f>
        <v>907156.23878329829</v>
      </c>
    </row>
    <row r="5" spans="1:19" x14ac:dyDescent="0.2">
      <c r="A5" s="49"/>
      <c r="B5" t="s">
        <v>147</v>
      </c>
      <c r="C5" s="26">
        <f>+C3-C4</f>
        <v>1882000</v>
      </c>
      <c r="D5" s="26">
        <f t="shared" ref="D5:S5" si="2">+D3-D4</f>
        <v>2572000</v>
      </c>
      <c r="E5" s="26">
        <f t="shared" si="2"/>
        <v>2573000</v>
      </c>
      <c r="F5" s="27">
        <f t="shared" si="2"/>
        <v>2916983.7387919393</v>
      </c>
      <c r="G5" s="27">
        <f t="shared" si="2"/>
        <v>3376197.356067061</v>
      </c>
      <c r="H5" s="27">
        <f t="shared" si="2"/>
        <v>3884516.4430098189</v>
      </c>
      <c r="I5" s="27">
        <f t="shared" si="2"/>
        <v>4456194.1855317224</v>
      </c>
      <c r="J5" s="27">
        <f t="shared" si="2"/>
        <v>5132223.4877168182</v>
      </c>
      <c r="K5" s="27">
        <f t="shared" si="2"/>
        <v>5901079.2555008661</v>
      </c>
      <c r="L5" s="27">
        <f t="shared" si="2"/>
        <v>6783640.3460840145</v>
      </c>
      <c r="M5" s="27">
        <f t="shared" si="2"/>
        <v>7803611.370092609</v>
      </c>
      <c r="N5" s="27">
        <f t="shared" si="2"/>
        <v>8973440.4486708287</v>
      </c>
      <c r="O5" s="27">
        <f t="shared" si="2"/>
        <v>10318933.854756482</v>
      </c>
      <c r="P5" s="27">
        <f t="shared" si="2"/>
        <v>11867488.789608907</v>
      </c>
      <c r="Q5" s="27">
        <f t="shared" si="2"/>
        <v>13647294.457779311</v>
      </c>
      <c r="R5" s="27">
        <f t="shared" si="2"/>
        <v>15694317.025685582</v>
      </c>
      <c r="S5" s="27">
        <f t="shared" si="2"/>
        <v>18048659.504282665</v>
      </c>
    </row>
    <row r="6" spans="1:19" x14ac:dyDescent="0.2">
      <c r="A6" s="49"/>
      <c r="B6" t="str">
        <f>+'Financial Statement'!B79</f>
        <v>Research &amp; development expenses</v>
      </c>
      <c r="C6" s="27">
        <f>IF(+'Financial Statement'!C79="-", 0,'Financial Statement'!C79)</f>
        <v>814000</v>
      </c>
      <c r="D6" s="27">
        <f>IF(+'Financial Statement'!D79="-", 0,'Financial Statement'!D79)</f>
        <v>995000</v>
      </c>
      <c r="E6" s="27">
        <f>IF(+'Financial Statement'!E79="-", 0,'Financial Statement'!E79)</f>
        <v>1133000</v>
      </c>
      <c r="F6" s="27" cm="1">
        <f t="array" ref="F6">+AVERAGE($C6:$E6/$C$3:$E$3)*F$3</f>
        <v>1224747.9592099332</v>
      </c>
      <c r="G6" s="27" cm="1">
        <f t="array" ref="G6">+AVERAGE($C6:$E6/$C$3:$E$3)*G$3</f>
        <v>1408460.153091423</v>
      </c>
      <c r="H6" s="27" cm="1">
        <f t="array" ref="H6">+AVERAGE($C6:$E6/$C$3:$E$3)*H$3</f>
        <v>1619729.1760551364</v>
      </c>
      <c r="I6" s="27" cm="1">
        <f t="array" ref="I6">+AVERAGE($C6:$E6/$C$3:$E$3)*I$3</f>
        <v>1862688.5524634065</v>
      </c>
      <c r="J6" s="27" cm="1">
        <f t="array" ref="J6">+AVERAGE($C6:$E6/$C$3:$E$3)*J$3</f>
        <v>2142091.8353329175</v>
      </c>
      <c r="K6" s="27" cm="1">
        <f t="array" ref="K6">+AVERAGE($C6:$E6/$C$3:$E$3)*K$3</f>
        <v>2463405.610632855</v>
      </c>
      <c r="L6" s="27" cm="1">
        <f t="array" ref="L6">+AVERAGE($C6:$E6/$C$3:$E$3)*L$3</f>
        <v>2832916.4522277829</v>
      </c>
      <c r="M6" s="27" cm="1">
        <f t="array" ref="M6">+AVERAGE($C6:$E6/$C$3:$E$3)*M$3</f>
        <v>3257853.9200619501</v>
      </c>
      <c r="N6" s="27" cm="1">
        <f t="array" ref="N6">+AVERAGE($C6:$E6/$C$3:$E$3)*N$3</f>
        <v>3746532.0080712424</v>
      </c>
      <c r="O6" s="27" cm="1">
        <f t="array" ref="O6">+AVERAGE($C6:$E6/$C$3:$E$3)*O$3</f>
        <v>4308511.8092819285</v>
      </c>
      <c r="P6" s="27" cm="1">
        <f t="array" ref="P6">+AVERAGE($C6:$E6/$C$3:$E$3)*P$3</f>
        <v>4954788.5806742171</v>
      </c>
      <c r="Q6" s="27" cm="1">
        <f t="array" ref="Q6">+AVERAGE($C6:$E6/$C$3:$E$3)*Q$3</f>
        <v>5698006.8677753489</v>
      </c>
      <c r="R6" s="27" cm="1">
        <f t="array" ref="R6">+AVERAGE($C6:$E6/$C$3:$E$3)*R$3</f>
        <v>6552707.8979416518</v>
      </c>
      <c r="S6" s="27" cm="1">
        <f t="array" ref="S6">+AVERAGE($C6:$E6/$C$3:$E$3)*S$3</f>
        <v>7535614.0826328993</v>
      </c>
    </row>
    <row r="7" spans="1:19" x14ac:dyDescent="0.2">
      <c r="A7" s="49"/>
      <c r="B7" t="str">
        <f>+'Financial Statement'!B80</f>
        <v>Selling, general &amp; administrative expenses</v>
      </c>
      <c r="C7" s="27">
        <f>IF(+'Financial Statement'!C80="-", 0,'Financial Statement'!C80)</f>
        <v>826000</v>
      </c>
      <c r="D7" s="27">
        <f>IF(+'Financial Statement'!D80="-", 0,'Financial Statement'!D80)</f>
        <v>897000</v>
      </c>
      <c r="E7" s="27">
        <f>IF(+'Financial Statement'!E80="-", 0,'Financial Statement'!E80)</f>
        <v>762000</v>
      </c>
      <c r="F7" s="27" cm="1">
        <f t="array" ref="F7">+AVERAGE($C7:$E7/$C$3:$E$3)*F$3</f>
        <v>1051377.8062471834</v>
      </c>
      <c r="G7" s="27" cm="1">
        <f t="array" ref="G7">+AVERAGE($C7:$E7/$C$3:$E$3)*G$3</f>
        <v>1209084.477184261</v>
      </c>
      <c r="H7" s="27" cm="1">
        <f t="array" ref="H7">+AVERAGE($C7:$E7/$C$3:$E$3)*H$3</f>
        <v>1390447.1487618999</v>
      </c>
      <c r="I7" s="27" cm="1">
        <f t="array" ref="I7">+AVERAGE($C7:$E7/$C$3:$E$3)*I$3</f>
        <v>1599014.2210761847</v>
      </c>
      <c r="J7" s="27" cm="1">
        <f t="array" ref="J7">+AVERAGE($C7:$E7/$C$3:$E$3)*J$3</f>
        <v>1838866.3542376123</v>
      </c>
      <c r="K7" s="27" cm="1">
        <f t="array" ref="K7">+AVERAGE($C7:$E7/$C$3:$E$3)*K$3</f>
        <v>2114696.3073732536</v>
      </c>
      <c r="L7" s="27" cm="1">
        <f t="array" ref="L7">+AVERAGE($C7:$E7/$C$3:$E$3)*L$3</f>
        <v>2431900.7534792419</v>
      </c>
      <c r="M7" s="27" cm="1">
        <f t="array" ref="M7">+AVERAGE($C7:$E7/$C$3:$E$3)*M$3</f>
        <v>2796685.8665011278</v>
      </c>
      <c r="N7" s="27" cm="1">
        <f t="array" ref="N7">+AVERAGE($C7:$E7/$C$3:$E$3)*N$3</f>
        <v>3216188.7464762968</v>
      </c>
      <c r="O7" s="27" cm="1">
        <f t="array" ref="O7">+AVERAGE($C7:$E7/$C$3:$E$3)*O$3</f>
        <v>3698617.058447741</v>
      </c>
      <c r="P7" s="27" cm="1">
        <f t="array" ref="P7">+AVERAGE($C7:$E7/$C$3:$E$3)*P$3</f>
        <v>4253409.6172149023</v>
      </c>
      <c r="Q7" s="27" cm="1">
        <f t="array" ref="Q7">+AVERAGE($C7:$E7/$C$3:$E$3)*Q$3</f>
        <v>4891421.059797137</v>
      </c>
      <c r="R7" s="27" cm="1">
        <f t="array" ref="R7">+AVERAGE($C7:$E7/$C$3:$E$3)*R$3</f>
        <v>5625134.218766707</v>
      </c>
      <c r="S7" s="27" cm="1">
        <f t="array" ref="S7">+AVERAGE($C7:$E7/$C$3:$E$3)*S$3</f>
        <v>6468904.3515817132</v>
      </c>
    </row>
    <row r="8" spans="1:19" x14ac:dyDescent="0.2">
      <c r="A8" s="49"/>
      <c r="B8" t="str">
        <f>+'Financial Statement'!B81</f>
        <v>Impairment of long-lived assets</v>
      </c>
      <c r="C8" s="27">
        <f>IF(+'Financial Statement'!C81="-", 0,'Financial Statement'!C81)</f>
        <v>3000</v>
      </c>
      <c r="D8" s="27">
        <f>IF(+'Financial Statement'!D81="-", 0,'Financial Statement'!D81)</f>
        <v>21000</v>
      </c>
      <c r="E8" s="27">
        <f>IF(+'Financial Statement'!E81="-", 0,'Financial Statement'!E81)</f>
        <v>0</v>
      </c>
      <c r="F8" s="27" cm="1">
        <f t="array" ref="F8">+AVERAGE($C8:$E8/$C$3:$E$3)*F$3</f>
        <v>9498.4301277920094</v>
      </c>
      <c r="G8" s="27" cm="1">
        <f t="array" ref="G8">+AVERAGE($C8:$E8/$C$3:$E$3)*G$3</f>
        <v>10923.19464696081</v>
      </c>
      <c r="H8" s="27" cm="1">
        <f t="array" ref="H8">+AVERAGE($C8:$E8/$C$3:$E$3)*H$3</f>
        <v>12561.67384400493</v>
      </c>
      <c r="I8" s="27" cm="1">
        <f t="array" ref="I8">+AVERAGE($C8:$E8/$C$3:$E$3)*I$3</f>
        <v>14445.924920605668</v>
      </c>
      <c r="J8" s="27" cm="1">
        <f t="array" ref="J8">+AVERAGE($C8:$E8/$C$3:$E$3)*J$3</f>
        <v>16612.813658696519</v>
      </c>
      <c r="K8" s="27" cm="1">
        <f t="array" ref="K8">+AVERAGE($C8:$E8/$C$3:$E$3)*K$3</f>
        <v>19104.735707500993</v>
      </c>
      <c r="L8" s="27" cm="1">
        <f t="array" ref="L8">+AVERAGE($C8:$E8/$C$3:$E$3)*L$3</f>
        <v>21970.446063626143</v>
      </c>
      <c r="M8" s="27" cm="1">
        <f t="array" ref="M8">+AVERAGE($C8:$E8/$C$3:$E$3)*M$3</f>
        <v>25266.012973170062</v>
      </c>
      <c r="N8" s="27" cm="1">
        <f t="array" ref="N8">+AVERAGE($C8:$E8/$C$3:$E$3)*N$3</f>
        <v>29055.914919145565</v>
      </c>
      <c r="O8" s="27" cm="1">
        <f t="array" ref="O8">+AVERAGE($C8:$E8/$C$3:$E$3)*O$3</f>
        <v>33414.302157017395</v>
      </c>
      <c r="P8" s="27" cm="1">
        <f t="array" ref="P8">+AVERAGE($C8:$E8/$C$3:$E$3)*P$3</f>
        <v>38426.447480570008</v>
      </c>
      <c r="Q8" s="27" cm="1">
        <f t="array" ref="Q8">+AVERAGE($C8:$E8/$C$3:$E$3)*Q$3</f>
        <v>44190.414602655503</v>
      </c>
      <c r="R8" s="27" cm="1">
        <f t="array" ref="R8">+AVERAGE($C8:$E8/$C$3:$E$3)*R$3</f>
        <v>50818.976793053829</v>
      </c>
      <c r="S8" s="27" cm="1">
        <f t="array" ref="S8">+AVERAGE($C8:$E8/$C$3:$E$3)*S$3</f>
        <v>58441.823312011904</v>
      </c>
    </row>
    <row r="9" spans="1:19" x14ac:dyDescent="0.2">
      <c r="A9" s="49"/>
      <c r="B9" t="str">
        <f>+'Financial Statement'!B82</f>
        <v>Disposal, restructuring &amp; other operating expenses, net</v>
      </c>
      <c r="C9" s="27">
        <f>IF(+'Financial Statement'!C82="-", 0,'Financial Statement'!C82)</f>
        <v>0</v>
      </c>
      <c r="D9" s="27">
        <f>IF(+'Financial Statement'!D82="-", 0,'Financial Statement'!D82)</f>
        <v>26000</v>
      </c>
      <c r="E9" s="27">
        <f>IF(+'Financial Statement'!E82="-", 0,'Financial Statement'!E82)</f>
        <v>7000</v>
      </c>
      <c r="F9" s="27" cm="1">
        <f t="array" ref="F9">+AVERAGE($C9:$E9/$C$3:$E$3)*F$3</f>
        <v>12561.505734369217</v>
      </c>
      <c r="G9" s="27" cm="1">
        <f t="array" ref="G9">+AVERAGE($C9:$E9/$C$3:$E$3)*G$3</f>
        <v>14445.731594524597</v>
      </c>
      <c r="H9" s="27" cm="1">
        <f t="array" ref="H9">+AVERAGE($C9:$E9/$C$3:$E$3)*H$3</f>
        <v>16612.591333703287</v>
      </c>
      <c r="I9" s="27" cm="1">
        <f t="array" ref="I9">+AVERAGE($C9:$E9/$C$3:$E$3)*I$3</f>
        <v>19104.480033758777</v>
      </c>
      <c r="J9" s="27" cm="1">
        <f t="array" ref="J9">+AVERAGE($C9:$E9/$C$3:$E$3)*J$3</f>
        <v>21970.152038822591</v>
      </c>
      <c r="K9" s="27" cm="1">
        <f t="array" ref="K9">+AVERAGE($C9:$E9/$C$3:$E$3)*K$3</f>
        <v>25265.674844645979</v>
      </c>
      <c r="L9" s="27" cm="1">
        <f t="array" ref="L9">+AVERAGE($C9:$E9/$C$3:$E$3)*L$3</f>
        <v>29055.526071342872</v>
      </c>
      <c r="M9" s="27" cm="1">
        <f t="array" ref="M9">+AVERAGE($C9:$E9/$C$3:$E$3)*M$3</f>
        <v>33413.8549820443</v>
      </c>
      <c r="N9" s="27" cm="1">
        <f t="array" ref="N9">+AVERAGE($C9:$E9/$C$3:$E$3)*N$3</f>
        <v>38425.933229350943</v>
      </c>
      <c r="O9" s="27" cm="1">
        <f t="array" ref="O9">+AVERAGE($C9:$E9/$C$3:$E$3)*O$3</f>
        <v>44189.823213753582</v>
      </c>
      <c r="P9" s="27" cm="1">
        <f t="array" ref="P9">+AVERAGE($C9:$E9/$C$3:$E$3)*P$3</f>
        <v>50818.296695816622</v>
      </c>
      <c r="Q9" s="27" cm="1">
        <f t="array" ref="Q9">+AVERAGE($C9:$E9/$C$3:$E$3)*Q$3</f>
        <v>58441.041200189102</v>
      </c>
      <c r="R9" s="27" cm="1">
        <f t="array" ref="R9">+AVERAGE($C9:$E9/$C$3:$E$3)*R$3</f>
        <v>67207.197380217462</v>
      </c>
      <c r="S9" s="27" cm="1">
        <f t="array" ref="S9">+AVERAGE($C9:$E9/$C$3:$E$3)*S$3</f>
        <v>77288.276987250079</v>
      </c>
    </row>
    <row r="10" spans="1:19" x14ac:dyDescent="0.2">
      <c r="A10" s="49"/>
      <c r="B10" t="s">
        <v>148</v>
      </c>
      <c r="C10" s="26">
        <f>+'Financial Statement'!C83</f>
        <v>1643000</v>
      </c>
      <c r="D10" s="26">
        <f>+'Financial Statement'!D83</f>
        <v>1939000</v>
      </c>
      <c r="E10" s="26">
        <f>+'Financial Statement'!E83</f>
        <v>1902000</v>
      </c>
      <c r="F10" s="27" cm="1">
        <f t="array" ref="F10">+AVERAGE($C10:$E10/$C$3:$E$3)*F$3</f>
        <v>2298185.7013192778</v>
      </c>
      <c r="G10" s="27" cm="1">
        <f t="array" ref="G10">+AVERAGE($C10:$E10/$C$3:$E$3)*G$3</f>
        <v>2642913.5565171693</v>
      </c>
      <c r="H10" s="27" cm="1">
        <f t="array" ref="H10">+AVERAGE($C10:$E10/$C$3:$E$3)*H$3</f>
        <v>3039350.5899947444</v>
      </c>
      <c r="I10" s="27" cm="1">
        <f t="array" ref="I10">+AVERAGE($C10:$E10/$C$3:$E$3)*I$3</f>
        <v>3495253.1784939556</v>
      </c>
      <c r="J10" s="27" cm="1">
        <f t="array" ref="J10">+AVERAGE($C10:$E10/$C$3:$E$3)*J$3</f>
        <v>4019541.1552680489</v>
      </c>
      <c r="K10" s="27" cm="1">
        <f t="array" ref="K10">+AVERAGE($C10:$E10/$C$3:$E$3)*K$3</f>
        <v>4622472.3285582559</v>
      </c>
      <c r="L10" s="27" cm="1">
        <f t="array" ref="L10">+AVERAGE($C10:$E10/$C$3:$E$3)*L$3</f>
        <v>5315843.177841994</v>
      </c>
      <c r="M10" s="27" cm="1">
        <f t="array" ref="M10">+AVERAGE($C10:$E10/$C$3:$E$3)*M$3</f>
        <v>6113219.6545182923</v>
      </c>
      <c r="N10" s="27" cm="1">
        <f t="array" ref="N10">+AVERAGE($C10:$E10/$C$3:$E$3)*N$3</f>
        <v>7030202.602696036</v>
      </c>
      <c r="O10" s="27" cm="1">
        <f t="array" ref="O10">+AVERAGE($C10:$E10/$C$3:$E$3)*O$3</f>
        <v>8084732.9931004401</v>
      </c>
      <c r="P10" s="27" cm="1">
        <f t="array" ref="P10">+AVERAGE($C10:$E10/$C$3:$E$3)*P$3</f>
        <v>9297442.9420655053</v>
      </c>
      <c r="Q10" s="27" cm="1">
        <f t="array" ref="Q10">+AVERAGE($C10:$E10/$C$3:$E$3)*Q$3</f>
        <v>10692059.383375332</v>
      </c>
      <c r="R10" s="27" cm="1">
        <f t="array" ref="R10">+AVERAGE($C10:$E10/$C$3:$E$3)*R$3</f>
        <v>12295868.29088163</v>
      </c>
      <c r="S10" s="27" cm="1">
        <f t="array" ref="S10">+AVERAGE($C10:$E10/$C$3:$E$3)*S$3</f>
        <v>14140248.534513874</v>
      </c>
    </row>
    <row r="11" spans="1:19" x14ac:dyDescent="0.2">
      <c r="A11" s="49"/>
      <c r="B11" t="s">
        <v>149</v>
      </c>
      <c r="C11" s="26">
        <f>+C5-C10</f>
        <v>239000</v>
      </c>
      <c r="D11" s="26">
        <f t="shared" ref="D11:E11" si="3">+D5-D10</f>
        <v>633000</v>
      </c>
      <c r="E11" s="26">
        <f t="shared" si="3"/>
        <v>671000</v>
      </c>
      <c r="F11" s="27">
        <f t="shared" ref="F11" si="4">+F5-F10</f>
        <v>618798.03747266158</v>
      </c>
      <c r="G11" s="27">
        <f t="shared" ref="G11" si="5">+G5-G10</f>
        <v>733283.79954989161</v>
      </c>
      <c r="H11" s="27">
        <f t="shared" ref="H11" si="6">+H5-H10</f>
        <v>845165.85301507451</v>
      </c>
      <c r="I11" s="27">
        <f t="shared" ref="I11" si="7">+I5-I10</f>
        <v>960941.00703776674</v>
      </c>
      <c r="J11" s="27">
        <f t="shared" ref="J11" si="8">+J5-J10</f>
        <v>1112682.3324487694</v>
      </c>
      <c r="K11" s="27">
        <f t="shared" ref="K11" si="9">+K5-K10</f>
        <v>1278606.9269426102</v>
      </c>
      <c r="L11" s="27">
        <f t="shared" ref="L11" si="10">+L5-L10</f>
        <v>1467797.1682420205</v>
      </c>
      <c r="M11" s="27">
        <f t="shared" ref="M11" si="11">+M5-M10</f>
        <v>1690391.7155743167</v>
      </c>
      <c r="N11" s="27">
        <f t="shared" ref="N11" si="12">+N5-N10</f>
        <v>1943237.8459747927</v>
      </c>
      <c r="O11" s="27">
        <f t="shared" ref="O11" si="13">+O5-O10</f>
        <v>2234200.8616560418</v>
      </c>
      <c r="P11" s="27">
        <f t="shared" ref="P11" si="14">+P5-P10</f>
        <v>2570045.8475434016</v>
      </c>
      <c r="Q11" s="27">
        <f t="shared" ref="Q11" si="15">+Q5-Q10</f>
        <v>2955235.0744039789</v>
      </c>
      <c r="R11" s="27">
        <f t="shared" ref="R11" si="16">+R5-R10</f>
        <v>3398448.7348039523</v>
      </c>
      <c r="S11" s="27">
        <f t="shared" ref="S11" si="17">+S5-S10</f>
        <v>3908410.9697687905</v>
      </c>
    </row>
    <row r="12" spans="1:19" x14ac:dyDescent="0.2">
      <c r="A12" s="49"/>
      <c r="B12" s="30" t="s">
        <v>162</v>
      </c>
      <c r="C12" s="26">
        <f>+'Financial Statement'!C85</f>
        <v>476000</v>
      </c>
      <c r="D12" s="26">
        <f>+'Financial Statement'!D85</f>
        <v>141000</v>
      </c>
      <c r="E12" s="26">
        <f>+'Financial Statement'!E85</f>
        <v>-45000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</row>
    <row r="13" spans="1:19" x14ac:dyDescent="0.2">
      <c r="A13" s="49"/>
      <c r="B13" s="30" t="s">
        <v>161</v>
      </c>
      <c r="C13" s="26">
        <f>+'Financial Statement'!C86</f>
        <v>2000</v>
      </c>
      <c r="D13" s="26">
        <f>+'Financial Statement'!D86</f>
        <v>2000</v>
      </c>
      <c r="E13" s="26">
        <f>+'Financial Statement'!E86</f>
        <v>42000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</row>
    <row r="14" spans="1:19" x14ac:dyDescent="0.2">
      <c r="A14" s="49"/>
      <c r="B14" s="30" t="s">
        <v>160</v>
      </c>
      <c r="C14" s="26">
        <f>+'Financial Statement'!C87</f>
        <v>-20000</v>
      </c>
      <c r="D14" s="26">
        <f>+'Financial Statement'!D87</f>
        <v>10000</v>
      </c>
      <c r="E14" s="26">
        <f>+'Financial Statement'!E87</f>
        <v>3000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</row>
    <row r="15" spans="1:19" x14ac:dyDescent="0.2">
      <c r="A15" s="49"/>
      <c r="B15" s="19" t="s">
        <v>150</v>
      </c>
      <c r="C15" s="29">
        <f>+'Financial Statement'!C97</f>
        <v>153000</v>
      </c>
      <c r="D15" s="29">
        <f>+'Financial Statement'!D97</f>
        <v>110000</v>
      </c>
      <c r="E15" s="29">
        <f>+'Financial Statement'!E97</f>
        <v>147000</v>
      </c>
      <c r="F15" s="44">
        <f>+F11*$C$39</f>
        <v>138410.90854543986</v>
      </c>
      <c r="G15" s="44">
        <f t="shared" ref="G15:S15" si="18">+G11*$C$39</f>
        <v>164018.74403461843</v>
      </c>
      <c r="H15" s="44">
        <f t="shared" si="18"/>
        <v>189044.18970877284</v>
      </c>
      <c r="I15" s="44">
        <f t="shared" si="18"/>
        <v>214940.43256163909</v>
      </c>
      <c r="J15" s="44">
        <f t="shared" si="18"/>
        <v>248881.48188979569</v>
      </c>
      <c r="K15" s="44">
        <f t="shared" si="18"/>
        <v>285995.00275312067</v>
      </c>
      <c r="L15" s="44">
        <f t="shared" si="18"/>
        <v>328312.51444584207</v>
      </c>
      <c r="M15" s="44">
        <f t="shared" si="18"/>
        <v>378101.80217428802</v>
      </c>
      <c r="N15" s="44">
        <f t="shared" si="18"/>
        <v>434657.67422240321</v>
      </c>
      <c r="O15" s="44">
        <f t="shared" si="18"/>
        <v>499739.41804635967</v>
      </c>
      <c r="P15" s="44">
        <f t="shared" si="18"/>
        <v>574860.22776475444</v>
      </c>
      <c r="Q15" s="44">
        <f t="shared" si="18"/>
        <v>661018.21085959161</v>
      </c>
      <c r="R15" s="44">
        <f t="shared" si="18"/>
        <v>760154.92704289174</v>
      </c>
      <c r="S15" s="44">
        <f t="shared" si="18"/>
        <v>874221.76628761832</v>
      </c>
    </row>
    <row r="16" spans="1:19" x14ac:dyDescent="0.2">
      <c r="A16" s="49"/>
      <c r="B16" s="17" t="s">
        <v>151</v>
      </c>
      <c r="C16" s="18">
        <f>+SUM(C11:C14)-C15</f>
        <v>544000</v>
      </c>
      <c r="D16" s="18">
        <f t="shared" ref="D16:E16" si="19">+SUM(D11:D14)-D15</f>
        <v>676000</v>
      </c>
      <c r="E16" s="18">
        <f t="shared" si="19"/>
        <v>524000</v>
      </c>
      <c r="F16" s="46">
        <f t="shared" ref="F16" si="20">+SUM(F11:F14)-F15</f>
        <v>480387.12892722175</v>
      </c>
      <c r="G16" s="46">
        <f t="shared" ref="G16" si="21">+SUM(G11:G14)-G15</f>
        <v>569265.05551527324</v>
      </c>
      <c r="H16" s="46">
        <f t="shared" ref="H16" si="22">+SUM(H11:H14)-H15</f>
        <v>656121.66330630169</v>
      </c>
      <c r="I16" s="46">
        <f t="shared" ref="I16" si="23">+SUM(I11:I14)-I15</f>
        <v>746000.57447612763</v>
      </c>
      <c r="J16" s="46">
        <f t="shared" ref="J16" si="24">+SUM(J11:J14)-J15</f>
        <v>863800.85055897362</v>
      </c>
      <c r="K16" s="46">
        <f t="shared" ref="K16" si="25">+SUM(K11:K14)-K15</f>
        <v>992611.92418948957</v>
      </c>
      <c r="L16" s="46">
        <f t="shared" ref="L16" si="26">+SUM(L11:L14)-L15</f>
        <v>1139484.6537961785</v>
      </c>
      <c r="M16" s="46">
        <f t="shared" ref="M16" si="27">+SUM(M11:M14)-M15</f>
        <v>1312289.9134000286</v>
      </c>
      <c r="N16" s="46">
        <f t="shared" ref="N16" si="28">+SUM(N11:N14)-N15</f>
        <v>1508580.1717523895</v>
      </c>
      <c r="O16" s="46">
        <f t="shared" ref="O16" si="29">+SUM(O11:O14)-O15</f>
        <v>1734461.4436096821</v>
      </c>
      <c r="P16" s="46">
        <f t="shared" ref="P16" si="30">+SUM(P11:P14)-P15</f>
        <v>1995185.6197786471</v>
      </c>
      <c r="Q16" s="46">
        <f t="shared" ref="Q16" si="31">+SUM(Q11:Q14)-Q15</f>
        <v>2294216.8635443873</v>
      </c>
      <c r="R16" s="46">
        <f t="shared" ref="R16" si="32">+SUM(R11:R14)-R15</f>
        <v>2638293.8077610605</v>
      </c>
      <c r="S16" s="46">
        <f t="shared" ref="S16" si="33">+SUM(S11:S14)-S15</f>
        <v>3034189.2034811722</v>
      </c>
    </row>
    <row r="17" spans="1:19" x14ac:dyDescent="0.2">
      <c r="A17" s="49"/>
    </row>
    <row r="18" spans="1:19" x14ac:dyDescent="0.2">
      <c r="A18" s="49"/>
      <c r="B18" s="43" t="s">
        <v>178</v>
      </c>
      <c r="C18" s="26">
        <f>+'Financial Statement'!C133</f>
        <v>201000</v>
      </c>
      <c r="D18" s="26">
        <f>+'Financial Statement'!D133</f>
        <v>185000</v>
      </c>
      <c r="E18" s="26">
        <f>+'Financial Statement'!E133</f>
        <v>170000</v>
      </c>
      <c r="F18" s="26" cm="1">
        <f t="array" ref="F18">+AVERAGE($C18:$E18/$C$6:$E$6)*$F$6</f>
        <v>237969.55962923696</v>
      </c>
      <c r="G18" s="26" cm="1">
        <f t="array" ref="G18">+AVERAGE($C18:$E18/$C$6:$E$6)*G6</f>
        <v>273664.99357362249</v>
      </c>
      <c r="H18" s="26" cm="1">
        <f t="array" ref="H18">+AVERAGE($C18:$E18/$C$6:$E$6)*H6</f>
        <v>314714.74260966585</v>
      </c>
      <c r="I18" s="26" cm="1">
        <f t="array" ref="I18">+AVERAGE($C18:$E18/$C$6:$E$6)*I6</f>
        <v>361921.95400111564</v>
      </c>
      <c r="J18" s="26" cm="1">
        <f t="array" ref="J18">+AVERAGE($C18:$E18/$C$6:$E$6)*J6</f>
        <v>416210.24710128299</v>
      </c>
      <c r="K18" s="26" cm="1">
        <f t="array" ref="K18">+AVERAGE($C18:$E18/$C$6:$E$6)*K6</f>
        <v>478641.78416647541</v>
      </c>
      <c r="L18" s="26" cm="1">
        <f t="array" ref="L18">+AVERAGE($C18:$E18/$C$6:$E$6)*L6</f>
        <v>550438.05179144675</v>
      </c>
      <c r="M18" s="26" cm="1">
        <f t="array" ref="M18">+AVERAGE($C18:$E18/$C$6:$E$6)*M6</f>
        <v>633003.7595601636</v>
      </c>
      <c r="N18" s="26" cm="1">
        <f t="array" ref="N18">+AVERAGE($C18:$E18/$C$6:$E$6)*N6</f>
        <v>727954.32349418814</v>
      </c>
      <c r="O18" s="26" cm="1">
        <f t="array" ref="O18">+AVERAGE($C18:$E18/$C$6:$E$6)*O6</f>
        <v>837147.47201831627</v>
      </c>
      <c r="P18" s="26" cm="1">
        <f t="array" ref="P18">+AVERAGE($C18:$E18/$C$6:$E$6)*P6</f>
        <v>962719.59282106359</v>
      </c>
      <c r="Q18" s="26" cm="1">
        <f t="array" ref="Q18">+AVERAGE($C18:$E18/$C$6:$E$6)*Q6</f>
        <v>1107127.5317442231</v>
      </c>
      <c r="R18" s="26" cm="1">
        <f t="array" ref="R18">+AVERAGE($C18:$E18/$C$6:$E$6)*R6</f>
        <v>1273196.6615058566</v>
      </c>
      <c r="S18" s="26" cm="1">
        <f t="array" ref="S18">+AVERAGE($C18:$E18/$C$6:$E$6)*S6</f>
        <v>1464176.1607317349</v>
      </c>
    </row>
    <row r="19" spans="1:19" x14ac:dyDescent="0.2">
      <c r="A19" s="49"/>
      <c r="B19" s="43" t="s">
        <v>179</v>
      </c>
      <c r="C19" s="27">
        <f>+SUM('Financial Statement'!C151:C153)*-1</f>
        <v>215000</v>
      </c>
      <c r="D19" s="27">
        <f>+SUM('Financial Statement'!D151:D153)*-1</f>
        <v>83000</v>
      </c>
      <c r="E19" s="27">
        <f>+SUM('Financial Statement'!E151:E153)*-1</f>
        <v>108000</v>
      </c>
      <c r="F19" s="26" cm="1">
        <f t="array" ref="F19">+AVERAGE($C19:$E19/$C$6:$E$6)*$F$6</f>
        <v>180800.1527614168</v>
      </c>
      <c r="G19" s="26" cm="1">
        <f t="array" ref="G19">+AVERAGE($C19:$E19/$C$6:$E$6)*$F$6</f>
        <v>180800.1527614168</v>
      </c>
      <c r="H19" s="26" cm="1">
        <f t="array" ref="H19">+AVERAGE($C19:$E19/$C$6:$E$6)*$F$6</f>
        <v>180800.1527614168</v>
      </c>
      <c r="I19" s="26" cm="1">
        <f t="array" ref="I19">+AVERAGE($C19:$E19/$C$6:$E$6)*$F$6</f>
        <v>180800.1527614168</v>
      </c>
      <c r="J19" s="26" cm="1">
        <f t="array" ref="J19">+AVERAGE($C19:$E19/$C$6:$E$6)*$F$6</f>
        <v>180800.1527614168</v>
      </c>
      <c r="K19" s="26" cm="1">
        <f t="array" ref="K19">+AVERAGE($C19:$E19/$C$6:$E$6)*$F$6</f>
        <v>180800.1527614168</v>
      </c>
      <c r="L19" s="26" cm="1">
        <f t="array" ref="L19">+AVERAGE($C19:$E19/$C$6:$E$6)*$F$6</f>
        <v>180800.1527614168</v>
      </c>
      <c r="M19" s="26" cm="1">
        <f t="array" ref="M19">+AVERAGE($C19:$E19/$C$6:$E$6)*$F$6</f>
        <v>180800.1527614168</v>
      </c>
      <c r="N19" s="26" cm="1">
        <f t="array" ref="N19">+AVERAGE($C19:$E19/$C$6:$E$6)*$F$6</f>
        <v>180800.1527614168</v>
      </c>
      <c r="O19" s="26" cm="1">
        <f t="array" ref="O19">+AVERAGE($C19:$E19/$C$6:$E$6)*$F$6</f>
        <v>180800.1527614168</v>
      </c>
      <c r="P19" s="26" cm="1">
        <f t="array" ref="P19">+AVERAGE($C19:$E19/$C$6:$E$6)*$F$6</f>
        <v>180800.1527614168</v>
      </c>
      <c r="Q19" s="26" cm="1">
        <f t="array" ref="Q19">+AVERAGE($C19:$E19/$C$6:$E$6)*$F$6</f>
        <v>180800.1527614168</v>
      </c>
      <c r="R19" s="26" cm="1">
        <f t="array" ref="R19">+AVERAGE($C19:$E19/$C$6:$E$6)*$F$6</f>
        <v>180800.1527614168</v>
      </c>
      <c r="S19" s="26" cm="1">
        <f t="array" ref="S19">+AVERAGE($C19:$E19/$C$6:$E$6)*$F$6</f>
        <v>180800.1527614168</v>
      </c>
    </row>
    <row r="20" spans="1:19" x14ac:dyDescent="0.2">
      <c r="A20" s="49"/>
      <c r="B20" s="43" t="s">
        <v>180</v>
      </c>
      <c r="E20" s="26">
        <f>(+'Financial Statement'!E66-'Financial Statement'!D66)*-1</f>
        <v>133000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</row>
    <row r="21" spans="1:19" x14ac:dyDescent="0.2">
      <c r="A21" s="49"/>
      <c r="B21" s="43"/>
    </row>
    <row r="22" spans="1:19" x14ac:dyDescent="0.2">
      <c r="A22" s="49"/>
      <c r="B22" s="17" t="s">
        <v>175</v>
      </c>
      <c r="E22" s="26">
        <f>+E16+E18-E19-E20</f>
        <v>453000</v>
      </c>
      <c r="F22" s="26">
        <f t="shared" ref="F22:S22" si="34">+F16+F18-F19-F20</f>
        <v>537556.53579504183</v>
      </c>
      <c r="G22" s="26">
        <f t="shared" si="34"/>
        <v>662129.89632747904</v>
      </c>
      <c r="H22" s="26">
        <f t="shared" si="34"/>
        <v>790036.25315455068</v>
      </c>
      <c r="I22" s="26">
        <f t="shared" si="34"/>
        <v>927122.37571582641</v>
      </c>
      <c r="J22" s="26">
        <f t="shared" si="34"/>
        <v>1099210.9448988398</v>
      </c>
      <c r="K22" s="26">
        <f t="shared" si="34"/>
        <v>1290453.5555945484</v>
      </c>
      <c r="L22" s="26">
        <f t="shared" si="34"/>
        <v>1509122.5528262085</v>
      </c>
      <c r="M22" s="26">
        <f t="shared" si="34"/>
        <v>1764493.5201987755</v>
      </c>
      <c r="N22" s="26">
        <f t="shared" si="34"/>
        <v>2055734.3424851608</v>
      </c>
      <c r="O22" s="26">
        <f t="shared" si="34"/>
        <v>2390808.7628665813</v>
      </c>
      <c r="P22" s="26">
        <f t="shared" si="34"/>
        <v>2777105.0598382936</v>
      </c>
      <c r="Q22" s="26">
        <f t="shared" si="34"/>
        <v>3220544.2425271934</v>
      </c>
      <c r="R22" s="26">
        <f t="shared" si="34"/>
        <v>3730690.3165055001</v>
      </c>
      <c r="S22" s="26">
        <f t="shared" si="34"/>
        <v>4317565.2114514904</v>
      </c>
    </row>
    <row r="23" spans="1:19" x14ac:dyDescent="0.2">
      <c r="A23" s="49"/>
      <c r="B23" s="42" t="s">
        <v>176</v>
      </c>
      <c r="C23" s="19"/>
      <c r="D23" s="19"/>
      <c r="E23" s="45">
        <v>0</v>
      </c>
      <c r="F23" s="45">
        <f>+E23+1</f>
        <v>1</v>
      </c>
      <c r="G23" s="45">
        <f t="shared" ref="G23:S23" si="35">+F23+1</f>
        <v>2</v>
      </c>
      <c r="H23" s="45">
        <f t="shared" si="35"/>
        <v>3</v>
      </c>
      <c r="I23" s="45">
        <f t="shared" si="35"/>
        <v>4</v>
      </c>
      <c r="J23" s="45">
        <f t="shared" si="35"/>
        <v>5</v>
      </c>
      <c r="K23" s="45">
        <f t="shared" si="35"/>
        <v>6</v>
      </c>
      <c r="L23" s="45">
        <f t="shared" si="35"/>
        <v>7</v>
      </c>
      <c r="M23" s="45">
        <f t="shared" si="35"/>
        <v>8</v>
      </c>
      <c r="N23" s="45">
        <f t="shared" si="35"/>
        <v>9</v>
      </c>
      <c r="O23" s="45">
        <f t="shared" si="35"/>
        <v>10</v>
      </c>
      <c r="P23" s="45">
        <f t="shared" si="35"/>
        <v>11</v>
      </c>
      <c r="Q23" s="45">
        <f t="shared" si="35"/>
        <v>12</v>
      </c>
      <c r="R23" s="45">
        <f t="shared" si="35"/>
        <v>13</v>
      </c>
      <c r="S23" s="45">
        <f t="shared" si="35"/>
        <v>14</v>
      </c>
    </row>
    <row r="24" spans="1:19" ht="15" x14ac:dyDescent="0.35">
      <c r="A24" s="49"/>
      <c r="B24" s="17" t="s">
        <v>177</v>
      </c>
      <c r="E24" s="26">
        <f>+E22/(1+$C$41)^E23</f>
        <v>453000</v>
      </c>
      <c r="F24" s="26">
        <f t="shared" ref="F24:S24" si="36">+F22/(1+$C$41)^F23</f>
        <v>446424.04348626034</v>
      </c>
      <c r="G24" s="26">
        <f t="shared" si="36"/>
        <v>456656.93557268311</v>
      </c>
      <c r="H24" s="26">
        <f t="shared" si="36"/>
        <v>452498.67450328253</v>
      </c>
      <c r="I24" s="26">
        <f t="shared" si="36"/>
        <v>440992.07378265017</v>
      </c>
      <c r="J24" s="26">
        <f t="shared" si="36"/>
        <v>434208.37439363363</v>
      </c>
      <c r="K24" s="26">
        <f t="shared" si="36"/>
        <v>423333.81467579119</v>
      </c>
      <c r="L24" s="26">
        <f t="shared" si="36"/>
        <v>411138.85409895278</v>
      </c>
      <c r="M24" s="26">
        <f t="shared" si="36"/>
        <v>399215.60558367998</v>
      </c>
      <c r="N24" s="26">
        <f t="shared" si="36"/>
        <v>386258.33432708652</v>
      </c>
      <c r="O24" s="26">
        <f t="shared" si="36"/>
        <v>373060.39128470677</v>
      </c>
      <c r="P24" s="26">
        <f t="shared" si="36"/>
        <v>359873.64478582895</v>
      </c>
      <c r="Q24" s="26">
        <f t="shared" si="36"/>
        <v>346585.53457967885</v>
      </c>
      <c r="R24" s="26">
        <f t="shared" si="36"/>
        <v>333421.64746811817</v>
      </c>
      <c r="S24" s="47">
        <f t="shared" si="36"/>
        <v>320454.90924589959</v>
      </c>
    </row>
    <row r="25" spans="1:19" x14ac:dyDescent="0.2">
      <c r="A25" s="49"/>
      <c r="S25" s="18">
        <f>+SUM(E24:S24)</f>
        <v>6037122.8377882522</v>
      </c>
    </row>
    <row r="26" spans="1:19" x14ac:dyDescent="0.2">
      <c r="A26" s="49"/>
    </row>
    <row r="27" spans="1:19" x14ac:dyDescent="0.2">
      <c r="A27" s="49"/>
    </row>
    <row r="28" spans="1:19" x14ac:dyDescent="0.2">
      <c r="A28" s="49"/>
    </row>
    <row r="29" spans="1:19" x14ac:dyDescent="0.2">
      <c r="A29" s="49"/>
    </row>
    <row r="30" spans="1:19" x14ac:dyDescent="0.2">
      <c r="A30" s="49" t="s">
        <v>35</v>
      </c>
      <c r="B30" t="s">
        <v>152</v>
      </c>
      <c r="C30" s="27">
        <f>+SLOPE(df!D3:D153,df!E3:E153)</f>
        <v>3.7791591691033704</v>
      </c>
    </row>
    <row r="31" spans="1:19" x14ac:dyDescent="0.2">
      <c r="A31" s="49"/>
      <c r="B31" t="s">
        <v>163</v>
      </c>
      <c r="C31" s="34">
        <v>93.11</v>
      </c>
    </row>
    <row r="32" spans="1:19" x14ac:dyDescent="0.2">
      <c r="A32" s="49"/>
      <c r="B32" t="s">
        <v>164</v>
      </c>
      <c r="C32" s="27">
        <f>+'Financial Statement'!E103</f>
        <v>1025234</v>
      </c>
    </row>
    <row r="33" spans="1:4" x14ac:dyDescent="0.2">
      <c r="A33" s="49"/>
      <c r="B33" t="s">
        <v>165</v>
      </c>
      <c r="C33" s="27">
        <f>+C31*C32</f>
        <v>95459537.739999995</v>
      </c>
      <c r="D33" s="38">
        <f>+C33/SUM($C$33:$C$34)</f>
        <v>1</v>
      </c>
    </row>
    <row r="34" spans="1:4" x14ac:dyDescent="0.2">
      <c r="A34" s="49"/>
      <c r="B34" t="s">
        <v>166</v>
      </c>
      <c r="C34" s="37">
        <v>0</v>
      </c>
      <c r="D34" s="39">
        <f>+C34/SUM($C$33:$C$34)</f>
        <v>0</v>
      </c>
    </row>
    <row r="35" spans="1:4" x14ac:dyDescent="0.2">
      <c r="A35" s="49"/>
      <c r="B35" t="s">
        <v>169</v>
      </c>
      <c r="C35" s="35">
        <v>4.6170000000000003E-2</v>
      </c>
    </row>
    <row r="36" spans="1:4" x14ac:dyDescent="0.2">
      <c r="A36" s="49"/>
      <c r="B36" s="32" t="s">
        <v>168</v>
      </c>
      <c r="C36" s="35">
        <v>4.1799999999999997E-2</v>
      </c>
    </row>
    <row r="37" spans="1:4" x14ac:dyDescent="0.2">
      <c r="A37" s="49"/>
      <c r="B37" t="s">
        <v>167</v>
      </c>
      <c r="C37" s="33">
        <f>+C35+C30*C36</f>
        <v>0.20413885326852088</v>
      </c>
    </row>
    <row r="38" spans="1:4" x14ac:dyDescent="0.2">
      <c r="A38" s="49"/>
      <c r="B38" t="s">
        <v>170</v>
      </c>
      <c r="C38" s="35">
        <v>0</v>
      </c>
    </row>
    <row r="39" spans="1:4" x14ac:dyDescent="0.2">
      <c r="A39" s="49"/>
      <c r="B39" t="s">
        <v>172</v>
      </c>
      <c r="C39" s="41" cm="1">
        <f t="array" ref="C39">+AVERAGE(C15:E15/SUM(C12:E14))</f>
        <v>0.22367703218767052</v>
      </c>
    </row>
    <row r="40" spans="1:4" x14ac:dyDescent="0.2">
      <c r="A40" s="49"/>
    </row>
    <row r="41" spans="1:4" x14ac:dyDescent="0.2">
      <c r="A41" s="49"/>
      <c r="B41" s="36" t="s">
        <v>171</v>
      </c>
      <c r="C41" s="40">
        <f>+(D33*C37)+(D34*C38)*(1-C39)</f>
        <v>0.20413885326852088</v>
      </c>
    </row>
    <row r="42" spans="1:4" x14ac:dyDescent="0.2">
      <c r="A42" s="49"/>
    </row>
    <row r="43" spans="1:4" x14ac:dyDescent="0.2">
      <c r="A43" s="49"/>
      <c r="B43" t="s">
        <v>173</v>
      </c>
      <c r="C43" s="35">
        <v>0.15</v>
      </c>
      <c r="D43" s="49" t="s">
        <v>185</v>
      </c>
    </row>
    <row r="44" spans="1:4" x14ac:dyDescent="0.2">
      <c r="A44" s="49"/>
      <c r="B44" t="s">
        <v>174</v>
      </c>
      <c r="C44" s="26">
        <f>(+S22*(1+C43))/(C41-C43)</f>
        <v>91712322.914239421</v>
      </c>
    </row>
    <row r="45" spans="1:4" x14ac:dyDescent="0.2">
      <c r="A45" s="49"/>
      <c r="B45" t="s">
        <v>182</v>
      </c>
      <c r="C45" s="26">
        <f>+C44+S25</f>
        <v>97749445.752027676</v>
      </c>
    </row>
    <row r="46" spans="1:4" x14ac:dyDescent="0.2">
      <c r="A46" s="49"/>
      <c r="B46" s="48" t="s">
        <v>183</v>
      </c>
      <c r="C46" s="44">
        <v>0</v>
      </c>
    </row>
    <row r="47" spans="1:4" x14ac:dyDescent="0.2">
      <c r="A47" s="49"/>
      <c r="B47" t="s">
        <v>184</v>
      </c>
      <c r="C47" s="26">
        <f>+C45-C46</f>
        <v>97749445.752027676</v>
      </c>
    </row>
    <row r="48" spans="1:4" x14ac:dyDescent="0.2">
      <c r="A48" s="49"/>
    </row>
    <row r="49" spans="1:3" x14ac:dyDescent="0.2">
      <c r="A49" s="49" t="s">
        <v>35</v>
      </c>
      <c r="B49" t="s">
        <v>163</v>
      </c>
      <c r="C49" s="26">
        <f>+C47/C32</f>
        <v>95.343546694732794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9EF9-DD2F-429E-AD90-7E462BC3DF05}">
  <dimension ref="A4:H169"/>
  <sheetViews>
    <sheetView showGridLines="0" topLeftCell="A24" workbookViewId="0">
      <selection activeCell="D66" sqref="D66"/>
    </sheetView>
  </sheetViews>
  <sheetFormatPr defaultRowHeight="12.75" outlineLevelRow="1" x14ac:dyDescent="0.2"/>
  <cols>
    <col min="1" max="1" width="1.7109375" style="6" customWidth="1"/>
    <col min="2" max="2" width="68.5703125" style="1" bestFit="1" customWidth="1"/>
    <col min="3" max="5" width="13.5703125" style="1" customWidth="1"/>
    <col min="6" max="201" width="12" style="1" customWidth="1"/>
    <col min="202" max="16384" width="9.140625" style="1"/>
  </cols>
  <sheetData>
    <row r="4" spans="1:5" x14ac:dyDescent="0.2">
      <c r="B4" s="11" t="s">
        <v>144</v>
      </c>
    </row>
    <row r="5" spans="1:5" ht="20.25" x14ac:dyDescent="0.3">
      <c r="B5" s="10" t="s">
        <v>143</v>
      </c>
    </row>
    <row r="7" spans="1:5" x14ac:dyDescent="0.2">
      <c r="B7" s="9" t="s">
        <v>142</v>
      </c>
    </row>
    <row r="10" spans="1:5" x14ac:dyDescent="0.2">
      <c r="B10" s="8" t="s">
        <v>141</v>
      </c>
    </row>
    <row r="11" spans="1:5" x14ac:dyDescent="0.2">
      <c r="B11" s="4" t="s">
        <v>81</v>
      </c>
      <c r="C11" s="7">
        <v>2021</v>
      </c>
      <c r="D11" s="5">
        <f>+C11+1</f>
        <v>2022</v>
      </c>
      <c r="E11" s="5">
        <f>+D11+1</f>
        <v>2023</v>
      </c>
    </row>
    <row r="12" spans="1:5" x14ac:dyDescent="0.2">
      <c r="B12" s="4" t="s">
        <v>78</v>
      </c>
      <c r="D12" s="5" t="s">
        <v>77</v>
      </c>
      <c r="E12" s="5" t="s">
        <v>77</v>
      </c>
    </row>
    <row r="13" spans="1:5" x14ac:dyDescent="0.2">
      <c r="B13" s="4" t="s">
        <v>76</v>
      </c>
      <c r="D13" s="5" t="s">
        <v>75</v>
      </c>
      <c r="E13" s="5" t="s">
        <v>75</v>
      </c>
    </row>
    <row r="14" spans="1:5" x14ac:dyDescent="0.2">
      <c r="B14" s="4" t="s">
        <v>74</v>
      </c>
      <c r="D14" s="5" t="s">
        <v>73</v>
      </c>
      <c r="E14" s="5" t="s">
        <v>73</v>
      </c>
    </row>
    <row r="15" spans="1:5" x14ac:dyDescent="0.2">
      <c r="B15" s="4" t="s">
        <v>72</v>
      </c>
      <c r="D15" s="5" t="s">
        <v>71</v>
      </c>
      <c r="E15" s="5" t="s">
        <v>71</v>
      </c>
    </row>
    <row r="16" spans="1:5" x14ac:dyDescent="0.2">
      <c r="A16" s="6" t="s">
        <v>35</v>
      </c>
      <c r="B16" s="3" t="s">
        <v>70</v>
      </c>
      <c r="C16" s="7"/>
      <c r="D16" s="12">
        <v>1004000</v>
      </c>
      <c r="E16" s="12">
        <v>1554000</v>
      </c>
    </row>
    <row r="17" spans="1:5" x14ac:dyDescent="0.2">
      <c r="B17" s="2" t="s">
        <v>10</v>
      </c>
      <c r="D17" s="13">
        <v>631000</v>
      </c>
      <c r="E17" s="13">
        <v>661000</v>
      </c>
    </row>
    <row r="18" spans="1:5" x14ac:dyDescent="0.2">
      <c r="B18" s="2" t="s">
        <v>69</v>
      </c>
      <c r="D18" s="13">
        <v>733000</v>
      </c>
      <c r="E18" s="13">
        <v>625000</v>
      </c>
    </row>
    <row r="19" spans="1:5" x14ac:dyDescent="0.2">
      <c r="B19" s="2" t="s">
        <v>68</v>
      </c>
      <c r="D19" s="13">
        <v>431000</v>
      </c>
      <c r="E19" s="13">
        <v>377000</v>
      </c>
    </row>
    <row r="20" spans="1:5" x14ac:dyDescent="0.2">
      <c r="A20" s="6" t="s">
        <v>145</v>
      </c>
      <c r="B20" s="2" t="s">
        <v>67</v>
      </c>
      <c r="D20" s="13">
        <v>1164000</v>
      </c>
      <c r="E20" s="13">
        <v>1002000</v>
      </c>
    </row>
    <row r="21" spans="1:5" x14ac:dyDescent="0.2">
      <c r="B21" s="2" t="s">
        <v>66</v>
      </c>
      <c r="D21" s="13">
        <v>40000</v>
      </c>
      <c r="E21" s="13">
        <v>3000</v>
      </c>
    </row>
    <row r="22" spans="1:5" x14ac:dyDescent="0.2">
      <c r="B22" s="2" t="s">
        <v>11</v>
      </c>
      <c r="D22" s="13">
        <v>1124000</v>
      </c>
      <c r="E22" s="13">
        <v>999000</v>
      </c>
    </row>
    <row r="23" spans="1:5" x14ac:dyDescent="0.2">
      <c r="B23" s="2" t="s">
        <v>12</v>
      </c>
      <c r="D23" s="13">
        <v>166000</v>
      </c>
      <c r="E23" s="13">
        <v>154000</v>
      </c>
    </row>
    <row r="24" spans="1:5" x14ac:dyDescent="0.2">
      <c r="B24" s="2" t="s">
        <v>65</v>
      </c>
      <c r="D24" s="13">
        <v>167000</v>
      </c>
      <c r="E24" s="13">
        <v>169000</v>
      </c>
    </row>
    <row r="25" spans="1:5" x14ac:dyDescent="0.2">
      <c r="A25" s="6" t="s">
        <v>35</v>
      </c>
      <c r="B25" s="3" t="s">
        <v>13</v>
      </c>
      <c r="C25" s="7"/>
      <c r="D25" s="12">
        <v>3092000</v>
      </c>
      <c r="E25" s="12">
        <v>3537000</v>
      </c>
    </row>
    <row r="26" spans="1:5" x14ac:dyDescent="0.2">
      <c r="B26" s="2" t="s">
        <v>64</v>
      </c>
      <c r="D26" s="13">
        <v>75000</v>
      </c>
      <c r="E26" s="13">
        <v>75000</v>
      </c>
    </row>
    <row r="27" spans="1:5" x14ac:dyDescent="0.2">
      <c r="B27" s="2" t="s">
        <v>63</v>
      </c>
      <c r="D27" s="13">
        <v>182000</v>
      </c>
      <c r="E27" s="13">
        <v>162000</v>
      </c>
    </row>
    <row r="28" spans="1:5" x14ac:dyDescent="0.2">
      <c r="B28" s="2" t="s">
        <v>62</v>
      </c>
      <c r="D28" s="13">
        <v>319000</v>
      </c>
      <c r="E28" s="13">
        <v>368000</v>
      </c>
    </row>
    <row r="29" spans="1:5" x14ac:dyDescent="0.2">
      <c r="B29" s="2" t="s">
        <v>61</v>
      </c>
      <c r="D29" s="13">
        <v>53000</v>
      </c>
      <c r="E29" s="13">
        <v>53000</v>
      </c>
    </row>
    <row r="30" spans="1:5" x14ac:dyDescent="0.2">
      <c r="B30" s="2" t="s">
        <v>60</v>
      </c>
      <c r="D30" s="13">
        <v>629000</v>
      </c>
      <c r="E30" s="13">
        <v>658000</v>
      </c>
    </row>
    <row r="31" spans="1:5" x14ac:dyDescent="0.2">
      <c r="B31" s="2" t="s">
        <v>59</v>
      </c>
      <c r="D31" s="13">
        <v>441000</v>
      </c>
      <c r="E31" s="13">
        <v>473000</v>
      </c>
    </row>
    <row r="32" spans="1:5" x14ac:dyDescent="0.2">
      <c r="B32" s="2" t="s">
        <v>58</v>
      </c>
      <c r="D32" s="13">
        <v>188000</v>
      </c>
      <c r="E32" s="13">
        <v>185000</v>
      </c>
    </row>
    <row r="33" spans="1:5" x14ac:dyDescent="0.2">
      <c r="B33" s="2" t="s">
        <v>14</v>
      </c>
      <c r="D33" s="13">
        <v>229000</v>
      </c>
      <c r="E33" s="13">
        <v>206000</v>
      </c>
    </row>
    <row r="34" spans="1:5" x14ac:dyDescent="0.2">
      <c r="B34" s="2" t="s">
        <v>15</v>
      </c>
      <c r="D34" s="13">
        <v>736000</v>
      </c>
      <c r="E34" s="13">
        <v>723000</v>
      </c>
    </row>
    <row r="35" spans="1:5" x14ac:dyDescent="0.2">
      <c r="B35" s="2" t="s">
        <v>16</v>
      </c>
      <c r="D35" s="13">
        <v>1636000</v>
      </c>
      <c r="E35" s="13">
        <v>1620000</v>
      </c>
    </row>
    <row r="36" spans="1:5" x14ac:dyDescent="0.2">
      <c r="B36" s="2" t="s">
        <v>17</v>
      </c>
      <c r="D36" s="13">
        <v>205000</v>
      </c>
      <c r="E36" s="13">
        <v>138000</v>
      </c>
    </row>
    <row r="37" spans="1:5" x14ac:dyDescent="0.2">
      <c r="B37" s="2" t="s">
        <v>18</v>
      </c>
      <c r="D37" s="13">
        <v>135000</v>
      </c>
      <c r="E37" s="13">
        <v>139000</v>
      </c>
    </row>
    <row r="38" spans="1:5" x14ac:dyDescent="0.2">
      <c r="B38" s="2" t="s">
        <v>19</v>
      </c>
      <c r="D38" s="13">
        <v>100000</v>
      </c>
      <c r="E38" s="13">
        <v>116000</v>
      </c>
    </row>
    <row r="39" spans="1:5" x14ac:dyDescent="0.2">
      <c r="B39" s="2" t="s">
        <v>20</v>
      </c>
      <c r="D39" s="13">
        <v>189000</v>
      </c>
      <c r="E39" s="13">
        <v>202000</v>
      </c>
    </row>
    <row r="40" spans="1:5" x14ac:dyDescent="0.2">
      <c r="B40" s="2" t="s">
        <v>21</v>
      </c>
      <c r="D40" s="13">
        <v>3418000</v>
      </c>
      <c r="E40" s="13">
        <v>3329000</v>
      </c>
    </row>
    <row r="41" spans="1:5" x14ac:dyDescent="0.2">
      <c r="A41" s="6" t="s">
        <v>35</v>
      </c>
      <c r="B41" s="3" t="s">
        <v>22</v>
      </c>
      <c r="C41" s="7"/>
      <c r="D41" s="12">
        <v>6510000</v>
      </c>
      <c r="E41" s="12">
        <v>6866000</v>
      </c>
    </row>
    <row r="42" spans="1:5" x14ac:dyDescent="0.2">
      <c r="B42" s="2" t="s">
        <v>57</v>
      </c>
      <c r="D42" s="13">
        <v>642000</v>
      </c>
      <c r="E42" s="13">
        <v>589000</v>
      </c>
    </row>
    <row r="43" spans="1:5" x14ac:dyDescent="0.2">
      <c r="B43" s="2" t="s">
        <v>23</v>
      </c>
      <c r="D43" s="13">
        <v>129000</v>
      </c>
      <c r="E43" s="13">
        <v>162000</v>
      </c>
    </row>
    <row r="44" spans="1:5" x14ac:dyDescent="0.2">
      <c r="B44" s="2" t="s">
        <v>24</v>
      </c>
      <c r="D44" s="13">
        <v>334000</v>
      </c>
      <c r="E44" s="13">
        <v>293000</v>
      </c>
    </row>
    <row r="45" spans="1:5" x14ac:dyDescent="0.2">
      <c r="B45" s="2" t="s">
        <v>25</v>
      </c>
      <c r="D45" s="13">
        <v>31000</v>
      </c>
      <c r="E45" s="13">
        <v>26000</v>
      </c>
    </row>
    <row r="46" spans="1:5" x14ac:dyDescent="0.2">
      <c r="B46" s="2" t="s">
        <v>56</v>
      </c>
      <c r="D46" s="13">
        <v>98000</v>
      </c>
      <c r="E46" s="13">
        <v>102000</v>
      </c>
    </row>
    <row r="47" spans="1:5" x14ac:dyDescent="0.2">
      <c r="B47" s="2" t="s">
        <v>55</v>
      </c>
      <c r="D47" s="13">
        <v>57000</v>
      </c>
      <c r="E47" s="13">
        <v>65000</v>
      </c>
    </row>
    <row r="48" spans="1:5" x14ac:dyDescent="0.2">
      <c r="B48" s="2" t="s">
        <v>54</v>
      </c>
      <c r="D48" s="13">
        <v>28000</v>
      </c>
      <c r="E48" s="13">
        <v>17000</v>
      </c>
    </row>
    <row r="49" spans="1:5" x14ac:dyDescent="0.2">
      <c r="B49" s="2" t="s">
        <v>53</v>
      </c>
      <c r="D49" s="13">
        <v>26000</v>
      </c>
      <c r="E49" s="14" t="s">
        <v>52</v>
      </c>
    </row>
    <row r="50" spans="1:5" x14ac:dyDescent="0.2">
      <c r="B50" s="2" t="s">
        <v>26</v>
      </c>
      <c r="D50" s="13">
        <v>50000</v>
      </c>
      <c r="E50" s="13">
        <v>109000</v>
      </c>
    </row>
    <row r="51" spans="1:5" x14ac:dyDescent="0.2">
      <c r="B51" s="2" t="s">
        <v>26</v>
      </c>
      <c r="D51" s="13">
        <v>259000</v>
      </c>
      <c r="E51" s="13">
        <v>293000</v>
      </c>
    </row>
    <row r="52" spans="1:5" x14ac:dyDescent="0.2">
      <c r="A52" s="6" t="s">
        <v>35</v>
      </c>
      <c r="B52" s="3" t="s">
        <v>51</v>
      </c>
      <c r="C52" s="7"/>
      <c r="D52" s="12">
        <v>1395000</v>
      </c>
      <c r="E52" s="12">
        <v>1363000</v>
      </c>
    </row>
    <row r="53" spans="1:5" x14ac:dyDescent="0.2">
      <c r="B53" s="2" t="s">
        <v>50</v>
      </c>
      <c r="D53" s="13">
        <v>158000</v>
      </c>
      <c r="E53" s="13">
        <v>152000</v>
      </c>
    </row>
    <row r="54" spans="1:5" x14ac:dyDescent="0.2">
      <c r="B54" s="2" t="s">
        <v>27</v>
      </c>
      <c r="D54" s="13">
        <v>279000</v>
      </c>
      <c r="E54" s="13">
        <v>262000</v>
      </c>
    </row>
    <row r="55" spans="1:5" x14ac:dyDescent="0.2">
      <c r="B55" s="2" t="s">
        <v>28</v>
      </c>
      <c r="D55" s="13">
        <v>792000</v>
      </c>
      <c r="E55" s="13">
        <v>807000</v>
      </c>
    </row>
    <row r="56" spans="1:5" x14ac:dyDescent="0.2">
      <c r="B56" s="2" t="s">
        <v>29</v>
      </c>
      <c r="D56" s="13">
        <v>230000</v>
      </c>
      <c r="E56" s="13">
        <v>193000</v>
      </c>
    </row>
    <row r="57" spans="1:5" x14ac:dyDescent="0.2">
      <c r="B57" s="2" t="s">
        <v>30</v>
      </c>
      <c r="D57" s="13">
        <v>108000</v>
      </c>
      <c r="E57" s="13">
        <v>38000</v>
      </c>
    </row>
    <row r="58" spans="1:5" x14ac:dyDescent="0.2">
      <c r="B58" s="2" t="s">
        <v>31</v>
      </c>
      <c r="D58" s="13">
        <v>1567000</v>
      </c>
      <c r="E58" s="13">
        <v>1452000</v>
      </c>
    </row>
    <row r="59" spans="1:5" x14ac:dyDescent="0.2">
      <c r="B59" s="2" t="s">
        <v>32</v>
      </c>
      <c r="D59" s="13">
        <v>2962000</v>
      </c>
      <c r="E59" s="13">
        <v>2815000</v>
      </c>
    </row>
    <row r="60" spans="1:5" x14ac:dyDescent="0.2">
      <c r="B60" s="2" t="s">
        <v>33</v>
      </c>
      <c r="D60" s="13">
        <v>2000</v>
      </c>
      <c r="E60" s="13">
        <v>2000</v>
      </c>
    </row>
    <row r="61" spans="1:5" x14ac:dyDescent="0.2">
      <c r="B61" s="2" t="s">
        <v>34</v>
      </c>
      <c r="D61" s="13">
        <v>1214000</v>
      </c>
      <c r="E61" s="13">
        <v>1216000</v>
      </c>
    </row>
    <row r="62" spans="1:5" x14ac:dyDescent="0.2">
      <c r="B62" s="2" t="s">
        <v>49</v>
      </c>
      <c r="D62" s="13">
        <v>399000</v>
      </c>
      <c r="E62" s="13">
        <v>376000</v>
      </c>
    </row>
    <row r="63" spans="1:5" x14ac:dyDescent="0.2">
      <c r="B63" s="2" t="s">
        <v>48</v>
      </c>
      <c r="D63" s="13">
        <v>1933000</v>
      </c>
      <c r="E63" s="13">
        <v>2457000</v>
      </c>
    </row>
    <row r="64" spans="1:5" x14ac:dyDescent="0.2">
      <c r="A64" s="6" t="s">
        <v>35</v>
      </c>
      <c r="B64" s="3" t="s">
        <v>47</v>
      </c>
      <c r="C64" s="7"/>
      <c r="D64" s="12">
        <v>3548000</v>
      </c>
      <c r="E64" s="12">
        <v>4051000</v>
      </c>
    </row>
    <row r="65" spans="1:8" x14ac:dyDescent="0.2">
      <c r="B65" s="3"/>
      <c r="C65" s="7"/>
      <c r="D65" s="12"/>
      <c r="E65" s="12"/>
    </row>
    <row r="66" spans="1:8" x14ac:dyDescent="0.2">
      <c r="B66" s="3" t="s">
        <v>181</v>
      </c>
      <c r="C66" s="7"/>
      <c r="D66" s="12">
        <f>+D22-D47</f>
        <v>1067000</v>
      </c>
      <c r="E66" s="12">
        <f t="shared" ref="E66" si="0">+E22-E47</f>
        <v>934000</v>
      </c>
    </row>
    <row r="68" spans="1:8" hidden="1" outlineLevel="1" x14ac:dyDescent="0.2">
      <c r="B68" s="8" t="s">
        <v>140</v>
      </c>
    </row>
    <row r="69" spans="1:8" hidden="1" outlineLevel="1" x14ac:dyDescent="0.2">
      <c r="B69" s="4" t="s">
        <v>81</v>
      </c>
      <c r="C69" s="5" t="s">
        <v>104</v>
      </c>
      <c r="D69" s="5" t="s">
        <v>79</v>
      </c>
      <c r="E69" s="5" t="s">
        <v>80</v>
      </c>
      <c r="H69" s="4"/>
    </row>
    <row r="70" spans="1:8" hidden="1" outlineLevel="1" x14ac:dyDescent="0.2">
      <c r="B70" s="4" t="s">
        <v>78</v>
      </c>
      <c r="C70" s="5" t="s">
        <v>77</v>
      </c>
      <c r="D70" s="5" t="s">
        <v>77</v>
      </c>
      <c r="E70" s="5" t="s">
        <v>77</v>
      </c>
      <c r="H70" s="4"/>
    </row>
    <row r="71" spans="1:8" hidden="1" outlineLevel="1" x14ac:dyDescent="0.2">
      <c r="B71" s="4" t="s">
        <v>76</v>
      </c>
      <c r="C71" s="5" t="s">
        <v>75</v>
      </c>
      <c r="D71" s="5" t="s">
        <v>75</v>
      </c>
      <c r="E71" s="5" t="s">
        <v>75</v>
      </c>
      <c r="H71" s="4"/>
    </row>
    <row r="72" spans="1:8" hidden="1" outlineLevel="1" x14ac:dyDescent="0.2">
      <c r="B72" s="4" t="s">
        <v>74</v>
      </c>
      <c r="C72" s="5" t="s">
        <v>73</v>
      </c>
      <c r="D72" s="5" t="s">
        <v>73</v>
      </c>
      <c r="E72" s="5" t="s">
        <v>73</v>
      </c>
      <c r="H72" s="4"/>
    </row>
    <row r="73" spans="1:8" hidden="1" outlineLevel="1" x14ac:dyDescent="0.2">
      <c r="B73" s="4" t="s">
        <v>72</v>
      </c>
      <c r="C73" s="5" t="s">
        <v>71</v>
      </c>
      <c r="D73" s="5" t="s">
        <v>71</v>
      </c>
      <c r="E73" s="5" t="s">
        <v>71</v>
      </c>
      <c r="H73" s="4"/>
    </row>
    <row r="74" spans="1:8" collapsed="1" x14ac:dyDescent="0.2">
      <c r="B74" s="2" t="s">
        <v>0</v>
      </c>
      <c r="C74" s="13">
        <v>1579000</v>
      </c>
      <c r="D74" s="13">
        <v>2219000</v>
      </c>
      <c r="E74" s="13">
        <v>2025000</v>
      </c>
      <c r="H74" s="2"/>
    </row>
    <row r="75" spans="1:8" x14ac:dyDescent="0.2">
      <c r="B75" s="2" t="s">
        <v>1</v>
      </c>
      <c r="C75" s="13">
        <v>448000</v>
      </c>
      <c r="D75" s="13">
        <v>484000</v>
      </c>
      <c r="E75" s="13">
        <v>654000</v>
      </c>
      <c r="H75" s="2"/>
    </row>
    <row r="76" spans="1:8" x14ac:dyDescent="0.2">
      <c r="A76" s="6" t="s">
        <v>35</v>
      </c>
      <c r="B76" s="3" t="s">
        <v>129</v>
      </c>
      <c r="C76" s="12">
        <v>2027000</v>
      </c>
      <c r="D76" s="12">
        <v>2703000</v>
      </c>
      <c r="E76" s="12">
        <v>2679000</v>
      </c>
      <c r="H76" s="2"/>
    </row>
    <row r="77" spans="1:8" ht="15" x14ac:dyDescent="0.35">
      <c r="B77" s="2" t="s">
        <v>3</v>
      </c>
      <c r="C77" s="15">
        <v>145000</v>
      </c>
      <c r="D77" s="15">
        <v>131000</v>
      </c>
      <c r="E77" s="15">
        <v>106000</v>
      </c>
      <c r="H77" s="2"/>
    </row>
    <row r="78" spans="1:8" x14ac:dyDescent="0.2">
      <c r="B78" s="3" t="s">
        <v>2</v>
      </c>
      <c r="C78" s="12">
        <v>1882000</v>
      </c>
      <c r="D78" s="12">
        <v>2572000</v>
      </c>
      <c r="E78" s="12">
        <v>2573000</v>
      </c>
      <c r="H78" s="2"/>
    </row>
    <row r="79" spans="1:8" x14ac:dyDescent="0.2">
      <c r="B79" s="2" t="s">
        <v>128</v>
      </c>
      <c r="C79" s="13">
        <v>814000</v>
      </c>
      <c r="D79" s="13">
        <v>995000</v>
      </c>
      <c r="E79" s="13">
        <v>1133000</v>
      </c>
      <c r="H79" s="2"/>
    </row>
    <row r="80" spans="1:8" x14ac:dyDescent="0.2">
      <c r="B80" s="2" t="s">
        <v>127</v>
      </c>
      <c r="C80" s="13">
        <v>826000</v>
      </c>
      <c r="D80" s="13">
        <v>897000</v>
      </c>
      <c r="E80" s="13">
        <v>762000</v>
      </c>
      <c r="H80" s="2"/>
    </row>
    <row r="81" spans="2:8" x14ac:dyDescent="0.2">
      <c r="B81" s="2" t="s">
        <v>126</v>
      </c>
      <c r="C81" s="13">
        <v>3000</v>
      </c>
      <c r="D81" s="13">
        <v>21000</v>
      </c>
      <c r="E81" s="14" t="s">
        <v>52</v>
      </c>
      <c r="H81" s="2"/>
    </row>
    <row r="82" spans="2:8" x14ac:dyDescent="0.2">
      <c r="B82" s="2" t="s">
        <v>125</v>
      </c>
      <c r="C82" s="14" t="s">
        <v>52</v>
      </c>
      <c r="D82" s="13">
        <v>26000</v>
      </c>
      <c r="E82" s="13">
        <v>7000</v>
      </c>
      <c r="H82" s="2"/>
    </row>
    <row r="83" spans="2:8" ht="15" x14ac:dyDescent="0.35">
      <c r="B83" s="2" t="s">
        <v>4</v>
      </c>
      <c r="C83" s="15">
        <v>1643000</v>
      </c>
      <c r="D83" s="15">
        <v>1939000</v>
      </c>
      <c r="E83" s="15">
        <v>1902000</v>
      </c>
      <c r="H83" s="2"/>
    </row>
    <row r="84" spans="2:8" x14ac:dyDescent="0.2">
      <c r="B84" s="3" t="s">
        <v>5</v>
      </c>
      <c r="C84" s="12">
        <v>239000</v>
      </c>
      <c r="D84" s="12">
        <v>633000</v>
      </c>
      <c r="E84" s="12">
        <v>671000</v>
      </c>
      <c r="H84" s="2"/>
    </row>
    <row r="85" spans="2:8" x14ac:dyDescent="0.2">
      <c r="B85" s="2" t="s">
        <v>6</v>
      </c>
      <c r="C85" s="13">
        <v>476000</v>
      </c>
      <c r="D85" s="13">
        <v>141000</v>
      </c>
      <c r="E85" s="13">
        <v>-45000</v>
      </c>
      <c r="H85" s="2"/>
    </row>
    <row r="86" spans="2:8" x14ac:dyDescent="0.2">
      <c r="B86" s="2" t="s">
        <v>7</v>
      </c>
      <c r="C86" s="13">
        <v>2000</v>
      </c>
      <c r="D86" s="13">
        <v>2000</v>
      </c>
      <c r="E86" s="13">
        <v>42000</v>
      </c>
      <c r="H86" s="2"/>
    </row>
    <row r="87" spans="2:8" x14ac:dyDescent="0.2">
      <c r="B87" s="2" t="s">
        <v>8</v>
      </c>
      <c r="C87" s="13">
        <v>-20000</v>
      </c>
      <c r="D87" s="13">
        <v>10000</v>
      </c>
      <c r="E87" s="13">
        <v>3000</v>
      </c>
      <c r="F87" s="31"/>
      <c r="H87" s="2"/>
    </row>
    <row r="88" spans="2:8" x14ac:dyDescent="0.2">
      <c r="B88" s="2" t="s">
        <v>124</v>
      </c>
      <c r="C88" s="13">
        <v>468000</v>
      </c>
      <c r="D88" s="13">
        <v>608000</v>
      </c>
      <c r="E88" s="13">
        <v>427000</v>
      </c>
      <c r="H88" s="2"/>
    </row>
    <row r="89" spans="2:8" x14ac:dyDescent="0.2">
      <c r="B89" s="2" t="s">
        <v>123</v>
      </c>
      <c r="C89" s="13">
        <v>229000</v>
      </c>
      <c r="D89" s="13">
        <v>178000</v>
      </c>
      <c r="E89" s="13">
        <v>244000</v>
      </c>
      <c r="H89" s="2"/>
    </row>
    <row r="90" spans="2:8" x14ac:dyDescent="0.2">
      <c r="B90" s="2" t="s">
        <v>122</v>
      </c>
      <c r="C90" s="13">
        <v>697000</v>
      </c>
      <c r="D90" s="13">
        <v>786000</v>
      </c>
      <c r="E90" s="13">
        <v>671000</v>
      </c>
      <c r="H90" s="2"/>
    </row>
    <row r="91" spans="2:8" x14ac:dyDescent="0.2">
      <c r="B91" s="2" t="s">
        <v>121</v>
      </c>
      <c r="C91" s="13">
        <v>30000</v>
      </c>
      <c r="D91" s="13">
        <v>44000</v>
      </c>
      <c r="E91" s="13">
        <v>87000</v>
      </c>
      <c r="H91" s="2"/>
    </row>
    <row r="92" spans="2:8" x14ac:dyDescent="0.2">
      <c r="B92" s="2" t="s">
        <v>120</v>
      </c>
      <c r="C92" s="13">
        <v>143000</v>
      </c>
      <c r="D92" s="13">
        <v>146000</v>
      </c>
      <c r="E92" s="13">
        <v>94000</v>
      </c>
      <c r="H92" s="2"/>
    </row>
    <row r="93" spans="2:8" x14ac:dyDescent="0.2">
      <c r="B93" s="3" t="s">
        <v>119</v>
      </c>
      <c r="C93" s="12">
        <v>173000</v>
      </c>
      <c r="D93" s="12">
        <v>190000</v>
      </c>
      <c r="E93" s="12">
        <v>181000</v>
      </c>
      <c r="H93" s="2"/>
    </row>
    <row r="94" spans="2:8" x14ac:dyDescent="0.2">
      <c r="B94" s="2" t="s">
        <v>118</v>
      </c>
      <c r="C94" s="13">
        <v>63000</v>
      </c>
      <c r="D94" s="13">
        <v>53000</v>
      </c>
      <c r="E94" s="13">
        <v>-25000</v>
      </c>
      <c r="H94" s="2"/>
    </row>
    <row r="95" spans="2:8" x14ac:dyDescent="0.2">
      <c r="B95" s="2" t="s">
        <v>117</v>
      </c>
      <c r="C95" s="13">
        <v>-83000</v>
      </c>
      <c r="D95" s="13">
        <v>-133000</v>
      </c>
      <c r="E95" s="13">
        <v>-9000</v>
      </c>
      <c r="H95" s="2"/>
    </row>
    <row r="96" spans="2:8" x14ac:dyDescent="0.2">
      <c r="B96" s="3" t="s">
        <v>116</v>
      </c>
      <c r="C96" s="12">
        <v>-20000</v>
      </c>
      <c r="D96" s="12">
        <v>-80000</v>
      </c>
      <c r="E96" s="12">
        <v>-34000</v>
      </c>
      <c r="H96" s="2"/>
    </row>
    <row r="97" spans="1:8" ht="15" x14ac:dyDescent="0.35">
      <c r="B97" s="2" t="s">
        <v>115</v>
      </c>
      <c r="C97" s="15">
        <v>153000</v>
      </c>
      <c r="D97" s="15">
        <v>110000</v>
      </c>
      <c r="E97" s="15">
        <v>147000</v>
      </c>
      <c r="H97" s="2"/>
    </row>
    <row r="98" spans="1:8" x14ac:dyDescent="0.2">
      <c r="B98" s="3" t="s">
        <v>114</v>
      </c>
      <c r="C98" s="12">
        <v>544000</v>
      </c>
      <c r="D98" s="12">
        <v>676000</v>
      </c>
      <c r="E98" s="12">
        <v>524000</v>
      </c>
      <c r="H98" s="2"/>
    </row>
    <row r="99" spans="1:8" x14ac:dyDescent="0.2">
      <c r="B99" s="2" t="s">
        <v>113</v>
      </c>
      <c r="C99" s="13">
        <v>-194000</v>
      </c>
      <c r="D99" s="13">
        <v>-99000</v>
      </c>
      <c r="E99" s="14" t="s">
        <v>52</v>
      </c>
      <c r="H99" s="2"/>
    </row>
    <row r="100" spans="1:8" x14ac:dyDescent="0.2">
      <c r="B100" s="2" t="s">
        <v>112</v>
      </c>
      <c r="C100" s="13">
        <v>38000</v>
      </c>
      <c r="D100" s="13">
        <v>-28000</v>
      </c>
      <c r="E100" s="14" t="s">
        <v>52</v>
      </c>
      <c r="H100" s="2"/>
    </row>
    <row r="101" spans="1:8" ht="15" x14ac:dyDescent="0.35">
      <c r="B101" s="2" t="s">
        <v>111</v>
      </c>
      <c r="C101" s="15">
        <v>-156000</v>
      </c>
      <c r="D101" s="15">
        <v>-127000</v>
      </c>
      <c r="E101" s="16" t="s">
        <v>52</v>
      </c>
      <c r="H101" s="2"/>
    </row>
    <row r="102" spans="1:8" x14ac:dyDescent="0.2">
      <c r="A102" s="6" t="s">
        <v>35</v>
      </c>
      <c r="B102" s="3" t="s">
        <v>9</v>
      </c>
      <c r="C102" s="12">
        <v>388000</v>
      </c>
      <c r="D102" s="12">
        <v>549000</v>
      </c>
      <c r="E102" s="12">
        <v>524000</v>
      </c>
      <c r="H102" s="2"/>
    </row>
    <row r="103" spans="1:8" x14ac:dyDescent="0.2">
      <c r="B103" s="2" t="s">
        <v>139</v>
      </c>
      <c r="C103" s="13">
        <v>1025234</v>
      </c>
      <c r="D103" s="13">
        <v>1025234</v>
      </c>
      <c r="E103" s="13">
        <v>1025234</v>
      </c>
      <c r="H103" s="2"/>
    </row>
    <row r="104" spans="1:8" x14ac:dyDescent="0.2">
      <c r="B104" s="2" t="s">
        <v>138</v>
      </c>
      <c r="C104" s="13">
        <v>1025234</v>
      </c>
      <c r="D104" s="13">
        <v>1025234</v>
      </c>
      <c r="E104" s="13">
        <v>1027505.008</v>
      </c>
      <c r="H104" s="2"/>
    </row>
    <row r="105" spans="1:8" x14ac:dyDescent="0.2">
      <c r="B105" s="2" t="s">
        <v>110</v>
      </c>
      <c r="C105" s="13">
        <v>1025234</v>
      </c>
      <c r="D105" s="13">
        <v>1025234</v>
      </c>
      <c r="E105" s="13">
        <v>1025234</v>
      </c>
      <c r="H105" s="2"/>
    </row>
    <row r="106" spans="1:8" x14ac:dyDescent="0.2">
      <c r="B106" s="2" t="s">
        <v>137</v>
      </c>
      <c r="C106" s="13">
        <v>0.53</v>
      </c>
      <c r="D106" s="13">
        <v>0.66</v>
      </c>
      <c r="E106" s="13">
        <v>0.51</v>
      </c>
      <c r="H106" s="2"/>
    </row>
    <row r="107" spans="1:8" x14ac:dyDescent="0.2">
      <c r="B107" s="2" t="s">
        <v>134</v>
      </c>
      <c r="C107" s="13">
        <v>-0.15</v>
      </c>
      <c r="D107" s="13">
        <v>-0.12</v>
      </c>
      <c r="E107" s="14" t="s">
        <v>52</v>
      </c>
      <c r="H107" s="2"/>
    </row>
    <row r="108" spans="1:8" x14ac:dyDescent="0.2">
      <c r="B108" s="2" t="s">
        <v>136</v>
      </c>
      <c r="C108" s="13">
        <v>0.38</v>
      </c>
      <c r="D108" s="13">
        <v>0.54</v>
      </c>
      <c r="E108" s="13">
        <v>0.51</v>
      </c>
      <c r="H108" s="2"/>
    </row>
    <row r="109" spans="1:8" x14ac:dyDescent="0.2">
      <c r="B109" s="2" t="s">
        <v>135</v>
      </c>
      <c r="C109" s="13">
        <v>0.53</v>
      </c>
      <c r="D109" s="13">
        <v>0.66</v>
      </c>
      <c r="E109" s="13">
        <v>0.51</v>
      </c>
      <c r="H109" s="2"/>
    </row>
    <row r="110" spans="1:8" x14ac:dyDescent="0.2">
      <c r="B110" s="2" t="s">
        <v>134</v>
      </c>
      <c r="C110" s="13">
        <v>-0.15</v>
      </c>
      <c r="D110" s="13">
        <v>-0.12</v>
      </c>
      <c r="E110" s="14" t="s">
        <v>52</v>
      </c>
      <c r="H110" s="2"/>
    </row>
    <row r="111" spans="1:8" x14ac:dyDescent="0.2">
      <c r="B111" s="2" t="s">
        <v>133</v>
      </c>
      <c r="C111" s="13">
        <v>0.38</v>
      </c>
      <c r="D111" s="13">
        <v>0.54</v>
      </c>
      <c r="E111" s="13">
        <v>0.51</v>
      </c>
      <c r="H111" s="2"/>
    </row>
    <row r="112" spans="1:8" x14ac:dyDescent="0.2">
      <c r="B112" s="2" t="s">
        <v>132</v>
      </c>
      <c r="C112" s="13">
        <v>0.73</v>
      </c>
      <c r="D112" s="14" t="s">
        <v>52</v>
      </c>
      <c r="E112" s="14" t="s">
        <v>52</v>
      </c>
      <c r="H112" s="2"/>
    </row>
    <row r="113" spans="1:8" x14ac:dyDescent="0.2">
      <c r="B113" s="2" t="s">
        <v>109</v>
      </c>
      <c r="C113" s="13">
        <v>6367</v>
      </c>
      <c r="D113" s="13">
        <v>6329</v>
      </c>
      <c r="E113" s="13">
        <v>5963</v>
      </c>
      <c r="H113" s="2"/>
    </row>
    <row r="115" spans="1:8" hidden="1" outlineLevel="1" x14ac:dyDescent="0.2">
      <c r="B115" s="8" t="s">
        <v>131</v>
      </c>
    </row>
    <row r="116" spans="1:8" hidden="1" outlineLevel="1" x14ac:dyDescent="0.2">
      <c r="B116" s="4" t="s">
        <v>81</v>
      </c>
      <c r="C116" s="5" t="s">
        <v>104</v>
      </c>
      <c r="D116" s="5" t="s">
        <v>79</v>
      </c>
      <c r="E116" s="5" t="s">
        <v>80</v>
      </c>
      <c r="H116" s="4"/>
    </row>
    <row r="117" spans="1:8" hidden="1" outlineLevel="1" x14ac:dyDescent="0.2">
      <c r="B117" s="4" t="s">
        <v>78</v>
      </c>
      <c r="C117" s="5" t="s">
        <v>77</v>
      </c>
      <c r="D117" s="5" t="s">
        <v>77</v>
      </c>
      <c r="E117" s="5" t="s">
        <v>77</v>
      </c>
      <c r="H117" s="4"/>
    </row>
    <row r="118" spans="1:8" hidden="1" outlineLevel="1" x14ac:dyDescent="0.2">
      <c r="B118" s="4" t="s">
        <v>76</v>
      </c>
      <c r="C118" s="5" t="s">
        <v>75</v>
      </c>
      <c r="D118" s="5" t="s">
        <v>75</v>
      </c>
      <c r="E118" s="5" t="s">
        <v>75</v>
      </c>
      <c r="H118" s="4"/>
    </row>
    <row r="119" spans="1:8" hidden="1" outlineLevel="1" x14ac:dyDescent="0.2">
      <c r="B119" s="4" t="s">
        <v>74</v>
      </c>
      <c r="C119" s="5" t="s">
        <v>73</v>
      </c>
      <c r="D119" s="5" t="s">
        <v>73</v>
      </c>
      <c r="E119" s="5" t="s">
        <v>73</v>
      </c>
      <c r="H119" s="4"/>
    </row>
    <row r="120" spans="1:8" hidden="1" outlineLevel="1" x14ac:dyDescent="0.2">
      <c r="B120" s="4" t="s">
        <v>72</v>
      </c>
      <c r="C120" s="5" t="s">
        <v>71</v>
      </c>
      <c r="D120" s="5" t="s">
        <v>71</v>
      </c>
      <c r="E120" s="5" t="s">
        <v>71</v>
      </c>
      <c r="H120" s="4"/>
    </row>
    <row r="121" spans="1:8" collapsed="1" x14ac:dyDescent="0.2">
      <c r="A121" s="6" t="s">
        <v>35</v>
      </c>
      <c r="B121" s="3" t="s">
        <v>108</v>
      </c>
      <c r="C121" s="12">
        <v>2766000</v>
      </c>
      <c r="D121" s="12">
        <v>2404000</v>
      </c>
      <c r="E121" s="12">
        <v>1933000</v>
      </c>
      <c r="H121" s="2"/>
    </row>
    <row r="122" spans="1:8" x14ac:dyDescent="0.2">
      <c r="B122" s="2" t="s">
        <v>107</v>
      </c>
      <c r="C122" s="13">
        <v>750000</v>
      </c>
      <c r="D122" s="14" t="s">
        <v>52</v>
      </c>
      <c r="E122" s="14" t="s">
        <v>52</v>
      </c>
      <c r="H122" s="2"/>
    </row>
    <row r="123" spans="1:8" x14ac:dyDescent="0.2">
      <c r="B123" s="2" t="s">
        <v>106</v>
      </c>
      <c r="C123" s="14" t="s">
        <v>52</v>
      </c>
      <c r="D123" s="13">
        <v>1020000</v>
      </c>
      <c r="E123" s="14" t="s">
        <v>52</v>
      </c>
      <c r="H123" s="2"/>
    </row>
    <row r="124" spans="1:8" x14ac:dyDescent="0.2">
      <c r="B124" s="3" t="s">
        <v>105</v>
      </c>
      <c r="C124" s="12">
        <v>2404000</v>
      </c>
      <c r="D124" s="12">
        <v>1933000</v>
      </c>
      <c r="E124" s="12">
        <v>2457000</v>
      </c>
      <c r="H124" s="2"/>
    </row>
    <row r="126" spans="1:8" hidden="1" outlineLevel="1" x14ac:dyDescent="0.2">
      <c r="B126" s="8" t="s">
        <v>130</v>
      </c>
    </row>
    <row r="127" spans="1:8" hidden="1" outlineLevel="1" x14ac:dyDescent="0.2">
      <c r="B127" s="4" t="s">
        <v>81</v>
      </c>
      <c r="C127" s="5" t="s">
        <v>104</v>
      </c>
      <c r="D127" s="5" t="s">
        <v>79</v>
      </c>
      <c r="E127" s="5" t="s">
        <v>80</v>
      </c>
      <c r="H127" s="4"/>
    </row>
    <row r="128" spans="1:8" hidden="1" outlineLevel="1" x14ac:dyDescent="0.2">
      <c r="B128" s="4" t="s">
        <v>78</v>
      </c>
      <c r="C128" s="5" t="s">
        <v>77</v>
      </c>
      <c r="D128" s="5" t="s">
        <v>77</v>
      </c>
      <c r="E128" s="5" t="s">
        <v>77</v>
      </c>
      <c r="H128" s="4"/>
    </row>
    <row r="129" spans="2:8" hidden="1" outlineLevel="1" x14ac:dyDescent="0.2">
      <c r="B129" s="4" t="s">
        <v>76</v>
      </c>
      <c r="C129" s="5" t="s">
        <v>75</v>
      </c>
      <c r="D129" s="5" t="s">
        <v>75</v>
      </c>
      <c r="E129" s="5" t="s">
        <v>75</v>
      </c>
      <c r="H129" s="4"/>
    </row>
    <row r="130" spans="2:8" hidden="1" outlineLevel="1" x14ac:dyDescent="0.2">
      <c r="B130" s="4" t="s">
        <v>74</v>
      </c>
      <c r="C130" s="5" t="s">
        <v>73</v>
      </c>
      <c r="D130" s="5" t="s">
        <v>73</v>
      </c>
      <c r="E130" s="5" t="s">
        <v>73</v>
      </c>
      <c r="H130" s="4"/>
    </row>
    <row r="131" spans="2:8" hidden="1" outlineLevel="1" x14ac:dyDescent="0.2">
      <c r="B131" s="4" t="s">
        <v>72</v>
      </c>
      <c r="C131" s="5" t="s">
        <v>71</v>
      </c>
      <c r="D131" s="5" t="s">
        <v>71</v>
      </c>
      <c r="E131" s="5" t="s">
        <v>71</v>
      </c>
      <c r="H131" s="4"/>
    </row>
    <row r="132" spans="2:8" collapsed="1" x14ac:dyDescent="0.2">
      <c r="B132" s="3" t="s">
        <v>9</v>
      </c>
      <c r="C132" s="12">
        <v>388000</v>
      </c>
      <c r="D132" s="12">
        <v>549000</v>
      </c>
      <c r="E132" s="12">
        <v>524000</v>
      </c>
      <c r="H132" s="2"/>
    </row>
    <row r="133" spans="2:8" x14ac:dyDescent="0.2">
      <c r="B133" s="2" t="s">
        <v>103</v>
      </c>
      <c r="C133" s="13">
        <v>201000</v>
      </c>
      <c r="D133" s="13">
        <v>185000</v>
      </c>
      <c r="E133" s="13">
        <v>170000</v>
      </c>
      <c r="H133" s="2"/>
    </row>
    <row r="134" spans="2:8" x14ac:dyDescent="0.2">
      <c r="B134" s="2" t="s">
        <v>36</v>
      </c>
      <c r="C134" s="13">
        <v>-33000</v>
      </c>
      <c r="D134" s="13">
        <v>-76000</v>
      </c>
      <c r="E134" s="13">
        <v>-34000</v>
      </c>
      <c r="H134" s="2"/>
    </row>
    <row r="135" spans="2:8" x14ac:dyDescent="0.2">
      <c r="B135" s="2" t="s">
        <v>102</v>
      </c>
      <c r="C135" s="13">
        <v>-476000</v>
      </c>
      <c r="D135" s="13">
        <v>-141000</v>
      </c>
      <c r="E135" s="13">
        <v>45000</v>
      </c>
      <c r="H135" s="2"/>
    </row>
    <row r="136" spans="2:8" x14ac:dyDescent="0.2">
      <c r="B136" s="2" t="s">
        <v>101</v>
      </c>
      <c r="C136" s="13">
        <v>26000</v>
      </c>
      <c r="D136" s="13">
        <v>43000</v>
      </c>
      <c r="E136" s="14" t="s">
        <v>52</v>
      </c>
      <c r="H136" s="2"/>
    </row>
    <row r="137" spans="2:8" x14ac:dyDescent="0.2">
      <c r="B137" s="2" t="s">
        <v>37</v>
      </c>
      <c r="C137" s="13">
        <v>54000</v>
      </c>
      <c r="D137" s="13">
        <v>26000</v>
      </c>
      <c r="E137" s="13">
        <v>79000</v>
      </c>
      <c r="H137" s="2"/>
    </row>
    <row r="138" spans="2:8" x14ac:dyDescent="0.2">
      <c r="B138" s="2" t="s">
        <v>38</v>
      </c>
      <c r="C138" s="13">
        <v>47000</v>
      </c>
      <c r="D138" s="13">
        <v>41000</v>
      </c>
      <c r="E138" s="13">
        <v>34000</v>
      </c>
      <c r="H138" s="2"/>
    </row>
    <row r="139" spans="2:8" x14ac:dyDescent="0.2">
      <c r="B139" s="2" t="s">
        <v>39</v>
      </c>
      <c r="C139" s="13">
        <v>16000</v>
      </c>
      <c r="D139" s="13">
        <v>19000</v>
      </c>
      <c r="E139" s="13">
        <v>-6000</v>
      </c>
      <c r="H139" s="2"/>
    </row>
    <row r="140" spans="2:8" x14ac:dyDescent="0.2">
      <c r="B140" s="2" t="s">
        <v>40</v>
      </c>
      <c r="C140" s="13">
        <v>19000</v>
      </c>
      <c r="D140" s="13">
        <v>-219000</v>
      </c>
      <c r="E140" s="13">
        <v>125000</v>
      </c>
      <c r="H140" s="2"/>
    </row>
    <row r="141" spans="2:8" x14ac:dyDescent="0.2">
      <c r="B141" s="2" t="s">
        <v>12</v>
      </c>
      <c r="C141" s="13">
        <v>-31000</v>
      </c>
      <c r="D141" s="13">
        <v>-158000</v>
      </c>
      <c r="E141" s="13">
        <v>-2000</v>
      </c>
      <c r="H141" s="2"/>
    </row>
    <row r="142" spans="2:8" x14ac:dyDescent="0.2">
      <c r="B142" s="2" t="s">
        <v>100</v>
      </c>
      <c r="C142" s="13">
        <v>-53000</v>
      </c>
      <c r="D142" s="13">
        <v>-41000</v>
      </c>
      <c r="E142" s="13">
        <v>-1000</v>
      </c>
      <c r="H142" s="2"/>
    </row>
    <row r="143" spans="2:8" x14ac:dyDescent="0.2">
      <c r="B143" s="2" t="s">
        <v>57</v>
      </c>
      <c r="C143" s="13">
        <v>144000</v>
      </c>
      <c r="D143" s="13">
        <v>127000</v>
      </c>
      <c r="E143" s="13">
        <v>-138000</v>
      </c>
      <c r="H143" s="2"/>
    </row>
    <row r="144" spans="2:8" x14ac:dyDescent="0.2">
      <c r="B144" s="2" t="s">
        <v>42</v>
      </c>
      <c r="C144" s="13">
        <v>950000</v>
      </c>
      <c r="D144" s="13">
        <v>-51000</v>
      </c>
      <c r="E144" s="13">
        <v>-37000</v>
      </c>
      <c r="H144" s="2"/>
    </row>
    <row r="145" spans="1:8" x14ac:dyDescent="0.2">
      <c r="B145" s="2" t="s">
        <v>23</v>
      </c>
      <c r="C145" s="13">
        <v>-50000</v>
      </c>
      <c r="D145" s="13">
        <v>112000</v>
      </c>
      <c r="E145" s="13">
        <v>35000</v>
      </c>
      <c r="H145" s="2"/>
    </row>
    <row r="146" spans="1:8" x14ac:dyDescent="0.2">
      <c r="B146" s="2" t="s">
        <v>25</v>
      </c>
      <c r="C146" s="13">
        <v>40000</v>
      </c>
      <c r="D146" s="13">
        <v>-59000</v>
      </c>
      <c r="E146" s="13">
        <v>-58000</v>
      </c>
      <c r="H146" s="2"/>
    </row>
    <row r="147" spans="1:8" ht="15" x14ac:dyDescent="0.35">
      <c r="B147" s="2" t="s">
        <v>41</v>
      </c>
      <c r="C147" s="15">
        <v>-9000</v>
      </c>
      <c r="D147" s="15">
        <v>101000</v>
      </c>
      <c r="E147" s="15">
        <v>3000</v>
      </c>
      <c r="H147" s="2"/>
    </row>
    <row r="148" spans="1:8" x14ac:dyDescent="0.2">
      <c r="A148" s="6" t="s">
        <v>35</v>
      </c>
      <c r="B148" s="3" t="s">
        <v>99</v>
      </c>
      <c r="C148" s="12">
        <v>1233000</v>
      </c>
      <c r="D148" s="12">
        <v>458000</v>
      </c>
      <c r="E148" s="12">
        <v>739000</v>
      </c>
      <c r="H148" s="2"/>
    </row>
    <row r="149" spans="1:8" x14ac:dyDescent="0.2">
      <c r="B149" s="2" t="s">
        <v>43</v>
      </c>
      <c r="C149" s="13">
        <v>-235000</v>
      </c>
      <c r="D149" s="13">
        <v>-750000</v>
      </c>
      <c r="E149" s="13">
        <v>-1111000</v>
      </c>
      <c r="H149" s="2"/>
    </row>
    <row r="150" spans="1:8" x14ac:dyDescent="0.2">
      <c r="B150" s="2" t="s">
        <v>44</v>
      </c>
      <c r="C150" s="13">
        <v>110000</v>
      </c>
      <c r="D150" s="13">
        <v>245000</v>
      </c>
      <c r="E150" s="13">
        <v>1081000</v>
      </c>
      <c r="H150" s="2"/>
    </row>
    <row r="151" spans="1:8" x14ac:dyDescent="0.2">
      <c r="B151" s="2" t="s">
        <v>98</v>
      </c>
      <c r="C151" s="13">
        <v>-50000</v>
      </c>
      <c r="D151" s="13">
        <v>-8000</v>
      </c>
      <c r="E151" s="13">
        <v>-15000</v>
      </c>
      <c r="H151" s="2"/>
    </row>
    <row r="152" spans="1:8" x14ac:dyDescent="0.2">
      <c r="B152" s="2" t="s">
        <v>97</v>
      </c>
      <c r="C152" s="13">
        <v>-61000</v>
      </c>
      <c r="D152" s="13">
        <v>-41000</v>
      </c>
      <c r="E152" s="13">
        <v>-29000</v>
      </c>
      <c r="H152" s="2"/>
    </row>
    <row r="153" spans="1:8" x14ac:dyDescent="0.2">
      <c r="B153" s="2" t="s">
        <v>96</v>
      </c>
      <c r="C153" s="13">
        <v>-104000</v>
      </c>
      <c r="D153" s="13">
        <v>-34000</v>
      </c>
      <c r="E153" s="13">
        <v>-64000</v>
      </c>
      <c r="H153" s="2"/>
    </row>
    <row r="154" spans="1:8" ht="15" x14ac:dyDescent="0.35">
      <c r="B154" s="2" t="s">
        <v>95</v>
      </c>
      <c r="C154" s="16" t="s">
        <v>52</v>
      </c>
      <c r="D154" s="15">
        <v>-31000</v>
      </c>
      <c r="E154" s="16" t="s">
        <v>52</v>
      </c>
      <c r="H154" s="2"/>
    </row>
    <row r="155" spans="1:8" x14ac:dyDescent="0.2">
      <c r="A155" s="6" t="s">
        <v>35</v>
      </c>
      <c r="B155" s="3" t="s">
        <v>94</v>
      </c>
      <c r="C155" s="12">
        <v>-340000</v>
      </c>
      <c r="D155" s="12">
        <v>-619000</v>
      </c>
      <c r="E155" s="12">
        <v>-138000</v>
      </c>
      <c r="H155" s="2"/>
    </row>
    <row r="156" spans="1:8" x14ac:dyDescent="0.2">
      <c r="B156" s="2" t="s">
        <v>93</v>
      </c>
      <c r="C156" s="13">
        <v>-750000</v>
      </c>
      <c r="D156" s="14" t="s">
        <v>52</v>
      </c>
      <c r="E156" s="14" t="s">
        <v>52</v>
      </c>
      <c r="H156" s="2"/>
    </row>
    <row r="157" spans="1:8" x14ac:dyDescent="0.2">
      <c r="B157" s="2" t="s">
        <v>92</v>
      </c>
      <c r="C157" s="14" t="s">
        <v>52</v>
      </c>
      <c r="D157" s="13">
        <v>-43000</v>
      </c>
      <c r="E157" s="14" t="s">
        <v>52</v>
      </c>
      <c r="H157" s="2"/>
    </row>
    <row r="158" spans="1:8" x14ac:dyDescent="0.2">
      <c r="B158" s="2" t="s">
        <v>45</v>
      </c>
      <c r="C158" s="13">
        <v>-38000</v>
      </c>
      <c r="D158" s="13">
        <v>-37000</v>
      </c>
      <c r="E158" s="13">
        <v>-40000</v>
      </c>
      <c r="H158" s="2"/>
    </row>
    <row r="159" spans="1:8" x14ac:dyDescent="0.2">
      <c r="B159" s="2" t="s">
        <v>91</v>
      </c>
      <c r="C159" s="14" t="s">
        <v>52</v>
      </c>
      <c r="D159" s="13">
        <v>50000</v>
      </c>
      <c r="E159" s="14" t="s">
        <v>52</v>
      </c>
      <c r="H159" s="2"/>
    </row>
    <row r="160" spans="1:8" ht="15" x14ac:dyDescent="0.35">
      <c r="B160" s="2" t="s">
        <v>46</v>
      </c>
      <c r="C160" s="15">
        <v>-1000</v>
      </c>
      <c r="D160" s="15">
        <v>-2000</v>
      </c>
      <c r="E160" s="15">
        <v>-2000</v>
      </c>
      <c r="H160" s="2"/>
    </row>
    <row r="161" spans="1:8" x14ac:dyDescent="0.2">
      <c r="A161" s="6" t="s">
        <v>35</v>
      </c>
      <c r="B161" s="3" t="s">
        <v>90</v>
      </c>
      <c r="C161" s="12">
        <v>-789000</v>
      </c>
      <c r="D161" s="12">
        <v>-32000</v>
      </c>
      <c r="E161" s="12">
        <v>-42000</v>
      </c>
      <c r="H161" s="2"/>
    </row>
    <row r="162" spans="1:8" x14ac:dyDescent="0.2">
      <c r="B162" s="2" t="s">
        <v>89</v>
      </c>
      <c r="C162" s="13">
        <v>1000</v>
      </c>
      <c r="D162" s="13">
        <v>-17000</v>
      </c>
      <c r="E162" s="13">
        <v>-9000</v>
      </c>
      <c r="H162" s="2"/>
    </row>
    <row r="163" spans="1:8" x14ac:dyDescent="0.2">
      <c r="B163" s="2" t="s">
        <v>88</v>
      </c>
      <c r="C163" s="13">
        <v>105000</v>
      </c>
      <c r="D163" s="13">
        <v>-210000</v>
      </c>
      <c r="E163" s="13">
        <v>550000</v>
      </c>
      <c r="H163" s="2"/>
    </row>
    <row r="164" spans="1:8" x14ac:dyDescent="0.2">
      <c r="B164" s="2" t="s">
        <v>87</v>
      </c>
      <c r="C164" s="13">
        <v>1109000</v>
      </c>
      <c r="D164" s="13">
        <v>1214000</v>
      </c>
      <c r="E164" s="13">
        <v>1004000</v>
      </c>
      <c r="H164" s="2"/>
    </row>
    <row r="165" spans="1:8" x14ac:dyDescent="0.2">
      <c r="B165" s="2" t="s">
        <v>86</v>
      </c>
      <c r="C165" s="13">
        <v>1214000</v>
      </c>
      <c r="D165" s="13">
        <v>1004000</v>
      </c>
      <c r="E165" s="13">
        <v>1554000</v>
      </c>
      <c r="H165" s="2"/>
    </row>
    <row r="166" spans="1:8" x14ac:dyDescent="0.2">
      <c r="B166" s="2" t="s">
        <v>85</v>
      </c>
      <c r="C166" s="13">
        <v>-43000</v>
      </c>
      <c r="D166" s="14" t="s">
        <v>52</v>
      </c>
      <c r="E166" s="14" t="s">
        <v>52</v>
      </c>
      <c r="H166" s="2"/>
    </row>
    <row r="167" spans="1:8" x14ac:dyDescent="0.2">
      <c r="B167" s="2" t="s">
        <v>84</v>
      </c>
      <c r="C167" s="13">
        <v>1171000</v>
      </c>
      <c r="D167" s="13">
        <v>1004000</v>
      </c>
      <c r="E167" s="13">
        <v>1554000</v>
      </c>
      <c r="H167" s="2"/>
    </row>
    <row r="168" spans="1:8" x14ac:dyDescent="0.2">
      <c r="B168" s="2" t="s">
        <v>83</v>
      </c>
      <c r="C168" s="13">
        <v>174000</v>
      </c>
      <c r="D168" s="13">
        <v>141000</v>
      </c>
      <c r="E168" s="13">
        <v>159000</v>
      </c>
      <c r="H168" s="2"/>
    </row>
    <row r="169" spans="1:8" x14ac:dyDescent="0.2">
      <c r="B169" s="2" t="s">
        <v>82</v>
      </c>
      <c r="C169" s="13">
        <v>1000</v>
      </c>
      <c r="D169" s="13">
        <v>1000</v>
      </c>
      <c r="E169" s="14" t="s">
        <v>52</v>
      </c>
      <c r="H16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F2FD-3AD7-4A54-AC7F-726F5E737F11}">
  <dimension ref="A1:F153"/>
  <sheetViews>
    <sheetView showGridLines="0" topLeftCell="A116" workbookViewId="0">
      <selection activeCell="D3" sqref="D3:D153"/>
    </sheetView>
  </sheetViews>
  <sheetFormatPr defaultRowHeight="15" x14ac:dyDescent="0.25"/>
  <cols>
    <col min="1" max="1" width="18.28515625" style="21" bestFit="1" customWidth="1"/>
    <col min="2" max="3" width="9.140625" style="21"/>
    <col min="4" max="4" width="16.7109375" style="21" bestFit="1" customWidth="1"/>
    <col min="5" max="5" width="15.7109375" style="21" bestFit="1" customWidth="1"/>
    <col min="6" max="16384" width="9.140625" style="21"/>
  </cols>
  <sheetData>
    <row r="1" spans="1:6" x14ac:dyDescent="0.25">
      <c r="A1" s="23" t="s">
        <v>158</v>
      </c>
      <c r="B1" s="23" t="s">
        <v>154</v>
      </c>
      <c r="C1" s="23" t="s">
        <v>153</v>
      </c>
      <c r="D1" s="24" t="s">
        <v>155</v>
      </c>
      <c r="E1" s="24" t="s">
        <v>156</v>
      </c>
      <c r="F1" s="21" t="s">
        <v>157</v>
      </c>
    </row>
    <row r="2" spans="1:6" x14ac:dyDescent="0.25">
      <c r="A2" s="22">
        <v>45183</v>
      </c>
      <c r="B2" s="21">
        <v>63.590000152587891</v>
      </c>
      <c r="C2" s="21">
        <v>450.3599853515625</v>
      </c>
    </row>
    <row r="3" spans="1:6" x14ac:dyDescent="0.25">
      <c r="A3" s="22">
        <v>45404</v>
      </c>
      <c r="B3" s="21">
        <v>93.110000610351563</v>
      </c>
      <c r="C3" s="21">
        <v>499.72000122070313</v>
      </c>
      <c r="D3" s="25">
        <f>+B3/B2-1</f>
        <v>0.46422394066565054</v>
      </c>
      <c r="E3" s="25">
        <f>+C3/C2-1</f>
        <v>0.1096012467240155</v>
      </c>
    </row>
    <row r="4" spans="1:6" x14ac:dyDescent="0.25">
      <c r="A4" s="22">
        <v>45401</v>
      </c>
      <c r="B4" s="21">
        <v>87.19000244140625</v>
      </c>
      <c r="C4" s="21">
        <v>495.16000366210938</v>
      </c>
      <c r="D4" s="25">
        <f t="shared" ref="D4:E67" si="0">+B4/B3-1</f>
        <v>-6.3580690904722736E-2</v>
      </c>
      <c r="E4" s="25">
        <f t="shared" si="0"/>
        <v>-9.1251051537954986E-3</v>
      </c>
    </row>
    <row r="5" spans="1:6" x14ac:dyDescent="0.25">
      <c r="A5" s="22">
        <v>45400</v>
      </c>
      <c r="B5" s="21">
        <v>104.9199981689453</v>
      </c>
      <c r="C5" s="21">
        <v>499.51998901367188</v>
      </c>
      <c r="D5" s="25">
        <f t="shared" si="0"/>
        <v>0.20334895321804836</v>
      </c>
      <c r="E5" s="25">
        <f t="shared" si="0"/>
        <v>8.8052050232589885E-3</v>
      </c>
    </row>
    <row r="6" spans="1:6" x14ac:dyDescent="0.25">
      <c r="A6" s="22">
        <v>45399</v>
      </c>
      <c r="B6" s="21">
        <v>107.55999755859381</v>
      </c>
      <c r="C6" s="21">
        <v>500.54998779296881</v>
      </c>
      <c r="D6" s="25">
        <f t="shared" si="0"/>
        <v>2.5162022833792985E-2</v>
      </c>
      <c r="E6" s="25">
        <f t="shared" si="0"/>
        <v>2.0619771019187993E-3</v>
      </c>
    </row>
    <row r="7" spans="1:6" x14ac:dyDescent="0.25">
      <c r="A7" s="22">
        <v>45398</v>
      </c>
      <c r="B7" s="21">
        <v>122.2200012207031</v>
      </c>
      <c r="C7" s="21">
        <v>503.52999877929688</v>
      </c>
      <c r="D7" s="25">
        <f t="shared" si="0"/>
        <v>0.13629605796637523</v>
      </c>
      <c r="E7" s="25">
        <f t="shared" si="0"/>
        <v>5.9534732973773874E-3</v>
      </c>
    </row>
    <row r="8" spans="1:6" x14ac:dyDescent="0.25">
      <c r="A8" s="22">
        <v>45397</v>
      </c>
      <c r="B8" s="21">
        <v>122.3199996948242</v>
      </c>
      <c r="C8" s="21">
        <v>504.45001220703119</v>
      </c>
      <c r="D8" s="25">
        <f t="shared" si="0"/>
        <v>8.1818420162282912E-4</v>
      </c>
      <c r="E8" s="25">
        <f t="shared" si="0"/>
        <v>1.8271273409027344E-3</v>
      </c>
    </row>
    <row r="9" spans="1:6" x14ac:dyDescent="0.25">
      <c r="A9" s="22">
        <v>45394</v>
      </c>
      <c r="B9" s="21">
        <v>126.3300018310547</v>
      </c>
      <c r="C9" s="21">
        <v>510.85000610351563</v>
      </c>
      <c r="D9" s="25">
        <f t="shared" si="0"/>
        <v>3.2782882163465032E-2</v>
      </c>
      <c r="E9" s="25">
        <f t="shared" si="0"/>
        <v>1.2687072537640898E-2</v>
      </c>
    </row>
    <row r="10" spans="1:6" x14ac:dyDescent="0.25">
      <c r="A10" s="22">
        <v>45393</v>
      </c>
      <c r="B10" s="21">
        <v>131.1300048828125</v>
      </c>
      <c r="C10" s="21">
        <v>518</v>
      </c>
      <c r="D10" s="25">
        <f t="shared" si="0"/>
        <v>3.7995749087196273E-2</v>
      </c>
      <c r="E10" s="25">
        <f t="shared" si="0"/>
        <v>1.3996268593633898E-2</v>
      </c>
    </row>
    <row r="11" spans="1:6" x14ac:dyDescent="0.25">
      <c r="A11" s="22">
        <v>45392</v>
      </c>
      <c r="B11" s="21">
        <v>125.1800003051758</v>
      </c>
      <c r="C11" s="21">
        <v>514.1199951171875</v>
      </c>
      <c r="D11" s="25">
        <f t="shared" si="0"/>
        <v>-4.5374852101577101E-2</v>
      </c>
      <c r="E11" s="25">
        <f t="shared" si="0"/>
        <v>-7.4903569166264727E-3</v>
      </c>
    </row>
    <row r="12" spans="1:6" x14ac:dyDescent="0.25">
      <c r="A12" s="22">
        <v>45391</v>
      </c>
      <c r="B12" s="21">
        <v>126.80999755859381</v>
      </c>
      <c r="C12" s="21">
        <v>519.32000732421875</v>
      </c>
      <c r="D12" s="25">
        <f t="shared" si="0"/>
        <v>1.3021227428057669E-2</v>
      </c>
      <c r="E12" s="25">
        <f t="shared" si="0"/>
        <v>1.0114394025554141E-2</v>
      </c>
    </row>
    <row r="13" spans="1:6" x14ac:dyDescent="0.25">
      <c r="A13" s="22">
        <v>45390</v>
      </c>
      <c r="B13" s="21">
        <v>129.25</v>
      </c>
      <c r="C13" s="21">
        <v>518.719970703125</v>
      </c>
      <c r="D13" s="25">
        <f t="shared" si="0"/>
        <v>1.9241404371755255E-2</v>
      </c>
      <c r="E13" s="25">
        <f t="shared" si="0"/>
        <v>-1.1554275064143971E-3</v>
      </c>
    </row>
    <row r="14" spans="1:6" x14ac:dyDescent="0.25">
      <c r="A14" s="22">
        <v>45387</v>
      </c>
      <c r="B14" s="21">
        <v>124.8199996948242</v>
      </c>
      <c r="C14" s="21">
        <v>518.42999267578125</v>
      </c>
      <c r="D14" s="25">
        <f t="shared" si="0"/>
        <v>-3.4274663869832023E-2</v>
      </c>
      <c r="E14" s="25">
        <f t="shared" si="0"/>
        <v>-5.5902614844516307E-4</v>
      </c>
    </row>
    <row r="15" spans="1:6" x14ac:dyDescent="0.25">
      <c r="A15" s="22">
        <v>45386</v>
      </c>
      <c r="B15" s="21">
        <v>122.0100021362305</v>
      </c>
      <c r="C15" s="21">
        <v>513.07000732421875</v>
      </c>
      <c r="D15" s="25">
        <f t="shared" si="0"/>
        <v>-2.2512398377374954E-2</v>
      </c>
      <c r="E15" s="25">
        <f t="shared" si="0"/>
        <v>-1.0338879747095464E-2</v>
      </c>
    </row>
    <row r="16" spans="1:6" x14ac:dyDescent="0.25">
      <c r="A16" s="22">
        <v>45385</v>
      </c>
      <c r="B16" s="21">
        <v>125.30999755859381</v>
      </c>
      <c r="C16" s="21">
        <v>519.40997314453125</v>
      </c>
      <c r="D16" s="25">
        <f t="shared" si="0"/>
        <v>2.704692537156661E-2</v>
      </c>
      <c r="E16" s="25">
        <f t="shared" si="0"/>
        <v>1.2356921530800369E-2</v>
      </c>
    </row>
    <row r="17" spans="1:5" x14ac:dyDescent="0.25">
      <c r="A17" s="22">
        <v>45384</v>
      </c>
      <c r="B17" s="21">
        <v>124.2799987792969</v>
      </c>
      <c r="C17" s="21">
        <v>518.84002685546875</v>
      </c>
      <c r="D17" s="25">
        <f t="shared" si="0"/>
        <v>-8.2196057725983929E-3</v>
      </c>
      <c r="E17" s="25">
        <f t="shared" si="0"/>
        <v>-1.0972956210525409E-3</v>
      </c>
    </row>
    <row r="18" spans="1:5" x14ac:dyDescent="0.25">
      <c r="A18" s="22">
        <v>45383</v>
      </c>
      <c r="B18" s="21">
        <v>126.9100036621094</v>
      </c>
      <c r="C18" s="21">
        <v>522.15997314453125</v>
      </c>
      <c r="D18" s="25">
        <f t="shared" si="0"/>
        <v>2.1161931997464967E-2</v>
      </c>
      <c r="E18" s="25">
        <f t="shared" si="0"/>
        <v>6.398785978760424E-3</v>
      </c>
    </row>
    <row r="19" spans="1:5" x14ac:dyDescent="0.25">
      <c r="A19" s="22">
        <v>45379</v>
      </c>
      <c r="B19" s="21">
        <v>124.9899978637695</v>
      </c>
      <c r="C19" s="21">
        <v>523.07000732421875</v>
      </c>
      <c r="D19" s="25">
        <f t="shared" si="0"/>
        <v>-1.5128876707401262E-2</v>
      </c>
      <c r="E19" s="25">
        <f t="shared" si="0"/>
        <v>1.7428263874903482E-3</v>
      </c>
    </row>
    <row r="20" spans="1:5" x14ac:dyDescent="0.25">
      <c r="A20" s="22">
        <v>45378</v>
      </c>
      <c r="B20" s="21">
        <v>125.620002746582</v>
      </c>
      <c r="C20" s="21">
        <v>523.16998291015625</v>
      </c>
      <c r="D20" s="25">
        <f t="shared" si="0"/>
        <v>5.0404423840311186E-3</v>
      </c>
      <c r="E20" s="25">
        <f t="shared" si="0"/>
        <v>1.9113232366141375E-4</v>
      </c>
    </row>
    <row r="21" spans="1:5" x14ac:dyDescent="0.25">
      <c r="A21" s="22">
        <v>45377</v>
      </c>
      <c r="B21" s="21">
        <v>127.9599990844727</v>
      </c>
      <c r="C21" s="21">
        <v>518.80999755859375</v>
      </c>
      <c r="D21" s="25">
        <f t="shared" si="0"/>
        <v>1.8627577509381599E-2</v>
      </c>
      <c r="E21" s="25">
        <f t="shared" si="0"/>
        <v>-8.333783462326938E-3</v>
      </c>
    </row>
    <row r="22" spans="1:5" x14ac:dyDescent="0.25">
      <c r="A22" s="22">
        <v>45376</v>
      </c>
      <c r="B22" s="21">
        <v>138.30999755859381</v>
      </c>
      <c r="C22" s="21">
        <v>519.77001953125</v>
      </c>
      <c r="D22" s="25">
        <f t="shared" si="0"/>
        <v>8.0884640107636852E-2</v>
      </c>
      <c r="E22" s="25">
        <f t="shared" si="0"/>
        <v>1.8504307495497141E-3</v>
      </c>
    </row>
    <row r="23" spans="1:5" x14ac:dyDescent="0.25">
      <c r="A23" s="22">
        <v>45373</v>
      </c>
      <c r="B23" s="21">
        <v>134.1499938964844</v>
      </c>
      <c r="C23" s="21">
        <v>521.21002197265625</v>
      </c>
      <c r="D23" s="25">
        <f t="shared" si="0"/>
        <v>-3.0077389455140824E-2</v>
      </c>
      <c r="E23" s="25">
        <f t="shared" si="0"/>
        <v>2.7704607562877293E-3</v>
      </c>
    </row>
    <row r="24" spans="1:5" x14ac:dyDescent="0.25">
      <c r="A24" s="22">
        <v>45372</v>
      </c>
      <c r="B24" s="21">
        <v>133.6000061035156</v>
      </c>
      <c r="C24" s="21">
        <v>522.20001220703125</v>
      </c>
      <c r="D24" s="25">
        <f t="shared" si="0"/>
        <v>-4.0997973760118489E-3</v>
      </c>
      <c r="E24" s="25">
        <f t="shared" si="0"/>
        <v>1.8994075183513814E-3</v>
      </c>
    </row>
    <row r="25" spans="1:5" x14ac:dyDescent="0.25">
      <c r="A25" s="22">
        <v>45371</v>
      </c>
      <c r="B25" s="21">
        <v>131.33000183105469</v>
      </c>
      <c r="C25" s="21">
        <v>520.47998046875</v>
      </c>
      <c r="D25" s="25">
        <f t="shared" si="0"/>
        <v>-1.6991049167333627E-2</v>
      </c>
      <c r="E25" s="25">
        <f t="shared" si="0"/>
        <v>-3.2938178821783071E-3</v>
      </c>
    </row>
    <row r="26" spans="1:5" x14ac:dyDescent="0.25">
      <c r="A26" s="22">
        <v>45370</v>
      </c>
      <c r="B26" s="21">
        <v>124.5899963378906</v>
      </c>
      <c r="C26" s="21">
        <v>515.71002197265625</v>
      </c>
      <c r="D26" s="25">
        <f t="shared" si="0"/>
        <v>-5.1321140631936935E-2</v>
      </c>
      <c r="E26" s="25">
        <f t="shared" si="0"/>
        <v>-9.1645378786671117E-3</v>
      </c>
    </row>
    <row r="27" spans="1:5" x14ac:dyDescent="0.25">
      <c r="A27" s="22">
        <v>45369</v>
      </c>
      <c r="B27" s="21">
        <v>129.75</v>
      </c>
      <c r="C27" s="21">
        <v>512.8599853515625</v>
      </c>
      <c r="D27" s="25">
        <f t="shared" si="0"/>
        <v>4.1415874578849543E-2</v>
      </c>
      <c r="E27" s="25">
        <f t="shared" si="0"/>
        <v>-5.5264324904759077E-3</v>
      </c>
    </row>
    <row r="28" spans="1:5" x14ac:dyDescent="0.25">
      <c r="A28" s="22">
        <v>45366</v>
      </c>
      <c r="B28" s="21">
        <v>126.9700012207031</v>
      </c>
      <c r="C28" s="21">
        <v>509.82998657226563</v>
      </c>
      <c r="D28" s="25">
        <f t="shared" si="0"/>
        <v>-2.1425809474349911E-2</v>
      </c>
      <c r="E28" s="25">
        <f t="shared" si="0"/>
        <v>-5.9080428690879705E-3</v>
      </c>
    </row>
    <row r="29" spans="1:5" x14ac:dyDescent="0.25">
      <c r="A29" s="22">
        <v>45365</v>
      </c>
      <c r="B29" s="21">
        <v>130.96000671386719</v>
      </c>
      <c r="C29" s="21">
        <v>514.95001220703125</v>
      </c>
      <c r="D29" s="25">
        <f t="shared" si="0"/>
        <v>3.1424788964351746E-2</v>
      </c>
      <c r="E29" s="25">
        <f t="shared" si="0"/>
        <v>1.0042613752849316E-2</v>
      </c>
    </row>
    <row r="30" spans="1:5" x14ac:dyDescent="0.25">
      <c r="A30" s="22">
        <v>45364</v>
      </c>
      <c r="B30" s="21">
        <v>131.27000427246091</v>
      </c>
      <c r="C30" s="21">
        <v>515.969970703125</v>
      </c>
      <c r="D30" s="25">
        <f t="shared" si="0"/>
        <v>2.367116239319067E-3</v>
      </c>
      <c r="E30" s="25">
        <f t="shared" si="0"/>
        <v>1.9806941876208128E-3</v>
      </c>
    </row>
    <row r="31" spans="1:5" x14ac:dyDescent="0.25">
      <c r="A31" s="22">
        <v>45363</v>
      </c>
      <c r="B31" s="21">
        <v>129.5</v>
      </c>
      <c r="C31" s="21">
        <v>516.780029296875</v>
      </c>
      <c r="D31" s="25">
        <f t="shared" si="0"/>
        <v>-1.348369174108599E-2</v>
      </c>
      <c r="E31" s="25">
        <f t="shared" si="0"/>
        <v>1.5699723622406569E-3</v>
      </c>
    </row>
    <row r="32" spans="1:5" x14ac:dyDescent="0.25">
      <c r="A32" s="22">
        <v>45362</v>
      </c>
      <c r="B32" s="21">
        <v>126.7399978637695</v>
      </c>
      <c r="C32" s="21">
        <v>511.27999877929688</v>
      </c>
      <c r="D32" s="25">
        <f t="shared" si="0"/>
        <v>-2.1312757808729654E-2</v>
      </c>
      <c r="E32" s="25">
        <f t="shared" si="0"/>
        <v>-1.064288518474954E-2</v>
      </c>
    </row>
    <row r="33" spans="1:5" x14ac:dyDescent="0.25">
      <c r="A33" s="22">
        <v>45359</v>
      </c>
      <c r="B33" s="21">
        <v>131.47999572753909</v>
      </c>
      <c r="C33" s="21">
        <v>511.72000122070313</v>
      </c>
      <c r="D33" s="25">
        <f t="shared" si="0"/>
        <v>3.7399384122323687E-2</v>
      </c>
      <c r="E33" s="25">
        <f t="shared" si="0"/>
        <v>8.6058997507576507E-4</v>
      </c>
    </row>
    <row r="34" spans="1:5" x14ac:dyDescent="0.25">
      <c r="A34" s="22">
        <v>45358</v>
      </c>
      <c r="B34" s="21">
        <v>140.8500061035156</v>
      </c>
      <c r="C34" s="21">
        <v>514.80999755859375</v>
      </c>
      <c r="D34" s="25">
        <f t="shared" si="0"/>
        <v>7.1265672957532056E-2</v>
      </c>
      <c r="E34" s="25">
        <f t="shared" si="0"/>
        <v>6.0384513611340118E-3</v>
      </c>
    </row>
    <row r="35" spans="1:5" x14ac:dyDescent="0.25">
      <c r="A35" s="22">
        <v>45357</v>
      </c>
      <c r="B35" s="21">
        <v>136.99000549316409</v>
      </c>
      <c r="C35" s="21">
        <v>509.75</v>
      </c>
      <c r="D35" s="25">
        <f t="shared" si="0"/>
        <v>-2.7405043969360277E-2</v>
      </c>
      <c r="E35" s="25">
        <f t="shared" si="0"/>
        <v>-9.8288642073580679E-3</v>
      </c>
    </row>
    <row r="36" spans="1:5" x14ac:dyDescent="0.25">
      <c r="A36" s="22">
        <v>45356</v>
      </c>
      <c r="B36" s="21">
        <v>134.07000732421881</v>
      </c>
      <c r="C36" s="21">
        <v>507.17999267578119</v>
      </c>
      <c r="D36" s="25">
        <f t="shared" si="0"/>
        <v>-2.1315410262473411E-2</v>
      </c>
      <c r="E36" s="25">
        <f t="shared" si="0"/>
        <v>-5.0417014697770046E-3</v>
      </c>
    </row>
    <row r="37" spans="1:5" x14ac:dyDescent="0.25">
      <c r="A37" s="22">
        <v>45355</v>
      </c>
      <c r="B37" s="21">
        <v>138.00999450683591</v>
      </c>
      <c r="C37" s="21">
        <v>512.29998779296875</v>
      </c>
      <c r="D37" s="25">
        <f t="shared" si="0"/>
        <v>2.9387536118269164E-2</v>
      </c>
      <c r="E37" s="25">
        <f t="shared" si="0"/>
        <v>1.0095025811597047E-2</v>
      </c>
    </row>
    <row r="38" spans="1:5" x14ac:dyDescent="0.25">
      <c r="A38" s="22">
        <v>45352</v>
      </c>
      <c r="B38" s="21">
        <v>141.6199951171875</v>
      </c>
      <c r="C38" s="21">
        <v>512.8499755859375</v>
      </c>
      <c r="D38" s="25">
        <f t="shared" si="0"/>
        <v>2.6157530280698449E-2</v>
      </c>
      <c r="E38" s="25">
        <f t="shared" si="0"/>
        <v>1.073565891223538E-3</v>
      </c>
    </row>
    <row r="39" spans="1:5" x14ac:dyDescent="0.25">
      <c r="A39" s="22">
        <v>45351</v>
      </c>
      <c r="B39" s="21">
        <v>141.03999328613281</v>
      </c>
      <c r="C39" s="21">
        <v>508.07998657226563</v>
      </c>
      <c r="D39" s="25">
        <f t="shared" si="0"/>
        <v>-4.095479812541658E-3</v>
      </c>
      <c r="E39" s="25">
        <f t="shared" si="0"/>
        <v>-9.3009442151618105E-3</v>
      </c>
    </row>
    <row r="40" spans="1:5" x14ac:dyDescent="0.25">
      <c r="A40" s="22">
        <v>45350</v>
      </c>
      <c r="B40" s="21">
        <v>133.86000061035159</v>
      </c>
      <c r="C40" s="21">
        <v>506.260009765625</v>
      </c>
      <c r="D40" s="25">
        <f t="shared" si="0"/>
        <v>-5.0907494452406277E-2</v>
      </c>
      <c r="E40" s="25">
        <f t="shared" si="0"/>
        <v>-3.5820674987003809E-3</v>
      </c>
    </row>
    <row r="41" spans="1:5" x14ac:dyDescent="0.25">
      <c r="A41" s="22">
        <v>45349</v>
      </c>
      <c r="B41" s="21">
        <v>137.94999694824219</v>
      </c>
      <c r="C41" s="21">
        <v>506.92999267578119</v>
      </c>
      <c r="D41" s="25">
        <f t="shared" si="0"/>
        <v>3.0554282976555713E-2</v>
      </c>
      <c r="E41" s="25">
        <f t="shared" si="0"/>
        <v>1.3233968657062611E-3</v>
      </c>
    </row>
    <row r="42" spans="1:5" x14ac:dyDescent="0.25">
      <c r="A42" s="22">
        <v>45348</v>
      </c>
      <c r="B42" s="21">
        <v>146.19999694824219</v>
      </c>
      <c r="C42" s="21">
        <v>505.989990234375</v>
      </c>
      <c r="D42" s="25">
        <f t="shared" si="0"/>
        <v>5.9804278234926844E-2</v>
      </c>
      <c r="E42" s="25">
        <f t="shared" si="0"/>
        <v>-1.8543042530281273E-3</v>
      </c>
    </row>
    <row r="43" spans="1:5" x14ac:dyDescent="0.25">
      <c r="A43" s="22">
        <v>45345</v>
      </c>
      <c r="B43" s="21">
        <v>133.3399963378906</v>
      </c>
      <c r="C43" s="21">
        <v>507.85000610351563</v>
      </c>
      <c r="D43" s="25">
        <f t="shared" si="0"/>
        <v>-8.7961702317300938E-2</v>
      </c>
      <c r="E43" s="25">
        <f t="shared" si="0"/>
        <v>3.6759934090377921E-3</v>
      </c>
    </row>
    <row r="44" spans="1:5" x14ac:dyDescent="0.25">
      <c r="A44" s="22">
        <v>45344</v>
      </c>
      <c r="B44" s="21">
        <v>128.5299987792969</v>
      </c>
      <c r="C44" s="21">
        <v>507.5</v>
      </c>
      <c r="D44" s="25">
        <f t="shared" si="0"/>
        <v>-3.6073179021281043E-2</v>
      </c>
      <c r="E44" s="25">
        <f t="shared" si="0"/>
        <v>-6.8919188600791159E-4</v>
      </c>
    </row>
    <row r="45" spans="1:5" x14ac:dyDescent="0.25">
      <c r="A45" s="22">
        <v>45343</v>
      </c>
      <c r="B45" s="21">
        <v>123.38999938964839</v>
      </c>
      <c r="C45" s="21">
        <v>497.20999145507813</v>
      </c>
      <c r="D45" s="25">
        <f t="shared" si="0"/>
        <v>-3.9990659289389496E-2</v>
      </c>
      <c r="E45" s="25">
        <f t="shared" si="0"/>
        <v>-2.0275878906250044E-2</v>
      </c>
    </row>
    <row r="46" spans="1:5" x14ac:dyDescent="0.25">
      <c r="A46" s="22">
        <v>45342</v>
      </c>
      <c r="B46" s="21">
        <v>121.76999664306641</v>
      </c>
      <c r="C46" s="21">
        <v>496.760009765625</v>
      </c>
      <c r="D46" s="25">
        <f t="shared" si="0"/>
        <v>-1.3129125168938938E-2</v>
      </c>
      <c r="E46" s="25">
        <f t="shared" si="0"/>
        <v>-9.0501336897164109E-4</v>
      </c>
    </row>
    <row r="47" spans="1:5" x14ac:dyDescent="0.25">
      <c r="A47" s="22">
        <v>45338</v>
      </c>
      <c r="B47" s="21">
        <v>128.3399963378906</v>
      </c>
      <c r="C47" s="21">
        <v>499.510009765625</v>
      </c>
      <c r="D47" s="25">
        <f t="shared" si="0"/>
        <v>5.395417488662857E-2</v>
      </c>
      <c r="E47" s="25">
        <f t="shared" si="0"/>
        <v>5.5358723446710112E-3</v>
      </c>
    </row>
    <row r="48" spans="1:5" x14ac:dyDescent="0.25">
      <c r="A48" s="22">
        <v>45337</v>
      </c>
      <c r="B48" s="21">
        <v>133.67999267578119</v>
      </c>
      <c r="C48" s="21">
        <v>502.010009765625</v>
      </c>
      <c r="D48" s="25">
        <f t="shared" si="0"/>
        <v>4.1608200796823924E-2</v>
      </c>
      <c r="E48" s="25">
        <f t="shared" si="0"/>
        <v>5.004904708862723E-3</v>
      </c>
    </row>
    <row r="49" spans="1:5" x14ac:dyDescent="0.25">
      <c r="A49" s="22">
        <v>45336</v>
      </c>
      <c r="B49" s="21">
        <v>126.40000152587891</v>
      </c>
      <c r="C49" s="21">
        <v>498.57000732421881</v>
      </c>
      <c r="D49" s="25">
        <f t="shared" si="0"/>
        <v>-5.4458344918964063E-2</v>
      </c>
      <c r="E49" s="25">
        <f t="shared" si="0"/>
        <v>-6.8524578683445414E-3</v>
      </c>
    </row>
    <row r="50" spans="1:5" x14ac:dyDescent="0.25">
      <c r="A50" s="22">
        <v>45335</v>
      </c>
      <c r="B50" s="21">
        <v>119.98000335693359</v>
      </c>
      <c r="C50" s="21">
        <v>494.07998657226563</v>
      </c>
      <c r="D50" s="25">
        <f t="shared" si="0"/>
        <v>-5.0791124141172483E-2</v>
      </c>
      <c r="E50" s="25">
        <f t="shared" si="0"/>
        <v>-9.0057979541343647E-3</v>
      </c>
    </row>
    <row r="51" spans="1:5" x14ac:dyDescent="0.25">
      <c r="A51" s="22">
        <v>45334</v>
      </c>
      <c r="B51" s="21">
        <v>148.9700012207031</v>
      </c>
      <c r="C51" s="21">
        <v>500.98001098632813</v>
      </c>
      <c r="D51" s="25">
        <f t="shared" si="0"/>
        <v>0.24162357936868806</v>
      </c>
      <c r="E51" s="25">
        <f t="shared" si="0"/>
        <v>1.3965399533650835E-2</v>
      </c>
    </row>
    <row r="52" spans="1:5" x14ac:dyDescent="0.25">
      <c r="A52" s="22">
        <v>45331</v>
      </c>
      <c r="B52" s="21">
        <v>115.2099990844727</v>
      </c>
      <c r="C52" s="21">
        <v>501.20001220703119</v>
      </c>
      <c r="D52" s="25">
        <f t="shared" si="0"/>
        <v>-0.22662282244472853</v>
      </c>
      <c r="E52" s="25">
        <f t="shared" si="0"/>
        <v>4.3914171399750401E-4</v>
      </c>
    </row>
    <row r="53" spans="1:5" x14ac:dyDescent="0.25">
      <c r="A53" s="22">
        <v>45330</v>
      </c>
      <c r="B53" s="21">
        <v>113.88999938964839</v>
      </c>
      <c r="C53" s="21">
        <v>498.32000732421881</v>
      </c>
      <c r="D53" s="25">
        <f t="shared" si="0"/>
        <v>-1.1457336214858116E-2</v>
      </c>
      <c r="E53" s="25">
        <f t="shared" si="0"/>
        <v>-5.746218700455108E-3</v>
      </c>
    </row>
    <row r="54" spans="1:5" x14ac:dyDescent="0.25">
      <c r="A54" s="22">
        <v>45329</v>
      </c>
      <c r="B54" s="21">
        <v>77.010002136230469</v>
      </c>
      <c r="C54" s="21">
        <v>498.10000610351563</v>
      </c>
      <c r="D54" s="25">
        <f t="shared" si="0"/>
        <v>-0.32382120863168606</v>
      </c>
      <c r="E54" s="25">
        <f t="shared" si="0"/>
        <v>-4.4148582731906583E-4</v>
      </c>
    </row>
    <row r="55" spans="1:5" x14ac:dyDescent="0.25">
      <c r="A55" s="22">
        <v>45328</v>
      </c>
      <c r="B55" s="21">
        <v>72.980003356933594</v>
      </c>
      <c r="C55" s="21">
        <v>493.98001098632813</v>
      </c>
      <c r="D55" s="25">
        <f t="shared" si="0"/>
        <v>-5.2330848818414766E-2</v>
      </c>
      <c r="E55" s="25">
        <f t="shared" si="0"/>
        <v>-8.2714215352394094E-3</v>
      </c>
    </row>
    <row r="56" spans="1:5" x14ac:dyDescent="0.25">
      <c r="A56" s="22">
        <v>45327</v>
      </c>
      <c r="B56" s="21">
        <v>73.269996643066406</v>
      </c>
      <c r="C56" s="21">
        <v>492.54998779296881</v>
      </c>
      <c r="D56" s="25">
        <f t="shared" si="0"/>
        <v>3.9735992435421252E-3</v>
      </c>
      <c r="E56" s="25">
        <f t="shared" si="0"/>
        <v>-2.8949009303108619E-3</v>
      </c>
    </row>
    <row r="57" spans="1:5" x14ac:dyDescent="0.25">
      <c r="A57" s="22">
        <v>45324</v>
      </c>
      <c r="B57" s="21">
        <v>71</v>
      </c>
      <c r="C57" s="21">
        <v>494.35000610351563</v>
      </c>
      <c r="D57" s="25">
        <f t="shared" si="0"/>
        <v>-3.0981257637074266E-2</v>
      </c>
      <c r="E57" s="25">
        <f t="shared" si="0"/>
        <v>3.6544885903102564E-3</v>
      </c>
    </row>
    <row r="58" spans="1:5" x14ac:dyDescent="0.25">
      <c r="A58" s="22">
        <v>45323</v>
      </c>
      <c r="B58" s="21">
        <v>70.519996643066406</v>
      </c>
      <c r="C58" s="21">
        <v>489.20001220703119</v>
      </c>
      <c r="D58" s="25">
        <f t="shared" si="0"/>
        <v>-6.7606106610365035E-3</v>
      </c>
      <c r="E58" s="25">
        <f t="shared" si="0"/>
        <v>-1.0417707763527462E-2</v>
      </c>
    </row>
    <row r="59" spans="1:5" x14ac:dyDescent="0.25">
      <c r="A59" s="22">
        <v>45322</v>
      </c>
      <c r="B59" s="21">
        <v>70.669998168945313</v>
      </c>
      <c r="C59" s="21">
        <v>482.8800048828125</v>
      </c>
      <c r="D59" s="25">
        <f t="shared" si="0"/>
        <v>2.1270778930708722E-3</v>
      </c>
      <c r="E59" s="25">
        <f t="shared" si="0"/>
        <v>-1.2919066162132564E-2</v>
      </c>
    </row>
    <row r="60" spans="1:5" x14ac:dyDescent="0.25">
      <c r="A60" s="22">
        <v>45321</v>
      </c>
      <c r="B60" s="21">
        <v>71.970001220703125</v>
      </c>
      <c r="C60" s="21">
        <v>490.8900146484375</v>
      </c>
      <c r="D60" s="25">
        <f t="shared" si="0"/>
        <v>1.8395402369333569E-2</v>
      </c>
      <c r="E60" s="25">
        <f t="shared" si="0"/>
        <v>1.6587992222972359E-2</v>
      </c>
    </row>
    <row r="61" spans="1:5" x14ac:dyDescent="0.25">
      <c r="A61" s="22">
        <v>45320</v>
      </c>
      <c r="B61" s="21">
        <v>72.930000305175781</v>
      </c>
      <c r="C61" s="21">
        <v>491.26998901367188</v>
      </c>
      <c r="D61" s="25">
        <f t="shared" si="0"/>
        <v>1.3338878257466158E-2</v>
      </c>
      <c r="E61" s="25">
        <f t="shared" si="0"/>
        <v>7.7405193402957373E-4</v>
      </c>
    </row>
    <row r="62" spans="1:5" x14ac:dyDescent="0.25">
      <c r="A62" s="22">
        <v>45317</v>
      </c>
      <c r="B62" s="21">
        <v>71.169998168945313</v>
      </c>
      <c r="C62" s="21">
        <v>487.41000366210938</v>
      </c>
      <c r="D62" s="25">
        <f t="shared" si="0"/>
        <v>-2.4132759205618193E-2</v>
      </c>
      <c r="E62" s="25">
        <f t="shared" si="0"/>
        <v>-7.8571568340908282E-3</v>
      </c>
    </row>
    <row r="63" spans="1:5" x14ac:dyDescent="0.25">
      <c r="A63" s="22">
        <v>45316</v>
      </c>
      <c r="B63" s="21">
        <v>73.910003662109375</v>
      </c>
      <c r="C63" s="21">
        <v>488.02999877929688</v>
      </c>
      <c r="D63" s="25">
        <f t="shared" si="0"/>
        <v>3.8499445885326056E-2</v>
      </c>
      <c r="E63" s="25">
        <f t="shared" si="0"/>
        <v>1.2720196806164097E-3</v>
      </c>
    </row>
    <row r="64" spans="1:5" x14ac:dyDescent="0.25">
      <c r="A64" s="22">
        <v>45315</v>
      </c>
      <c r="B64" s="21">
        <v>75.739997863769531</v>
      </c>
      <c r="C64" s="21">
        <v>485.3900146484375</v>
      </c>
      <c r="D64" s="25">
        <f t="shared" si="0"/>
        <v>2.4759763374200938E-2</v>
      </c>
      <c r="E64" s="25">
        <f t="shared" si="0"/>
        <v>-5.4094710109270361E-3</v>
      </c>
    </row>
    <row r="65" spans="1:5" x14ac:dyDescent="0.25">
      <c r="A65" s="22">
        <v>45314</v>
      </c>
      <c r="B65" s="21">
        <v>76.349998474121094</v>
      </c>
      <c r="C65" s="21">
        <v>484.8599853515625</v>
      </c>
      <c r="D65" s="25">
        <f t="shared" si="0"/>
        <v>8.0538767831594971E-3</v>
      </c>
      <c r="E65" s="25">
        <f t="shared" si="0"/>
        <v>-1.0919658025081436E-3</v>
      </c>
    </row>
    <row r="66" spans="1:5" x14ac:dyDescent="0.25">
      <c r="A66" s="22">
        <v>45313</v>
      </c>
      <c r="B66" s="21">
        <v>77.110000610351563</v>
      </c>
      <c r="C66" s="21">
        <v>483.45001220703119</v>
      </c>
      <c r="D66" s="25">
        <f t="shared" si="0"/>
        <v>9.9541866590615591E-3</v>
      </c>
      <c r="E66" s="25">
        <f t="shared" si="0"/>
        <v>-2.9080006334384345E-3</v>
      </c>
    </row>
    <row r="67" spans="1:5" x14ac:dyDescent="0.25">
      <c r="A67" s="22">
        <v>45310</v>
      </c>
      <c r="B67" s="21">
        <v>78.580001831054688</v>
      </c>
      <c r="C67" s="21">
        <v>482.42999267578119</v>
      </c>
      <c r="D67" s="25">
        <f t="shared" si="0"/>
        <v>1.9063690948872614E-2</v>
      </c>
      <c r="E67" s="25">
        <f t="shared" si="0"/>
        <v>-2.1098759033916226E-3</v>
      </c>
    </row>
    <row r="68" spans="1:5" x14ac:dyDescent="0.25">
      <c r="A68" s="22">
        <v>45309</v>
      </c>
      <c r="B68" s="21">
        <v>74.230003356933594</v>
      </c>
      <c r="C68" s="21">
        <v>476.489990234375</v>
      </c>
      <c r="D68" s="25">
        <f t="shared" ref="D68:E131" si="1">+B68/B67-1</f>
        <v>-5.5357576644926798E-2</v>
      </c>
      <c r="E68" s="25">
        <f t="shared" si="1"/>
        <v>-1.2312672370264899E-2</v>
      </c>
    </row>
    <row r="69" spans="1:5" x14ac:dyDescent="0.25">
      <c r="A69" s="22">
        <v>45308</v>
      </c>
      <c r="B69" s="21">
        <v>69.860000610351563</v>
      </c>
      <c r="C69" s="21">
        <v>472.29000854492188</v>
      </c>
      <c r="D69" s="25">
        <f t="shared" si="1"/>
        <v>-5.8871110722829356E-2</v>
      </c>
      <c r="E69" s="25">
        <f t="shared" si="1"/>
        <v>-8.8144174600336411E-3</v>
      </c>
    </row>
    <row r="70" spans="1:5" x14ac:dyDescent="0.25">
      <c r="A70" s="22">
        <v>45307</v>
      </c>
      <c r="B70" s="21">
        <v>68.480003356933594</v>
      </c>
      <c r="C70" s="21">
        <v>474.92999267578119</v>
      </c>
      <c r="D70" s="25">
        <f t="shared" si="1"/>
        <v>-1.9753753812786101E-2</v>
      </c>
      <c r="E70" s="25">
        <f t="shared" si="1"/>
        <v>5.5897522350576434E-3</v>
      </c>
    </row>
    <row r="71" spans="1:5" x14ac:dyDescent="0.25">
      <c r="A71" s="22">
        <v>45303</v>
      </c>
      <c r="B71" s="21">
        <v>70</v>
      </c>
      <c r="C71" s="21">
        <v>476.67999267578119</v>
      </c>
      <c r="D71" s="25">
        <f t="shared" si="1"/>
        <v>2.2196211573527913E-2</v>
      </c>
      <c r="E71" s="25">
        <f t="shared" si="1"/>
        <v>3.6847535994524172E-3</v>
      </c>
    </row>
    <row r="72" spans="1:5" x14ac:dyDescent="0.25">
      <c r="A72" s="22">
        <v>45302</v>
      </c>
      <c r="B72" s="21">
        <v>69.769996643066406</v>
      </c>
      <c r="C72" s="21">
        <v>476.35000610351563</v>
      </c>
      <c r="D72" s="25">
        <f t="shared" si="1"/>
        <v>-3.2857622419084631E-3</v>
      </c>
      <c r="E72" s="25">
        <f t="shared" si="1"/>
        <v>-6.9226016895151954E-4</v>
      </c>
    </row>
    <row r="73" spans="1:5" x14ac:dyDescent="0.25">
      <c r="A73" s="22">
        <v>45301</v>
      </c>
      <c r="B73" s="21">
        <v>70.769996643066406</v>
      </c>
      <c r="C73" s="21">
        <v>476.55999755859381</v>
      </c>
      <c r="D73" s="25">
        <f t="shared" si="1"/>
        <v>1.4332808486660298E-2</v>
      </c>
      <c r="E73" s="25">
        <f t="shared" si="1"/>
        <v>4.4083437049979857E-4</v>
      </c>
    </row>
    <row r="74" spans="1:5" x14ac:dyDescent="0.25">
      <c r="A74" s="22">
        <v>45300</v>
      </c>
      <c r="B74" s="21">
        <v>71.879997253417969</v>
      </c>
      <c r="C74" s="21">
        <v>473.8800048828125</v>
      </c>
      <c r="D74" s="25">
        <f t="shared" si="1"/>
        <v>1.5684621492211281E-2</v>
      </c>
      <c r="E74" s="25">
        <f t="shared" si="1"/>
        <v>-5.6236207182953635E-3</v>
      </c>
    </row>
    <row r="75" spans="1:5" x14ac:dyDescent="0.25">
      <c r="A75" s="22">
        <v>45299</v>
      </c>
      <c r="B75" s="21">
        <v>72.839996337890625</v>
      </c>
      <c r="C75" s="21">
        <v>474.60000610351563</v>
      </c>
      <c r="D75" s="25">
        <f t="shared" si="1"/>
        <v>1.3355580427863778E-2</v>
      </c>
      <c r="E75" s="25">
        <f t="shared" si="1"/>
        <v>1.519374553229369E-3</v>
      </c>
    </row>
    <row r="76" spans="1:5" x14ac:dyDescent="0.25">
      <c r="A76" s="22">
        <v>45296</v>
      </c>
      <c r="B76" s="21">
        <v>67.050003051757813</v>
      </c>
      <c r="C76" s="21">
        <v>467.92001342773438</v>
      </c>
      <c r="D76" s="25">
        <f t="shared" si="1"/>
        <v>-7.9489203421622356E-2</v>
      </c>
      <c r="E76" s="25">
        <f t="shared" si="1"/>
        <v>-1.4074994921774775E-2</v>
      </c>
    </row>
    <row r="77" spans="1:5" x14ac:dyDescent="0.25">
      <c r="A77" s="22">
        <v>45295</v>
      </c>
      <c r="B77" s="21">
        <v>68.389999389648438</v>
      </c>
      <c r="C77" s="21">
        <v>467.27999877929688</v>
      </c>
      <c r="D77" s="25">
        <f t="shared" si="1"/>
        <v>1.9985030229696443E-2</v>
      </c>
      <c r="E77" s="25">
        <f t="shared" si="1"/>
        <v>-1.3677864380048366E-3</v>
      </c>
    </row>
    <row r="78" spans="1:5" x14ac:dyDescent="0.25">
      <c r="A78" s="22">
        <v>45294</v>
      </c>
      <c r="B78" s="21">
        <v>67.910003662109375</v>
      </c>
      <c r="C78" s="21">
        <v>468.79000854492188</v>
      </c>
      <c r="D78" s="25">
        <f t="shared" si="1"/>
        <v>-7.0185075569939581E-3</v>
      </c>
      <c r="E78" s="25">
        <f t="shared" si="1"/>
        <v>3.231488121832049E-3</v>
      </c>
    </row>
    <row r="79" spans="1:5" x14ac:dyDescent="0.25">
      <c r="A79" s="22">
        <v>45293</v>
      </c>
      <c r="B79" s="21">
        <v>68.919998168945313</v>
      </c>
      <c r="C79" s="21">
        <v>472.64999389648438</v>
      </c>
      <c r="D79" s="25">
        <f t="shared" si="1"/>
        <v>1.4872543842895825E-2</v>
      </c>
      <c r="E79" s="25">
        <f t="shared" si="1"/>
        <v>8.2339326376505984E-3</v>
      </c>
    </row>
    <row r="80" spans="1:5" x14ac:dyDescent="0.25">
      <c r="A80" s="22">
        <v>45289</v>
      </c>
      <c r="B80" s="21">
        <v>75.144996643066406</v>
      </c>
      <c r="C80" s="21">
        <v>475.30999755859381</v>
      </c>
      <c r="D80" s="25">
        <f t="shared" si="1"/>
        <v>9.0322092854117519E-2</v>
      </c>
      <c r="E80" s="25">
        <f t="shared" si="1"/>
        <v>5.6278508335112498E-3</v>
      </c>
    </row>
    <row r="81" spans="1:5" x14ac:dyDescent="0.25">
      <c r="A81" s="22">
        <v>45288</v>
      </c>
      <c r="B81" s="21">
        <v>77.470001220703125</v>
      </c>
      <c r="C81" s="21">
        <v>476.69000244140619</v>
      </c>
      <c r="D81" s="25">
        <f t="shared" si="1"/>
        <v>3.0940244613760992E-2</v>
      </c>
      <c r="E81" s="25">
        <f t="shared" si="1"/>
        <v>2.9033786158521036E-3</v>
      </c>
    </row>
    <row r="82" spans="1:5" x14ac:dyDescent="0.25">
      <c r="A82" s="22">
        <v>45287</v>
      </c>
      <c r="B82" s="21">
        <v>74.25</v>
      </c>
      <c r="C82" s="21">
        <v>476.510009765625</v>
      </c>
      <c r="D82" s="25">
        <f t="shared" si="1"/>
        <v>-4.1564491673747539E-2</v>
      </c>
      <c r="E82" s="25">
        <f t="shared" si="1"/>
        <v>-3.7758852684000033E-4</v>
      </c>
    </row>
    <row r="83" spans="1:5" x14ac:dyDescent="0.25">
      <c r="A83" s="22">
        <v>45286</v>
      </c>
      <c r="B83" s="21">
        <v>73.410003662109375</v>
      </c>
      <c r="C83" s="21">
        <v>475.64999389648438</v>
      </c>
      <c r="D83" s="25">
        <f t="shared" si="1"/>
        <v>-1.1313081991792928E-2</v>
      </c>
      <c r="E83" s="25">
        <f t="shared" si="1"/>
        <v>-1.8048222524509328E-3</v>
      </c>
    </row>
    <row r="84" spans="1:5" x14ac:dyDescent="0.25">
      <c r="A84" s="22">
        <v>45282</v>
      </c>
      <c r="B84" s="21">
        <v>72.290000915527344</v>
      </c>
      <c r="C84" s="21">
        <v>473.64999389648438</v>
      </c>
      <c r="D84" s="25">
        <f t="shared" si="1"/>
        <v>-1.5256813659037083E-2</v>
      </c>
      <c r="E84" s="25">
        <f t="shared" si="1"/>
        <v>-4.2047724706483214E-3</v>
      </c>
    </row>
    <row r="85" spans="1:5" x14ac:dyDescent="0.25">
      <c r="A85" s="22">
        <v>45281</v>
      </c>
      <c r="B85" s="21">
        <v>71.199996948242188</v>
      </c>
      <c r="C85" s="21">
        <v>472.70001220703119</v>
      </c>
      <c r="D85" s="25">
        <f t="shared" si="1"/>
        <v>-1.5078212110674283E-2</v>
      </c>
      <c r="E85" s="25">
        <f t="shared" si="1"/>
        <v>-2.0056617791507358E-3</v>
      </c>
    </row>
    <row r="86" spans="1:5" x14ac:dyDescent="0.25">
      <c r="A86" s="22">
        <v>45280</v>
      </c>
      <c r="B86" s="21">
        <v>68.400001525878906</v>
      </c>
      <c r="C86" s="21">
        <v>468.260009765625</v>
      </c>
      <c r="D86" s="25">
        <f t="shared" si="1"/>
        <v>-3.9325780089551121E-2</v>
      </c>
      <c r="E86" s="25">
        <f t="shared" si="1"/>
        <v>-9.3928545097257121E-3</v>
      </c>
    </row>
    <row r="87" spans="1:5" x14ac:dyDescent="0.25">
      <c r="A87" s="22">
        <v>45279</v>
      </c>
      <c r="B87" s="21">
        <v>69.430000305175781</v>
      </c>
      <c r="C87" s="21">
        <v>474.83999633789063</v>
      </c>
      <c r="D87" s="25">
        <f t="shared" si="1"/>
        <v>1.5058461349700014E-2</v>
      </c>
      <c r="E87" s="25">
        <f t="shared" si="1"/>
        <v>1.4051993411863251E-2</v>
      </c>
    </row>
    <row r="88" spans="1:5" x14ac:dyDescent="0.25">
      <c r="A88" s="22">
        <v>45278</v>
      </c>
      <c r="B88" s="21">
        <v>68.870002746582031</v>
      </c>
      <c r="C88" s="21">
        <v>471.97000122070313</v>
      </c>
      <c r="D88" s="25">
        <f t="shared" si="1"/>
        <v>-8.0656424619374167E-3</v>
      </c>
      <c r="E88" s="25">
        <f t="shared" si="1"/>
        <v>-6.044130947944093E-3</v>
      </c>
    </row>
    <row r="89" spans="1:5" x14ac:dyDescent="0.25">
      <c r="A89" s="22">
        <v>45275</v>
      </c>
      <c r="B89" s="21">
        <v>71.029998779296875</v>
      </c>
      <c r="C89" s="21">
        <v>469.32998657226563</v>
      </c>
      <c r="D89" s="25">
        <f t="shared" si="1"/>
        <v>3.1363379505920497E-2</v>
      </c>
      <c r="E89" s="25">
        <f t="shared" si="1"/>
        <v>-5.5936068852032728E-3</v>
      </c>
    </row>
    <row r="90" spans="1:5" x14ac:dyDescent="0.25">
      <c r="A90" s="22">
        <v>45274</v>
      </c>
      <c r="B90" s="21">
        <v>70.735000610351563</v>
      </c>
      <c r="C90" s="21">
        <v>472.010009765625</v>
      </c>
      <c r="D90" s="25">
        <f t="shared" si="1"/>
        <v>-4.1531490076738287E-3</v>
      </c>
      <c r="E90" s="25">
        <f t="shared" si="1"/>
        <v>5.7103174100014975E-3</v>
      </c>
    </row>
    <row r="91" spans="1:5" x14ac:dyDescent="0.25">
      <c r="A91" s="22">
        <v>45273</v>
      </c>
      <c r="B91" s="21">
        <v>65.610000610351563</v>
      </c>
      <c r="C91" s="21">
        <v>470.5</v>
      </c>
      <c r="D91" s="25">
        <f t="shared" si="1"/>
        <v>-7.2453523090095118E-2</v>
      </c>
      <c r="E91" s="25">
        <f t="shared" si="1"/>
        <v>-3.1991053884107279E-3</v>
      </c>
    </row>
    <row r="92" spans="1:5" x14ac:dyDescent="0.25">
      <c r="A92" s="22">
        <v>45272</v>
      </c>
      <c r="B92" s="21">
        <v>64.709999084472656</v>
      </c>
      <c r="C92" s="21">
        <v>464.10000610351563</v>
      </c>
      <c r="D92" s="25">
        <f t="shared" si="1"/>
        <v>-1.3717444254022881E-2</v>
      </c>
      <c r="E92" s="25">
        <f t="shared" si="1"/>
        <v>-1.360253750581164E-2</v>
      </c>
    </row>
    <row r="93" spans="1:5" x14ac:dyDescent="0.25">
      <c r="A93" s="22">
        <v>45271</v>
      </c>
      <c r="B93" s="21">
        <v>64.889999389648438</v>
      </c>
      <c r="C93" s="21">
        <v>461.989990234375</v>
      </c>
      <c r="D93" s="25">
        <f t="shared" si="1"/>
        <v>2.7816459236973401E-3</v>
      </c>
      <c r="E93" s="25">
        <f t="shared" si="1"/>
        <v>-4.546468091771616E-3</v>
      </c>
    </row>
    <row r="94" spans="1:5" x14ac:dyDescent="0.25">
      <c r="A94" s="22">
        <v>45268</v>
      </c>
      <c r="B94" s="21">
        <v>67.230003356933594</v>
      </c>
      <c r="C94" s="21">
        <v>460.20001220703119</v>
      </c>
      <c r="D94" s="25">
        <f t="shared" si="1"/>
        <v>3.6061087830098648E-2</v>
      </c>
      <c r="E94" s="25">
        <f t="shared" si="1"/>
        <v>-3.8744952600286986E-3</v>
      </c>
    </row>
    <row r="95" spans="1:5" x14ac:dyDescent="0.25">
      <c r="A95" s="22">
        <v>45267</v>
      </c>
      <c r="B95" s="21">
        <v>62.439998626708977</v>
      </c>
      <c r="C95" s="21">
        <v>458.23001098632813</v>
      </c>
      <c r="D95" s="25">
        <f t="shared" si="1"/>
        <v>-7.1248021583366627E-2</v>
      </c>
      <c r="E95" s="25">
        <f t="shared" si="1"/>
        <v>-4.280750040086545E-3</v>
      </c>
    </row>
    <row r="96" spans="1:5" x14ac:dyDescent="0.25">
      <c r="A96" s="22">
        <v>45266</v>
      </c>
      <c r="B96" s="21">
        <v>61.060001373291023</v>
      </c>
      <c r="C96" s="21">
        <v>454.760009765625</v>
      </c>
      <c r="D96" s="25">
        <f t="shared" si="1"/>
        <v>-2.2101173667029128E-2</v>
      </c>
      <c r="E96" s="25">
        <f t="shared" si="1"/>
        <v>-7.5726188540859996E-3</v>
      </c>
    </row>
    <row r="97" spans="1:5" x14ac:dyDescent="0.25">
      <c r="A97" s="22">
        <v>45265</v>
      </c>
      <c r="B97" s="21">
        <v>63.590000152587891</v>
      </c>
      <c r="C97" s="21">
        <v>456.60000610351563</v>
      </c>
      <c r="D97" s="25">
        <f t="shared" si="1"/>
        <v>4.1434633514494834E-2</v>
      </c>
      <c r="E97" s="25">
        <f t="shared" si="1"/>
        <v>4.0460821056780283E-3</v>
      </c>
    </row>
    <row r="98" spans="1:5" x14ac:dyDescent="0.25">
      <c r="A98" s="22">
        <v>45264</v>
      </c>
      <c r="B98" s="21">
        <v>61.930000305175781</v>
      </c>
      <c r="C98" s="21">
        <v>456.69000244140619</v>
      </c>
      <c r="D98" s="25">
        <f t="shared" si="1"/>
        <v>-2.6104730986457714E-2</v>
      </c>
      <c r="E98" s="25">
        <f t="shared" si="1"/>
        <v>1.9710104399384143E-4</v>
      </c>
    </row>
    <row r="99" spans="1:5" x14ac:dyDescent="0.25">
      <c r="A99" s="22">
        <v>45261</v>
      </c>
      <c r="B99" s="21">
        <v>63.900001525878913</v>
      </c>
      <c r="C99" s="21">
        <v>459.10000610351563</v>
      </c>
      <c r="D99" s="25">
        <f t="shared" si="1"/>
        <v>3.1810127740924399E-2</v>
      </c>
      <c r="E99" s="25">
        <f t="shared" si="1"/>
        <v>5.2771106203899354E-3</v>
      </c>
    </row>
    <row r="100" spans="1:5" x14ac:dyDescent="0.25">
      <c r="A100" s="22">
        <v>45260</v>
      </c>
      <c r="B100" s="21">
        <v>61.5</v>
      </c>
      <c r="C100" s="21">
        <v>456.39999389648438</v>
      </c>
      <c r="D100" s="25">
        <f t="shared" si="1"/>
        <v>-3.7558708428307885E-2</v>
      </c>
      <c r="E100" s="25">
        <f t="shared" si="1"/>
        <v>-5.881098172807353E-3</v>
      </c>
    </row>
    <row r="101" spans="1:5" x14ac:dyDescent="0.25">
      <c r="A101" s="22">
        <v>45259</v>
      </c>
      <c r="B101" s="21">
        <v>62.209999084472663</v>
      </c>
      <c r="C101" s="21">
        <v>454.6099853515625</v>
      </c>
      <c r="D101" s="25">
        <f t="shared" si="1"/>
        <v>1.154470056053114E-2</v>
      </c>
      <c r="E101" s="25">
        <f t="shared" si="1"/>
        <v>-3.9220170220419792E-3</v>
      </c>
    </row>
    <row r="102" spans="1:5" x14ac:dyDescent="0.25">
      <c r="A102" s="22">
        <v>45258</v>
      </c>
      <c r="B102" s="21">
        <v>61.919998168945313</v>
      </c>
      <c r="C102" s="21">
        <v>454.92999267578119</v>
      </c>
      <c r="D102" s="25">
        <f t="shared" si="1"/>
        <v>-4.6616447483558421E-3</v>
      </c>
      <c r="E102" s="25">
        <f t="shared" si="1"/>
        <v>7.0391617986831356E-4</v>
      </c>
    </row>
    <row r="103" spans="1:5" x14ac:dyDescent="0.25">
      <c r="A103" s="22">
        <v>45257</v>
      </c>
      <c r="B103" s="21">
        <v>61</v>
      </c>
      <c r="C103" s="21">
        <v>454.48001098632813</v>
      </c>
      <c r="D103" s="25">
        <f t="shared" si="1"/>
        <v>-1.4857852005020211E-2</v>
      </c>
      <c r="E103" s="25">
        <f t="shared" si="1"/>
        <v>-9.8912293473196744E-4</v>
      </c>
    </row>
    <row r="104" spans="1:5" x14ac:dyDescent="0.25">
      <c r="A104" s="22">
        <v>45254</v>
      </c>
      <c r="B104" s="21">
        <v>63.880001068115227</v>
      </c>
      <c r="C104" s="21">
        <v>455.29998779296881</v>
      </c>
      <c r="D104" s="25">
        <f t="shared" si="1"/>
        <v>4.7213132264183999E-2</v>
      </c>
      <c r="E104" s="25">
        <f t="shared" si="1"/>
        <v>1.804208737059998E-3</v>
      </c>
    </row>
    <row r="105" spans="1:5" x14ac:dyDescent="0.25">
      <c r="A105" s="22">
        <v>45252</v>
      </c>
      <c r="B105" s="21">
        <v>61.759998321533203</v>
      </c>
      <c r="C105" s="21">
        <v>455.01998901367188</v>
      </c>
      <c r="D105" s="25">
        <f t="shared" si="1"/>
        <v>-3.3187268489890398E-2</v>
      </c>
      <c r="E105" s="25">
        <f t="shared" si="1"/>
        <v>-6.1497647002850542E-4</v>
      </c>
    </row>
    <row r="106" spans="1:5" x14ac:dyDescent="0.25">
      <c r="A106" s="22">
        <v>45251</v>
      </c>
      <c r="B106" s="21">
        <v>58.659999847412109</v>
      </c>
      <c r="C106" s="21">
        <v>453.26998901367188</v>
      </c>
      <c r="D106" s="25">
        <f t="shared" si="1"/>
        <v>-5.0194277175688473E-2</v>
      </c>
      <c r="E106" s="25">
        <f t="shared" si="1"/>
        <v>-3.84598488473753E-3</v>
      </c>
    </row>
    <row r="107" spans="1:5" x14ac:dyDescent="0.25">
      <c r="A107" s="22">
        <v>45250</v>
      </c>
      <c r="B107" s="21">
        <v>58.680000305175781</v>
      </c>
      <c r="C107" s="21">
        <v>454.260009765625</v>
      </c>
      <c r="D107" s="25">
        <f t="shared" si="1"/>
        <v>3.4095563954483765E-4</v>
      </c>
      <c r="E107" s="25">
        <f t="shared" si="1"/>
        <v>2.1841745007373792E-3</v>
      </c>
    </row>
    <row r="108" spans="1:5" x14ac:dyDescent="0.25">
      <c r="A108" s="22">
        <v>45247</v>
      </c>
      <c r="B108" s="21">
        <v>54.990001678466797</v>
      </c>
      <c r="C108" s="21">
        <v>450.79000854492188</v>
      </c>
      <c r="D108" s="25">
        <f t="shared" si="1"/>
        <v>-6.2883411852735049E-2</v>
      </c>
      <c r="E108" s="25">
        <f t="shared" si="1"/>
        <v>-7.6387996876359221E-3</v>
      </c>
    </row>
    <row r="109" spans="1:5" x14ac:dyDescent="0.25">
      <c r="A109" s="22">
        <v>45246</v>
      </c>
      <c r="B109" s="21">
        <v>54.229999542236328</v>
      </c>
      <c r="C109" s="21">
        <v>450.23001098632813</v>
      </c>
      <c r="D109" s="25">
        <f t="shared" si="1"/>
        <v>-1.382073309752363E-2</v>
      </c>
      <c r="E109" s="25">
        <f t="shared" si="1"/>
        <v>-1.2422581423251478E-3</v>
      </c>
    </row>
    <row r="110" spans="1:5" x14ac:dyDescent="0.25">
      <c r="A110" s="22">
        <v>45245</v>
      </c>
      <c r="B110" s="21">
        <v>55.430000305175781</v>
      </c>
      <c r="C110" s="21">
        <v>449.67999267578119</v>
      </c>
      <c r="D110" s="25">
        <f t="shared" si="1"/>
        <v>2.212798770180413E-2</v>
      </c>
      <c r="E110" s="25">
        <f t="shared" si="1"/>
        <v>-1.2216384894956356E-3</v>
      </c>
    </row>
    <row r="111" spans="1:5" x14ac:dyDescent="0.25">
      <c r="A111" s="22">
        <v>45244</v>
      </c>
      <c r="B111" s="21">
        <v>53.430000305175781</v>
      </c>
      <c r="C111" s="21">
        <v>448.73001098632813</v>
      </c>
      <c r="D111" s="25">
        <f t="shared" si="1"/>
        <v>-3.6081544091444817E-2</v>
      </c>
      <c r="E111" s="25">
        <f t="shared" si="1"/>
        <v>-2.1125727293319629E-3</v>
      </c>
    </row>
    <row r="112" spans="1:5" x14ac:dyDescent="0.25">
      <c r="A112" s="22">
        <v>45243</v>
      </c>
      <c r="B112" s="21">
        <v>51.689998626708977</v>
      </c>
      <c r="C112" s="21">
        <v>440.19000244140619</v>
      </c>
      <c r="D112" s="25">
        <f t="shared" si="1"/>
        <v>-3.2566005400120668E-2</v>
      </c>
      <c r="E112" s="25">
        <f t="shared" si="1"/>
        <v>-1.9031507445090745E-2</v>
      </c>
    </row>
    <row r="113" spans="1:5" x14ac:dyDescent="0.25">
      <c r="A113" s="22">
        <v>45240</v>
      </c>
      <c r="B113" s="21">
        <v>52.270000457763672</v>
      </c>
      <c r="C113" s="21">
        <v>440.6099853515625</v>
      </c>
      <c r="D113" s="25">
        <f t="shared" si="1"/>
        <v>1.1220774742969342E-2</v>
      </c>
      <c r="E113" s="25">
        <f t="shared" si="1"/>
        <v>9.5409461329643008E-4</v>
      </c>
    </row>
    <row r="114" spans="1:5" x14ac:dyDescent="0.25">
      <c r="A114" s="22">
        <v>45239</v>
      </c>
      <c r="B114" s="21">
        <v>51.580001831054688</v>
      </c>
      <c r="C114" s="21">
        <v>433.83999633789063</v>
      </c>
      <c r="D114" s="25">
        <f t="shared" si="1"/>
        <v>-1.3200662342953917E-2</v>
      </c>
      <c r="E114" s="25">
        <f t="shared" si="1"/>
        <v>-1.5365037649498814E-2</v>
      </c>
    </row>
    <row r="115" spans="1:5" x14ac:dyDescent="0.25">
      <c r="A115" s="22">
        <v>45238</v>
      </c>
      <c r="B115" s="21">
        <v>54.400001525878913</v>
      </c>
      <c r="C115" s="21">
        <v>437.25</v>
      </c>
      <c r="D115" s="25">
        <f t="shared" si="1"/>
        <v>5.467234576805291E-2</v>
      </c>
      <c r="E115" s="25">
        <f t="shared" si="1"/>
        <v>7.8600490754512364E-3</v>
      </c>
    </row>
    <row r="116" spans="1:5" x14ac:dyDescent="0.25">
      <c r="A116" s="22">
        <v>45237</v>
      </c>
      <c r="B116" s="21">
        <v>55.270000457763672</v>
      </c>
      <c r="C116" s="21">
        <v>436.92999267578119</v>
      </c>
      <c r="D116" s="25">
        <f t="shared" si="1"/>
        <v>1.5992626975771085E-2</v>
      </c>
      <c r="E116" s="25">
        <f t="shared" si="1"/>
        <v>-7.3186352022602819E-4</v>
      </c>
    </row>
    <row r="117" spans="1:5" x14ac:dyDescent="0.25">
      <c r="A117" s="22">
        <v>45236</v>
      </c>
      <c r="B117" s="21">
        <v>53.099998474121087</v>
      </c>
      <c r="C117" s="21">
        <v>435.69000244140619</v>
      </c>
      <c r="D117" s="25">
        <f t="shared" si="1"/>
        <v>-3.9261841246063689E-2</v>
      </c>
      <c r="E117" s="25">
        <f t="shared" si="1"/>
        <v>-2.8379608979947069E-3</v>
      </c>
    </row>
    <row r="118" spans="1:5" x14ac:dyDescent="0.25">
      <c r="A118" s="22">
        <v>45233</v>
      </c>
      <c r="B118" s="21">
        <v>53.490001678466797</v>
      </c>
      <c r="C118" s="21">
        <v>434.69000244140619</v>
      </c>
      <c r="D118" s="25">
        <f t="shared" si="1"/>
        <v>7.3446933249119439E-3</v>
      </c>
      <c r="E118" s="25">
        <f t="shared" si="1"/>
        <v>-2.2952098840838264E-3</v>
      </c>
    </row>
    <row r="119" spans="1:5" x14ac:dyDescent="0.25">
      <c r="A119" s="22">
        <v>45232</v>
      </c>
      <c r="B119" s="21">
        <v>52.819999694824219</v>
      </c>
      <c r="C119" s="21">
        <v>430.760009765625</v>
      </c>
      <c r="D119" s="25">
        <f t="shared" si="1"/>
        <v>-1.2525742430707365E-2</v>
      </c>
      <c r="E119" s="25">
        <f t="shared" si="1"/>
        <v>-9.040908817107951E-3</v>
      </c>
    </row>
    <row r="120" spans="1:5" x14ac:dyDescent="0.25">
      <c r="A120" s="22">
        <v>45231</v>
      </c>
      <c r="B120" s="21">
        <v>50.520000457763672</v>
      </c>
      <c r="C120" s="21">
        <v>422.66000366210938</v>
      </c>
      <c r="D120" s="25">
        <f t="shared" si="1"/>
        <v>-4.3544097886201283E-2</v>
      </c>
      <c r="E120" s="25">
        <f t="shared" si="1"/>
        <v>-1.8803988113759273E-2</v>
      </c>
    </row>
    <row r="121" spans="1:5" x14ac:dyDescent="0.25">
      <c r="A121" s="22">
        <v>45230</v>
      </c>
      <c r="B121" s="21">
        <v>49.290000915527337</v>
      </c>
      <c r="C121" s="21">
        <v>418.20001220703119</v>
      </c>
      <c r="D121" s="25">
        <f t="shared" si="1"/>
        <v>-2.4346784067522997E-2</v>
      </c>
      <c r="E121" s="25">
        <f t="shared" si="1"/>
        <v>-1.0552196603499042E-2</v>
      </c>
    </row>
    <row r="122" spans="1:5" x14ac:dyDescent="0.25">
      <c r="A122" s="22">
        <v>45229</v>
      </c>
      <c r="B122" s="21">
        <v>47.900001525878913</v>
      </c>
      <c r="C122" s="21">
        <v>415.58999633789063</v>
      </c>
      <c r="D122" s="25">
        <f t="shared" si="1"/>
        <v>-2.8200433431327943E-2</v>
      </c>
      <c r="E122" s="25">
        <f t="shared" si="1"/>
        <v>-6.2410707626867623E-3</v>
      </c>
    </row>
    <row r="123" spans="1:5" x14ac:dyDescent="0.25">
      <c r="A123" s="22">
        <v>45226</v>
      </c>
      <c r="B123" s="21">
        <v>49.090000152587891</v>
      </c>
      <c r="C123" s="21">
        <v>410.67999267578119</v>
      </c>
      <c r="D123" s="25">
        <f t="shared" si="1"/>
        <v>2.4843394338224689E-2</v>
      </c>
      <c r="E123" s="25">
        <f t="shared" si="1"/>
        <v>-1.1814537658210167E-2</v>
      </c>
    </row>
    <row r="124" spans="1:5" x14ac:dyDescent="0.25">
      <c r="A124" s="22">
        <v>45225</v>
      </c>
      <c r="B124" s="21">
        <v>50.169998168945313</v>
      </c>
      <c r="C124" s="21">
        <v>412.54998779296881</v>
      </c>
      <c r="D124" s="25">
        <f t="shared" si="1"/>
        <v>2.2000366938285332E-2</v>
      </c>
      <c r="E124" s="25">
        <f t="shared" si="1"/>
        <v>4.553411781771155E-3</v>
      </c>
    </row>
    <row r="125" spans="1:5" x14ac:dyDescent="0.25">
      <c r="A125" s="22">
        <v>45224</v>
      </c>
      <c r="B125" s="21">
        <v>49.439998626708977</v>
      </c>
      <c r="C125" s="21">
        <v>417.54998779296881</v>
      </c>
      <c r="D125" s="25">
        <f t="shared" si="1"/>
        <v>-1.4550519610905588E-2</v>
      </c>
      <c r="E125" s="25">
        <f t="shared" si="1"/>
        <v>1.2119743420060836E-2</v>
      </c>
    </row>
    <row r="126" spans="1:5" x14ac:dyDescent="0.25">
      <c r="A126" s="22">
        <v>45223</v>
      </c>
      <c r="B126" s="21">
        <v>52.369998931884773</v>
      </c>
      <c r="C126" s="21">
        <v>423.6300048828125</v>
      </c>
      <c r="D126" s="25">
        <f t="shared" si="1"/>
        <v>5.9263761864121856E-2</v>
      </c>
      <c r="E126" s="25">
        <f t="shared" si="1"/>
        <v>1.456117175809446E-2</v>
      </c>
    </row>
    <row r="127" spans="1:5" x14ac:dyDescent="0.25">
      <c r="A127" s="22">
        <v>45222</v>
      </c>
      <c r="B127" s="21">
        <v>50.209999084472663</v>
      </c>
      <c r="C127" s="21">
        <v>420.45999145507813</v>
      </c>
      <c r="D127" s="25">
        <f t="shared" si="1"/>
        <v>-4.1244985515877519E-2</v>
      </c>
      <c r="E127" s="25">
        <f t="shared" si="1"/>
        <v>-7.482976633374383E-3</v>
      </c>
    </row>
    <row r="128" spans="1:5" x14ac:dyDescent="0.25">
      <c r="A128" s="22">
        <v>45219</v>
      </c>
      <c r="B128" s="21">
        <v>47.869998931884773</v>
      </c>
      <c r="C128" s="21">
        <v>421.19000244140619</v>
      </c>
      <c r="D128" s="25">
        <f t="shared" si="1"/>
        <v>-4.6604265987957971E-2</v>
      </c>
      <c r="E128" s="25">
        <f t="shared" si="1"/>
        <v>1.7362198572132836E-3</v>
      </c>
    </row>
    <row r="129" spans="1:5" x14ac:dyDescent="0.25">
      <c r="A129" s="22">
        <v>45218</v>
      </c>
      <c r="B129" s="21">
        <v>49.740001678466797</v>
      </c>
      <c r="C129" s="21">
        <v>426.42999267578119</v>
      </c>
      <c r="D129" s="25">
        <f t="shared" si="1"/>
        <v>3.9064190271716814E-2</v>
      </c>
      <c r="E129" s="25">
        <f t="shared" si="1"/>
        <v>1.2440917885043978E-2</v>
      </c>
    </row>
    <row r="130" spans="1:5" x14ac:dyDescent="0.25">
      <c r="A130" s="22">
        <v>45217</v>
      </c>
      <c r="B130" s="21">
        <v>51.900001525878913</v>
      </c>
      <c r="C130" s="21">
        <v>430.20999145507813</v>
      </c>
      <c r="D130" s="25">
        <f t="shared" si="1"/>
        <v>4.3425809700911477E-2</v>
      </c>
      <c r="E130" s="25">
        <f t="shared" si="1"/>
        <v>8.86428920155935E-3</v>
      </c>
    </row>
    <row r="131" spans="1:5" x14ac:dyDescent="0.25">
      <c r="A131" s="22">
        <v>45216</v>
      </c>
      <c r="B131" s="21">
        <v>52.290000915527337</v>
      </c>
      <c r="C131" s="21">
        <v>436.01998901367188</v>
      </c>
      <c r="D131" s="25">
        <f t="shared" si="1"/>
        <v>7.5144388859786915E-3</v>
      </c>
      <c r="E131" s="25">
        <f t="shared" si="1"/>
        <v>1.3505027019346638E-2</v>
      </c>
    </row>
    <row r="132" spans="1:5" x14ac:dyDescent="0.25">
      <c r="A132" s="22">
        <v>45215</v>
      </c>
      <c r="B132" s="21">
        <v>52.090000152587891</v>
      </c>
      <c r="C132" s="21">
        <v>436.04000854492188</v>
      </c>
      <c r="D132" s="25">
        <f t="shared" ref="D132:E153" si="2">+B132/B131-1</f>
        <v>-3.8248376255058947E-3</v>
      </c>
      <c r="E132" s="25">
        <f t="shared" si="2"/>
        <v>4.5914251076695223E-5</v>
      </c>
    </row>
    <row r="133" spans="1:5" x14ac:dyDescent="0.25">
      <c r="A133" s="22">
        <v>45212</v>
      </c>
      <c r="B133" s="21">
        <v>50.779998779296882</v>
      </c>
      <c r="C133" s="21">
        <v>431.5</v>
      </c>
      <c r="D133" s="25">
        <f t="shared" si="2"/>
        <v>-2.5148807246181737E-2</v>
      </c>
      <c r="E133" s="25">
        <f t="shared" si="2"/>
        <v>-1.0411908210148035E-2</v>
      </c>
    </row>
    <row r="134" spans="1:5" x14ac:dyDescent="0.25">
      <c r="A134" s="22">
        <v>45211</v>
      </c>
      <c r="B134" s="21">
        <v>51.849998474121087</v>
      </c>
      <c r="C134" s="21">
        <v>433.66000366210938</v>
      </c>
      <c r="D134" s="25">
        <f t="shared" si="2"/>
        <v>2.1071282405395575E-2</v>
      </c>
      <c r="E134" s="25">
        <f t="shared" si="2"/>
        <v>5.0058022296857185E-3</v>
      </c>
    </row>
    <row r="135" spans="1:5" x14ac:dyDescent="0.25">
      <c r="A135" s="22">
        <v>45210</v>
      </c>
      <c r="B135" s="21">
        <v>54.680000305175781</v>
      </c>
      <c r="C135" s="21">
        <v>436.32000732421881</v>
      </c>
      <c r="D135" s="25">
        <f t="shared" si="2"/>
        <v>5.4580557653578055E-2</v>
      </c>
      <c r="E135" s="25">
        <f t="shared" si="2"/>
        <v>6.1338459614597163E-3</v>
      </c>
    </row>
    <row r="136" spans="1:5" x14ac:dyDescent="0.25">
      <c r="A136" s="22">
        <v>45209</v>
      </c>
      <c r="B136" s="21">
        <v>55.709999084472663</v>
      </c>
      <c r="C136" s="21">
        <v>434.54000854492188</v>
      </c>
      <c r="D136" s="25">
        <f t="shared" si="2"/>
        <v>1.8836846626706816E-2</v>
      </c>
      <c r="E136" s="25">
        <f t="shared" si="2"/>
        <v>-4.0795717579236168E-3</v>
      </c>
    </row>
    <row r="137" spans="1:5" x14ac:dyDescent="0.25">
      <c r="A137" s="22">
        <v>45208</v>
      </c>
      <c r="B137" s="21">
        <v>54.25</v>
      </c>
      <c r="C137" s="21">
        <v>432.29000854492188</v>
      </c>
      <c r="D137" s="25">
        <f t="shared" si="2"/>
        <v>-2.6207128136169544E-2</v>
      </c>
      <c r="E137" s="25">
        <f t="shared" si="2"/>
        <v>-5.1778891603887489E-3</v>
      </c>
    </row>
    <row r="138" spans="1:5" x14ac:dyDescent="0.25">
      <c r="A138" s="22">
        <v>45205</v>
      </c>
      <c r="B138" s="21">
        <v>54.080001831054688</v>
      </c>
      <c r="C138" s="21">
        <v>429.54000854492188</v>
      </c>
      <c r="D138" s="25">
        <f t="shared" si="2"/>
        <v>-3.133606800835298E-3</v>
      </c>
      <c r="E138" s="25">
        <f t="shared" si="2"/>
        <v>-6.3614701835381648E-3</v>
      </c>
    </row>
    <row r="139" spans="1:5" x14ac:dyDescent="0.25">
      <c r="A139" s="22">
        <v>45204</v>
      </c>
      <c r="B139" s="21">
        <v>52.509998321533203</v>
      </c>
      <c r="C139" s="21">
        <v>424.5</v>
      </c>
      <c r="D139" s="25">
        <f t="shared" si="2"/>
        <v>-2.9031129000811728E-2</v>
      </c>
      <c r="E139" s="25">
        <f t="shared" si="2"/>
        <v>-1.1733501989710016E-2</v>
      </c>
    </row>
    <row r="140" spans="1:5" x14ac:dyDescent="0.25">
      <c r="A140" s="22">
        <v>45203</v>
      </c>
      <c r="B140" s="21">
        <v>53.459999084472663</v>
      </c>
      <c r="C140" s="21">
        <v>424.66000366210938</v>
      </c>
      <c r="D140" s="25">
        <f t="shared" si="2"/>
        <v>1.8091807147323502E-2</v>
      </c>
      <c r="E140" s="25">
        <f t="shared" si="2"/>
        <v>3.7692264336719461E-4</v>
      </c>
    </row>
    <row r="141" spans="1:5" x14ac:dyDescent="0.25">
      <c r="A141" s="22">
        <v>45202</v>
      </c>
      <c r="B141" s="21">
        <v>51.569999694824219</v>
      </c>
      <c r="C141" s="21">
        <v>421.58999633789063</v>
      </c>
      <c r="D141" s="25">
        <f t="shared" si="2"/>
        <v>-3.5353524542004577E-2</v>
      </c>
      <c r="E141" s="25">
        <f t="shared" si="2"/>
        <v>-7.2293300469650212E-3</v>
      </c>
    </row>
    <row r="142" spans="1:5" x14ac:dyDescent="0.25">
      <c r="A142" s="22">
        <v>45201</v>
      </c>
      <c r="B142" s="21">
        <v>52.259998321533203</v>
      </c>
      <c r="C142" s="21">
        <v>427.30999755859381</v>
      </c>
      <c r="D142" s="25">
        <f t="shared" si="2"/>
        <v>1.3379845468143969E-2</v>
      </c>
      <c r="E142" s="25">
        <f t="shared" si="2"/>
        <v>1.3567687256314187E-2</v>
      </c>
    </row>
    <row r="143" spans="1:5" x14ac:dyDescent="0.25">
      <c r="A143" s="22">
        <v>45198</v>
      </c>
      <c r="B143" s="21">
        <v>53.520000457763672</v>
      </c>
      <c r="C143" s="21">
        <v>427.48001098632813</v>
      </c>
      <c r="D143" s="25">
        <f t="shared" si="2"/>
        <v>2.4110259791403355E-2</v>
      </c>
      <c r="E143" s="25">
        <f t="shared" si="2"/>
        <v>3.978690615844549E-4</v>
      </c>
    </row>
    <row r="144" spans="1:5" x14ac:dyDescent="0.25">
      <c r="A144" s="22">
        <v>45197</v>
      </c>
      <c r="B144" s="21">
        <v>55.490001678466797</v>
      </c>
      <c r="C144" s="21">
        <v>428.51998901367188</v>
      </c>
      <c r="D144" s="25">
        <f t="shared" si="2"/>
        <v>3.6808692149727928E-2</v>
      </c>
      <c r="E144" s="25">
        <f t="shared" si="2"/>
        <v>2.4328108931788162E-3</v>
      </c>
    </row>
    <row r="145" spans="1:5" x14ac:dyDescent="0.25">
      <c r="A145" s="22">
        <v>45196</v>
      </c>
      <c r="B145" s="21">
        <v>52.990001678466797</v>
      </c>
      <c r="C145" s="21">
        <v>426.04998779296881</v>
      </c>
      <c r="D145" s="25">
        <f t="shared" si="2"/>
        <v>-4.5053161369251526E-2</v>
      </c>
      <c r="E145" s="25">
        <f t="shared" si="2"/>
        <v>-5.7640280127615462E-3</v>
      </c>
    </row>
    <row r="146" spans="1:5" x14ac:dyDescent="0.25">
      <c r="A146" s="22">
        <v>45195</v>
      </c>
      <c r="B146" s="21">
        <v>53.520000457763672</v>
      </c>
      <c r="C146" s="21">
        <v>425.8800048828125</v>
      </c>
      <c r="D146" s="25">
        <f t="shared" si="2"/>
        <v>1.0001863795227051E-2</v>
      </c>
      <c r="E146" s="25">
        <f t="shared" si="2"/>
        <v>-3.9897409934652739E-4</v>
      </c>
    </row>
    <row r="147" spans="1:5" x14ac:dyDescent="0.25">
      <c r="A147" s="22">
        <v>45194</v>
      </c>
      <c r="B147" s="21">
        <v>54.439998626708977</v>
      </c>
      <c r="C147" s="21">
        <v>432.23001098632813</v>
      </c>
      <c r="D147" s="25">
        <f t="shared" si="2"/>
        <v>1.7189801215927503E-2</v>
      </c>
      <c r="E147" s="25">
        <f t="shared" si="2"/>
        <v>1.4910317532430106E-2</v>
      </c>
    </row>
    <row r="148" spans="1:5" x14ac:dyDescent="0.25">
      <c r="A148" s="22">
        <v>45191</v>
      </c>
      <c r="B148" s="21">
        <v>51.319999694824219</v>
      </c>
      <c r="C148" s="21">
        <v>430.42001342773438</v>
      </c>
      <c r="D148" s="25">
        <f t="shared" si="2"/>
        <v>-5.7310782707368557E-2</v>
      </c>
      <c r="E148" s="25">
        <f t="shared" si="2"/>
        <v>-4.1875795585397668E-3</v>
      </c>
    </row>
    <row r="149" spans="1:5" x14ac:dyDescent="0.25">
      <c r="A149" s="22">
        <v>45190</v>
      </c>
      <c r="B149" s="21">
        <v>52.159999847412109</v>
      </c>
      <c r="C149" s="21">
        <v>431.3900146484375</v>
      </c>
      <c r="D149" s="25">
        <f t="shared" si="2"/>
        <v>1.6367890833651089E-2</v>
      </c>
      <c r="E149" s="25">
        <f t="shared" si="2"/>
        <v>2.2536155161057003E-3</v>
      </c>
    </row>
    <row r="150" spans="1:5" x14ac:dyDescent="0.25">
      <c r="A150" s="22">
        <v>45189</v>
      </c>
      <c r="B150" s="21">
        <v>52.909999847412109</v>
      </c>
      <c r="C150" s="21">
        <v>438.6400146484375</v>
      </c>
      <c r="D150" s="25">
        <f t="shared" si="2"/>
        <v>1.4378834397891893E-2</v>
      </c>
      <c r="E150" s="25">
        <f t="shared" si="2"/>
        <v>1.6806137726457226E-2</v>
      </c>
    </row>
    <row r="151" spans="1:5" x14ac:dyDescent="0.25">
      <c r="A151" s="22">
        <v>45188</v>
      </c>
      <c r="B151" s="21">
        <v>55.169998168945313</v>
      </c>
      <c r="C151" s="21">
        <v>442.70999145507813</v>
      </c>
      <c r="D151" s="25">
        <f t="shared" si="2"/>
        <v>4.2714011114172168E-2</v>
      </c>
      <c r="E151" s="25">
        <f t="shared" si="2"/>
        <v>9.2786263695130433E-3</v>
      </c>
    </row>
    <row r="152" spans="1:5" x14ac:dyDescent="0.25">
      <c r="A152" s="22">
        <v>45187</v>
      </c>
      <c r="B152" s="21">
        <v>58</v>
      </c>
      <c r="C152" s="21">
        <v>443.6300048828125</v>
      </c>
      <c r="D152" s="25">
        <f t="shared" si="2"/>
        <v>5.1296029091544737E-2</v>
      </c>
      <c r="E152" s="25">
        <f t="shared" si="2"/>
        <v>2.0781401944656164E-3</v>
      </c>
    </row>
    <row r="153" spans="1:5" x14ac:dyDescent="0.25">
      <c r="A153" s="22">
        <v>45184</v>
      </c>
      <c r="B153" s="21">
        <v>60.75</v>
      </c>
      <c r="C153" s="21">
        <v>443.3699951171875</v>
      </c>
      <c r="D153" s="25">
        <f t="shared" si="2"/>
        <v>4.7413793103448176E-2</v>
      </c>
      <c r="E153" s="25">
        <f t="shared" si="2"/>
        <v>-5.8609598711356625E-4</v>
      </c>
    </row>
  </sheetData>
  <autoFilter ref="A2:A153" xr:uid="{6D19F2FD-3AD7-4A54-AC7F-726F5E737F11}">
    <sortState xmlns:xlrd2="http://schemas.microsoft.com/office/spreadsheetml/2017/richdata2" ref="A3:E153">
      <sortCondition descending="1" ref="A2:A1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Financial Statement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Quang Viet Nguyen</dc:creator>
  <cp:lastModifiedBy>Minh Nguyen Viet Quang</cp:lastModifiedBy>
  <dcterms:created xsi:type="dcterms:W3CDTF">2024-03-07T01:28:55Z</dcterms:created>
  <dcterms:modified xsi:type="dcterms:W3CDTF">2024-04-23T05:55:39Z</dcterms:modified>
</cp:coreProperties>
</file>