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670600C1-CFDF-4BCA-9284-B43AF38A9DEA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Sheet1" sheetId="1" r:id="rId1"/>
    <sheet name="Financial Statement" sheetId="3" r:id="rId2"/>
    <sheet name="Debt Schedule" sheetId="5" r:id="rId3"/>
    <sheet name="Reference" sheetId="4" r:id="rId4"/>
    <sheet name="df" sheetId="7" r:id="rId5"/>
  </sheets>
  <definedNames>
    <definedName name="_xlnm._FilterDatabase" localSheetId="4" hidden="1">df!$A$1:$C$756</definedName>
    <definedName name="AV">'Financial Statement'!$C$166:$G$166</definedName>
    <definedName name="DCAI">'Financial Statement'!$C$163:$G$163</definedName>
    <definedName name="forecastSALES">'Financial Statement'!$H$40:$L$40</definedName>
    <definedName name="FORTax">'Financial Statement'!$H$183:$L$183</definedName>
    <definedName name="FX">'Financial Statement'!$C$165:$G$165</definedName>
    <definedName name="GFX">'Financial Statement'!$C$164:$G$164</definedName>
    <definedName name="GPUprices">'Financial Statement'!$H$17:$L$17</definedName>
    <definedName name="GROSS">'Financial Statement'!$C$172:$G$172</definedName>
    <definedName name="historicalREV">'Financial Statement'!$C$169:$F$169</definedName>
    <definedName name="OEMO">'Financial Statement'!$C$167:$G$167</definedName>
    <definedName name="RD">'Financial Statement'!$C$173:$G$173</definedName>
    <definedName name="Revenue">'Financial Statement'!$C$169:$G$169</definedName>
    <definedName name="sensitivityTEV">Sheet1!$E$24:$I$24</definedName>
    <definedName name="sensitivityTV">Sheet1!$E$23:$I$23</definedName>
    <definedName name="SGA">'Financial Statement'!$C$174:$G$174</definedName>
    <definedName name="USTax">'Financial Statement'!$H$67:$L$67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3" l="1"/>
  <c r="K17" i="3" s="1"/>
  <c r="J15" i="3"/>
  <c r="J17" i="3" s="1"/>
  <c r="L40" i="3"/>
  <c r="K40" i="3"/>
  <c r="J40" i="3"/>
  <c r="I40" i="3"/>
  <c r="H40" i="3"/>
  <c r="I17" i="3"/>
  <c r="H17" i="3"/>
  <c r="G17" i="3"/>
  <c r="G23" i="1"/>
  <c r="H23" i="1" s="1"/>
  <c r="I23" i="1" s="1"/>
  <c r="F23" i="1"/>
  <c r="L15" i="3" l="1"/>
  <c r="L17" i="3" s="1"/>
  <c r="H163" i="3" a="1"/>
  <c r="H163" i="3" s="1"/>
  <c r="C23" i="1" l="1"/>
  <c r="C26" i="1" s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40" i="3"/>
  <c r="B43" i="3"/>
  <c r="B44" i="3"/>
  <c r="B45" i="3"/>
  <c r="B46" i="3"/>
  <c r="B47" i="3"/>
  <c r="C27" i="1" l="1"/>
  <c r="C25" i="1" l="1"/>
  <c r="C21" i="1"/>
  <c r="C24" i="1" s="1"/>
  <c r="H116" i="3"/>
  <c r="D218" i="3"/>
  <c r="E218" i="3"/>
  <c r="F218" i="3"/>
  <c r="G218" i="3"/>
  <c r="C218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C6" i="1"/>
  <c r="D3" i="1"/>
  <c r="E3" i="1" s="1"/>
  <c r="F3" i="1" s="1"/>
  <c r="G3" i="1" s="1"/>
  <c r="H3" i="1" s="1"/>
  <c r="I116" i="3" l="1"/>
  <c r="J116" i="3" s="1"/>
  <c r="K116" i="3" s="1"/>
  <c r="L116" i="3" l="1"/>
  <c r="G193" i="3" l="1"/>
  <c r="H189" i="3"/>
  <c r="I189" i="3" s="1"/>
  <c r="J189" i="3" s="1"/>
  <c r="K189" i="3" s="1"/>
  <c r="L189" i="3" s="1"/>
  <c r="H190" i="3"/>
  <c r="I190" i="3" s="1"/>
  <c r="J190" i="3" s="1"/>
  <c r="K190" i="3" s="1"/>
  <c r="L190" i="3" s="1"/>
  <c r="H191" i="3"/>
  <c r="I191" i="3" s="1"/>
  <c r="J191" i="3" s="1"/>
  <c r="K191" i="3" s="1"/>
  <c r="L191" i="3" s="1"/>
  <c r="F66" i="3"/>
  <c r="E66" i="3"/>
  <c r="D66" i="3"/>
  <c r="C66" i="3"/>
  <c r="G66" i="3"/>
  <c r="H66" i="3" s="1"/>
  <c r="I66" i="3" s="1"/>
  <c r="J66" i="3" s="1"/>
  <c r="K66" i="3" s="1"/>
  <c r="L66" i="3" s="1"/>
  <c r="B62" i="3"/>
  <c r="B61" i="3"/>
  <c r="F58" i="3"/>
  <c r="E58" i="3"/>
  <c r="D58" i="3"/>
  <c r="C58" i="3"/>
  <c r="F57" i="3"/>
  <c r="E57" i="3"/>
  <c r="D57" i="3"/>
  <c r="C57" i="3"/>
  <c r="H178" i="3"/>
  <c r="I178" i="3" s="1"/>
  <c r="J178" i="3" s="1"/>
  <c r="K178" i="3" s="1"/>
  <c r="L178" i="3" s="1"/>
  <c r="H96" i="3"/>
  <c r="I96" i="3" s="1"/>
  <c r="J96" i="3" s="1"/>
  <c r="K96" i="3" s="1"/>
  <c r="L96" i="3" s="1"/>
  <c r="H95" i="3"/>
  <c r="I95" i="3" s="1"/>
  <c r="J95" i="3" s="1"/>
  <c r="K95" i="3" s="1"/>
  <c r="L95" i="3" s="1"/>
  <c r="H92" i="3"/>
  <c r="I92" i="3" s="1"/>
  <c r="J92" i="3" s="1"/>
  <c r="K92" i="3" s="1"/>
  <c r="L92" i="3" s="1"/>
  <c r="H90" i="3"/>
  <c r="I90" i="3" s="1"/>
  <c r="J90" i="3" s="1"/>
  <c r="K90" i="3" s="1"/>
  <c r="L90" i="3" s="1"/>
  <c r="H86" i="3"/>
  <c r="H83" i="3"/>
  <c r="I83" i="3" s="1"/>
  <c r="J83" i="3" s="1"/>
  <c r="K83" i="3" s="1"/>
  <c r="L83" i="3" s="1"/>
  <c r="H82" i="3"/>
  <c r="H81" i="3"/>
  <c r="G68" i="3"/>
  <c r="H68" i="3" s="1"/>
  <c r="I68" i="3" s="1"/>
  <c r="J68" i="3" s="1"/>
  <c r="K68" i="3" s="1"/>
  <c r="L68" i="3" s="1"/>
  <c r="F68" i="3"/>
  <c r="E68" i="3"/>
  <c r="D68" i="3"/>
  <c r="C68" i="3"/>
  <c r="F67" i="3"/>
  <c r="E67" i="3"/>
  <c r="D67" i="3"/>
  <c r="C67" i="3"/>
  <c r="G67" i="3"/>
  <c r="G181" i="3"/>
  <c r="L179" i="3"/>
  <c r="K179" i="3"/>
  <c r="J179" i="3"/>
  <c r="I179" i="3"/>
  <c r="H179" i="3"/>
  <c r="H167" i="3"/>
  <c r="H166" i="3"/>
  <c r="I166" i="3" s="1"/>
  <c r="H165" i="3"/>
  <c r="I165" i="3" s="1"/>
  <c r="H164" i="3"/>
  <c r="I164" i="3" s="1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14" i="3"/>
  <c r="G213" i="3"/>
  <c r="G169" i="3"/>
  <c r="B54" i="3"/>
  <c r="B53" i="3"/>
  <c r="B52" i="3"/>
  <c r="B51" i="3"/>
  <c r="B50" i="3"/>
  <c r="E169" i="3"/>
  <c r="D169" i="3"/>
  <c r="D170" i="3" s="1"/>
  <c r="F169" i="3"/>
  <c r="C208" i="3"/>
  <c r="C158" i="3"/>
  <c r="C221" i="3" s="1"/>
  <c r="D8" i="3"/>
  <c r="D208" i="3" s="1"/>
  <c r="F62" i="3" l="1"/>
  <c r="F64" i="3" s="1"/>
  <c r="F170" i="3"/>
  <c r="E62" i="3"/>
  <c r="E64" i="3" s="1"/>
  <c r="E170" i="3"/>
  <c r="I86" i="3"/>
  <c r="H218" i="3"/>
  <c r="D13" i="1" s="1"/>
  <c r="C8" i="1"/>
  <c r="C9" i="1" s="1"/>
  <c r="C19" i="1"/>
  <c r="C29" i="1" s="1"/>
  <c r="I81" i="3"/>
  <c r="J81" i="3" s="1"/>
  <c r="C34" i="1"/>
  <c r="G62" i="3"/>
  <c r="G64" i="3" s="1"/>
  <c r="C4" i="1"/>
  <c r="G194" i="3"/>
  <c r="G70" i="3"/>
  <c r="G71" i="3" s="1"/>
  <c r="C44" i="3" a="1"/>
  <c r="C44" i="3" s="1"/>
  <c r="E63" i="3"/>
  <c r="F63" i="3"/>
  <c r="G63" i="3"/>
  <c r="H91" i="3"/>
  <c r="I82" i="3"/>
  <c r="J82" i="3" s="1"/>
  <c r="K82" i="3" s="1"/>
  <c r="L82" i="3" s="1"/>
  <c r="I181" i="3"/>
  <c r="J181" i="3"/>
  <c r="K181" i="3"/>
  <c r="L181" i="3"/>
  <c r="H181" i="3"/>
  <c r="C47" i="3" a="1"/>
  <c r="C47" i="3" s="1"/>
  <c r="H169" i="3"/>
  <c r="J164" i="3"/>
  <c r="J166" i="3"/>
  <c r="I167" i="3"/>
  <c r="J165" i="3"/>
  <c r="C43" i="3" a="1"/>
  <c r="C43" i="3" s="1"/>
  <c r="C73" i="3" a="1"/>
  <c r="C45" i="3" a="1"/>
  <c r="C45" i="3" s="1"/>
  <c r="C46" i="3" a="1"/>
  <c r="C46" i="3" s="1"/>
  <c r="G217" i="3"/>
  <c r="C74" i="3" a="1"/>
  <c r="C75" i="3" a="1"/>
  <c r="D158" i="3"/>
  <c r="D221" i="3" s="1"/>
  <c r="E8" i="3"/>
  <c r="F8" i="3" s="1"/>
  <c r="G8" i="3" s="1"/>
  <c r="C10" i="1" l="1"/>
  <c r="J86" i="3"/>
  <c r="I218" i="3"/>
  <c r="E13" i="1" s="1"/>
  <c r="H70" i="3"/>
  <c r="D4" i="1"/>
  <c r="G57" i="3"/>
  <c r="H57" i="3" s="1"/>
  <c r="G182" i="3"/>
  <c r="G58" i="3"/>
  <c r="H58" i="3" s="1"/>
  <c r="G183" i="3"/>
  <c r="I91" i="3"/>
  <c r="K81" i="3"/>
  <c r="J91" i="3"/>
  <c r="C74" i="3"/>
  <c r="H174" i="3"/>
  <c r="C73" i="3"/>
  <c r="H171" i="3"/>
  <c r="I171" i="3" s="1"/>
  <c r="J171" i="3" s="1"/>
  <c r="K171" i="3" s="1"/>
  <c r="H43" i="3"/>
  <c r="C75" i="3"/>
  <c r="H173" i="3"/>
  <c r="H47" i="3"/>
  <c r="H44" i="3"/>
  <c r="H45" i="3"/>
  <c r="H46" i="3"/>
  <c r="I169" i="3"/>
  <c r="K165" i="3"/>
  <c r="J167" i="3"/>
  <c r="K164" i="3"/>
  <c r="K166" i="3"/>
  <c r="G208" i="3"/>
  <c r="H8" i="3"/>
  <c r="F208" i="3"/>
  <c r="E208" i="3"/>
  <c r="F158" i="3"/>
  <c r="F221" i="3" s="1"/>
  <c r="G158" i="3"/>
  <c r="G221" i="3" s="1"/>
  <c r="E158" i="3"/>
  <c r="E221" i="3" s="1"/>
  <c r="K86" i="3" l="1"/>
  <c r="J218" i="3"/>
  <c r="F13" i="1" s="1"/>
  <c r="H62" i="3"/>
  <c r="H64" i="3" s="1"/>
  <c r="I58" i="3"/>
  <c r="I70" i="3"/>
  <c r="E4" i="1"/>
  <c r="I57" i="3"/>
  <c r="H61" i="3"/>
  <c r="H63" i="3" s="1"/>
  <c r="I47" i="3"/>
  <c r="L81" i="3"/>
  <c r="K91" i="3"/>
  <c r="H176" i="3"/>
  <c r="H172" i="3"/>
  <c r="I174" i="3"/>
  <c r="I173" i="3"/>
  <c r="I172" i="3"/>
  <c r="L171" i="3"/>
  <c r="J169" i="3"/>
  <c r="I43" i="3"/>
  <c r="I44" i="3"/>
  <c r="I45" i="3"/>
  <c r="I46" i="3"/>
  <c r="L164" i="3"/>
  <c r="K167" i="3"/>
  <c r="L165" i="3"/>
  <c r="L166" i="3"/>
  <c r="I8" i="3"/>
  <c r="D4" i="5"/>
  <c r="L86" i="3" l="1"/>
  <c r="L218" i="3" s="1"/>
  <c r="K218" i="3"/>
  <c r="G13" i="1" s="1"/>
  <c r="J58" i="3"/>
  <c r="I62" i="3"/>
  <c r="I64" i="3" s="1"/>
  <c r="J57" i="3"/>
  <c r="I61" i="3"/>
  <c r="I63" i="3" s="1"/>
  <c r="J70" i="3"/>
  <c r="F4" i="1"/>
  <c r="H177" i="3"/>
  <c r="J47" i="3"/>
  <c r="I176" i="3"/>
  <c r="I177" i="3" s="1"/>
  <c r="J43" i="3"/>
  <c r="J174" i="3"/>
  <c r="J173" i="3"/>
  <c r="J172" i="3"/>
  <c r="J44" i="3"/>
  <c r="J45" i="3"/>
  <c r="J46" i="3"/>
  <c r="K169" i="3"/>
  <c r="L167" i="3"/>
  <c r="F4" i="5"/>
  <c r="J8" i="3"/>
  <c r="H13" i="1" l="1"/>
  <c r="L91" i="3"/>
  <c r="I184" i="3"/>
  <c r="I182" i="3" s="1"/>
  <c r="E6" i="1"/>
  <c r="H184" i="3"/>
  <c r="H182" i="3" s="1"/>
  <c r="H185" i="3" s="1" a="1"/>
  <c r="D6" i="1"/>
  <c r="K70" i="3"/>
  <c r="G4" i="1"/>
  <c r="K57" i="3"/>
  <c r="J61" i="3"/>
  <c r="J63" i="3" s="1"/>
  <c r="K58" i="3"/>
  <c r="J62" i="3"/>
  <c r="J64" i="3" s="1"/>
  <c r="K47" i="3"/>
  <c r="J176" i="3"/>
  <c r="J177" i="3" s="1"/>
  <c r="K174" i="3"/>
  <c r="K173" i="3"/>
  <c r="K172" i="3"/>
  <c r="K45" i="3"/>
  <c r="K44" i="3"/>
  <c r="K46" i="3"/>
  <c r="L169" i="3"/>
  <c r="K43" i="3"/>
  <c r="H4" i="5"/>
  <c r="K8" i="3"/>
  <c r="I183" i="3" l="1"/>
  <c r="H186" i="3"/>
  <c r="H183" i="3"/>
  <c r="I186" i="3"/>
  <c r="L70" i="3"/>
  <c r="H4" i="1"/>
  <c r="L58" i="3"/>
  <c r="L62" i="3" s="1"/>
  <c r="L64" i="3" s="1"/>
  <c r="K62" i="3"/>
  <c r="K64" i="3" s="1"/>
  <c r="J184" i="3"/>
  <c r="J183" i="3" s="1"/>
  <c r="F6" i="1"/>
  <c r="L57" i="3"/>
  <c r="L61" i="3" s="1"/>
  <c r="L63" i="3" s="1"/>
  <c r="K61" i="3"/>
  <c r="K63" i="3" s="1"/>
  <c r="H185" i="3"/>
  <c r="K176" i="3"/>
  <c r="K177" i="3" s="1"/>
  <c r="L174" i="3"/>
  <c r="L173" i="3"/>
  <c r="L172" i="3"/>
  <c r="L46" i="3"/>
  <c r="L44" i="3"/>
  <c r="L45" i="3"/>
  <c r="L43" i="3"/>
  <c r="L47" i="3"/>
  <c r="J4" i="5"/>
  <c r="L8" i="3"/>
  <c r="L4" i="5" s="1"/>
  <c r="J182" i="3" l="1"/>
  <c r="J186" i="3"/>
  <c r="K184" i="3"/>
  <c r="K186" i="3" s="1"/>
  <c r="G6" i="1"/>
  <c r="L176" i="3"/>
  <c r="L177" i="3" s="1"/>
  <c r="K183" i="3" l="1"/>
  <c r="K182" i="3"/>
  <c r="L184" i="3"/>
  <c r="L182" i="3" s="1"/>
  <c r="H6" i="1"/>
  <c r="L186" i="3" l="1"/>
  <c r="L183" i="3"/>
  <c r="H187" i="3" s="1" a="1"/>
  <c r="H187" i="3" s="1"/>
  <c r="H188" i="3" s="1"/>
  <c r="H193" i="3" s="1"/>
  <c r="I188" i="3" l="1"/>
  <c r="I193" i="3" s="1"/>
  <c r="I194" i="3" s="1"/>
  <c r="J188" i="3"/>
  <c r="J193" i="3" s="1"/>
  <c r="J194" i="3" s="1"/>
  <c r="K188" i="3"/>
  <c r="K193" i="3" s="1"/>
  <c r="K194" i="3" s="1"/>
  <c r="L188" i="3"/>
  <c r="L193" i="3" s="1"/>
  <c r="L194" i="3" s="1"/>
  <c r="H8" i="1"/>
  <c r="H9" i="1" s="1"/>
  <c r="H194" i="3"/>
  <c r="D8" i="1"/>
  <c r="D9" i="1" s="1"/>
  <c r="G8" i="1" l="1"/>
  <c r="G9" i="1" s="1"/>
  <c r="E8" i="1"/>
  <c r="E9" i="1" s="1"/>
  <c r="E14" i="1" s="1"/>
  <c r="E16" i="1" s="1"/>
  <c r="F8" i="1"/>
  <c r="F9" i="1" s="1"/>
  <c r="F14" i="1" s="1"/>
  <c r="F16" i="1" s="1"/>
  <c r="H10" i="1"/>
  <c r="H14" i="1"/>
  <c r="C32" i="1" s="1"/>
  <c r="D10" i="1"/>
  <c r="D14" i="1"/>
  <c r="D16" i="1" s="1"/>
  <c r="E10" i="1"/>
  <c r="G14" i="1"/>
  <c r="G16" i="1" s="1"/>
  <c r="G10" i="1"/>
  <c r="F10" i="1" l="1"/>
  <c r="H16" i="1"/>
  <c r="H17" i="1" s="1"/>
  <c r="E24" i="1" s="1" a="1"/>
  <c r="E24" i="1" s="1"/>
  <c r="E27" i="1" s="1" a="1"/>
  <c r="E27" i="1" s="1"/>
  <c r="C33" i="1" l="1"/>
  <c r="C35" i="1" s="1"/>
  <c r="F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<sst xmlns="http://schemas.openxmlformats.org/spreadsheetml/2006/main" count="439" uniqueCount="287">
  <si>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</si>
  <si>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</si>
  <si>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</si>
  <si>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</si>
  <si>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</si>
  <si>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</si>
  <si>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</si>
  <si>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</si>
  <si>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</si>
  <si>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</si>
  <si>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</si>
  <si>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</si>
  <si>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</si>
  <si>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</si>
  <si>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</si>
  <si>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</si>
  <si>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</si>
  <si>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</si>
  <si>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</si>
  <si>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</si>
  <si>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</si>
  <si>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</si>
  <si>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</si>
  <si>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</si>
  <si>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</si>
  <si>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</si>
  <si>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</si>
  <si>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</si>
  <si>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</si>
  <si>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</si>
  <si>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</si>
  <si>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</si>
  <si>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</si>
  <si>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</si>
  <si>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</si>
  <si>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</si>
  <si>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</si>
  <si>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</si>
  <si>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</si>
  <si>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</si>
  <si>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</si>
  <si>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</si>
  <si>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</si>
  <si>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</si>
  <si>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</si>
  <si>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</si>
  <si>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</si>
  <si>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</si>
  <si>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</si>
  <si>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</si>
  <si>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</si>
  <si>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</si>
  <si>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</si>
  <si>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</si>
  <si>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</si>
  <si>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</si>
  <si>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</si>
  <si>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</si>
  <si>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</si>
  <si>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</si>
  <si>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</si>
  <si>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</si>
  <si>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</si>
  <si>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</si>
  <si>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</si>
  <si>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</si>
  <si>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</si>
  <si>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</si>
  <si>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</si>
  <si>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</si>
  <si>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</si>
  <si>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</si>
  <si>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</si>
  <si>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</si>
  <si>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</si>
  <si>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</si>
  <si>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</si>
  <si>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</si>
  <si>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</si>
  <si>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</si>
  <si>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</si>
  <si>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</si>
  <si>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</si>
  <si>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</si>
  <si>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</si>
  <si>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</si>
  <si>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</si>
  <si>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</si>
  <si>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</si>
  <si>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</si>
  <si>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</si>
  <si>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</si>
  <si>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</si>
  <si>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</si>
  <si>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</si>
  <si>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</si>
  <si>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</si>
  <si>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</si>
  <si>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</si>
  <si>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</si>
  <si>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</si>
  <si>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</si>
  <si>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</si>
  <si>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</si>
  <si>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</si>
  <si>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</si>
  <si>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</si>
  <si>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</si>
  <si>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</si>
  <si>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</si>
  <si>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</si>
  <si>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</si>
  <si>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</si>
  <si>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</si>
  <si>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</si>
  <si>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</si>
  <si>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</si>
  <si>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</si>
  <si>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</si>
  <si>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</si>
  <si>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</si>
  <si>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</si>
  <si>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</si>
  <si>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</si>
  <si>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</si>
  <si>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</si>
  <si>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</si>
  <si>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</si>
  <si>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</si>
  <si>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</si>
  <si>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</si>
  <si>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</si>
  <si>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</si>
  <si>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</si>
  <si>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</si>
  <si>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</si>
  <si>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</si>
  <si>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</si>
  <si>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</si>
  <si>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</si>
  <si>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</si>
  <si>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</si>
  <si>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</si>
  <si>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</si>
  <si>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</si>
  <si>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</si>
  <si>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</si>
  <si>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</si>
  <si>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</si>
  <si>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</si>
  <si>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</si>
  <si>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</si>
  <si>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</si>
  <si>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</si>
  <si>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</si>
  <si>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</si>
  <si>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</si>
  <si>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</si>
  <si>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</si>
  <si>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</si>
  <si>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</si>
  <si>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</si>
  <si>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</si>
  <si>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</si>
  <si>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</si>
  <si>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</si>
  <si>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</si>
  <si>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</si>
  <si>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</si>
  <si>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</si>
  <si>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</si>
  <si>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</si>
  <si>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</si>
  <si>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</si>
  <si>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</si>
  <si>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</si>
  <si>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</si>
  <si>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</si>
  <si>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</si>
  <si>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</si>
  <si>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</si>
  <si>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</si>
  <si>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</si>
  <si>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</si>
  <si>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</si>
  <si>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</si>
  <si>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</si>
  <si>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</si>
  <si>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</si>
  <si>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</si>
  <si>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</si>
  <si>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</si>
  <si>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</si>
  <si>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</si>
  <si>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</si>
  <si>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</si>
  <si>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</si>
  <si>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</si>
  <si>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</si>
  <si>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</si>
  <si>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</si>
  <si>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</si>
  <si>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</si>
  <si>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</si>
  <si>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</si>
  <si>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</si>
  <si>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</si>
  <si>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</si>
  <si>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</si>
  <si>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</si>
  <si>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</si>
  <si>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</si>
  <si>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</si>
  <si>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</si>
  <si>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</si>
  <si>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</si>
  <si>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</si>
  <si>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</si>
  <si>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</si>
  <si>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</si>
  <si>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</si>
  <si>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</si>
  <si>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</si>
  <si>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</si>
  <si>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</si>
  <si>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</si>
  <si>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</si>
  <si>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</si>
  <si>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</si>
  <si>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</si>
  <si>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</si>
  <si>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</si>
  <si>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</si>
  <si>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</si>
  <si>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</si>
  <si>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</si>
  <si>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</si>
  <si>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</si>
  <si>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</si>
  <si>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</si>
  <si>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</si>
  <si>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</si>
  <si>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</si>
  <si>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</si>
  <si>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</si>
  <si>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</si>
  <si>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</si>
  <si>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</si>
  <si>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</si>
  <si>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</si>
  <si>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</si>
  <si>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</si>
  <si>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</si>
  <si>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</si>
  <si>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</si>
  <si>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</si>
  <si>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</si>
  <si>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</si>
  <si>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</si>
  <si>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</si>
  <si>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</si>
  <si>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</si>
  <si>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</si>
  <si>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</si>
  <si>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</si>
  <si>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</si>
  <si>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</si>
  <si>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</si>
  <si>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</si>
  <si>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</si>
  <si>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</si>
  <si>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</si>
  <si>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</si>
  <si>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</si>
  <si>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</si>
  <si>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</si>
  <si>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</si>
  <si>
    <t>Every CEO wishes their company was NVDA right now..</t>
  </si>
  <si>
    <t>H100 Price</t>
  </si>
  <si>
    <t>B100 Price</t>
  </si>
  <si>
    <t>X100 Price</t>
  </si>
  <si>
    <t>Average</t>
  </si>
  <si>
    <t>is there any gaming needs</t>
  </si>
  <si>
    <t>double check gpu commits</t>
  </si>
  <si>
    <t>match MobilEye?</t>
  </si>
  <si>
    <t>check if SMCI and DELL gets allocation or it's all going to DCAI</t>
  </si>
  <si>
    <t>check GPU profit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</si>
</sst>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0" fontId="21" fillId="0" borderId="0" xfId="0" applyFont="1"/>
    <xf numFmtId="165" fontId="22" fillId="0" borderId="7" xfId="0" applyNumberFormat="1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9" fontId="6" fillId="0" borderId="9" xfId="0" applyNumberFormat="1" applyFont="1" applyBorder="1"/>
    <xf numFmtId="43" fontId="0" fillId="0" borderId="2" xfId="3" applyFont="1" applyBorder="1"/>
    <xf numFmtId="10" fontId="23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  <xf numFmtId="4" fontId="23" fillId="0" borderId="0" xfId="1" applyNumberFormat="1" applyFont="1"/>
    <xf numFmtId="4" fontId="10" fillId="0" borderId="0" xfId="1" applyNumberFormat="1" applyFont="1"/>
    <xf numFmtId="3" fontId="13" fillId="2" borderId="2" xfId="1" applyNumberFormat="1" applyFont="1" applyFill="1" applyBorder="1"/>
    <xf numFmtId="3" fontId="8" fillId="0" borderId="0" xfId="1" applyNumberFormat="1" applyFont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104775</xdr:rowOff>
    </xdr:from>
    <xdr:to>
      <xdr:col>13</xdr:col>
      <xdr:colOff>323850</xdr:colOff>
      <xdr:row>32</xdr:row>
      <xdr:rowOff>104775</xdr:rowOff>
    </xdr:to>
    <xdr:pic>
      <xdr:nvPicPr>
        <xdr:cNvPr id="2" name="Picture 1" descr="NVIDIA Roadmap 2023 10">
          <a:extLst>
            <a:ext uri="{FF2B5EF4-FFF2-40B4-BE49-F238E27FC236}">
              <a16:creationId xmlns:a16="http://schemas.microsoft.com/office/drawing/2014/main" id="{57D708A2-B910-7C82-8D81-9C6BB63D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09775"/>
          <a:ext cx="7620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35"/>
  <sheetViews>
    <sheetView showGridLines="0" tabSelected="1" workbookViewId="0">
      <selection activeCell="G29" sqref="G29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9" x14ac:dyDescent="0.25">
      <c r="B2" s="41" t="s">
        <v>217</v>
      </c>
    </row>
    <row r="3" spans="2:9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9" x14ac:dyDescent="0.25">
      <c r="B4" t="s">
        <v>160</v>
      </c>
      <c r="C4" s="44">
        <f>+'Financial Statement'!G169</f>
        <v>60922000</v>
      </c>
      <c r="D4" s="44">
        <f>+'Financial Statement'!H169</f>
        <v>53814790</v>
      </c>
      <c r="E4" s="44">
        <f>+'Financial Statement'!I169</f>
        <v>56223235.450000003</v>
      </c>
      <c r="F4" s="44">
        <f>+'Financial Statement'!J169</f>
        <v>57516388.716249995</v>
      </c>
      <c r="G4" s="44">
        <f>+'Financial Statement'!K169</f>
        <v>57694303.401851244</v>
      </c>
      <c r="H4" s="44">
        <f>+'Financial Statement'!L169</f>
        <v>57875034.379282802</v>
      </c>
    </row>
    <row r="5" spans="2:9" x14ac:dyDescent="0.25">
      <c r="B5" s="84" t="s">
        <v>221</v>
      </c>
    </row>
    <row r="6" spans="2:9" x14ac:dyDescent="0.25">
      <c r="B6" t="s">
        <v>218</v>
      </c>
      <c r="C6" s="44">
        <f>+'Financial Statement'!G177</f>
        <v>32972000</v>
      </c>
      <c r="D6" s="44">
        <f>+'Financial Statement'!H177</f>
        <v>21525916</v>
      </c>
      <c r="E6" s="44">
        <f>+'Financial Statement'!I177</f>
        <v>36368221.960000001</v>
      </c>
      <c r="F6" s="44">
        <f>+'Financial Statement'!J177</f>
        <v>42568964.412999995</v>
      </c>
      <c r="G6" s="44">
        <f>+'Financial Statement'!K177</f>
        <v>44777784.097480997</v>
      </c>
      <c r="H6" s="44">
        <f>+'Financial Statement'!L177</f>
        <v>45748964.053826235</v>
      </c>
    </row>
    <row r="7" spans="2:9" x14ac:dyDescent="0.25">
      <c r="B7" s="84" t="s">
        <v>220</v>
      </c>
    </row>
    <row r="8" spans="2:9" x14ac:dyDescent="0.25">
      <c r="B8" s="86" t="s">
        <v>219</v>
      </c>
      <c r="C8" s="87">
        <f>+'Financial Statement'!G193</f>
        <v>4058000</v>
      </c>
      <c r="D8" s="87">
        <f>+'Financial Statement'!H193</f>
        <v>1361881.2698926227</v>
      </c>
      <c r="E8" s="87">
        <f>+'Financial Statement'!I193</f>
        <v>2596062.2332863659</v>
      </c>
      <c r="F8" s="87">
        <f>+'Financial Statement'!J193</f>
        <v>3111099.4654166922</v>
      </c>
      <c r="G8" s="87">
        <f>+'Financial Statement'!K193</f>
        <v>3300063.9080166612</v>
      </c>
      <c r="H8" s="87">
        <f>+'Financial Statement'!L193</f>
        <v>3382433.4151759315</v>
      </c>
    </row>
    <row r="9" spans="2:9" x14ac:dyDescent="0.25">
      <c r="B9" s="85" t="s">
        <v>222</v>
      </c>
      <c r="C9" s="44">
        <f>+C6-C8</f>
        <v>28914000</v>
      </c>
      <c r="D9" s="44">
        <f>+D6-D8</f>
        <v>20164034.730107378</v>
      </c>
      <c r="E9" s="44">
        <f t="shared" ref="E9:H9" si="1">+E6-E8</f>
        <v>33772159.726713635</v>
      </c>
      <c r="F9" s="44">
        <f t="shared" si="1"/>
        <v>39457864.947583303</v>
      </c>
      <c r="G9" s="44">
        <f t="shared" si="1"/>
        <v>41477720.189464338</v>
      </c>
      <c r="H9" s="44">
        <f t="shared" si="1"/>
        <v>42366530.638650306</v>
      </c>
    </row>
    <row r="10" spans="2:9" x14ac:dyDescent="0.25">
      <c r="B10" s="84" t="s">
        <v>224</v>
      </c>
      <c r="C10" s="54">
        <f>+C9/C4</f>
        <v>0.47460687436394078</v>
      </c>
      <c r="D10" s="54">
        <f t="shared" ref="D10:H10" si="2">+D9/D4</f>
        <v>0.37469317877311009</v>
      </c>
      <c r="E10" s="54">
        <f t="shared" si="2"/>
        <v>0.60067976267121126</v>
      </c>
      <c r="F10" s="54">
        <f t="shared" si="2"/>
        <v>0.6860282056692365</v>
      </c>
      <c r="G10" s="54">
        <f t="shared" si="2"/>
        <v>0.71892228077639697</v>
      </c>
      <c r="H10" s="54">
        <f t="shared" si="2"/>
        <v>0.73203465178097604</v>
      </c>
    </row>
    <row r="11" spans="2:9" x14ac:dyDescent="0.25">
      <c r="B11" s="90" t="s">
        <v>225</v>
      </c>
      <c r="D11" s="93">
        <f>+'Financial Statement'!H228</f>
        <v>0</v>
      </c>
      <c r="E11" s="93">
        <f>+'Financial Statement'!I228</f>
        <v>0</v>
      </c>
      <c r="F11" s="93">
        <f>+'Financial Statement'!J228</f>
        <v>0</v>
      </c>
      <c r="G11" s="93">
        <f>+'Financial Statement'!K228</f>
        <v>0</v>
      </c>
      <c r="H11" s="93">
        <f>+'Financial Statement'!L228</f>
        <v>0</v>
      </c>
      <c r="I11" s="95" t="s">
        <v>277</v>
      </c>
    </row>
    <row r="12" spans="2:9" x14ac:dyDescent="0.25">
      <c r="B12" s="90" t="s">
        <v>226</v>
      </c>
      <c r="C12" s="93"/>
      <c r="D12" s="93">
        <f>+'Financial Statement'!H258</f>
        <v>0</v>
      </c>
      <c r="E12" s="93">
        <f>+'Financial Statement'!I258</f>
        <v>0</v>
      </c>
      <c r="F12" s="93">
        <f>+'Financial Statement'!J258</f>
        <v>0</v>
      </c>
      <c r="G12" s="93">
        <f>+'Financial Statement'!K258</f>
        <v>0</v>
      </c>
      <c r="H12" s="93">
        <f>+'Financial Statement'!L258</f>
        <v>0</v>
      </c>
    </row>
    <row r="13" spans="2:9" x14ac:dyDescent="0.25">
      <c r="B13" s="91" t="s">
        <v>227</v>
      </c>
      <c r="C13" s="86"/>
      <c r="D13" s="94">
        <f>+'Financial Statement'!H218-'Financial Statement'!G218</f>
        <v>0</v>
      </c>
      <c r="E13" s="94">
        <f>+'Financial Statement'!I218-'Financial Statement'!H218</f>
        <v>0</v>
      </c>
      <c r="F13" s="94">
        <f>+'Financial Statement'!J218-'Financial Statement'!I218</f>
        <v>0</v>
      </c>
      <c r="G13" s="94">
        <f>+'Financial Statement'!K218-'Financial Statement'!J218</f>
        <v>0</v>
      </c>
      <c r="H13" s="94">
        <f>+'Financial Statement'!L218-'Financial Statement'!K218</f>
        <v>0</v>
      </c>
    </row>
    <row r="14" spans="2:9" x14ac:dyDescent="0.25">
      <c r="B14" s="41" t="s">
        <v>228</v>
      </c>
      <c r="C14" s="52"/>
      <c r="D14" s="52">
        <f>+D9+D11-C12-D13</f>
        <v>20164034.730107378</v>
      </c>
      <c r="E14" s="52">
        <f>+E9+E11-E12-E13</f>
        <v>33772159.726713635</v>
      </c>
      <c r="F14" s="52">
        <f>+F9+F11-F12-F13</f>
        <v>39457864.947583303</v>
      </c>
      <c r="G14" s="52">
        <f>+G9+G11-G12-G13</f>
        <v>41477720.189464338</v>
      </c>
      <c r="H14" s="52">
        <f>+H9+H11-H12-H13</f>
        <v>42366530.638650306</v>
      </c>
    </row>
    <row r="15" spans="2:9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3">+E15+1</f>
        <v>2</v>
      </c>
      <c r="G15" s="92">
        <f t="shared" si="3"/>
        <v>3</v>
      </c>
      <c r="H15" s="92">
        <f t="shared" si="3"/>
        <v>4</v>
      </c>
    </row>
    <row r="16" spans="2:9" ht="17.25" x14ac:dyDescent="0.4">
      <c r="B16" s="41" t="s">
        <v>230</v>
      </c>
      <c r="C16" s="41"/>
      <c r="D16" s="45">
        <f>+D14/(1+$C$29)^D15</f>
        <v>20164034.730107378</v>
      </c>
      <c r="E16" s="45">
        <f>+E14/(1+$C$29)^E15</f>
        <v>28766217.546266057</v>
      </c>
      <c r="F16" s="45">
        <f>+F14/(1+$C$29)^F15</f>
        <v>28627368.854939409</v>
      </c>
      <c r="G16" s="45">
        <f>+G14/(1+$C$29)^G15</f>
        <v>25632245.569252275</v>
      </c>
      <c r="H16" s="96">
        <f>+H14/(1+$C$29)^H15</f>
        <v>22300705.627363712</v>
      </c>
    </row>
    <row r="17" spans="2:9" x14ac:dyDescent="0.25">
      <c r="H17" s="52">
        <f>+SUM(D16:H16)</f>
        <v>125490572.32792884</v>
      </c>
    </row>
    <row r="19" spans="2:9" x14ac:dyDescent="0.25">
      <c r="B19" t="s">
        <v>240</v>
      </c>
      <c r="C19" s="54">
        <f>+'Financial Statement'!G193/'Financial Statement'!G184</f>
        <v>0.1199952687917677</v>
      </c>
      <c r="E19" s="99" t="s">
        <v>246</v>
      </c>
      <c r="F19" s="100">
        <f>+C35/C21</f>
        <v>557.25370875982833</v>
      </c>
    </row>
    <row r="20" spans="2:9" x14ac:dyDescent="0.25">
      <c r="B20" t="s">
        <v>239</v>
      </c>
      <c r="C20" s="111">
        <v>5.5E-2</v>
      </c>
    </row>
    <row r="21" spans="2:9" x14ac:dyDescent="0.25">
      <c r="B21" t="s">
        <v>233</v>
      </c>
      <c r="C21" s="43">
        <f>+'Financial Statement'!G195</f>
        <v>2469000</v>
      </c>
    </row>
    <row r="22" spans="2:9" x14ac:dyDescent="0.25">
      <c r="B22" t="s">
        <v>234</v>
      </c>
      <c r="C22" s="112">
        <v>750</v>
      </c>
      <c r="E22" s="41" t="s">
        <v>276</v>
      </c>
    </row>
    <row r="23" spans="2:9" x14ac:dyDescent="0.25">
      <c r="B23" t="s">
        <v>274</v>
      </c>
      <c r="C23" s="43">
        <f>+SLOPE(df!D2:D755,df!E2:E755)</f>
        <v>2.1784693004584912</v>
      </c>
      <c r="E23" s="110">
        <v>2.5000000000000001E-2</v>
      </c>
      <c r="F23" s="110">
        <f>+E23+0.5%</f>
        <v>3.0000000000000002E-2</v>
      </c>
      <c r="G23" s="110">
        <f t="shared" ref="G23:I23" si="4">+F23+0.5%</f>
        <v>3.5000000000000003E-2</v>
      </c>
      <c r="H23" s="110">
        <f t="shared" si="4"/>
        <v>0.04</v>
      </c>
      <c r="I23" s="110">
        <f t="shared" si="4"/>
        <v>4.4999999999999998E-2</v>
      </c>
    </row>
    <row r="24" spans="2:9" x14ac:dyDescent="0.25">
      <c r="B24" t="s">
        <v>235</v>
      </c>
      <c r="C24" s="44">
        <f>+C21*C22</f>
        <v>1851750000</v>
      </c>
      <c r="E24" s="43" cm="1">
        <f t="array" ref="E24:I24">+($H$14*(1+sensitivityTV)/sensitivityTV)-$C$34+$H$17</f>
        <v>1860048328.5125909</v>
      </c>
      <c r="F24" s="43">
        <v>1577604790.9215891</v>
      </c>
      <c r="G24" s="43">
        <v>1375859406.9280162</v>
      </c>
      <c r="H24" s="43">
        <v>1224550368.9328368</v>
      </c>
      <c r="I24" s="43">
        <v>1106865561.6032526</v>
      </c>
    </row>
    <row r="25" spans="2:9" x14ac:dyDescent="0.25">
      <c r="B25" t="s">
        <v>236</v>
      </c>
      <c r="C25" s="44">
        <f>+SUM('Debt Schedule'!B13)</f>
        <v>9750000</v>
      </c>
    </row>
    <row r="26" spans="2:9" x14ac:dyDescent="0.25">
      <c r="B26" t="s">
        <v>237</v>
      </c>
      <c r="C26" s="54">
        <f>+C20+(C20)*C23</f>
        <v>0.17481581152521702</v>
      </c>
      <c r="D26" s="95"/>
      <c r="E26" s="41" t="s">
        <v>246</v>
      </c>
    </row>
    <row r="27" spans="2:9" x14ac:dyDescent="0.25">
      <c r="B27" t="s">
        <v>238</v>
      </c>
      <c r="C27" s="54">
        <f>+SUMPRODUCT('Debt Schedule'!B5:B12,'Debt Schedule'!C5:C12)/SUM('Debt Schedule'!B5:B12)</f>
        <v>2.6335897435897437E-2</v>
      </c>
      <c r="E27" s="109" cm="1">
        <f t="array" ref="E27:I27">+sensitivityTEV/$C$21</f>
        <v>753.36100790303396</v>
      </c>
      <c r="F27" s="109">
        <v>638.96508340283071</v>
      </c>
      <c r="G27" s="109">
        <v>557.25370875982833</v>
      </c>
      <c r="H27" s="109">
        <v>495.97017777757668</v>
      </c>
      <c r="I27" s="109">
        <v>448.30520923582532</v>
      </c>
    </row>
    <row r="28" spans="2:9" x14ac:dyDescent="0.25">
      <c r="C28" s="54"/>
    </row>
    <row r="29" spans="2:9" x14ac:dyDescent="0.25">
      <c r="B29" s="107" t="s">
        <v>231</v>
      </c>
      <c r="C29" s="108">
        <f>+(C24/SUM(C24:C25)*C26+(C25/SUM(C24:C25))*C27*(1-C19))</f>
        <v>0.17402156444086844</v>
      </c>
      <c r="G29" s="44"/>
    </row>
    <row r="31" spans="2:9" x14ac:dyDescent="0.25">
      <c r="B31" t="s">
        <v>241</v>
      </c>
      <c r="C31" s="111">
        <v>3.5000000000000003E-2</v>
      </c>
    </row>
    <row r="32" spans="2:9" ht="17.25" x14ac:dyDescent="0.4">
      <c r="B32" t="s">
        <v>242</v>
      </c>
      <c r="C32" s="97">
        <f>(H14*(1+C31)/C31)</f>
        <v>1252838834.6000874</v>
      </c>
    </row>
    <row r="33" spans="2:3" x14ac:dyDescent="0.25">
      <c r="B33" s="41" t="s">
        <v>243</v>
      </c>
      <c r="C33" s="52">
        <f>+C32+H17</f>
        <v>1378329406.9280162</v>
      </c>
    </row>
    <row r="34" spans="2:3" ht="17.25" x14ac:dyDescent="0.4">
      <c r="B34" s="90" t="s">
        <v>244</v>
      </c>
      <c r="C34" s="98">
        <f>+'Debt Schedule'!B13-'Financial Statement'!H81</f>
        <v>2470000</v>
      </c>
    </row>
    <row r="35" spans="2:3" x14ac:dyDescent="0.25">
      <c r="B35" s="41" t="s">
        <v>245</v>
      </c>
      <c r="C35" s="52">
        <f>+C33-C34</f>
        <v>1375859406.9280162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7"/>
  <sheetViews>
    <sheetView showGridLines="0" zoomScaleNormal="100" workbookViewId="0">
      <pane xSplit="1" ySplit="8" topLeftCell="B179" activePane="bottomRight" state="frozen"/>
      <selection pane="topRight" activeCell="B1" sqref="B1"/>
      <selection pane="bottomLeft" activeCell="A9" sqref="A9"/>
      <selection pane="bottomRight" activeCell="H194" sqref="H194:L19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7" t="s">
        <v>278</v>
      </c>
      <c r="C14" s="8"/>
      <c r="D14" s="8"/>
      <c r="E14" s="8"/>
      <c r="F14" s="8"/>
      <c r="G14" s="35">
        <v>35</v>
      </c>
      <c r="H14" s="35">
        <v>32</v>
      </c>
      <c r="I14" s="35">
        <v>30</v>
      </c>
      <c r="J14" s="35"/>
      <c r="K14" s="35"/>
      <c r="L14" s="35"/>
      <c r="M14" s="8"/>
      <c r="N14" s="8"/>
    </row>
    <row r="15" spans="1:15" x14ac:dyDescent="0.25">
      <c r="A15" s="16"/>
      <c r="B15" s="7" t="s">
        <v>279</v>
      </c>
      <c r="C15" s="8"/>
      <c r="D15" s="8"/>
      <c r="E15" s="8"/>
      <c r="F15" s="8"/>
      <c r="H15" s="35">
        <v>40</v>
      </c>
      <c r="I15" s="35">
        <v>39</v>
      </c>
      <c r="J15" s="35">
        <f>+I15</f>
        <v>39</v>
      </c>
      <c r="K15" s="35">
        <f t="shared" ref="K15:L15" si="1">+J15</f>
        <v>39</v>
      </c>
      <c r="L15" s="35">
        <f t="shared" si="1"/>
        <v>39</v>
      </c>
      <c r="M15" s="8"/>
      <c r="N15" s="8"/>
    </row>
    <row r="16" spans="1:15" x14ac:dyDescent="0.25">
      <c r="A16" s="16"/>
      <c r="B16" s="7" t="s">
        <v>280</v>
      </c>
      <c r="C16" s="8"/>
      <c r="D16" s="8"/>
      <c r="E16" s="8"/>
      <c r="F16" s="8"/>
      <c r="G16"/>
      <c r="H16"/>
      <c r="I16" s="35">
        <v>45</v>
      </c>
      <c r="J16" s="35"/>
      <c r="K16" s="35"/>
      <c r="L16" s="35"/>
      <c r="M16" s="8"/>
      <c r="N16" s="8"/>
    </row>
    <row r="17" spans="1:14" x14ac:dyDescent="0.25">
      <c r="A17" s="16"/>
      <c r="B17" s="104" t="s">
        <v>281</v>
      </c>
      <c r="C17" s="113"/>
      <c r="D17" s="113"/>
      <c r="E17" s="113"/>
      <c r="F17" s="113"/>
      <c r="G17" s="114">
        <f>+AVERAGE(G14:G16)</f>
        <v>35</v>
      </c>
      <c r="H17" s="114">
        <f t="shared" ref="H17:L17" si="2">+AVERAGE(H14:H16)</f>
        <v>36</v>
      </c>
      <c r="I17" s="114">
        <f t="shared" si="2"/>
        <v>38</v>
      </c>
      <c r="J17" s="114">
        <f t="shared" si="2"/>
        <v>39</v>
      </c>
      <c r="K17" s="114">
        <f t="shared" si="2"/>
        <v>39</v>
      </c>
      <c r="L17" s="114">
        <f t="shared" si="2"/>
        <v>39</v>
      </c>
      <c r="M17" s="8"/>
      <c r="N17" s="8"/>
    </row>
    <row r="18" spans="1:14" x14ac:dyDescent="0.25">
      <c r="A18" s="16"/>
      <c r="B18" s="9"/>
      <c r="C18" s="8"/>
      <c r="D18" s="8"/>
      <c r="E18" s="8"/>
      <c r="F18" s="8"/>
      <c r="G18" s="18"/>
      <c r="H18" s="18"/>
      <c r="I18" s="18"/>
      <c r="J18" s="18"/>
      <c r="K18" s="18"/>
      <c r="L18" s="18"/>
      <c r="M18" s="8"/>
      <c r="N18" s="8"/>
    </row>
    <row r="19" spans="1:14" x14ac:dyDescent="0.25">
      <c r="A19" s="16"/>
      <c r="B19" s="9" t="s">
        <v>268</v>
      </c>
      <c r="C19" s="8"/>
      <c r="D19" s="8"/>
      <c r="E19" s="8"/>
      <c r="F19" s="8"/>
      <c r="G19" s="8"/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247</v>
      </c>
      <c r="C20" s="8"/>
      <c r="D20" s="8"/>
      <c r="E20" s="8"/>
      <c r="F20" s="8"/>
      <c r="G20" s="115">
        <v>116000</v>
      </c>
      <c r="H20" s="115">
        <v>116000</v>
      </c>
      <c r="I20" s="115">
        <v>116000</v>
      </c>
      <c r="J20" s="115">
        <v>116000</v>
      </c>
      <c r="K20" s="115">
        <v>116000</v>
      </c>
      <c r="L20" s="115">
        <v>116000</v>
      </c>
      <c r="M20" s="8"/>
      <c r="N20" s="8"/>
    </row>
    <row r="21" spans="1:14" x14ac:dyDescent="0.25">
      <c r="A21" s="16"/>
      <c r="B21" t="s">
        <v>248</v>
      </c>
      <c r="C21" s="8"/>
      <c r="D21" s="8"/>
      <c r="E21" s="8"/>
      <c r="F21" s="8"/>
      <c r="G21" s="115">
        <v>65000</v>
      </c>
      <c r="H21" s="115">
        <v>65000</v>
      </c>
      <c r="I21" s="115">
        <v>65000</v>
      </c>
      <c r="J21" s="115">
        <v>65000</v>
      </c>
      <c r="K21" s="115">
        <v>65000</v>
      </c>
      <c r="L21" s="115">
        <v>65000</v>
      </c>
      <c r="M21" s="8"/>
      <c r="N21" s="8"/>
    </row>
    <row r="22" spans="1:14" x14ac:dyDescent="0.25">
      <c r="A22" s="16"/>
      <c r="B22" t="s">
        <v>249</v>
      </c>
      <c r="C22" s="8"/>
      <c r="D22" s="8"/>
      <c r="E22" s="8"/>
      <c r="F22" s="8"/>
      <c r="G22" s="115">
        <v>90000</v>
      </c>
      <c r="H22" s="115">
        <v>90000</v>
      </c>
      <c r="I22" s="115">
        <v>90000</v>
      </c>
      <c r="J22" s="115">
        <v>90000</v>
      </c>
      <c r="K22" s="115">
        <v>90000</v>
      </c>
      <c r="L22" s="115">
        <v>90000</v>
      </c>
      <c r="M22" s="8"/>
      <c r="N22" s="8"/>
    </row>
    <row r="23" spans="1:14" x14ac:dyDescent="0.25">
      <c r="A23" s="16"/>
      <c r="B23" t="s">
        <v>250</v>
      </c>
      <c r="C23" s="8"/>
      <c r="D23" s="8"/>
      <c r="E23" s="8"/>
      <c r="F23" s="8"/>
      <c r="G23" s="115">
        <v>100000</v>
      </c>
      <c r="H23" s="115">
        <v>100000</v>
      </c>
      <c r="I23" s="115">
        <v>100000</v>
      </c>
      <c r="J23" s="115">
        <v>100000</v>
      </c>
      <c r="K23" s="115">
        <v>100000</v>
      </c>
      <c r="L23" s="115">
        <v>100000</v>
      </c>
      <c r="M23" s="8"/>
      <c r="N23" s="8"/>
    </row>
    <row r="24" spans="1:14" x14ac:dyDescent="0.25">
      <c r="A24" s="16"/>
      <c r="B24" t="s">
        <v>251</v>
      </c>
      <c r="C24" s="8"/>
      <c r="D24" s="8"/>
      <c r="E24" s="8"/>
      <c r="F24" s="8"/>
      <c r="G24" s="115">
        <v>61000</v>
      </c>
      <c r="H24" s="115">
        <v>61000</v>
      </c>
      <c r="I24" s="115">
        <v>61000</v>
      </c>
      <c r="J24" s="115">
        <v>61000</v>
      </c>
      <c r="K24" s="115">
        <v>61000</v>
      </c>
      <c r="L24" s="115">
        <v>61000</v>
      </c>
      <c r="M24" s="8"/>
      <c r="N24" s="8"/>
    </row>
    <row r="25" spans="1:14" x14ac:dyDescent="0.25">
      <c r="A25" s="16"/>
      <c r="B25" t="s">
        <v>252</v>
      </c>
      <c r="C25" s="8"/>
      <c r="D25" s="8"/>
      <c r="E25" s="8"/>
      <c r="F25" s="8"/>
      <c r="G25" s="115">
        <v>130000</v>
      </c>
      <c r="H25" s="115">
        <v>130000</v>
      </c>
      <c r="I25" s="115">
        <v>130000</v>
      </c>
      <c r="J25" s="115">
        <v>130000</v>
      </c>
      <c r="K25" s="115">
        <v>130000</v>
      </c>
      <c r="L25" s="115">
        <v>130000</v>
      </c>
      <c r="M25" s="8"/>
      <c r="N25" s="8"/>
    </row>
    <row r="26" spans="1:14" x14ac:dyDescent="0.25">
      <c r="A26" s="16"/>
      <c r="B26" t="s">
        <v>253</v>
      </c>
      <c r="C26" s="8"/>
      <c r="D26" s="8"/>
      <c r="E26" s="8"/>
      <c r="F26" s="8"/>
      <c r="G26" s="115">
        <v>11000</v>
      </c>
      <c r="H26" s="115">
        <v>11000</v>
      </c>
      <c r="I26" s="115">
        <v>11000</v>
      </c>
      <c r="J26" s="115">
        <v>11000</v>
      </c>
      <c r="K26" s="115">
        <v>11000</v>
      </c>
      <c r="L26" s="115">
        <v>11000</v>
      </c>
      <c r="M26" s="8"/>
      <c r="N26" s="8"/>
    </row>
    <row r="27" spans="1:14" x14ac:dyDescent="0.25">
      <c r="A27" s="16"/>
      <c r="B27" t="s">
        <v>254</v>
      </c>
      <c r="C27" s="8"/>
      <c r="D27" s="8"/>
      <c r="E27" s="8"/>
      <c r="F27" s="8"/>
      <c r="G27" s="115">
        <v>85000</v>
      </c>
      <c r="H27" s="115">
        <v>85000</v>
      </c>
      <c r="I27" s="115">
        <v>85000</v>
      </c>
      <c r="J27" s="115">
        <v>85000</v>
      </c>
      <c r="K27" s="115">
        <v>85000</v>
      </c>
      <c r="L27" s="115">
        <v>85000</v>
      </c>
      <c r="M27" s="8"/>
      <c r="N27" s="8"/>
    </row>
    <row r="28" spans="1:14" x14ac:dyDescent="0.25">
      <c r="A28" s="16"/>
      <c r="B28" t="s">
        <v>255</v>
      </c>
      <c r="C28" s="8"/>
      <c r="D28" s="8"/>
      <c r="E28" s="8"/>
      <c r="F28" s="8"/>
      <c r="G28" s="115">
        <v>57000</v>
      </c>
      <c r="H28" s="115">
        <v>57000</v>
      </c>
      <c r="I28" s="115">
        <v>57000</v>
      </c>
      <c r="J28" s="115">
        <v>57000</v>
      </c>
      <c r="K28" s="115">
        <v>57000</v>
      </c>
      <c r="L28" s="115">
        <v>57000</v>
      </c>
      <c r="M28" s="8"/>
      <c r="N28" s="8"/>
    </row>
    <row r="29" spans="1:14" x14ac:dyDescent="0.25">
      <c r="A29" s="16"/>
      <c r="B29" s="101" t="s">
        <v>256</v>
      </c>
      <c r="C29" s="8"/>
      <c r="D29" s="8"/>
      <c r="E29" s="8"/>
      <c r="F29" s="8"/>
      <c r="G29" s="115">
        <v>50000</v>
      </c>
      <c r="H29" s="115">
        <v>50000</v>
      </c>
      <c r="I29" s="115">
        <v>50000</v>
      </c>
      <c r="J29" s="115">
        <v>50000</v>
      </c>
      <c r="K29" s="115">
        <v>50000</v>
      </c>
      <c r="L29" s="115">
        <v>50000</v>
      </c>
      <c r="M29" s="8"/>
      <c r="N29" s="8"/>
    </row>
    <row r="30" spans="1:14" x14ac:dyDescent="0.25">
      <c r="A30" s="16"/>
      <c r="B30" t="s">
        <v>257</v>
      </c>
      <c r="C30" s="8"/>
      <c r="D30" s="8"/>
      <c r="E30" s="8"/>
      <c r="F30" s="8"/>
      <c r="G30" s="115">
        <v>50000</v>
      </c>
      <c r="H30" s="115">
        <v>50000</v>
      </c>
      <c r="I30" s="115">
        <v>50000</v>
      </c>
      <c r="J30" s="115">
        <v>50000</v>
      </c>
      <c r="K30" s="115">
        <v>50000</v>
      </c>
      <c r="L30" s="115">
        <v>50000</v>
      </c>
      <c r="M30" s="8"/>
      <c r="N30" s="8"/>
    </row>
    <row r="31" spans="1:14" x14ac:dyDescent="0.25">
      <c r="A31" s="16"/>
      <c r="B31" t="s">
        <v>258</v>
      </c>
      <c r="C31" s="8"/>
      <c r="D31" s="8"/>
      <c r="E31" s="8"/>
      <c r="F31" s="8"/>
      <c r="G31" s="115">
        <v>11000</v>
      </c>
      <c r="H31" s="115">
        <v>11000</v>
      </c>
      <c r="I31" s="115">
        <v>11000</v>
      </c>
      <c r="J31" s="115">
        <v>11000</v>
      </c>
      <c r="K31" s="115">
        <v>11000</v>
      </c>
      <c r="L31" s="115">
        <v>11000</v>
      </c>
      <c r="M31" s="8"/>
      <c r="N31" s="8"/>
    </row>
    <row r="32" spans="1:14" x14ac:dyDescent="0.25">
      <c r="A32" s="16"/>
      <c r="B32" t="s">
        <v>259</v>
      </c>
      <c r="C32" s="8"/>
      <c r="D32" s="8"/>
      <c r="E32" s="8"/>
      <c r="F32" s="8"/>
      <c r="G32" s="115">
        <v>10000</v>
      </c>
      <c r="H32" s="115">
        <v>10000</v>
      </c>
      <c r="I32" s="115">
        <v>10000</v>
      </c>
      <c r="J32" s="115">
        <v>10000</v>
      </c>
      <c r="K32" s="115">
        <v>10000</v>
      </c>
      <c r="L32" s="115">
        <v>10000</v>
      </c>
      <c r="M32" s="8"/>
      <c r="N32" s="8"/>
    </row>
    <row r="33" spans="1:14" x14ac:dyDescent="0.25">
      <c r="A33" s="16"/>
      <c r="B33" t="s">
        <v>260</v>
      </c>
      <c r="C33" s="8"/>
      <c r="D33" s="8"/>
      <c r="E33" s="8"/>
      <c r="F33" s="8"/>
      <c r="G33" s="115">
        <v>90000</v>
      </c>
      <c r="H33" s="115">
        <v>90000</v>
      </c>
      <c r="I33" s="115">
        <v>90000</v>
      </c>
      <c r="J33" s="115">
        <v>90000</v>
      </c>
      <c r="K33" s="115">
        <v>90000</v>
      </c>
      <c r="L33" s="115">
        <v>90000</v>
      </c>
      <c r="M33" s="8"/>
      <c r="N33" s="8"/>
    </row>
    <row r="34" spans="1:14" x14ac:dyDescent="0.25">
      <c r="A34" s="16"/>
      <c r="B34" t="s">
        <v>261</v>
      </c>
      <c r="C34" s="8"/>
      <c r="D34" s="8"/>
      <c r="E34" s="8"/>
      <c r="F34" s="8"/>
      <c r="G34" s="115">
        <v>90000</v>
      </c>
      <c r="H34" s="115">
        <v>90000</v>
      </c>
      <c r="I34" s="115">
        <v>90000</v>
      </c>
      <c r="J34" s="115">
        <v>90000</v>
      </c>
      <c r="K34" s="115">
        <v>90000</v>
      </c>
      <c r="L34" s="115">
        <v>90000</v>
      </c>
      <c r="M34" s="8"/>
      <c r="N34" s="8"/>
    </row>
    <row r="35" spans="1:14" x14ac:dyDescent="0.25">
      <c r="A35" s="16"/>
      <c r="B35" t="s">
        <v>262</v>
      </c>
      <c r="C35" s="8"/>
      <c r="D35" s="8"/>
      <c r="E35" s="8"/>
      <c r="F35" s="8"/>
      <c r="G35" s="115">
        <v>10000</v>
      </c>
      <c r="H35" s="115">
        <v>10000</v>
      </c>
      <c r="I35" s="115">
        <v>10000</v>
      </c>
      <c r="J35" s="115">
        <v>10000</v>
      </c>
      <c r="K35" s="115">
        <v>10000</v>
      </c>
      <c r="L35" s="115">
        <v>10000</v>
      </c>
      <c r="M35" s="8"/>
      <c r="N35" s="8"/>
    </row>
    <row r="36" spans="1:14" x14ac:dyDescent="0.25">
      <c r="A36" s="16"/>
      <c r="B36" t="s">
        <v>263</v>
      </c>
      <c r="C36" s="8"/>
      <c r="D36" s="8"/>
      <c r="E36" s="8"/>
      <c r="F36" s="8"/>
      <c r="G36" s="115">
        <v>55000</v>
      </c>
      <c r="H36" s="115">
        <v>55000</v>
      </c>
      <c r="I36" s="115">
        <v>55000</v>
      </c>
      <c r="J36" s="115">
        <v>55000</v>
      </c>
      <c r="K36" s="115">
        <v>55000</v>
      </c>
      <c r="L36" s="115">
        <v>55000</v>
      </c>
      <c r="M36" s="8"/>
      <c r="N36" s="8"/>
    </row>
    <row r="37" spans="1:14" x14ac:dyDescent="0.25">
      <c r="A37" s="16"/>
      <c r="B37" t="s">
        <v>264</v>
      </c>
      <c r="C37" s="8"/>
      <c r="D37" s="8"/>
      <c r="E37" s="8"/>
      <c r="F37" s="8"/>
      <c r="G37" s="115">
        <v>15000</v>
      </c>
      <c r="H37" s="115">
        <v>15000</v>
      </c>
      <c r="I37" s="115">
        <v>15000</v>
      </c>
      <c r="J37" s="115">
        <v>15000</v>
      </c>
      <c r="K37" s="115">
        <v>15000</v>
      </c>
      <c r="L37" s="115">
        <v>15000</v>
      </c>
      <c r="M37" s="8"/>
      <c r="N37" s="8"/>
    </row>
    <row r="38" spans="1:14" x14ac:dyDescent="0.25">
      <c r="A38" s="16"/>
      <c r="B38" t="s">
        <v>265</v>
      </c>
      <c r="C38" s="8"/>
      <c r="D38" s="8"/>
      <c r="E38" s="8"/>
      <c r="F38" s="8"/>
      <c r="G38" s="115">
        <v>11000</v>
      </c>
      <c r="H38" s="115">
        <v>11000</v>
      </c>
      <c r="I38" s="115">
        <v>11000</v>
      </c>
      <c r="J38" s="115">
        <v>11000</v>
      </c>
      <c r="K38" s="115">
        <v>11000</v>
      </c>
      <c r="L38" s="115">
        <v>11000</v>
      </c>
      <c r="M38" s="8"/>
      <c r="N38" s="8"/>
    </row>
    <row r="39" spans="1:14" x14ac:dyDescent="0.25">
      <c r="A39" s="16"/>
      <c r="B39" t="s">
        <v>266</v>
      </c>
      <c r="C39" s="8"/>
      <c r="D39" s="8"/>
      <c r="E39" s="8"/>
      <c r="F39" s="8"/>
      <c r="G39" s="115">
        <v>11000</v>
      </c>
      <c r="H39" s="115">
        <v>11000</v>
      </c>
      <c r="I39" s="115">
        <v>11000</v>
      </c>
      <c r="J39" s="115">
        <v>11000</v>
      </c>
      <c r="K39" s="115">
        <v>11000</v>
      </c>
      <c r="L39" s="115">
        <v>11000</v>
      </c>
      <c r="M39" s="8"/>
      <c r="N39" s="8"/>
    </row>
    <row r="40" spans="1:14" x14ac:dyDescent="0.25">
      <c r="A40" s="16"/>
      <c r="B40" s="9" t="s">
        <v>267</v>
      </c>
      <c r="C40" s="8"/>
      <c r="D40" s="8"/>
      <c r="E40" s="8"/>
      <c r="F40" s="8"/>
      <c r="G40" s="116">
        <f>+SUM(G20:G39)</f>
        <v>1118000</v>
      </c>
      <c r="H40" s="116">
        <f t="shared" ref="H40:L40" si="3">+SUM(H20:H39)</f>
        <v>1118000</v>
      </c>
      <c r="I40" s="116">
        <f t="shared" si="3"/>
        <v>1118000</v>
      </c>
      <c r="J40" s="116">
        <f t="shared" si="3"/>
        <v>1118000</v>
      </c>
      <c r="K40" s="116">
        <f t="shared" si="3"/>
        <v>1118000</v>
      </c>
      <c r="L40" s="116">
        <f t="shared" si="3"/>
        <v>1118000</v>
      </c>
      <c r="M40" s="8"/>
      <c r="N40" s="8"/>
    </row>
    <row r="41" spans="1:14" x14ac:dyDescent="0.25">
      <c r="A41" s="16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6"/>
      <c r="B42" s="2" t="s">
        <v>209</v>
      </c>
      <c r="M42" s="8"/>
      <c r="N42" s="8"/>
    </row>
    <row r="43" spans="1:14" x14ac:dyDescent="0.25">
      <c r="A43" s="16"/>
      <c r="B43" s="34" t="str">
        <f>+B163</f>
        <v>Computer &amp; Networking</v>
      </c>
      <c r="C43" s="42" cm="1">
        <f t="array" ref="C43:G43">+DCAI/Revenue</f>
        <v>0</v>
      </c>
      <c r="D43" s="42">
        <v>0.40155922038980507</v>
      </c>
      <c r="E43" s="42">
        <v>0.39433008842981349</v>
      </c>
      <c r="F43" s="42">
        <v>0.55627641432490549</v>
      </c>
      <c r="G43" s="42">
        <v>0.78009586028035849</v>
      </c>
      <c r="H43" s="54">
        <f t="shared" ref="H43:L47" si="4">+H163/H$169</f>
        <v>0.74789848664279834</v>
      </c>
      <c r="I43" s="54">
        <f t="shared" si="4"/>
        <v>0.75563065092156656</v>
      </c>
      <c r="J43" s="54">
        <f t="shared" si="4"/>
        <v>0.75807958345759652</v>
      </c>
      <c r="K43" s="54">
        <f t="shared" si="4"/>
        <v>0.75574185715189579</v>
      </c>
      <c r="L43" s="54">
        <f t="shared" si="4"/>
        <v>0.75338184188807944</v>
      </c>
      <c r="M43" s="8"/>
      <c r="N43" s="8"/>
    </row>
    <row r="44" spans="1:14" x14ac:dyDescent="0.25">
      <c r="A44" s="16"/>
      <c r="B44" s="34" t="str">
        <f>+B164</f>
        <v>Graphics</v>
      </c>
      <c r="C44" s="42" cm="1">
        <f t="array" ref="C44:G44">+GFX/Revenue</f>
        <v>0</v>
      </c>
      <c r="D44" s="42">
        <v>0.46530734632683657</v>
      </c>
      <c r="E44" s="42">
        <v>0.46303039310396077</v>
      </c>
      <c r="F44" s="42">
        <v>0.3361385037443464</v>
      </c>
      <c r="G44" s="42">
        <v>0.17148156659334887</v>
      </c>
      <c r="H44" s="54">
        <f t="shared" si="4"/>
        <v>0.19607007664621565</v>
      </c>
      <c r="I44" s="54">
        <f t="shared" si="4"/>
        <v>0.18954769526697524</v>
      </c>
      <c r="J44" s="54">
        <f t="shared" si="4"/>
        <v>0.18713891444229344</v>
      </c>
      <c r="K44" s="54">
        <f t="shared" si="4"/>
        <v>0.18842744346439538</v>
      </c>
      <c r="L44" s="54">
        <f t="shared" si="4"/>
        <v>0.18971741634636699</v>
      </c>
      <c r="M44" s="8"/>
      <c r="N44" s="8"/>
    </row>
    <row r="45" spans="1:14" x14ac:dyDescent="0.25">
      <c r="A45" s="16"/>
      <c r="B45" s="34" t="str">
        <f>+B165</f>
        <v>Professional Visualization</v>
      </c>
      <c r="C45" s="42" cm="1">
        <f t="array" ref="C45:G45">+FX/Revenue</f>
        <v>0</v>
      </c>
      <c r="D45" s="42">
        <v>6.3148425787106444E-2</v>
      </c>
      <c r="E45" s="42">
        <v>7.843501523370737E-2</v>
      </c>
      <c r="F45" s="42">
        <v>5.7240305479350488E-2</v>
      </c>
      <c r="G45" s="42">
        <v>2.5491612225468634E-2</v>
      </c>
      <c r="H45" s="54">
        <f t="shared" si="4"/>
        <v>2.9435402423757483E-2</v>
      </c>
      <c r="I45" s="54">
        <f t="shared" si="4"/>
        <v>2.873796193100445E-2</v>
      </c>
      <c r="J45" s="54">
        <f t="shared" si="4"/>
        <v>2.8653676991622006E-2</v>
      </c>
      <c r="K45" s="54">
        <f t="shared" si="4"/>
        <v>2.913662260156626E-2</v>
      </c>
      <c r="L45" s="54">
        <f t="shared" si="4"/>
        <v>2.9626548057539972E-2</v>
      </c>
      <c r="M45" s="8"/>
      <c r="N45" s="8"/>
    </row>
    <row r="46" spans="1:14" x14ac:dyDescent="0.25">
      <c r="A46" s="16"/>
      <c r="B46" s="34" t="str">
        <f>+B166</f>
        <v>Automotive</v>
      </c>
      <c r="C46" s="42" cm="1">
        <f t="array" ref="C46:G46">+AV/Revenue</f>
        <v>0</v>
      </c>
      <c r="D46" s="42">
        <v>3.2143928035982011E-2</v>
      </c>
      <c r="E46" s="42">
        <v>2.1029947239354984E-2</v>
      </c>
      <c r="F46" s="42">
        <v>3.3476681248609773E-2</v>
      </c>
      <c r="G46" s="42">
        <v>1.7908144840944159E-2</v>
      </c>
      <c r="H46" s="54">
        <f t="shared" si="4"/>
        <v>2.0881434267419792E-2</v>
      </c>
      <c r="I46" s="54">
        <f t="shared" si="4"/>
        <v>2.0586540257529772E-2</v>
      </c>
      <c r="J46" s="54">
        <f t="shared" si="4"/>
        <v>2.0727399331021978E-2</v>
      </c>
      <c r="K46" s="54">
        <f t="shared" si="4"/>
        <v>2.1283385695070187E-2</v>
      </c>
      <c r="L46" s="54">
        <f t="shared" si="4"/>
        <v>2.185343004330105E-2</v>
      </c>
      <c r="M46" s="8"/>
      <c r="N46" s="8"/>
    </row>
    <row r="47" spans="1:14" x14ac:dyDescent="0.25">
      <c r="A47" s="16"/>
      <c r="B47" s="34" t="str">
        <f>+B167</f>
        <v>OEM &amp; Other</v>
      </c>
      <c r="C47" s="42" cm="1">
        <f t="array" ref="C47:G47">+OEMO/Revenue</f>
        <v>0</v>
      </c>
      <c r="D47" s="42">
        <v>3.7841079460269864E-2</v>
      </c>
      <c r="E47" s="42">
        <v>4.3174555993163409E-2</v>
      </c>
      <c r="F47" s="42">
        <v>1.6868095202787869E-2</v>
      </c>
      <c r="G47" s="42">
        <v>5.0228160598798461E-3</v>
      </c>
      <c r="H47" s="54">
        <f t="shared" si="4"/>
        <v>5.7146000198086801E-3</v>
      </c>
      <c r="I47" s="54">
        <f t="shared" si="4"/>
        <v>5.497151622923897E-3</v>
      </c>
      <c r="J47" s="54">
        <f t="shared" si="4"/>
        <v>5.4004257774661535E-3</v>
      </c>
      <c r="K47" s="54">
        <f t="shared" si="4"/>
        <v>5.4106910870724426E-3</v>
      </c>
      <c r="L47" s="54">
        <f t="shared" si="4"/>
        <v>5.4207636647125535E-3</v>
      </c>
      <c r="M47" s="8"/>
      <c r="N47" s="8"/>
    </row>
    <row r="48" spans="1:14" x14ac:dyDescent="0.25">
      <c r="A48" s="16"/>
      <c r="H48" s="61"/>
      <c r="M48" s="8"/>
      <c r="N48" s="8"/>
    </row>
    <row r="49" spans="1:14" x14ac:dyDescent="0.25">
      <c r="A49" s="16"/>
      <c r="B49" s="2" t="s">
        <v>178</v>
      </c>
      <c r="M49" s="8"/>
      <c r="N49" s="8"/>
    </row>
    <row r="50" spans="1:14" x14ac:dyDescent="0.25">
      <c r="A50" s="16"/>
      <c r="B50" s="6" t="str">
        <f>+B43</f>
        <v>Computer &amp; Networking</v>
      </c>
      <c r="D50" s="1" t="s">
        <v>283</v>
      </c>
      <c r="F50" s="1" t="s">
        <v>286</v>
      </c>
      <c r="H50" s="39"/>
      <c r="I50" s="39"/>
      <c r="J50" s="39"/>
      <c r="K50" s="39"/>
      <c r="L50" s="39"/>
      <c r="M50" s="8"/>
      <c r="N50" s="8"/>
    </row>
    <row r="51" spans="1:14" x14ac:dyDescent="0.25">
      <c r="A51" s="16"/>
      <c r="B51" s="6" t="str">
        <f t="shared" ref="B51:B54" si="5">+B44</f>
        <v>Graphics</v>
      </c>
      <c r="D51" s="1" t="s">
        <v>282</v>
      </c>
      <c r="H51" s="39">
        <v>0.01</v>
      </c>
      <c r="I51" s="39">
        <v>0.01</v>
      </c>
      <c r="J51" s="39">
        <v>0.01</v>
      </c>
      <c r="K51" s="39">
        <v>0.01</v>
      </c>
      <c r="L51" s="39">
        <v>0.01</v>
      </c>
      <c r="M51" s="8"/>
      <c r="N51" s="8"/>
    </row>
    <row r="52" spans="1:14" x14ac:dyDescent="0.25">
      <c r="A52" s="16"/>
      <c r="B52" s="6" t="str">
        <f t="shared" si="5"/>
        <v>Professional Visualization</v>
      </c>
      <c r="H52" s="39">
        <v>0.02</v>
      </c>
      <c r="I52" s="39">
        <v>0.02</v>
      </c>
      <c r="J52" s="39">
        <v>0.02</v>
      </c>
      <c r="K52" s="39">
        <v>0.02</v>
      </c>
      <c r="L52" s="39">
        <v>0.02</v>
      </c>
      <c r="M52" s="8"/>
      <c r="N52" s="8"/>
    </row>
    <row r="53" spans="1:14" x14ac:dyDescent="0.25">
      <c r="A53" s="16"/>
      <c r="B53" s="6" t="str">
        <f t="shared" si="5"/>
        <v>Automotive</v>
      </c>
      <c r="D53" s="1" t="s">
        <v>284</v>
      </c>
      <c r="H53" s="39">
        <v>0.03</v>
      </c>
      <c r="I53" s="39">
        <v>0.03</v>
      </c>
      <c r="J53" s="39">
        <v>0.03</v>
      </c>
      <c r="K53" s="39">
        <v>0.03</v>
      </c>
      <c r="L53" s="39">
        <v>0.03</v>
      </c>
      <c r="M53" s="8"/>
      <c r="N53" s="8"/>
    </row>
    <row r="54" spans="1:14" x14ac:dyDescent="0.25">
      <c r="A54" s="16"/>
      <c r="B54" s="6" t="str">
        <f t="shared" si="5"/>
        <v>OEM &amp; Other</v>
      </c>
      <c r="C54" s="8"/>
      <c r="D54" s="1" t="s">
        <v>285</v>
      </c>
      <c r="G54" s="8"/>
      <c r="H54" s="39">
        <v>5.0000000000000001E-3</v>
      </c>
      <c r="I54" s="39">
        <v>5.0000000000000001E-3</v>
      </c>
      <c r="J54" s="39">
        <v>5.0000000000000001E-3</v>
      </c>
      <c r="K54" s="39">
        <v>5.0000000000000001E-3</v>
      </c>
      <c r="L54" s="39">
        <v>5.0000000000000001E-3</v>
      </c>
      <c r="M54" s="8"/>
      <c r="N54" s="8"/>
    </row>
    <row r="55" spans="1:14" x14ac:dyDescent="0.25">
      <c r="A55" s="16"/>
      <c r="B55" s="6"/>
      <c r="C55" s="8"/>
      <c r="D55" s="8"/>
      <c r="E55" s="8"/>
      <c r="F55" s="8"/>
      <c r="G55" s="8"/>
      <c r="H55"/>
      <c r="I55"/>
      <c r="J55"/>
      <c r="K55"/>
      <c r="L55"/>
      <c r="M55" s="8"/>
      <c r="N55" s="8"/>
    </row>
    <row r="56" spans="1:14" x14ac:dyDescent="0.25">
      <c r="A56" s="16"/>
      <c r="B56" s="9" t="s">
        <v>211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16"/>
      <c r="B57" s="3" t="s">
        <v>184</v>
      </c>
      <c r="C57" s="58">
        <f t="shared" ref="C57:F58" si="6">+C182/SUM(C177:C181,-C179)</f>
        <v>0.19707565162110616</v>
      </c>
      <c r="D57" s="58">
        <f t="shared" si="6"/>
        <v>0.32147651006711409</v>
      </c>
      <c r="E57" s="58">
        <f t="shared" si="6"/>
        <v>0.83814627369256722</v>
      </c>
      <c r="F57" s="58">
        <f t="shared" si="6"/>
        <v>0.79022727272727278</v>
      </c>
      <c r="G57" s="58">
        <f>+G63</f>
        <v>0.4426315616690194</v>
      </c>
      <c r="H57" s="39">
        <f>+G57</f>
        <v>0.4426315616690194</v>
      </c>
      <c r="I57" s="39">
        <f t="shared" ref="I57:L57" si="7">+H57</f>
        <v>0.4426315616690194</v>
      </c>
      <c r="J57" s="39">
        <f t="shared" si="7"/>
        <v>0.4426315616690194</v>
      </c>
      <c r="K57" s="39">
        <f t="shared" si="7"/>
        <v>0.4426315616690194</v>
      </c>
      <c r="L57" s="39">
        <f t="shared" si="7"/>
        <v>0.4426315616690194</v>
      </c>
      <c r="M57" s="8"/>
      <c r="N57" s="8"/>
    </row>
    <row r="58" spans="1:14" x14ac:dyDescent="0.25">
      <c r="A58" s="16"/>
      <c r="B58" s="7" t="s">
        <v>183</v>
      </c>
      <c r="C58" s="58">
        <f t="shared" si="6"/>
        <v>2.4127310061601643</v>
      </c>
      <c r="D58" s="58">
        <f t="shared" si="6"/>
        <v>1.9112540192926044</v>
      </c>
      <c r="E58" s="58">
        <f t="shared" si="6"/>
        <v>0.17361514342120543</v>
      </c>
      <c r="F58" s="58">
        <f t="shared" si="6"/>
        <v>0.17764319959626546</v>
      </c>
      <c r="G58" s="58">
        <f>+G64</f>
        <v>0.5573684383309806</v>
      </c>
      <c r="H58" s="39">
        <f>+G58</f>
        <v>0.5573684383309806</v>
      </c>
      <c r="I58" s="39">
        <f t="shared" ref="I58:L58" si="8">+H58</f>
        <v>0.5573684383309806</v>
      </c>
      <c r="J58" s="39">
        <f t="shared" si="8"/>
        <v>0.5573684383309806</v>
      </c>
      <c r="K58" s="39">
        <f t="shared" si="8"/>
        <v>0.5573684383309806</v>
      </c>
      <c r="L58" s="39">
        <f t="shared" si="8"/>
        <v>0.5573684383309806</v>
      </c>
      <c r="M58" s="8"/>
      <c r="N58" s="8"/>
    </row>
    <row r="59" spans="1:14" x14ac:dyDescent="0.25">
      <c r="A59" s="16"/>
      <c r="C59" s="58"/>
      <c r="D59" s="58"/>
      <c r="E59" s="58"/>
      <c r="F59" s="58"/>
      <c r="G59" s="58"/>
      <c r="H59"/>
      <c r="I59"/>
      <c r="J59"/>
      <c r="K59"/>
      <c r="L59"/>
      <c r="M59" s="8"/>
      <c r="N59" s="8"/>
    </row>
    <row r="60" spans="1:14" x14ac:dyDescent="0.25">
      <c r="A60" s="16"/>
      <c r="B60" s="2" t="s">
        <v>182</v>
      </c>
      <c r="C60" s="58"/>
      <c r="D60" s="58"/>
      <c r="E60" s="58"/>
      <c r="F60" s="60"/>
      <c r="G60" s="60"/>
      <c r="H60"/>
      <c r="I60"/>
      <c r="J60"/>
      <c r="K60"/>
      <c r="L60"/>
      <c r="M60" s="8"/>
      <c r="N60" s="8"/>
    </row>
    <row r="61" spans="1:14" x14ac:dyDescent="0.25">
      <c r="A61" s="16"/>
      <c r="B61" s="3" t="str">
        <f>+B57</f>
        <v>United States</v>
      </c>
      <c r="C61" s="55"/>
      <c r="D61" s="55"/>
      <c r="E61" s="57">
        <v>4349000</v>
      </c>
      <c r="F61" s="57">
        <v>8292000</v>
      </c>
      <c r="G61" s="57">
        <v>26966000</v>
      </c>
      <c r="H61" s="43">
        <f>+H57*H$169</f>
        <v>23820124.538590327</v>
      </c>
      <c r="I61" s="43">
        <f t="shared" ref="I61:L61" si="9">+I57*I$169</f>
        <v>24886178.509318475</v>
      </c>
      <c r="J61" s="43">
        <f t="shared" si="9"/>
        <v>25458568.959036101</v>
      </c>
      <c r="K61" s="43">
        <f t="shared" si="9"/>
        <v>25537319.614167634</v>
      </c>
      <c r="L61" s="43">
        <f t="shared" si="9"/>
        <v>25617316.848950133</v>
      </c>
      <c r="M61" s="8"/>
      <c r="N61" s="8"/>
    </row>
    <row r="62" spans="1:14" x14ac:dyDescent="0.25">
      <c r="A62" s="16"/>
      <c r="B62" s="3" t="str">
        <f>+B58</f>
        <v>Outside of U.S.</v>
      </c>
      <c r="C62" s="55"/>
      <c r="D62" s="55"/>
      <c r="E62" s="57">
        <f>+E169-E61</f>
        <v>22565000</v>
      </c>
      <c r="F62" s="57">
        <f>+F169-F61</f>
        <v>18682000</v>
      </c>
      <c r="G62" s="57">
        <f>+G169-G61</f>
        <v>33956000</v>
      </c>
      <c r="H62" s="43">
        <f>+H58*H$169</f>
        <v>29994665.461409673</v>
      </c>
      <c r="I62" s="43">
        <f t="shared" ref="I62:L62" si="10">+I58*I$169</f>
        <v>31337056.940681528</v>
      </c>
      <c r="J62" s="43">
        <f t="shared" si="10"/>
        <v>32057819.757213894</v>
      </c>
      <c r="K62" s="43">
        <f t="shared" si="10"/>
        <v>32156983.78768361</v>
      </c>
      <c r="L62" s="43">
        <f t="shared" si="10"/>
        <v>32257717.53033267</v>
      </c>
      <c r="M62" s="8"/>
      <c r="N62" s="8"/>
    </row>
    <row r="63" spans="1:14" x14ac:dyDescent="0.25">
      <c r="A63" s="16"/>
      <c r="B63" s="59" t="s">
        <v>212</v>
      </c>
      <c r="C63" s="55"/>
      <c r="D63" s="55"/>
      <c r="E63" s="83">
        <f t="shared" ref="E63:L64" si="11">+E61/E$169</f>
        <v>0.1615887642119343</v>
      </c>
      <c r="F63" s="83">
        <f t="shared" si="11"/>
        <v>0.3074071327945429</v>
      </c>
      <c r="G63" s="83">
        <f t="shared" si="11"/>
        <v>0.4426315616690194</v>
      </c>
      <c r="H63" s="83">
        <f t="shared" si="11"/>
        <v>0.44263156166901935</v>
      </c>
      <c r="I63" s="83">
        <f t="shared" si="11"/>
        <v>0.4426315616690194</v>
      </c>
      <c r="J63" s="83">
        <f t="shared" si="11"/>
        <v>0.4426315616690194</v>
      </c>
      <c r="K63" s="83">
        <f t="shared" si="11"/>
        <v>0.4426315616690194</v>
      </c>
      <c r="L63" s="83">
        <f t="shared" si="11"/>
        <v>0.4426315616690194</v>
      </c>
      <c r="M63" s="8"/>
      <c r="N63" s="8"/>
    </row>
    <row r="64" spans="1:14" x14ac:dyDescent="0.25">
      <c r="A64" s="16"/>
      <c r="B64" s="59" t="s">
        <v>212</v>
      </c>
      <c r="C64" s="55"/>
      <c r="D64" s="55"/>
      <c r="E64" s="83">
        <f t="shared" si="11"/>
        <v>0.83841123578806565</v>
      </c>
      <c r="F64" s="83">
        <f t="shared" si="11"/>
        <v>0.6925928672054571</v>
      </c>
      <c r="G64" s="83">
        <f t="shared" si="11"/>
        <v>0.5573684383309806</v>
      </c>
      <c r="H64" s="83">
        <f t="shared" si="11"/>
        <v>0.5573684383309806</v>
      </c>
      <c r="I64" s="83">
        <f t="shared" si="11"/>
        <v>0.5573684383309806</v>
      </c>
      <c r="J64" s="83">
        <f t="shared" si="11"/>
        <v>0.5573684383309806</v>
      </c>
      <c r="K64" s="83">
        <f t="shared" si="11"/>
        <v>0.5573684383309806</v>
      </c>
      <c r="L64" s="83">
        <f t="shared" si="11"/>
        <v>0.5573684383309806</v>
      </c>
      <c r="M64" s="8"/>
      <c r="N64" s="8"/>
    </row>
    <row r="65" spans="1:14" x14ac:dyDescent="0.25">
      <c r="A65" s="16"/>
      <c r="H65" s="43"/>
      <c r="I65" s="43"/>
      <c r="J65" s="43"/>
      <c r="K65" s="43"/>
      <c r="L65" s="43"/>
      <c r="M65" s="8"/>
      <c r="N65" s="8"/>
    </row>
    <row r="66" spans="1:14" x14ac:dyDescent="0.25">
      <c r="A66" s="16"/>
      <c r="B66" s="3" t="s">
        <v>216</v>
      </c>
      <c r="C66" s="61">
        <f t="shared" ref="C66:F66" si="12">+C186/C184</f>
        <v>1.3468013468013469E-3</v>
      </c>
      <c r="D66" s="61">
        <f t="shared" si="12"/>
        <v>2.2680880018144704E-4</v>
      </c>
      <c r="E66" s="61">
        <f t="shared" si="12"/>
        <v>4.2249270697112965E-3</v>
      </c>
      <c r="F66" s="61">
        <f t="shared" si="12"/>
        <v>1.1002152595072949E-2</v>
      </c>
      <c r="G66" s="61">
        <f>+G186/G184</f>
        <v>9.9059672363829912E-3</v>
      </c>
      <c r="H66" s="39">
        <f>+G66</f>
        <v>9.9059672363829912E-3</v>
      </c>
      <c r="I66" s="39">
        <f t="shared" ref="I66:L66" si="13">+H66</f>
        <v>9.9059672363829912E-3</v>
      </c>
      <c r="J66" s="39">
        <f t="shared" si="13"/>
        <v>9.9059672363829912E-3</v>
      </c>
      <c r="K66" s="39">
        <f t="shared" si="13"/>
        <v>9.9059672363829912E-3</v>
      </c>
      <c r="L66" s="39">
        <f t="shared" si="13"/>
        <v>9.9059672363829912E-3</v>
      </c>
      <c r="M66" s="8"/>
      <c r="N66" s="8"/>
    </row>
    <row r="67" spans="1:14" x14ac:dyDescent="0.25">
      <c r="A67" s="16"/>
      <c r="B67" s="7" t="s">
        <v>215</v>
      </c>
      <c r="C67" s="64">
        <f t="shared" ref="C67:F67" si="14">+C185/C184</f>
        <v>2.1885521885521887E-2</v>
      </c>
      <c r="D67" s="64">
        <f t="shared" si="14"/>
        <v>4.4681333635745064E-2</v>
      </c>
      <c r="E67" s="64">
        <f t="shared" si="14"/>
        <v>4.848606780002012E-2</v>
      </c>
      <c r="F67" s="64">
        <f t="shared" si="14"/>
        <v>0.40731882324802676</v>
      </c>
      <c r="G67" s="64">
        <f>+G185/G184</f>
        <v>0.16884499379028919</v>
      </c>
      <c r="H67" s="39">
        <v>0.21</v>
      </c>
      <c r="I67" s="39">
        <v>0.21</v>
      </c>
      <c r="J67" s="39">
        <v>0.21</v>
      </c>
      <c r="K67" s="39">
        <v>0.21</v>
      </c>
      <c r="L67" s="39">
        <v>0.21</v>
      </c>
      <c r="M67" s="8"/>
      <c r="N67" s="8"/>
    </row>
    <row r="68" spans="1:14" x14ac:dyDescent="0.25">
      <c r="A68" s="16"/>
      <c r="B68" s="7" t="s">
        <v>210</v>
      </c>
      <c r="C68" s="64">
        <f t="shared" ref="C68:G68" si="15">+C186/C185</f>
        <v>6.1538461538461542E-2</v>
      </c>
      <c r="D68" s="64">
        <f t="shared" si="15"/>
        <v>5.076142131979695E-3</v>
      </c>
      <c r="E68" s="64">
        <f t="shared" si="15"/>
        <v>8.7136929460580909E-2</v>
      </c>
      <c r="F68" s="64">
        <f t="shared" si="15"/>
        <v>2.7011156782149149E-2</v>
      </c>
      <c r="G68" s="64">
        <f t="shared" si="15"/>
        <v>5.8669001751313482E-2</v>
      </c>
      <c r="H68" s="39">
        <f>+G68</f>
        <v>5.8669001751313482E-2</v>
      </c>
      <c r="I68" s="39">
        <f t="shared" ref="I68:L68" si="16">+H68</f>
        <v>5.8669001751313482E-2</v>
      </c>
      <c r="J68" s="39">
        <f t="shared" si="16"/>
        <v>5.8669001751313482E-2</v>
      </c>
      <c r="K68" s="39">
        <f t="shared" si="16"/>
        <v>5.8669001751313482E-2</v>
      </c>
      <c r="L68" s="39">
        <f t="shared" si="16"/>
        <v>5.8669001751313482E-2</v>
      </c>
      <c r="M68" s="8"/>
      <c r="N68" s="8"/>
    </row>
    <row r="69" spans="1:14" x14ac:dyDescent="0.25">
      <c r="A69" s="16"/>
      <c r="B69" s="65" t="s">
        <v>188</v>
      </c>
      <c r="G69" s="39">
        <v>0.375</v>
      </c>
      <c r="H69" s="39">
        <v>0.375</v>
      </c>
      <c r="I69" s="39">
        <v>0.375</v>
      </c>
      <c r="J69" s="39">
        <v>0.375</v>
      </c>
      <c r="K69" s="39">
        <v>0.375</v>
      </c>
      <c r="L69" s="39">
        <v>0.375</v>
      </c>
      <c r="M69" s="8"/>
      <c r="N69" s="8"/>
    </row>
    <row r="70" spans="1:14" x14ac:dyDescent="0.25">
      <c r="A70" s="16"/>
      <c r="B70" s="66" t="s">
        <v>214</v>
      </c>
      <c r="G70" s="42">
        <f>(G115-SUM(G106:G114))/G169</f>
        <v>0.81423787794228686</v>
      </c>
      <c r="H70" s="42">
        <f t="shared" ref="H70:L70" si="17">(H115-SUM(H106:H114))/H169</f>
        <v>0</v>
      </c>
      <c r="I70" s="42">
        <f t="shared" si="17"/>
        <v>0</v>
      </c>
      <c r="J70" s="42">
        <f t="shared" si="17"/>
        <v>0</v>
      </c>
      <c r="K70" s="42">
        <f t="shared" si="17"/>
        <v>0</v>
      </c>
      <c r="L70" s="42">
        <f t="shared" si="17"/>
        <v>0</v>
      </c>
      <c r="M70" s="8"/>
      <c r="N70" s="8"/>
    </row>
    <row r="71" spans="1:14" x14ac:dyDescent="0.25">
      <c r="A71" s="16"/>
      <c r="B71" s="3" t="s">
        <v>213</v>
      </c>
      <c r="G71" s="61">
        <f>+((1-G70)*(1-G69))*H67</f>
        <v>2.4381278520074851E-2</v>
      </c>
      <c r="H71" s="61">
        <v>0.13125000000000001</v>
      </c>
      <c r="I71" s="61">
        <v>0.13125000000000001</v>
      </c>
      <c r="J71" s="61">
        <v>0.13125000000000001</v>
      </c>
      <c r="K71" s="61">
        <v>0.13125000000000001</v>
      </c>
      <c r="L71" s="61">
        <v>0.13125000000000001</v>
      </c>
    </row>
    <row r="72" spans="1:14" x14ac:dyDescent="0.25">
      <c r="A72" s="16"/>
    </row>
    <row r="73" spans="1:14" x14ac:dyDescent="0.25">
      <c r="A73" s="16"/>
      <c r="B73" s="7" t="s">
        <v>185</v>
      </c>
      <c r="C73" s="38" cm="1">
        <f t="array" ref="C73:G73">+GROSS/Revenue</f>
        <v>0.61989375343469499</v>
      </c>
      <c r="D73" s="38">
        <v>0.62344827586206897</v>
      </c>
      <c r="E73" s="38">
        <v>0.64929033216913135</v>
      </c>
      <c r="F73" s="38">
        <v>0.56928894490991322</v>
      </c>
      <c r="G73" s="38">
        <v>0.72717573290436954</v>
      </c>
      <c r="H73" s="39">
        <v>0.6</v>
      </c>
      <c r="I73" s="39">
        <v>0.6</v>
      </c>
      <c r="J73" s="39">
        <v>0.6</v>
      </c>
      <c r="K73" s="39">
        <v>0.6</v>
      </c>
      <c r="L73" s="39">
        <v>0.6</v>
      </c>
      <c r="M73" s="8"/>
      <c r="N73" s="8"/>
    </row>
    <row r="74" spans="1:14" x14ac:dyDescent="0.25">
      <c r="A74" s="16"/>
      <c r="B74" s="7" t="s">
        <v>186</v>
      </c>
      <c r="C74" s="38" cm="1">
        <f t="array" ref="C74:G74">+SGA/Revenue</f>
        <v>0.10010991023997069</v>
      </c>
      <c r="D74" s="38">
        <v>0.11634182908545727</v>
      </c>
      <c r="E74" s="38">
        <v>8.0478561343538674E-2</v>
      </c>
      <c r="F74" s="38">
        <v>9.0457477570994288E-2</v>
      </c>
      <c r="G74" s="38">
        <v>4.3563901382095135E-2</v>
      </c>
      <c r="H74" s="39">
        <v>0.05</v>
      </c>
      <c r="I74" s="39">
        <v>0.05</v>
      </c>
      <c r="J74" s="39">
        <v>0.05</v>
      </c>
      <c r="K74" s="39">
        <v>0.05</v>
      </c>
      <c r="L74" s="39">
        <v>0.05</v>
      </c>
      <c r="M74" s="8"/>
      <c r="N74" s="8"/>
    </row>
    <row r="75" spans="1:14" x14ac:dyDescent="0.25">
      <c r="A75" s="16"/>
      <c r="B75" s="7" t="s">
        <v>187</v>
      </c>
      <c r="C75" s="38" cm="1">
        <f t="array" ref="C75:G75">+RD/Revenue</f>
        <v>0.25911339073090311</v>
      </c>
      <c r="D75" s="38">
        <v>0.2353223388305847</v>
      </c>
      <c r="E75" s="38">
        <v>0.19573456193802483</v>
      </c>
      <c r="F75" s="38">
        <v>0.27207681471046191</v>
      </c>
      <c r="G75" s="38">
        <v>0.14239519385443683</v>
      </c>
      <c r="H75" s="39">
        <v>0.15</v>
      </c>
      <c r="I75" s="39">
        <v>0.15</v>
      </c>
      <c r="J75" s="39">
        <v>0.15</v>
      </c>
      <c r="K75" s="39">
        <v>0.15</v>
      </c>
      <c r="L75" s="39">
        <v>0.15</v>
      </c>
      <c r="M75" s="8"/>
      <c r="N75" s="8"/>
    </row>
    <row r="76" spans="1:14" x14ac:dyDescent="0.25">
      <c r="A76" s="16"/>
      <c r="M76" s="8"/>
      <c r="N76" s="8"/>
    </row>
    <row r="77" spans="1:14" hidden="1" outlineLevel="1" x14ac:dyDescent="0.25">
      <c r="A77" s="16"/>
      <c r="B77" s="20" t="s">
        <v>78</v>
      </c>
      <c r="C77" s="17" t="s">
        <v>77</v>
      </c>
      <c r="D77" s="17" t="s">
        <v>77</v>
      </c>
      <c r="E77" s="17" t="s">
        <v>77</v>
      </c>
      <c r="F77" s="17" t="s">
        <v>77</v>
      </c>
      <c r="G77" s="17" t="s">
        <v>77</v>
      </c>
      <c r="H77" s="8"/>
      <c r="I77" s="8"/>
      <c r="J77" s="13"/>
      <c r="K77" s="8"/>
      <c r="L77" s="13"/>
      <c r="M77" s="8"/>
      <c r="N77" s="8"/>
    </row>
    <row r="78" spans="1:14" hidden="1" outlineLevel="1" x14ac:dyDescent="0.25">
      <c r="A78" s="16"/>
      <c r="B78" s="20" t="s">
        <v>76</v>
      </c>
      <c r="C78" s="17" t="s">
        <v>75</v>
      </c>
      <c r="D78" s="17" t="s">
        <v>75</v>
      </c>
      <c r="E78" s="17" t="s">
        <v>75</v>
      </c>
      <c r="F78" s="17" t="s">
        <v>75</v>
      </c>
      <c r="G78" s="17" t="s">
        <v>75</v>
      </c>
      <c r="H78" s="8"/>
      <c r="I78" s="8"/>
      <c r="J78" s="13"/>
      <c r="K78" s="8"/>
      <c r="L78" s="13"/>
      <c r="M78" s="8"/>
      <c r="N78" s="8"/>
    </row>
    <row r="79" spans="1:14" hidden="1" outlineLevel="1" x14ac:dyDescent="0.25">
      <c r="A79" s="16"/>
      <c r="B79" s="20" t="s">
        <v>74</v>
      </c>
      <c r="C79" s="17" t="s">
        <v>73</v>
      </c>
      <c r="D79" s="17" t="s">
        <v>73</v>
      </c>
      <c r="E79" s="17" t="s">
        <v>73</v>
      </c>
      <c r="F79" s="17" t="s">
        <v>73</v>
      </c>
      <c r="G79" s="17" t="s">
        <v>73</v>
      </c>
      <c r="H79" s="8"/>
      <c r="I79" s="8"/>
      <c r="J79" s="13"/>
      <c r="K79" s="8"/>
      <c r="L79" s="13"/>
      <c r="M79" s="8"/>
      <c r="N79" s="8"/>
    </row>
    <row r="80" spans="1:14" ht="15.75" collapsed="1" thickBot="1" x14ac:dyDescent="0.3">
      <c r="A80" s="16"/>
      <c r="B80" s="21" t="s">
        <v>72</v>
      </c>
      <c r="C80" s="22" t="s">
        <v>71</v>
      </c>
      <c r="D80" s="22" t="s">
        <v>71</v>
      </c>
      <c r="E80" s="22" t="s">
        <v>71</v>
      </c>
      <c r="F80" s="22" t="s">
        <v>71</v>
      </c>
      <c r="G80" s="22" t="s">
        <v>71</v>
      </c>
      <c r="H80" s="22" t="s">
        <v>71</v>
      </c>
      <c r="I80" s="22" t="s">
        <v>71</v>
      </c>
      <c r="J80" s="22" t="s">
        <v>71</v>
      </c>
      <c r="K80" s="22" t="s">
        <v>71</v>
      </c>
      <c r="L80" s="22" t="s">
        <v>71</v>
      </c>
      <c r="M80" s="8"/>
      <c r="N80" s="8"/>
    </row>
    <row r="81" spans="1:14" x14ac:dyDescent="0.25">
      <c r="A81" s="16" t="s">
        <v>89</v>
      </c>
      <c r="B81" s="23" t="s">
        <v>70</v>
      </c>
      <c r="C81" s="68">
        <v>10896000</v>
      </c>
      <c r="D81" s="68">
        <v>847000</v>
      </c>
      <c r="E81" s="68">
        <v>1990000</v>
      </c>
      <c r="F81" s="68">
        <v>3389000</v>
      </c>
      <c r="G81" s="68">
        <v>7280000</v>
      </c>
      <c r="H81" s="57">
        <f>+G81+H263</f>
        <v>7280000</v>
      </c>
      <c r="I81" s="57">
        <f t="shared" ref="I81:L81" si="18">+H81+I263</f>
        <v>7280000</v>
      </c>
      <c r="J81" s="57">
        <f t="shared" si="18"/>
        <v>7280000</v>
      </c>
      <c r="K81" s="57">
        <f t="shared" si="18"/>
        <v>7280000</v>
      </c>
      <c r="L81" s="57">
        <f t="shared" si="18"/>
        <v>7280000</v>
      </c>
      <c r="M81" s="8"/>
      <c r="N81" s="8"/>
    </row>
    <row r="82" spans="1:14" x14ac:dyDescent="0.25">
      <c r="A82" s="16"/>
      <c r="B82" s="25" t="s">
        <v>69</v>
      </c>
      <c r="C82" s="69">
        <v>1000</v>
      </c>
      <c r="D82" s="69">
        <v>10714000</v>
      </c>
      <c r="E82" s="69">
        <v>19218000</v>
      </c>
      <c r="F82" s="69">
        <v>9907000</v>
      </c>
      <c r="G82" s="69">
        <v>18704000</v>
      </c>
      <c r="H82" s="57">
        <f>+G82</f>
        <v>18704000</v>
      </c>
      <c r="I82" s="57">
        <f t="shared" ref="I82:L82" si="19">+H82</f>
        <v>18704000</v>
      </c>
      <c r="J82" s="57">
        <f t="shared" si="19"/>
        <v>18704000</v>
      </c>
      <c r="K82" s="57">
        <f t="shared" si="19"/>
        <v>18704000</v>
      </c>
      <c r="L82" s="57">
        <f t="shared" si="19"/>
        <v>18704000</v>
      </c>
      <c r="M82" s="8"/>
      <c r="N82" s="8"/>
    </row>
    <row r="83" spans="1:14" x14ac:dyDescent="0.25">
      <c r="A83" s="16"/>
      <c r="B83" s="23" t="s">
        <v>66</v>
      </c>
      <c r="C83" s="70">
        <v>1657000</v>
      </c>
      <c r="D83" s="70">
        <v>2429000</v>
      </c>
      <c r="E83" s="70">
        <v>0</v>
      </c>
      <c r="F83" s="70">
        <v>0</v>
      </c>
      <c r="G83" s="70">
        <v>9999000</v>
      </c>
      <c r="H83" s="70">
        <f>+G83</f>
        <v>9999000</v>
      </c>
      <c r="I83" s="70">
        <f t="shared" ref="I83:L83" si="20">+H83</f>
        <v>9999000</v>
      </c>
      <c r="J83" s="70">
        <f t="shared" si="20"/>
        <v>9999000</v>
      </c>
      <c r="K83" s="70">
        <f t="shared" si="20"/>
        <v>9999000</v>
      </c>
      <c r="L83" s="70">
        <f t="shared" si="20"/>
        <v>9999000</v>
      </c>
      <c r="M83" s="8"/>
      <c r="N83" s="8"/>
    </row>
    <row r="84" spans="1:14" x14ac:dyDescent="0.25">
      <c r="A84" s="16"/>
      <c r="B84" s="28" t="s">
        <v>68</v>
      </c>
      <c r="C84" s="69">
        <v>1668000</v>
      </c>
      <c r="D84" s="69">
        <v>2450000</v>
      </c>
      <c r="E84" s="71">
        <v>0</v>
      </c>
      <c r="F84" s="71">
        <v>0</v>
      </c>
      <c r="G84" s="69">
        <v>10003000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8"/>
      <c r="N84" s="8"/>
    </row>
    <row r="85" spans="1:14" x14ac:dyDescent="0.25">
      <c r="A85" s="16"/>
      <c r="B85" s="28" t="s">
        <v>67</v>
      </c>
      <c r="C85" s="69">
        <v>11000</v>
      </c>
      <c r="D85" s="69">
        <v>21000</v>
      </c>
      <c r="E85" s="71">
        <v>0</v>
      </c>
      <c r="F85" s="71">
        <v>0</v>
      </c>
      <c r="G85" s="69">
        <v>4000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8"/>
      <c r="N85" s="8"/>
    </row>
    <row r="86" spans="1:14" x14ac:dyDescent="0.25">
      <c r="A86" s="16"/>
      <c r="B86" s="27" t="s">
        <v>62</v>
      </c>
      <c r="C86" s="70">
        <v>979000</v>
      </c>
      <c r="D86" s="70">
        <v>1826000</v>
      </c>
      <c r="E86" s="70">
        <v>2605000</v>
      </c>
      <c r="F86" s="70">
        <v>5159000</v>
      </c>
      <c r="G86" s="70">
        <v>5282000</v>
      </c>
      <c r="H86" s="70">
        <f>+G86</f>
        <v>5282000</v>
      </c>
      <c r="I86" s="70">
        <f t="shared" ref="I86:L86" si="21">+H86</f>
        <v>5282000</v>
      </c>
      <c r="J86" s="70">
        <f t="shared" si="21"/>
        <v>5282000</v>
      </c>
      <c r="K86" s="70">
        <f t="shared" si="21"/>
        <v>5282000</v>
      </c>
      <c r="L86" s="70">
        <f t="shared" si="21"/>
        <v>5282000</v>
      </c>
      <c r="M86" s="8"/>
      <c r="N86" s="8"/>
    </row>
    <row r="87" spans="1:14" x14ac:dyDescent="0.25">
      <c r="A87" s="16"/>
      <c r="B87" s="28" t="s">
        <v>65</v>
      </c>
      <c r="C87" s="69">
        <v>249000</v>
      </c>
      <c r="D87" s="69">
        <v>632000</v>
      </c>
      <c r="E87" s="69">
        <v>791000</v>
      </c>
      <c r="F87" s="69">
        <v>2430000</v>
      </c>
      <c r="G87" s="69">
        <v>1719000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8"/>
      <c r="N87" s="8"/>
    </row>
    <row r="88" spans="1:14" x14ac:dyDescent="0.25">
      <c r="A88" s="16"/>
      <c r="B88" s="28" t="s">
        <v>64</v>
      </c>
      <c r="C88" s="69">
        <v>265000</v>
      </c>
      <c r="D88" s="69">
        <v>457000</v>
      </c>
      <c r="E88" s="69">
        <v>692000</v>
      </c>
      <c r="F88" s="69">
        <v>466000</v>
      </c>
      <c r="G88" s="69">
        <v>1505000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8" t="s">
        <v>63</v>
      </c>
      <c r="C89" s="69">
        <v>465000</v>
      </c>
      <c r="D89" s="69">
        <v>737000</v>
      </c>
      <c r="E89" s="69">
        <v>1122000</v>
      </c>
      <c r="F89" s="69">
        <v>2263000</v>
      </c>
      <c r="G89" s="69">
        <v>2058000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3" t="s">
        <v>61</v>
      </c>
      <c r="C90" s="68">
        <v>157000</v>
      </c>
      <c r="D90" s="68">
        <v>239000</v>
      </c>
      <c r="E90" s="68">
        <v>366000</v>
      </c>
      <c r="F90" s="68">
        <v>791000</v>
      </c>
      <c r="G90" s="68">
        <v>3080000</v>
      </c>
      <c r="H90" s="70">
        <f>+G90</f>
        <v>3080000</v>
      </c>
      <c r="I90" s="70">
        <f t="shared" ref="I90:L90" si="22">+H90</f>
        <v>3080000</v>
      </c>
      <c r="J90" s="70">
        <f t="shared" si="22"/>
        <v>3080000</v>
      </c>
      <c r="K90" s="70">
        <f t="shared" si="22"/>
        <v>3080000</v>
      </c>
      <c r="L90" s="70">
        <f t="shared" si="22"/>
        <v>3080000</v>
      </c>
      <c r="M90" s="8"/>
      <c r="N90" s="8"/>
    </row>
    <row r="91" spans="1:14" x14ac:dyDescent="0.25">
      <c r="A91" s="16" t="s">
        <v>89</v>
      </c>
      <c r="B91" s="23" t="s">
        <v>60</v>
      </c>
      <c r="C91" s="68">
        <v>13690000</v>
      </c>
      <c r="D91" s="68">
        <v>16055000</v>
      </c>
      <c r="E91" s="68">
        <v>24179000</v>
      </c>
      <c r="F91" s="68">
        <v>19246000</v>
      </c>
      <c r="G91" s="68">
        <v>44345000</v>
      </c>
      <c r="H91" s="68">
        <f>+H81+H82+H83+H86+H90</f>
        <v>44345000</v>
      </c>
      <c r="I91" s="68">
        <f t="shared" ref="I91:L91" si="23">+I81+I82+I83+I86+I90</f>
        <v>44345000</v>
      </c>
      <c r="J91" s="68">
        <f t="shared" si="23"/>
        <v>44345000</v>
      </c>
      <c r="K91" s="68">
        <f t="shared" si="23"/>
        <v>44345000</v>
      </c>
      <c r="L91" s="68">
        <f t="shared" si="23"/>
        <v>44345000</v>
      </c>
      <c r="M91" s="8"/>
      <c r="N91" s="8"/>
    </row>
    <row r="92" spans="1:14" x14ac:dyDescent="0.25">
      <c r="A92" s="16"/>
      <c r="B92" s="25" t="s">
        <v>59</v>
      </c>
      <c r="C92" s="69">
        <v>218000</v>
      </c>
      <c r="D92" s="69">
        <v>218000</v>
      </c>
      <c r="E92" s="69">
        <v>218000</v>
      </c>
      <c r="F92" s="69">
        <v>218000</v>
      </c>
      <c r="G92" s="69">
        <v>218000</v>
      </c>
      <c r="H92" s="57">
        <f>+G92</f>
        <v>218000</v>
      </c>
      <c r="I92" s="57">
        <f t="shared" ref="I92:L92" si="24">+H92</f>
        <v>218000</v>
      </c>
      <c r="J92" s="57">
        <f t="shared" si="24"/>
        <v>218000</v>
      </c>
      <c r="K92" s="57">
        <f t="shared" si="24"/>
        <v>218000</v>
      </c>
      <c r="L92" s="57">
        <f t="shared" si="24"/>
        <v>218000</v>
      </c>
      <c r="M92" s="8"/>
      <c r="N92" s="8"/>
    </row>
    <row r="93" spans="1:14" x14ac:dyDescent="0.25">
      <c r="A93" s="16"/>
      <c r="B93" s="25" t="s">
        <v>58</v>
      </c>
      <c r="C93" s="71">
        <v>0</v>
      </c>
      <c r="D93" s="71">
        <v>0</v>
      </c>
      <c r="E93" s="69">
        <v>874000</v>
      </c>
      <c r="F93" s="69">
        <v>1598000</v>
      </c>
      <c r="G93" s="71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8"/>
      <c r="N93" s="8"/>
    </row>
    <row r="94" spans="1:14" x14ac:dyDescent="0.25">
      <c r="A94" s="16"/>
      <c r="B94" s="25" t="s">
        <v>57</v>
      </c>
      <c r="C94" s="71">
        <v>0</v>
      </c>
      <c r="D94" s="71">
        <v>0</v>
      </c>
      <c r="E94" s="69">
        <v>2852000</v>
      </c>
      <c r="F94" s="69">
        <v>4303000</v>
      </c>
      <c r="G94" s="71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8"/>
      <c r="N94" s="8"/>
    </row>
    <row r="95" spans="1:14" x14ac:dyDescent="0.25">
      <c r="A95" s="16"/>
      <c r="B95" s="25" t="s">
        <v>56</v>
      </c>
      <c r="C95" s="69">
        <v>340000</v>
      </c>
      <c r="D95" s="69">
        <v>341000</v>
      </c>
      <c r="E95" s="71">
        <v>0</v>
      </c>
      <c r="F95" s="71">
        <v>0</v>
      </c>
      <c r="G95" s="69">
        <v>1816000</v>
      </c>
      <c r="H95" s="57">
        <f>+G95</f>
        <v>1816000</v>
      </c>
      <c r="I95" s="57">
        <f t="shared" ref="I95:L95" si="25">+H95</f>
        <v>1816000</v>
      </c>
      <c r="J95" s="57">
        <f t="shared" si="25"/>
        <v>1816000</v>
      </c>
      <c r="K95" s="57">
        <f t="shared" si="25"/>
        <v>1816000</v>
      </c>
      <c r="L95" s="57">
        <f t="shared" si="25"/>
        <v>1816000</v>
      </c>
      <c r="M95" s="8"/>
      <c r="N95" s="8"/>
    </row>
    <row r="96" spans="1:14" x14ac:dyDescent="0.25">
      <c r="A96" s="16"/>
      <c r="B96" s="25" t="s">
        <v>55</v>
      </c>
      <c r="C96" s="69">
        <v>532000</v>
      </c>
      <c r="D96" s="69">
        <v>782000</v>
      </c>
      <c r="E96" s="71">
        <v>0</v>
      </c>
      <c r="F96" s="71">
        <v>0</v>
      </c>
      <c r="G96" s="69">
        <v>5200000</v>
      </c>
      <c r="H96" s="57">
        <f>+G96</f>
        <v>5200000</v>
      </c>
      <c r="I96" s="57">
        <f t="shared" ref="I96:L96" si="26">+H96</f>
        <v>5200000</v>
      </c>
      <c r="J96" s="57">
        <f t="shared" si="26"/>
        <v>5200000</v>
      </c>
      <c r="K96" s="57">
        <f t="shared" si="26"/>
        <v>5200000</v>
      </c>
      <c r="L96" s="57">
        <f t="shared" si="26"/>
        <v>5200000</v>
      </c>
      <c r="M96" s="8"/>
      <c r="N96" s="8"/>
    </row>
    <row r="97" spans="1:14" x14ac:dyDescent="0.25">
      <c r="A97" s="16"/>
      <c r="B97" s="25" t="s">
        <v>54</v>
      </c>
      <c r="C97" s="69">
        <v>621000</v>
      </c>
      <c r="D97" s="69">
        <v>1187000</v>
      </c>
      <c r="E97" s="71">
        <v>0</v>
      </c>
      <c r="F97" s="71">
        <v>0</v>
      </c>
      <c r="G97" s="71">
        <v>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53</v>
      </c>
      <c r="C98" s="69">
        <v>293000</v>
      </c>
      <c r="D98" s="69">
        <v>385000</v>
      </c>
      <c r="E98" s="71">
        <v>0</v>
      </c>
      <c r="F98" s="71">
        <v>0</v>
      </c>
      <c r="G98" s="71">
        <v>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5" t="s">
        <v>52</v>
      </c>
      <c r="C99" s="69">
        <v>287000</v>
      </c>
      <c r="D99" s="71">
        <v>0</v>
      </c>
      <c r="E99" s="71">
        <v>0</v>
      </c>
      <c r="F99" s="71">
        <v>0</v>
      </c>
      <c r="G99" s="71">
        <v>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51</v>
      </c>
      <c r="C100" s="69">
        <v>74000</v>
      </c>
      <c r="D100" s="69">
        <v>86000</v>
      </c>
      <c r="E100" s="71">
        <v>0</v>
      </c>
      <c r="F100" s="71">
        <v>0</v>
      </c>
      <c r="G100" s="71">
        <v>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50</v>
      </c>
      <c r="C101" s="69">
        <v>320000</v>
      </c>
      <c r="D101" s="69">
        <v>558000</v>
      </c>
      <c r="E101" s="69">
        <v>737000</v>
      </c>
      <c r="F101" s="69">
        <v>382000</v>
      </c>
      <c r="G101" s="69">
        <v>189000</v>
      </c>
      <c r="H101" s="55"/>
      <c r="I101" s="55"/>
      <c r="J101" s="62"/>
      <c r="K101" s="55"/>
      <c r="L101" s="62"/>
      <c r="M101" s="8"/>
      <c r="N101" s="8"/>
    </row>
    <row r="102" spans="1:14" ht="17.25" x14ac:dyDescent="0.4">
      <c r="A102" s="16"/>
      <c r="B102" s="23" t="s">
        <v>49</v>
      </c>
      <c r="C102" s="72">
        <v>2685000</v>
      </c>
      <c r="D102" s="72">
        <v>3557000</v>
      </c>
      <c r="E102" s="72">
        <v>4681000</v>
      </c>
      <c r="F102" s="72">
        <v>6501000</v>
      </c>
      <c r="G102" s="72">
        <v>7423000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48</v>
      </c>
      <c r="C103" s="69">
        <v>1011000</v>
      </c>
      <c r="D103" s="69">
        <v>1408000</v>
      </c>
      <c r="E103" s="69">
        <v>1903000</v>
      </c>
      <c r="F103" s="69">
        <v>2694000</v>
      </c>
      <c r="G103" s="69">
        <v>3509000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3" t="s">
        <v>47</v>
      </c>
      <c r="C104" s="68">
        <v>1674000</v>
      </c>
      <c r="D104" s="68">
        <v>2149000</v>
      </c>
      <c r="E104" s="68">
        <v>2778000</v>
      </c>
      <c r="F104" s="68">
        <v>3807000</v>
      </c>
      <c r="G104" s="68">
        <v>3914000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46</v>
      </c>
      <c r="C105" s="69">
        <v>618000</v>
      </c>
      <c r="D105" s="69">
        <v>707000</v>
      </c>
      <c r="E105" s="69">
        <v>829000</v>
      </c>
      <c r="F105" s="69">
        <v>1038000</v>
      </c>
      <c r="G105" s="69">
        <v>1346000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45</v>
      </c>
      <c r="C106" s="69">
        <v>618000</v>
      </c>
      <c r="D106" s="69">
        <v>4193000</v>
      </c>
      <c r="E106" s="69">
        <v>4349000</v>
      </c>
      <c r="F106" s="69">
        <v>4372000</v>
      </c>
      <c r="G106" s="69">
        <v>4430000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44</v>
      </c>
      <c r="C107" s="69">
        <v>49000</v>
      </c>
      <c r="D107" s="69">
        <v>2737000</v>
      </c>
      <c r="E107" s="69">
        <v>2339000</v>
      </c>
      <c r="F107" s="69">
        <v>1676000</v>
      </c>
      <c r="G107" s="69">
        <v>1112000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43</v>
      </c>
      <c r="C108" s="69">
        <v>548000</v>
      </c>
      <c r="D108" s="69">
        <v>806000</v>
      </c>
      <c r="E108" s="69">
        <v>1222000</v>
      </c>
      <c r="F108" s="69">
        <v>3396000</v>
      </c>
      <c r="G108" s="69">
        <v>6081000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42</v>
      </c>
      <c r="C109" s="71">
        <v>0</v>
      </c>
      <c r="D109" s="71">
        <v>0</v>
      </c>
      <c r="E109" s="69">
        <v>1747000</v>
      </c>
      <c r="F109" s="69">
        <v>2989000</v>
      </c>
      <c r="G109" s="71">
        <v>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/>
      <c r="B110" s="25" t="s">
        <v>41</v>
      </c>
      <c r="C110" s="71">
        <v>0</v>
      </c>
      <c r="D110" s="71">
        <v>0</v>
      </c>
      <c r="E110" s="69">
        <v>1357000</v>
      </c>
      <c r="F110" s="71">
        <v>0</v>
      </c>
      <c r="G110" s="71">
        <v>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40</v>
      </c>
      <c r="C111" s="71">
        <v>0</v>
      </c>
      <c r="D111" s="71">
        <v>0</v>
      </c>
      <c r="E111" s="69">
        <v>409000</v>
      </c>
      <c r="F111" s="69">
        <v>387000</v>
      </c>
      <c r="G111" s="71">
        <v>0</v>
      </c>
      <c r="H111" s="55"/>
      <c r="I111" s="55"/>
      <c r="J111" s="62"/>
      <c r="K111" s="55"/>
      <c r="L111" s="62"/>
      <c r="M111" s="8"/>
      <c r="N111" s="8"/>
    </row>
    <row r="112" spans="1:14" x14ac:dyDescent="0.25">
      <c r="A112" s="16"/>
      <c r="B112" s="25" t="s">
        <v>39</v>
      </c>
      <c r="C112" s="71">
        <v>0</v>
      </c>
      <c r="D112" s="71">
        <v>0</v>
      </c>
      <c r="E112" s="69">
        <v>266000</v>
      </c>
      <c r="F112" s="69">
        <v>299000</v>
      </c>
      <c r="G112" s="71">
        <v>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38</v>
      </c>
      <c r="C113" s="71">
        <v>0</v>
      </c>
      <c r="D113" s="71">
        <v>0</v>
      </c>
      <c r="E113" s="69">
        <v>62000</v>
      </c>
      <c r="F113" s="69">
        <v>145000</v>
      </c>
      <c r="G113" s="71">
        <v>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38</v>
      </c>
      <c r="C114" s="69">
        <v>118000</v>
      </c>
      <c r="D114" s="69">
        <v>2144000</v>
      </c>
      <c r="E114" s="69">
        <v>3841000</v>
      </c>
      <c r="F114" s="69">
        <v>3820000</v>
      </c>
      <c r="G114" s="69">
        <v>4500000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 t="s">
        <v>89</v>
      </c>
      <c r="B115" s="23" t="s">
        <v>37</v>
      </c>
      <c r="C115" s="68">
        <v>17315000</v>
      </c>
      <c r="D115" s="68">
        <v>28791000</v>
      </c>
      <c r="E115" s="68">
        <v>44187000</v>
      </c>
      <c r="F115" s="68">
        <v>41182000</v>
      </c>
      <c r="G115" s="68">
        <v>65728000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36</v>
      </c>
      <c r="C116" s="69">
        <v>687000</v>
      </c>
      <c r="D116" s="69">
        <v>1201000</v>
      </c>
      <c r="E116" s="69">
        <v>1783000</v>
      </c>
      <c r="F116" s="69">
        <v>1193000</v>
      </c>
      <c r="G116" s="69">
        <v>2699000</v>
      </c>
      <c r="H116" s="55">
        <f>+G116</f>
        <v>2699000</v>
      </c>
      <c r="I116" s="55">
        <f t="shared" ref="I116:L116" si="27">+H116</f>
        <v>2699000</v>
      </c>
      <c r="J116" s="55">
        <f t="shared" si="27"/>
        <v>2699000</v>
      </c>
      <c r="K116" s="55">
        <f t="shared" si="27"/>
        <v>2699000</v>
      </c>
      <c r="L116" s="55">
        <f t="shared" si="27"/>
        <v>2699000</v>
      </c>
      <c r="M116" s="8"/>
      <c r="N116" s="8"/>
    </row>
    <row r="117" spans="1:14" x14ac:dyDescent="0.25">
      <c r="A117" s="16"/>
      <c r="B117" s="25" t="s">
        <v>35</v>
      </c>
      <c r="C117" s="69">
        <v>462000</v>
      </c>
      <c r="D117" s="69">
        <v>630000</v>
      </c>
      <c r="E117" s="69">
        <v>1000000</v>
      </c>
      <c r="F117" s="69">
        <v>1196000</v>
      </c>
      <c r="G117" s="69">
        <v>2081000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34</v>
      </c>
      <c r="C118" s="69">
        <v>185000</v>
      </c>
      <c r="D118" s="69">
        <v>297000</v>
      </c>
      <c r="E118" s="69">
        <v>409000</v>
      </c>
      <c r="F118" s="69">
        <v>530000</v>
      </c>
      <c r="G118" s="69">
        <v>675000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13</v>
      </c>
      <c r="C119" s="69">
        <v>141000</v>
      </c>
      <c r="D119" s="69">
        <v>288000</v>
      </c>
      <c r="E119" s="69">
        <v>300000</v>
      </c>
      <c r="F119" s="69">
        <v>354000</v>
      </c>
      <c r="G119" s="69">
        <v>764000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33</v>
      </c>
      <c r="C120" s="71">
        <v>0</v>
      </c>
      <c r="D120" s="71">
        <v>0</v>
      </c>
      <c r="E120" s="69">
        <v>196000</v>
      </c>
      <c r="F120" s="69">
        <v>954000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32</v>
      </c>
      <c r="C121" s="71">
        <v>0</v>
      </c>
      <c r="D121" s="69">
        <v>128000</v>
      </c>
      <c r="E121" s="71" t="s">
        <v>0</v>
      </c>
      <c r="F121" s="71" t="s">
        <v>0</v>
      </c>
      <c r="G121" s="69">
        <v>182000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31</v>
      </c>
      <c r="C122" s="69">
        <v>91000</v>
      </c>
      <c r="D122" s="69">
        <v>121000</v>
      </c>
      <c r="E122" s="71" t="s">
        <v>0</v>
      </c>
      <c r="F122" s="69">
        <v>176000</v>
      </c>
      <c r="G122" s="69">
        <v>228000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30</v>
      </c>
      <c r="C123" s="71">
        <v>0</v>
      </c>
      <c r="D123" s="69">
        <v>74000</v>
      </c>
      <c r="E123" s="71" t="s">
        <v>0</v>
      </c>
      <c r="F123" s="71" t="s">
        <v>0</v>
      </c>
      <c r="G123" s="71" t="s">
        <v>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29</v>
      </c>
      <c r="C124" s="69">
        <v>61000</v>
      </c>
      <c r="D124" s="69">
        <v>61000</v>
      </c>
      <c r="E124" s="71" t="s">
        <v>0</v>
      </c>
      <c r="F124" s="69">
        <v>467000</v>
      </c>
      <c r="G124" s="69">
        <v>296000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12</v>
      </c>
      <c r="C125" s="69">
        <v>54000</v>
      </c>
      <c r="D125" s="71">
        <v>0</v>
      </c>
      <c r="E125" s="71" t="s">
        <v>0</v>
      </c>
      <c r="F125" s="71" t="s">
        <v>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28</v>
      </c>
      <c r="C126" s="71">
        <v>0</v>
      </c>
      <c r="D126" s="69">
        <v>39000</v>
      </c>
      <c r="E126" s="71" t="s">
        <v>0</v>
      </c>
      <c r="F126" s="71" t="s">
        <v>0</v>
      </c>
      <c r="G126" s="69">
        <v>415000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27</v>
      </c>
      <c r="C127" s="69">
        <v>18000</v>
      </c>
      <c r="D127" s="69">
        <v>26000</v>
      </c>
      <c r="E127" s="71" t="s">
        <v>0</v>
      </c>
      <c r="F127" s="71" t="s">
        <v>0</v>
      </c>
      <c r="G127" s="71" t="s">
        <v>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/>
      <c r="B128" s="25" t="s">
        <v>26</v>
      </c>
      <c r="C128" s="71">
        <v>0</v>
      </c>
      <c r="D128" s="71">
        <v>0</v>
      </c>
      <c r="E128" s="71" t="s">
        <v>0</v>
      </c>
      <c r="F128" s="71" t="s">
        <v>0</v>
      </c>
      <c r="G128" s="69">
        <v>6682000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25</v>
      </c>
      <c r="C129" s="71">
        <v>0</v>
      </c>
      <c r="D129" s="71">
        <v>0</v>
      </c>
      <c r="E129" s="71" t="s">
        <v>0</v>
      </c>
      <c r="F129" s="71" t="s">
        <v>0</v>
      </c>
      <c r="G129" s="69">
        <v>1842000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24</v>
      </c>
      <c r="C130" s="69">
        <v>85000</v>
      </c>
      <c r="D130" s="69">
        <v>61000</v>
      </c>
      <c r="E130" s="69">
        <v>647000</v>
      </c>
      <c r="F130" s="69">
        <v>443000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23</v>
      </c>
      <c r="C131" s="69">
        <v>1097000</v>
      </c>
      <c r="D131" s="69">
        <v>1725000</v>
      </c>
      <c r="E131" s="69">
        <v>2552000</v>
      </c>
      <c r="F131" s="69">
        <v>4120000</v>
      </c>
      <c r="G131" s="69">
        <v>199000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22</v>
      </c>
      <c r="C132" s="71" t="s">
        <v>0</v>
      </c>
      <c r="D132" s="69">
        <v>999000</v>
      </c>
      <c r="E132" s="71" t="s">
        <v>0</v>
      </c>
      <c r="F132" s="69">
        <v>1250000</v>
      </c>
      <c r="G132" s="69">
        <v>1250000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 t="s">
        <v>89</v>
      </c>
      <c r="B133" s="23" t="s">
        <v>21</v>
      </c>
      <c r="C133" s="68">
        <v>1784000</v>
      </c>
      <c r="D133" s="68">
        <v>3925000</v>
      </c>
      <c r="E133" s="68">
        <v>4335000</v>
      </c>
      <c r="F133" s="68">
        <v>6563000</v>
      </c>
      <c r="G133" s="68">
        <v>10631000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20</v>
      </c>
      <c r="C134" s="69">
        <v>2000000</v>
      </c>
      <c r="D134" s="69">
        <v>6963000</v>
      </c>
      <c r="E134" s="69">
        <v>11000000</v>
      </c>
      <c r="F134" s="69">
        <v>11000000</v>
      </c>
      <c r="G134" s="69">
        <v>8459000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19</v>
      </c>
      <c r="C135" s="69">
        <v>-9000</v>
      </c>
      <c r="D135" s="69">
        <v>-999000</v>
      </c>
      <c r="E135" s="69">
        <v>-54000</v>
      </c>
      <c r="F135" s="69">
        <v>-47000</v>
      </c>
      <c r="G135" s="71" t="s">
        <v>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18</v>
      </c>
      <c r="C136" s="71" t="s">
        <v>0</v>
      </c>
      <c r="D136" s="71" t="s">
        <v>0</v>
      </c>
      <c r="E136" s="71" t="s">
        <v>0</v>
      </c>
      <c r="F136" s="69">
        <v>-1250000</v>
      </c>
      <c r="G136" s="71" t="s">
        <v>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17</v>
      </c>
      <c r="C137" s="69">
        <v>1991000</v>
      </c>
      <c r="D137" s="69">
        <v>5964000</v>
      </c>
      <c r="E137" s="69">
        <v>10946000</v>
      </c>
      <c r="F137" s="69">
        <v>9703000</v>
      </c>
      <c r="G137" s="71" t="s">
        <v>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16</v>
      </c>
      <c r="C138" s="69">
        <v>561000</v>
      </c>
      <c r="D138" s="69">
        <v>634000</v>
      </c>
      <c r="E138" s="69">
        <v>741000</v>
      </c>
      <c r="F138" s="69">
        <v>902000</v>
      </c>
      <c r="G138" s="69">
        <v>1119000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15</v>
      </c>
      <c r="C139" s="69">
        <v>528000</v>
      </c>
      <c r="D139" s="69">
        <v>836000</v>
      </c>
      <c r="E139" s="69">
        <v>980000</v>
      </c>
      <c r="F139" s="69">
        <v>1204000</v>
      </c>
      <c r="G139" s="69">
        <v>1361000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14</v>
      </c>
      <c r="C140" s="71" t="s">
        <v>0</v>
      </c>
      <c r="D140" s="69">
        <v>241000</v>
      </c>
      <c r="E140" s="69">
        <v>245000</v>
      </c>
      <c r="F140" s="69">
        <v>247000</v>
      </c>
      <c r="G140" s="69">
        <v>462000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13</v>
      </c>
      <c r="C141" s="69">
        <v>60000</v>
      </c>
      <c r="D141" s="69">
        <v>163000</v>
      </c>
      <c r="E141" s="69">
        <v>202000</v>
      </c>
      <c r="F141" s="69">
        <v>218000</v>
      </c>
      <c r="G141" s="69">
        <v>573000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12</v>
      </c>
      <c r="C142" s="69">
        <v>110000</v>
      </c>
      <c r="D142" s="69">
        <v>56000</v>
      </c>
      <c r="E142" s="71">
        <v>0</v>
      </c>
      <c r="F142" s="69">
        <v>181000</v>
      </c>
      <c r="G142" s="69">
        <v>80000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/>
      <c r="B143" s="25" t="s">
        <v>11</v>
      </c>
      <c r="C143" s="69">
        <v>29000</v>
      </c>
      <c r="D143" s="71">
        <v>0</v>
      </c>
      <c r="E143" s="71">
        <v>0</v>
      </c>
      <c r="F143" s="71">
        <v>0</v>
      </c>
      <c r="G143" s="71">
        <v>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10</v>
      </c>
      <c r="C144" s="69">
        <v>22000</v>
      </c>
      <c r="D144" s="69">
        <v>33000</v>
      </c>
      <c r="E144" s="71">
        <v>0</v>
      </c>
      <c r="F144" s="71">
        <v>0</v>
      </c>
      <c r="G144" s="71">
        <v>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9</v>
      </c>
      <c r="C145" s="69">
        <v>26000</v>
      </c>
      <c r="D145" s="69">
        <v>46000</v>
      </c>
      <c r="E145" s="69">
        <v>126000</v>
      </c>
      <c r="F145" s="69">
        <v>63000</v>
      </c>
      <c r="G145" s="71">
        <v>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9</v>
      </c>
      <c r="C146" s="69">
        <v>775000</v>
      </c>
      <c r="D146" s="69">
        <v>1375000</v>
      </c>
      <c r="E146" s="69">
        <v>1553000</v>
      </c>
      <c r="F146" s="69">
        <v>1913000</v>
      </c>
      <c r="G146" s="69">
        <v>2541000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8</v>
      </c>
      <c r="C147" s="71">
        <v>0</v>
      </c>
      <c r="D147" s="71">
        <v>0</v>
      </c>
      <c r="E147" s="71">
        <v>0</v>
      </c>
      <c r="F147" s="71">
        <v>0</v>
      </c>
      <c r="G147" s="69">
        <v>65000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 t="s">
        <v>89</v>
      </c>
      <c r="B148" s="23" t="s">
        <v>7</v>
      </c>
      <c r="C148" s="68">
        <v>5111000</v>
      </c>
      <c r="D148" s="68">
        <v>11898000</v>
      </c>
      <c r="E148" s="68">
        <v>17575000</v>
      </c>
      <c r="F148" s="68">
        <v>19081000</v>
      </c>
      <c r="G148" s="68">
        <v>22750000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5" t="s">
        <v>6</v>
      </c>
      <c r="C149" s="69">
        <v>1000</v>
      </c>
      <c r="D149" s="69">
        <v>1000</v>
      </c>
      <c r="E149" s="69">
        <v>3000</v>
      </c>
      <c r="F149" s="69">
        <v>2000</v>
      </c>
      <c r="G149" s="69">
        <v>2000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25" t="s">
        <v>5</v>
      </c>
      <c r="C150" s="69">
        <v>7045000</v>
      </c>
      <c r="D150" s="69">
        <v>8721000</v>
      </c>
      <c r="E150" s="69">
        <v>10385000</v>
      </c>
      <c r="F150" s="69">
        <v>11971000</v>
      </c>
      <c r="G150" s="69">
        <v>13132000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25" t="s">
        <v>4</v>
      </c>
      <c r="C151" s="69">
        <v>9814000</v>
      </c>
      <c r="D151" s="69">
        <v>10756000</v>
      </c>
      <c r="E151" s="71">
        <v>0</v>
      </c>
      <c r="F151" s="71">
        <v>0</v>
      </c>
      <c r="G151" s="71">
        <v>0</v>
      </c>
      <c r="H151" s="55"/>
      <c r="I151" s="55"/>
      <c r="J151" s="62"/>
      <c r="K151" s="55"/>
      <c r="L151" s="62"/>
      <c r="M151" s="8"/>
      <c r="N151" s="8"/>
    </row>
    <row r="152" spans="1:14" x14ac:dyDescent="0.25">
      <c r="A152" s="16"/>
      <c r="B152" s="25" t="s">
        <v>3</v>
      </c>
      <c r="C152" s="69">
        <v>1000</v>
      </c>
      <c r="D152" s="69">
        <v>19000</v>
      </c>
      <c r="E152" s="69">
        <v>-11000</v>
      </c>
      <c r="F152" s="69">
        <v>-43000</v>
      </c>
      <c r="G152" s="69">
        <v>27000</v>
      </c>
      <c r="H152" s="55"/>
      <c r="I152" s="55"/>
      <c r="J152" s="62"/>
      <c r="K152" s="55"/>
      <c r="L152" s="62"/>
      <c r="M152" s="8"/>
      <c r="N152" s="8"/>
    </row>
    <row r="153" spans="1:14" x14ac:dyDescent="0.25">
      <c r="A153" s="16"/>
      <c r="B153" s="25" t="s">
        <v>2</v>
      </c>
      <c r="C153" s="69">
        <v>14971000</v>
      </c>
      <c r="D153" s="69">
        <v>18908000</v>
      </c>
      <c r="E153" s="69">
        <v>16235000</v>
      </c>
      <c r="F153" s="69">
        <v>10171000</v>
      </c>
      <c r="G153" s="69">
        <v>29817000</v>
      </c>
      <c r="H153" s="55"/>
      <c r="I153" s="55"/>
      <c r="J153" s="62"/>
      <c r="K153" s="55"/>
      <c r="L153" s="62"/>
      <c r="M153" s="8"/>
      <c r="N153" s="8"/>
    </row>
    <row r="154" spans="1:14" x14ac:dyDescent="0.25">
      <c r="A154" s="16"/>
      <c r="B154" s="23" t="s">
        <v>1</v>
      </c>
      <c r="C154" s="68">
        <v>31832000</v>
      </c>
      <c r="D154" s="68">
        <v>38405000</v>
      </c>
      <c r="E154" s="68">
        <v>26612000</v>
      </c>
      <c r="F154" s="68">
        <v>22101000</v>
      </c>
      <c r="G154" s="68">
        <v>42978000</v>
      </c>
      <c r="H154" s="55"/>
      <c r="I154" s="55"/>
      <c r="J154" s="62"/>
      <c r="K154" s="55"/>
      <c r="L154" s="62"/>
      <c r="M154" s="8"/>
      <c r="N154" s="8"/>
    </row>
    <row r="155" spans="1:14" x14ac:dyDescent="0.25">
      <c r="A155" s="16"/>
      <c r="B155" s="30" t="s">
        <v>162</v>
      </c>
      <c r="C155" s="73">
        <v>0.47</v>
      </c>
      <c r="D155" s="73">
        <v>0.56999999999999995</v>
      </c>
      <c r="E155" s="73">
        <v>1</v>
      </c>
      <c r="F155" s="73">
        <v>1</v>
      </c>
      <c r="G155" s="73">
        <v>1</v>
      </c>
      <c r="H155" s="55"/>
      <c r="I155" s="55"/>
      <c r="J155" s="62"/>
      <c r="K155" s="55"/>
      <c r="L155" s="62"/>
      <c r="M155" s="8"/>
      <c r="N155" s="8"/>
    </row>
    <row r="156" spans="1:14" x14ac:dyDescent="0.25">
      <c r="A156" s="16"/>
      <c r="B156" s="8"/>
      <c r="C156" s="18"/>
      <c r="D156" s="18"/>
      <c r="E156" s="18"/>
      <c r="F156" s="18"/>
      <c r="G156" s="18"/>
      <c r="H156" s="8"/>
      <c r="I156" s="8"/>
      <c r="J156" s="8"/>
      <c r="K156" s="8"/>
      <c r="L156" s="8"/>
      <c r="M156" s="8"/>
      <c r="N156" s="8"/>
    </row>
    <row r="157" spans="1:14" hidden="1" outlineLevel="1" x14ac:dyDescent="0.25">
      <c r="A157" s="16"/>
      <c r="B157" s="10" t="s">
        <v>161</v>
      </c>
      <c r="C157" s="18"/>
      <c r="D157" s="18"/>
      <c r="E157" s="18"/>
      <c r="F157" s="18"/>
      <c r="G157" s="18"/>
      <c r="H157" s="8"/>
      <c r="I157" s="8"/>
      <c r="J157" s="8"/>
      <c r="K157" s="8"/>
      <c r="L157" s="8"/>
      <c r="M157" s="8"/>
      <c r="N157" s="8"/>
    </row>
    <row r="158" spans="1:14" hidden="1" outlineLevel="1" x14ac:dyDescent="0.25">
      <c r="A158" s="16"/>
      <c r="B158" s="11" t="s">
        <v>79</v>
      </c>
      <c r="C158" s="17">
        <f>+C8</f>
        <v>2019</v>
      </c>
      <c r="D158" s="17">
        <f>+D8</f>
        <v>2020</v>
      </c>
      <c r="E158" s="17">
        <f>+E8</f>
        <v>2021</v>
      </c>
      <c r="F158" s="17">
        <f>+F8</f>
        <v>2022</v>
      </c>
      <c r="G158" s="17">
        <f>+G8</f>
        <v>2023</v>
      </c>
      <c r="H158" s="8"/>
      <c r="I158" s="8"/>
      <c r="J158" s="13"/>
      <c r="K158" s="8"/>
      <c r="L158" s="13"/>
      <c r="M158" s="8"/>
      <c r="N158" s="8"/>
    </row>
    <row r="159" spans="1:14" hidden="1" outlineLevel="1" x14ac:dyDescent="0.25">
      <c r="A159" s="16"/>
      <c r="B159" s="11" t="s">
        <v>78</v>
      </c>
      <c r="C159" s="17" t="s">
        <v>77</v>
      </c>
      <c r="D159" s="17" t="s">
        <v>77</v>
      </c>
      <c r="E159" s="17" t="s">
        <v>77</v>
      </c>
      <c r="F159" s="17" t="s">
        <v>77</v>
      </c>
      <c r="G159" s="17" t="s">
        <v>77</v>
      </c>
      <c r="H159" s="8"/>
      <c r="I159" s="8"/>
      <c r="J159" s="13"/>
      <c r="K159" s="8"/>
      <c r="L159" s="13"/>
      <c r="M159" s="8"/>
      <c r="N159" s="8"/>
    </row>
    <row r="160" spans="1:14" hidden="1" outlineLevel="1" x14ac:dyDescent="0.25">
      <c r="A160" s="16"/>
      <c r="B160" s="11" t="s">
        <v>76</v>
      </c>
      <c r="C160" s="17" t="s">
        <v>75</v>
      </c>
      <c r="D160" s="17" t="s">
        <v>75</v>
      </c>
      <c r="E160" s="17" t="s">
        <v>75</v>
      </c>
      <c r="F160" s="17" t="s">
        <v>75</v>
      </c>
      <c r="G160" s="17" t="s">
        <v>75</v>
      </c>
      <c r="H160" s="8"/>
      <c r="I160" s="8"/>
      <c r="J160" s="13"/>
      <c r="K160" s="8"/>
      <c r="L160" s="13"/>
      <c r="M160" s="8"/>
      <c r="N160" s="8"/>
    </row>
    <row r="161" spans="1:14" hidden="1" outlineLevel="1" x14ac:dyDescent="0.25">
      <c r="A161" s="16"/>
      <c r="B161" s="11" t="s">
        <v>74</v>
      </c>
      <c r="C161" s="17" t="s">
        <v>73</v>
      </c>
      <c r="D161" s="17" t="s">
        <v>73</v>
      </c>
      <c r="E161" s="17" t="s">
        <v>73</v>
      </c>
      <c r="F161" s="17" t="s">
        <v>73</v>
      </c>
      <c r="G161" s="17" t="s">
        <v>73</v>
      </c>
      <c r="H161" s="8"/>
      <c r="I161" s="8"/>
      <c r="J161" s="13"/>
      <c r="K161" s="8"/>
      <c r="L161" s="13"/>
      <c r="M161" s="8"/>
      <c r="N161" s="8"/>
    </row>
    <row r="162" spans="1:14" hidden="1" outlineLevel="1" x14ac:dyDescent="0.25">
      <c r="A162" s="16"/>
      <c r="B162" s="11" t="s">
        <v>72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8"/>
      <c r="I162" s="8"/>
      <c r="J162" s="13"/>
      <c r="K162" s="8"/>
      <c r="L162" s="13"/>
      <c r="M162" s="8"/>
      <c r="N162" s="8"/>
    </row>
    <row r="163" spans="1:14" collapsed="1" x14ac:dyDescent="0.25">
      <c r="A163" s="16"/>
      <c r="B163" s="15" t="s">
        <v>163</v>
      </c>
      <c r="C163" s="74"/>
      <c r="D163" s="57">
        <v>6696000</v>
      </c>
      <c r="E163" s="75">
        <v>10613000</v>
      </c>
      <c r="F163" s="75">
        <v>15005000</v>
      </c>
      <c r="G163" s="75">
        <v>47525000</v>
      </c>
      <c r="H163" s="57" cm="1">
        <f t="array" ref="H163:L163">+forecastSALES*GPUprices</f>
        <v>40248000</v>
      </c>
      <c r="I163" s="57">
        <v>42484000</v>
      </c>
      <c r="J163" s="57">
        <v>43602000</v>
      </c>
      <c r="K163" s="57">
        <v>43602000</v>
      </c>
      <c r="L163" s="57">
        <v>43602000</v>
      </c>
      <c r="M163" s="8"/>
      <c r="N163" s="8"/>
    </row>
    <row r="164" spans="1:14" x14ac:dyDescent="0.25">
      <c r="A164" s="16"/>
      <c r="B164" s="15" t="s">
        <v>164</v>
      </c>
      <c r="C164" s="74"/>
      <c r="D164" s="57">
        <v>7759000</v>
      </c>
      <c r="E164" s="75">
        <v>12462000</v>
      </c>
      <c r="F164" s="75">
        <v>9067000</v>
      </c>
      <c r="G164" s="75">
        <v>10447000</v>
      </c>
      <c r="H164" s="57">
        <f t="shared" ref="H163:L167" si="28">+G164*(1+H51)</f>
        <v>10551470</v>
      </c>
      <c r="I164" s="57">
        <f t="shared" si="28"/>
        <v>10656984.699999999</v>
      </c>
      <c r="J164" s="57">
        <f t="shared" si="28"/>
        <v>10763554.547</v>
      </c>
      <c r="K164" s="57">
        <f t="shared" si="28"/>
        <v>10871190.09247</v>
      </c>
      <c r="L164" s="57">
        <f t="shared" si="28"/>
        <v>10979901.993394699</v>
      </c>
      <c r="M164" s="8"/>
      <c r="N164" s="8"/>
    </row>
    <row r="165" spans="1:14" x14ac:dyDescent="0.25">
      <c r="A165" s="16"/>
      <c r="B165" s="15" t="s">
        <v>191</v>
      </c>
      <c r="C165" s="74"/>
      <c r="D165" s="75">
        <v>1053000</v>
      </c>
      <c r="E165" s="75">
        <v>2111000</v>
      </c>
      <c r="F165" s="75">
        <v>1544000</v>
      </c>
      <c r="G165" s="75">
        <v>1553000</v>
      </c>
      <c r="H165" s="57">
        <f t="shared" si="28"/>
        <v>1584060</v>
      </c>
      <c r="I165" s="57">
        <f t="shared" si="28"/>
        <v>1615741.2</v>
      </c>
      <c r="J165" s="57">
        <f t="shared" si="28"/>
        <v>1648056.024</v>
      </c>
      <c r="K165" s="57">
        <f t="shared" si="28"/>
        <v>1681017.14448</v>
      </c>
      <c r="L165" s="57">
        <f t="shared" si="28"/>
        <v>1714637.4873696</v>
      </c>
      <c r="M165" s="8"/>
      <c r="N165" s="8"/>
    </row>
    <row r="166" spans="1:14" x14ac:dyDescent="0.25">
      <c r="A166" s="16"/>
      <c r="B166" s="15" t="s">
        <v>177</v>
      </c>
      <c r="C166" s="74"/>
      <c r="D166" s="75">
        <v>536000</v>
      </c>
      <c r="E166" s="75">
        <v>566000</v>
      </c>
      <c r="F166" s="75">
        <v>903000</v>
      </c>
      <c r="G166" s="75">
        <v>1091000</v>
      </c>
      <c r="H166" s="57">
        <f t="shared" si="28"/>
        <v>1123730</v>
      </c>
      <c r="I166" s="57">
        <f t="shared" si="28"/>
        <v>1157441.9000000001</v>
      </c>
      <c r="J166" s="57">
        <f t="shared" si="28"/>
        <v>1192165.1570000001</v>
      </c>
      <c r="K166" s="57">
        <f t="shared" si="28"/>
        <v>1227930.1117100001</v>
      </c>
      <c r="L166" s="57">
        <f t="shared" si="28"/>
        <v>1264768.0150613</v>
      </c>
      <c r="M166" s="8"/>
      <c r="N166" s="8"/>
    </row>
    <row r="167" spans="1:14" x14ac:dyDescent="0.25">
      <c r="A167" s="16"/>
      <c r="B167" s="15" t="s">
        <v>192</v>
      </c>
      <c r="C167" s="74"/>
      <c r="D167" s="75">
        <v>631000</v>
      </c>
      <c r="E167" s="75">
        <v>1162000</v>
      </c>
      <c r="F167" s="75">
        <v>455000</v>
      </c>
      <c r="G167" s="75">
        <v>306000</v>
      </c>
      <c r="H167" s="57">
        <f t="shared" si="28"/>
        <v>307529.99999999994</v>
      </c>
      <c r="I167" s="57">
        <f t="shared" si="28"/>
        <v>309067.64999999991</v>
      </c>
      <c r="J167" s="57">
        <f t="shared" si="28"/>
        <v>310612.98824999988</v>
      </c>
      <c r="K167" s="57">
        <f t="shared" si="28"/>
        <v>312166.05319124984</v>
      </c>
      <c r="L167" s="57">
        <f t="shared" si="28"/>
        <v>313726.88345720607</v>
      </c>
      <c r="M167" s="8"/>
    </row>
    <row r="168" spans="1:14" x14ac:dyDescent="0.25">
      <c r="A168" s="16"/>
      <c r="B168" s="15"/>
      <c r="C168" s="74"/>
      <c r="D168" s="74"/>
      <c r="E168" s="74"/>
      <c r="F168" s="74"/>
      <c r="G168" s="74"/>
      <c r="H168" s="67"/>
      <c r="I168" s="68"/>
      <c r="J168" s="76"/>
      <c r="K168" s="55"/>
      <c r="L168" s="76"/>
      <c r="M168" s="8"/>
    </row>
    <row r="169" spans="1:14" x14ac:dyDescent="0.25">
      <c r="A169" s="16" t="s">
        <v>89</v>
      </c>
      <c r="B169" s="9" t="s">
        <v>160</v>
      </c>
      <c r="C169" s="68">
        <v>10918000</v>
      </c>
      <c r="D169" s="68">
        <f t="shared" ref="D169:E169" si="29">+SUM(D163:D167)</f>
        <v>16675000</v>
      </c>
      <c r="E169" s="68">
        <f t="shared" si="29"/>
        <v>26914000</v>
      </c>
      <c r="F169" s="68">
        <f>+SUM(F163:F167)</f>
        <v>26974000</v>
      </c>
      <c r="G169" s="68">
        <f>+SUM(G163:G167)</f>
        <v>60922000</v>
      </c>
      <c r="H169" s="77">
        <f>+SUM(H163:H167)</f>
        <v>53814790</v>
      </c>
      <c r="I169" s="77">
        <f t="shared" ref="I169:L169" si="30">+SUM(I163:I167)</f>
        <v>56223235.450000003</v>
      </c>
      <c r="J169" s="77">
        <f t="shared" si="30"/>
        <v>57516388.716249995</v>
      </c>
      <c r="K169" s="77">
        <f t="shared" si="30"/>
        <v>57694303.401851244</v>
      </c>
      <c r="L169" s="77">
        <f t="shared" si="30"/>
        <v>57875034.379282802</v>
      </c>
      <c r="M169" s="8"/>
    </row>
    <row r="170" spans="1:14" x14ac:dyDescent="0.25">
      <c r="A170" s="16"/>
      <c r="B170" s="105" t="s">
        <v>275</v>
      </c>
      <c r="C170" s="68"/>
      <c r="D170" s="106">
        <f>+D169/C169-1</f>
        <v>0.52729437625938824</v>
      </c>
      <c r="E170" s="106">
        <f t="shared" ref="E170:F170" si="31">+E169/D169-1</f>
        <v>0.61403298350824587</v>
      </c>
      <c r="F170" s="106">
        <f t="shared" si="31"/>
        <v>2.2293230289069932E-3</v>
      </c>
      <c r="G170" s="68"/>
      <c r="H170" s="77"/>
      <c r="I170" s="77"/>
      <c r="J170" s="77"/>
      <c r="K170" s="77"/>
      <c r="L170" s="77"/>
      <c r="M170" s="8"/>
    </row>
    <row r="171" spans="1:14" ht="17.25" x14ac:dyDescent="0.4">
      <c r="A171" s="16"/>
      <c r="B171" s="7" t="s">
        <v>159</v>
      </c>
      <c r="C171" s="78">
        <v>4150000</v>
      </c>
      <c r="D171" s="78">
        <v>6279000</v>
      </c>
      <c r="E171" s="78">
        <v>9439000</v>
      </c>
      <c r="F171" s="78">
        <v>11618000</v>
      </c>
      <c r="G171" s="78">
        <v>16621000</v>
      </c>
      <c r="H171" s="78">
        <f>+H169*(1-H73)</f>
        <v>21525916</v>
      </c>
      <c r="I171" s="78">
        <f t="shared" ref="I171:L171" si="32">+H171*(1-I73)</f>
        <v>8610366.4000000004</v>
      </c>
      <c r="J171" s="78">
        <f t="shared" si="32"/>
        <v>3444146.5600000005</v>
      </c>
      <c r="K171" s="78">
        <f t="shared" si="32"/>
        <v>1377658.6240000003</v>
      </c>
      <c r="L171" s="78">
        <f t="shared" si="32"/>
        <v>551063.44960000017</v>
      </c>
      <c r="M171" s="8"/>
    </row>
    <row r="172" spans="1:14" x14ac:dyDescent="0.25">
      <c r="A172" s="16"/>
      <c r="B172" s="9" t="s">
        <v>158</v>
      </c>
      <c r="C172" s="68">
        <v>6768000</v>
      </c>
      <c r="D172" s="68">
        <v>10396000</v>
      </c>
      <c r="E172" s="68">
        <v>17475000</v>
      </c>
      <c r="F172" s="68">
        <v>15356000</v>
      </c>
      <c r="G172" s="68">
        <v>44301000</v>
      </c>
      <c r="H172" s="70">
        <f>+H169-H171</f>
        <v>32288874</v>
      </c>
      <c r="I172" s="70">
        <f t="shared" ref="I172:L172" si="33">+I169-I171</f>
        <v>47612869.050000004</v>
      </c>
      <c r="J172" s="70">
        <f t="shared" si="33"/>
        <v>54072242.156249993</v>
      </c>
      <c r="K172" s="70">
        <f t="shared" si="33"/>
        <v>56316644.777851246</v>
      </c>
      <c r="L172" s="70">
        <f t="shared" si="33"/>
        <v>57323970.929682799</v>
      </c>
      <c r="M172" s="8"/>
    </row>
    <row r="173" spans="1:14" x14ac:dyDescent="0.25">
      <c r="A173" s="16"/>
      <c r="B173" s="7" t="s">
        <v>157</v>
      </c>
      <c r="C173" s="69">
        <v>2829000</v>
      </c>
      <c r="D173" s="69">
        <v>3924000</v>
      </c>
      <c r="E173" s="69">
        <v>5268000</v>
      </c>
      <c r="F173" s="69">
        <v>7339000</v>
      </c>
      <c r="G173" s="69">
        <v>8675000</v>
      </c>
      <c r="H173" s="69">
        <f>+H169*(H75)</f>
        <v>8072218.5</v>
      </c>
      <c r="I173" s="69">
        <f t="shared" ref="I173:L173" si="34">+I169*(I75)</f>
        <v>8433485.3175000008</v>
      </c>
      <c r="J173" s="69">
        <f t="shared" si="34"/>
        <v>8627458.3074374981</v>
      </c>
      <c r="K173" s="69">
        <f t="shared" si="34"/>
        <v>8654145.5102776866</v>
      </c>
      <c r="L173" s="69">
        <f t="shared" si="34"/>
        <v>8681255.1568924207</v>
      </c>
      <c r="M173" s="8"/>
      <c r="N173" s="8"/>
    </row>
    <row r="174" spans="1:14" x14ac:dyDescent="0.25">
      <c r="A174" s="16"/>
      <c r="B174" s="7" t="s">
        <v>156</v>
      </c>
      <c r="C174" s="69">
        <v>1093000</v>
      </c>
      <c r="D174" s="69">
        <v>1940000</v>
      </c>
      <c r="E174" s="69">
        <v>2166000</v>
      </c>
      <c r="F174" s="69">
        <v>2440000</v>
      </c>
      <c r="G174" s="69">
        <v>2654000</v>
      </c>
      <c r="H174" s="69">
        <f>+H169*H74</f>
        <v>2690739.5</v>
      </c>
      <c r="I174" s="69">
        <f t="shared" ref="I174:L174" si="35">+I169*I74</f>
        <v>2811161.7725000004</v>
      </c>
      <c r="J174" s="69">
        <f t="shared" si="35"/>
        <v>2875819.4358124998</v>
      </c>
      <c r="K174" s="69">
        <f t="shared" si="35"/>
        <v>2884715.1700925622</v>
      </c>
      <c r="L174" s="69">
        <f t="shared" si="35"/>
        <v>2893751.7189641404</v>
      </c>
      <c r="M174" s="8"/>
      <c r="N174" s="8"/>
    </row>
    <row r="175" spans="1:14" ht="17.25" x14ac:dyDescent="0.4">
      <c r="A175" s="16"/>
      <c r="B175" s="7" t="s">
        <v>117</v>
      </c>
      <c r="C175" s="79">
        <v>0</v>
      </c>
      <c r="D175" s="79">
        <v>0</v>
      </c>
      <c r="E175" s="79">
        <v>0</v>
      </c>
      <c r="F175" s="78">
        <v>1353000</v>
      </c>
      <c r="G175" s="79">
        <v>0</v>
      </c>
      <c r="H175" s="56">
        <v>0</v>
      </c>
      <c r="I175" s="56">
        <v>0</v>
      </c>
      <c r="J175" s="56">
        <v>0</v>
      </c>
      <c r="K175" s="56">
        <v>0</v>
      </c>
      <c r="L175" s="56">
        <v>0</v>
      </c>
      <c r="M175" s="8"/>
      <c r="N175" s="8"/>
    </row>
    <row r="176" spans="1:14" x14ac:dyDescent="0.25">
      <c r="A176" s="16" t="s">
        <v>89</v>
      </c>
      <c r="B176" s="9" t="s">
        <v>155</v>
      </c>
      <c r="C176" s="68">
        <v>3922000</v>
      </c>
      <c r="D176" s="68">
        <v>5864000</v>
      </c>
      <c r="E176" s="68">
        <v>7434000</v>
      </c>
      <c r="F176" s="68">
        <v>11132000</v>
      </c>
      <c r="G176" s="68">
        <v>11329000</v>
      </c>
      <c r="H176" s="70">
        <f>+SUM(H173:H175)</f>
        <v>10762958</v>
      </c>
      <c r="I176" s="70">
        <f t="shared" ref="I176:L176" si="36">+SUM(I173:I175)</f>
        <v>11244647.090000002</v>
      </c>
      <c r="J176" s="70">
        <f t="shared" si="36"/>
        <v>11503277.743249997</v>
      </c>
      <c r="K176" s="70">
        <f t="shared" si="36"/>
        <v>11538860.680370249</v>
      </c>
      <c r="L176" s="70">
        <f t="shared" si="36"/>
        <v>11575006.875856562</v>
      </c>
      <c r="M176" s="8"/>
      <c r="N176" s="8"/>
    </row>
    <row r="177" spans="1:14" x14ac:dyDescent="0.25">
      <c r="A177" s="16"/>
      <c r="B177" s="7" t="s">
        <v>154</v>
      </c>
      <c r="C177" s="69">
        <v>2846000</v>
      </c>
      <c r="D177" s="69">
        <v>4532000</v>
      </c>
      <c r="E177" s="69">
        <v>10041000</v>
      </c>
      <c r="F177" s="69">
        <v>4224000</v>
      </c>
      <c r="G177" s="69">
        <v>32972000</v>
      </c>
      <c r="H177" s="57">
        <f>+H172-H176</f>
        <v>21525916</v>
      </c>
      <c r="I177" s="57">
        <f t="shared" ref="I177:L177" si="37">+I172-I176</f>
        <v>36368221.960000001</v>
      </c>
      <c r="J177" s="57">
        <f t="shared" si="37"/>
        <v>42568964.412999995</v>
      </c>
      <c r="K177" s="57">
        <f t="shared" si="37"/>
        <v>44777784.097480997</v>
      </c>
      <c r="L177" s="57">
        <f t="shared" si="37"/>
        <v>45748964.053826235</v>
      </c>
      <c r="M177" s="8"/>
      <c r="N177" s="8"/>
    </row>
    <row r="178" spans="1:14" x14ac:dyDescent="0.25">
      <c r="A178" s="16"/>
      <c r="B178" s="7" t="s">
        <v>153</v>
      </c>
      <c r="C178" s="69">
        <v>178000</v>
      </c>
      <c r="D178" s="69">
        <v>57000</v>
      </c>
      <c r="E178" s="69">
        <v>29000</v>
      </c>
      <c r="F178" s="69">
        <v>267000</v>
      </c>
      <c r="G178" s="69">
        <v>866000</v>
      </c>
      <c r="H178" s="80">
        <f>+G178</f>
        <v>866000</v>
      </c>
      <c r="I178" s="80">
        <f t="shared" ref="I178:L178" si="38">+H178</f>
        <v>866000</v>
      </c>
      <c r="J178" s="80">
        <f t="shared" si="38"/>
        <v>866000</v>
      </c>
      <c r="K178" s="80">
        <f t="shared" si="38"/>
        <v>866000</v>
      </c>
      <c r="L178" s="80">
        <f t="shared" si="38"/>
        <v>866000</v>
      </c>
      <c r="M178" s="8"/>
      <c r="N178" s="8"/>
    </row>
    <row r="179" spans="1:14" x14ac:dyDescent="0.25">
      <c r="A179" s="16"/>
      <c r="B179" s="7" t="s">
        <v>152</v>
      </c>
      <c r="C179" s="69">
        <v>52000</v>
      </c>
      <c r="D179" s="69">
        <v>184000</v>
      </c>
      <c r="E179" s="69">
        <v>236000</v>
      </c>
      <c r="F179" s="69">
        <v>262000</v>
      </c>
      <c r="G179" s="69">
        <v>257000</v>
      </c>
      <c r="H179" s="69">
        <f>+'Debt Schedule'!C15</f>
        <v>513550</v>
      </c>
      <c r="I179" s="69">
        <f>+'Debt Schedule'!C16</f>
        <v>497050</v>
      </c>
      <c r="J179" s="69">
        <f>+'Debt Schedule'!C17</f>
        <v>497050</v>
      </c>
      <c r="K179" s="69">
        <f>+'Debt Schedule'!C18</f>
        <v>430850</v>
      </c>
      <c r="L179" s="69">
        <f>+'Debt Schedule'!C19</f>
        <v>410350</v>
      </c>
      <c r="M179" s="8"/>
      <c r="N179" s="8"/>
    </row>
    <row r="180" spans="1:14" x14ac:dyDescent="0.25">
      <c r="A180" s="16"/>
      <c r="B180" s="7" t="s">
        <v>151</v>
      </c>
      <c r="C180" s="69">
        <v>-2000</v>
      </c>
      <c r="D180" s="69">
        <v>4000</v>
      </c>
      <c r="E180" s="69">
        <v>107000</v>
      </c>
      <c r="F180" s="69">
        <v>-48000</v>
      </c>
      <c r="G180" s="69">
        <v>237000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8"/>
      <c r="N180" s="8"/>
    </row>
    <row r="181" spans="1:14" x14ac:dyDescent="0.25">
      <c r="A181" s="16"/>
      <c r="B181" s="7" t="s">
        <v>150</v>
      </c>
      <c r="C181" s="69">
        <v>124000</v>
      </c>
      <c r="D181" s="69">
        <v>-123000</v>
      </c>
      <c r="E181" s="69">
        <v>-100000</v>
      </c>
      <c r="F181" s="69">
        <v>-43000</v>
      </c>
      <c r="G181" s="69">
        <f>+G178-G179+G180</f>
        <v>846000</v>
      </c>
      <c r="H181" s="69">
        <f t="shared" ref="H181:L181" si="39">+H178-H179+H180</f>
        <v>352450</v>
      </c>
      <c r="I181" s="69">
        <f t="shared" si="39"/>
        <v>368950</v>
      </c>
      <c r="J181" s="69">
        <f t="shared" si="39"/>
        <v>368950</v>
      </c>
      <c r="K181" s="69">
        <f t="shared" si="39"/>
        <v>435150</v>
      </c>
      <c r="L181" s="69">
        <f t="shared" si="39"/>
        <v>455650</v>
      </c>
      <c r="M181" s="8"/>
      <c r="N181" s="8"/>
    </row>
    <row r="182" spans="1:14" x14ac:dyDescent="0.25">
      <c r="A182" s="16"/>
      <c r="B182" s="7" t="s">
        <v>149</v>
      </c>
      <c r="C182" s="69">
        <v>620000</v>
      </c>
      <c r="D182" s="69">
        <v>1437000</v>
      </c>
      <c r="E182" s="69">
        <v>8446000</v>
      </c>
      <c r="F182" s="69">
        <v>3477000</v>
      </c>
      <c r="G182" s="71">
        <f>+G63*G184</f>
        <v>14968914.152522897</v>
      </c>
      <c r="H182" s="71">
        <f>+H184*H57</f>
        <v>9684055.3093463778</v>
      </c>
      <c r="I182" s="71">
        <f t="shared" ref="I182:L182" si="40">+I184*I57</f>
        <v>16261031.795958111</v>
      </c>
      <c r="J182" s="71">
        <f t="shared" si="40"/>
        <v>19005676.111436885</v>
      </c>
      <c r="K182" s="71">
        <f t="shared" si="40"/>
        <v>20012671.627206471</v>
      </c>
      <c r="L182" s="71">
        <f t="shared" si="40"/>
        <v>20451620.474959429</v>
      </c>
      <c r="M182" s="8"/>
      <c r="N182" s="8"/>
    </row>
    <row r="183" spans="1:14" x14ac:dyDescent="0.25">
      <c r="A183" s="16"/>
      <c r="B183" s="7" t="s">
        <v>148</v>
      </c>
      <c r="C183" s="69">
        <v>2350000</v>
      </c>
      <c r="D183" s="69">
        <v>2972000</v>
      </c>
      <c r="E183" s="69">
        <v>1495000</v>
      </c>
      <c r="F183" s="69">
        <v>704000</v>
      </c>
      <c r="G183" s="71">
        <f>+G64*G184</f>
        <v>18849085.847477101</v>
      </c>
      <c r="H183" s="71">
        <f>+H184*H58</f>
        <v>12194310.690653622</v>
      </c>
      <c r="I183" s="71">
        <f t="shared" ref="I183:L183" si="41">+I184*I58</f>
        <v>20476140.164041892</v>
      </c>
      <c r="J183" s="71">
        <f t="shared" si="41"/>
        <v>23932238.30156311</v>
      </c>
      <c r="K183" s="71">
        <f t="shared" si="41"/>
        <v>25200262.470274527</v>
      </c>
      <c r="L183" s="71">
        <f t="shared" si="41"/>
        <v>25752993.578866806</v>
      </c>
      <c r="M183" s="8"/>
      <c r="N183" s="8"/>
    </row>
    <row r="184" spans="1:14" x14ac:dyDescent="0.25">
      <c r="A184" s="16"/>
      <c r="B184" s="9" t="s">
        <v>147</v>
      </c>
      <c r="C184" s="81">
        <v>2970000</v>
      </c>
      <c r="D184" s="81">
        <v>4409000</v>
      </c>
      <c r="E184" s="81">
        <v>9941000</v>
      </c>
      <c r="F184" s="81">
        <v>4181000</v>
      </c>
      <c r="G184" s="81">
        <v>33818000</v>
      </c>
      <c r="H184" s="82">
        <f>+H177+H178-H179+H180</f>
        <v>21878366</v>
      </c>
      <c r="I184" s="82">
        <f t="shared" ref="I184:L184" si="42">+I177+I178-I179+I180</f>
        <v>36737171.960000001</v>
      </c>
      <c r="J184" s="82">
        <f t="shared" si="42"/>
        <v>42937914.412999995</v>
      </c>
      <c r="K184" s="82">
        <f t="shared" si="42"/>
        <v>45212934.097480997</v>
      </c>
      <c r="L184" s="82">
        <f t="shared" si="42"/>
        <v>46204614.053826235</v>
      </c>
      <c r="M184" s="8"/>
      <c r="N184" s="8"/>
    </row>
    <row r="185" spans="1:14" x14ac:dyDescent="0.25">
      <c r="A185" s="16"/>
      <c r="B185" s="7" t="s">
        <v>146</v>
      </c>
      <c r="C185" s="69">
        <v>65000</v>
      </c>
      <c r="D185" s="69">
        <v>197000</v>
      </c>
      <c r="E185" s="69">
        <v>482000</v>
      </c>
      <c r="F185" s="69">
        <v>1703000</v>
      </c>
      <c r="G185" s="69">
        <v>5710000</v>
      </c>
      <c r="H185" s="57" cm="1">
        <f t="array" ref="H185:L185">+H182*USTax</f>
        <v>2033651.6149627392</v>
      </c>
      <c r="I185" s="57">
        <v>2033651.6149627392</v>
      </c>
      <c r="J185" s="63">
        <v>2033651.6149627392</v>
      </c>
      <c r="K185" s="57">
        <v>2033651.6149627392</v>
      </c>
      <c r="L185" s="63">
        <v>2033651.6149627392</v>
      </c>
      <c r="M185" s="8"/>
      <c r="N185" s="8"/>
    </row>
    <row r="186" spans="1:14" x14ac:dyDescent="0.25">
      <c r="A186" s="16"/>
      <c r="B186" s="7" t="s">
        <v>145</v>
      </c>
      <c r="C186" s="69">
        <v>4000</v>
      </c>
      <c r="D186" s="69">
        <v>1000</v>
      </c>
      <c r="E186" s="69">
        <v>42000</v>
      </c>
      <c r="F186" s="69">
        <v>46000</v>
      </c>
      <c r="G186" s="69">
        <v>335000</v>
      </c>
      <c r="H186" s="67">
        <f>+H184*H66</f>
        <v>216726.37678159561</v>
      </c>
      <c r="I186" s="67">
        <f t="shared" ref="I186:L186" si="43">+I184*I66</f>
        <v>363917.22179312794</v>
      </c>
      <c r="J186" s="67">
        <f t="shared" si="43"/>
        <v>425341.57337379496</v>
      </c>
      <c r="K186" s="67">
        <f t="shared" si="43"/>
        <v>447877.84383039013</v>
      </c>
      <c r="L186" s="67">
        <f t="shared" si="43"/>
        <v>457701.39298692381</v>
      </c>
      <c r="M186" s="8"/>
      <c r="N186" s="8"/>
    </row>
    <row r="187" spans="1:14" x14ac:dyDescent="0.25">
      <c r="A187" s="16"/>
      <c r="B187" s="7" t="s">
        <v>144</v>
      </c>
      <c r="C187" s="69">
        <v>87000</v>
      </c>
      <c r="D187" s="69">
        <v>161000</v>
      </c>
      <c r="E187" s="69">
        <v>71000</v>
      </c>
      <c r="F187" s="69">
        <v>228000</v>
      </c>
      <c r="G187" s="69">
        <v>502000</v>
      </c>
      <c r="H187" s="57" cm="1">
        <f t="array" ref="H187:L187">+FORTax*H71</f>
        <v>1600503.2781482879</v>
      </c>
      <c r="I187" s="57">
        <v>2687493.3965304983</v>
      </c>
      <c r="J187" s="63">
        <v>3141106.2770801582</v>
      </c>
      <c r="K187" s="57">
        <v>3307534.4492235319</v>
      </c>
      <c r="L187" s="63">
        <v>3380080.4072262682</v>
      </c>
      <c r="M187" s="8"/>
      <c r="N187" s="8"/>
    </row>
    <row r="188" spans="1:14" x14ac:dyDescent="0.25">
      <c r="A188" s="16"/>
      <c r="B188" s="9" t="s">
        <v>143</v>
      </c>
      <c r="C188" s="81">
        <v>156000</v>
      </c>
      <c r="D188" s="81">
        <v>359000</v>
      </c>
      <c r="E188" s="81">
        <v>595000</v>
      </c>
      <c r="F188" s="81">
        <v>1977000</v>
      </c>
      <c r="G188" s="81">
        <v>6547000</v>
      </c>
      <c r="H188" s="82">
        <f>+SUM(H185:H187)</f>
        <v>3850881.2698926227</v>
      </c>
      <c r="I188" s="82">
        <f t="shared" ref="I188:L188" si="44">+SUM(I185:I187)</f>
        <v>5085062.2332863659</v>
      </c>
      <c r="J188" s="82">
        <f t="shared" si="44"/>
        <v>5600099.4654166922</v>
      </c>
      <c r="K188" s="82">
        <f t="shared" si="44"/>
        <v>5789063.9080166612</v>
      </c>
      <c r="L188" s="82">
        <f t="shared" si="44"/>
        <v>5871433.4151759315</v>
      </c>
      <c r="M188" s="8"/>
      <c r="N188" s="8"/>
    </row>
    <row r="189" spans="1:14" x14ac:dyDescent="0.25">
      <c r="A189" s="16"/>
      <c r="B189" s="7" t="s">
        <v>142</v>
      </c>
      <c r="C189" s="69">
        <v>2000</v>
      </c>
      <c r="D189" s="69">
        <v>-246000</v>
      </c>
      <c r="E189" s="69">
        <v>-420000</v>
      </c>
      <c r="F189" s="69">
        <v>-2165000</v>
      </c>
      <c r="G189" s="69">
        <v>-2499000</v>
      </c>
      <c r="H189" s="69">
        <f>+G189</f>
        <v>-2499000</v>
      </c>
      <c r="I189" s="69">
        <f t="shared" ref="I189:L189" si="45">+H189</f>
        <v>-2499000</v>
      </c>
      <c r="J189" s="69">
        <f t="shared" si="45"/>
        <v>-2499000</v>
      </c>
      <c r="K189" s="69">
        <f t="shared" si="45"/>
        <v>-2499000</v>
      </c>
      <c r="L189" s="69">
        <f t="shared" si="45"/>
        <v>-2499000</v>
      </c>
      <c r="M189" s="8"/>
      <c r="N189" s="8"/>
    </row>
    <row r="190" spans="1:14" x14ac:dyDescent="0.25">
      <c r="A190" s="16"/>
      <c r="B190" s="7" t="s">
        <v>141</v>
      </c>
      <c r="C190" s="71">
        <v>0</v>
      </c>
      <c r="D190" s="71">
        <v>0</v>
      </c>
      <c r="E190" s="71">
        <v>0</v>
      </c>
      <c r="F190" s="71">
        <v>0</v>
      </c>
      <c r="G190" s="69">
        <v>-206000</v>
      </c>
      <c r="H190" s="69">
        <f t="shared" ref="H190:L191" si="46">+G190</f>
        <v>-206000</v>
      </c>
      <c r="I190" s="69">
        <f t="shared" si="46"/>
        <v>-206000</v>
      </c>
      <c r="J190" s="69">
        <f t="shared" si="46"/>
        <v>-206000</v>
      </c>
      <c r="K190" s="69">
        <f t="shared" si="46"/>
        <v>-206000</v>
      </c>
      <c r="L190" s="69">
        <f t="shared" si="46"/>
        <v>-206000</v>
      </c>
      <c r="M190" s="8"/>
      <c r="N190" s="8"/>
    </row>
    <row r="191" spans="1:14" x14ac:dyDescent="0.25">
      <c r="A191" s="16"/>
      <c r="B191" s="7" t="s">
        <v>140</v>
      </c>
      <c r="C191" s="69">
        <v>16000</v>
      </c>
      <c r="D191" s="69">
        <v>-36000</v>
      </c>
      <c r="E191" s="69">
        <v>14000</v>
      </c>
      <c r="F191" s="69">
        <v>1000</v>
      </c>
      <c r="G191" s="69">
        <v>216000</v>
      </c>
      <c r="H191" s="57">
        <f t="shared" si="46"/>
        <v>216000</v>
      </c>
      <c r="I191" s="57">
        <f t="shared" si="46"/>
        <v>216000</v>
      </c>
      <c r="J191" s="57">
        <f t="shared" si="46"/>
        <v>216000</v>
      </c>
      <c r="K191" s="57">
        <f t="shared" si="46"/>
        <v>216000</v>
      </c>
      <c r="L191" s="57">
        <f t="shared" si="46"/>
        <v>216000</v>
      </c>
      <c r="M191" s="8"/>
      <c r="N191" s="8"/>
    </row>
    <row r="192" spans="1:14" x14ac:dyDescent="0.25">
      <c r="A192" s="16"/>
      <c r="B192" s="9" t="s">
        <v>139</v>
      </c>
      <c r="C192" s="81">
        <v>18000</v>
      </c>
      <c r="D192" s="81">
        <v>-282000</v>
      </c>
      <c r="E192" s="81">
        <v>-406000</v>
      </c>
      <c r="F192" s="81">
        <v>-2164000</v>
      </c>
      <c r="G192" s="81">
        <v>-2489000</v>
      </c>
      <c r="H192" s="81">
        <v>-2489000</v>
      </c>
      <c r="I192" s="81">
        <v>-2489000</v>
      </c>
      <c r="J192" s="81">
        <v>-2489000</v>
      </c>
      <c r="K192" s="81">
        <v>-2489000</v>
      </c>
      <c r="L192" s="81">
        <v>-2489000</v>
      </c>
      <c r="M192" s="8"/>
      <c r="N192" s="8"/>
    </row>
    <row r="193" spans="1:18" x14ac:dyDescent="0.25">
      <c r="A193" s="16"/>
      <c r="B193" s="9" t="s">
        <v>138</v>
      </c>
      <c r="C193" s="68">
        <v>174000</v>
      </c>
      <c r="D193" s="68">
        <v>77000</v>
      </c>
      <c r="E193" s="68">
        <v>189000</v>
      </c>
      <c r="F193" s="68">
        <v>-187000</v>
      </c>
      <c r="G193" s="68">
        <f>+G188+G192</f>
        <v>4058000</v>
      </c>
      <c r="H193" s="68">
        <f t="shared" ref="H193:L193" si="47">+H188+H192</f>
        <v>1361881.2698926227</v>
      </c>
      <c r="I193" s="68">
        <f t="shared" si="47"/>
        <v>2596062.2332863659</v>
      </c>
      <c r="J193" s="68">
        <f t="shared" si="47"/>
        <v>3111099.4654166922</v>
      </c>
      <c r="K193" s="68">
        <f t="shared" si="47"/>
        <v>3300063.9080166612</v>
      </c>
      <c r="L193" s="68">
        <f t="shared" si="47"/>
        <v>3382433.4151759315</v>
      </c>
      <c r="M193" s="8"/>
      <c r="N193" s="8"/>
    </row>
    <row r="194" spans="1:18" x14ac:dyDescent="0.25">
      <c r="A194" s="16" t="s">
        <v>89</v>
      </c>
      <c r="B194" s="9" t="s">
        <v>120</v>
      </c>
      <c r="C194" s="68">
        <v>2796000</v>
      </c>
      <c r="D194" s="68">
        <v>4332000</v>
      </c>
      <c r="E194" s="68">
        <v>9752000</v>
      </c>
      <c r="F194" s="68">
        <v>4368000</v>
      </c>
      <c r="G194" s="70">
        <f>+G184-G193</f>
        <v>29760000</v>
      </c>
      <c r="H194" s="70">
        <f>+H184-H193</f>
        <v>20516484.730107378</v>
      </c>
      <c r="I194" s="70">
        <f t="shared" ref="I194:L194" si="48">+I184-I193</f>
        <v>34141109.726713635</v>
      </c>
      <c r="J194" s="70">
        <f t="shared" si="48"/>
        <v>39826814.947583303</v>
      </c>
      <c r="K194" s="70">
        <f t="shared" si="48"/>
        <v>41912870.189464338</v>
      </c>
      <c r="L194" s="70">
        <f t="shared" si="48"/>
        <v>42822180.638650306</v>
      </c>
      <c r="M194" s="8"/>
      <c r="N194" s="8"/>
    </row>
    <row r="195" spans="1:18" outlineLevel="1" x14ac:dyDescent="0.25">
      <c r="A195" s="16"/>
      <c r="B195" s="7" t="s">
        <v>137</v>
      </c>
      <c r="C195" s="26">
        <v>2450000</v>
      </c>
      <c r="D195" s="26">
        <v>24790000</v>
      </c>
      <c r="E195" s="26">
        <v>2506000</v>
      </c>
      <c r="F195" s="26">
        <v>2466000</v>
      </c>
      <c r="G195" s="26">
        <v>2469000</v>
      </c>
      <c r="H195" s="8"/>
      <c r="I195" s="8"/>
      <c r="J195" s="14"/>
      <c r="K195" s="8"/>
      <c r="L195" s="14"/>
      <c r="M195" s="8"/>
      <c r="N195" s="8"/>
    </row>
    <row r="196" spans="1:18" outlineLevel="1" x14ac:dyDescent="0.25">
      <c r="A196" s="16"/>
      <c r="B196" s="7" t="s">
        <v>136</v>
      </c>
      <c r="C196" s="26">
        <v>2472000</v>
      </c>
      <c r="D196" s="26">
        <v>2512000</v>
      </c>
      <c r="E196" s="26">
        <v>2535000</v>
      </c>
      <c r="F196" s="26">
        <v>2507000</v>
      </c>
      <c r="G196" s="26">
        <v>2494000</v>
      </c>
      <c r="H196" s="8"/>
      <c r="I196" s="8"/>
      <c r="J196" s="14"/>
      <c r="K196" s="8"/>
      <c r="L196" s="14"/>
      <c r="M196" s="8"/>
      <c r="N196" s="8"/>
    </row>
    <row r="197" spans="1:18" outlineLevel="1" x14ac:dyDescent="0.25">
      <c r="A197" s="16"/>
      <c r="B197" s="7" t="s">
        <v>135</v>
      </c>
      <c r="C197" s="26">
        <v>2448000</v>
      </c>
      <c r="D197" s="26">
        <v>2480000</v>
      </c>
      <c r="E197" s="26">
        <v>2506000</v>
      </c>
      <c r="F197" s="26">
        <v>2466000</v>
      </c>
      <c r="G197" s="26">
        <v>2464000</v>
      </c>
      <c r="H197" s="8"/>
      <c r="I197" s="8"/>
      <c r="J197" s="14"/>
      <c r="K197" s="8"/>
      <c r="L197" s="14"/>
      <c r="M197" s="8"/>
      <c r="N197" s="8"/>
    </row>
    <row r="198" spans="1:18" outlineLevel="1" x14ac:dyDescent="0.25">
      <c r="A198" s="16"/>
      <c r="B198" s="7" t="s">
        <v>134</v>
      </c>
      <c r="C198" s="29"/>
      <c r="D198" s="29"/>
      <c r="E198" s="29"/>
      <c r="F198" s="29"/>
      <c r="G198" s="26">
        <v>12.05</v>
      </c>
      <c r="H198" s="8"/>
      <c r="I198" s="8"/>
      <c r="J198" s="14"/>
      <c r="K198" s="8"/>
      <c r="L198" s="14"/>
      <c r="M198" s="8"/>
      <c r="N198" s="8"/>
    </row>
    <row r="199" spans="1:18" outlineLevel="1" x14ac:dyDescent="0.25">
      <c r="A199" s="16"/>
      <c r="B199" s="7" t="s">
        <v>133</v>
      </c>
      <c r="C199" s="26">
        <v>1.1499999999999999</v>
      </c>
      <c r="D199" s="26">
        <v>1.76</v>
      </c>
      <c r="E199" s="26">
        <v>3.91</v>
      </c>
      <c r="F199" s="26">
        <v>1.76</v>
      </c>
      <c r="G199" s="26">
        <v>12.05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132</v>
      </c>
      <c r="C200" s="29"/>
      <c r="D200" s="29"/>
      <c r="E200" s="29"/>
      <c r="F200" s="29"/>
      <c r="G200" s="26">
        <v>11.93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outlineLevel="1" x14ac:dyDescent="0.25">
      <c r="A201" s="16"/>
      <c r="B201" s="7" t="s">
        <v>131</v>
      </c>
      <c r="C201" s="26">
        <v>1.1299999999999999</v>
      </c>
      <c r="D201" s="26">
        <v>1.73</v>
      </c>
      <c r="E201" s="26">
        <v>3.85</v>
      </c>
      <c r="F201" s="26">
        <v>1.74</v>
      </c>
      <c r="G201" s="26">
        <v>11.93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outlineLevel="1" x14ac:dyDescent="0.25">
      <c r="A202" s="16"/>
      <c r="B202" s="7" t="s">
        <v>130</v>
      </c>
      <c r="C202" s="26">
        <v>0.16</v>
      </c>
      <c r="D202" s="26">
        <v>0.16</v>
      </c>
      <c r="E202" s="26">
        <v>0.16</v>
      </c>
      <c r="F202" s="26">
        <v>0.16</v>
      </c>
      <c r="G202" s="26">
        <v>0.16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outlineLevel="1" x14ac:dyDescent="0.25">
      <c r="A203" s="16"/>
      <c r="B203" s="7" t="s">
        <v>129</v>
      </c>
      <c r="C203" s="29"/>
      <c r="D203" s="29"/>
      <c r="E203" s="29"/>
      <c r="F203" s="29"/>
      <c r="G203" s="26">
        <v>29600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outlineLevel="1" x14ac:dyDescent="0.25">
      <c r="A204" s="16"/>
      <c r="B204" s="7" t="s">
        <v>128</v>
      </c>
      <c r="C204" s="26">
        <v>13775</v>
      </c>
      <c r="D204" s="26">
        <v>18975</v>
      </c>
      <c r="E204" s="26">
        <v>22473</v>
      </c>
      <c r="F204" s="26">
        <v>26196</v>
      </c>
      <c r="G204" s="26">
        <v>29600</v>
      </c>
      <c r="H204" s="8"/>
      <c r="I204" s="8"/>
      <c r="J204" s="14"/>
      <c r="K204" s="8"/>
      <c r="L204" s="14"/>
      <c r="M204" s="8"/>
      <c r="N204" s="8"/>
    </row>
    <row r="205" spans="1:18" outlineLevel="1" x14ac:dyDescent="0.25">
      <c r="A205" s="16"/>
      <c r="B205" s="7" t="s">
        <v>127</v>
      </c>
      <c r="C205" s="26">
        <v>301</v>
      </c>
      <c r="D205" s="26">
        <v>303</v>
      </c>
      <c r="E205" s="26">
        <v>313</v>
      </c>
      <c r="F205" s="26">
        <v>344</v>
      </c>
      <c r="G205" s="26">
        <v>382</v>
      </c>
      <c r="H205" s="8"/>
      <c r="I205" s="8"/>
      <c r="J205" s="14"/>
      <c r="K205" s="8"/>
      <c r="L205" s="14"/>
      <c r="M205" s="8"/>
      <c r="N205" s="8"/>
    </row>
    <row r="206" spans="1:18" x14ac:dyDescent="0.25">
      <c r="A206" s="16"/>
      <c r="B206" s="8"/>
      <c r="C206" s="18"/>
      <c r="D206" s="18"/>
      <c r="E206" s="18"/>
      <c r="F206" s="18"/>
      <c r="G206" s="18"/>
      <c r="H206" s="8"/>
      <c r="I206" s="8"/>
      <c r="J206" s="8"/>
      <c r="K206" s="8"/>
      <c r="L206" s="8"/>
      <c r="M206" s="8"/>
      <c r="N206" s="8"/>
    </row>
    <row r="207" spans="1:18" hidden="1" outlineLevel="1" x14ac:dyDescent="0.25">
      <c r="A207" s="16"/>
      <c r="B207" s="10" t="s">
        <v>126</v>
      </c>
      <c r="C207" s="18"/>
      <c r="D207" s="18"/>
      <c r="E207" s="18"/>
      <c r="F207" s="18"/>
      <c r="G207" s="18"/>
      <c r="H207" s="8"/>
      <c r="I207" s="8"/>
      <c r="J207" s="8"/>
      <c r="K207" s="8"/>
      <c r="L207" s="8"/>
      <c r="M207" s="8"/>
      <c r="N207" s="8"/>
    </row>
    <row r="208" spans="1:18" hidden="1" outlineLevel="1" x14ac:dyDescent="0.25">
      <c r="A208" s="16"/>
      <c r="B208" s="11" t="s">
        <v>79</v>
      </c>
      <c r="C208" s="37">
        <f>+C8</f>
        <v>2019</v>
      </c>
      <c r="D208" s="37">
        <f>+D8</f>
        <v>2020</v>
      </c>
      <c r="E208" s="37">
        <f>+E8</f>
        <v>2021</v>
      </c>
      <c r="F208" s="37">
        <f>+F8</f>
        <v>2022</v>
      </c>
      <c r="G208" s="37">
        <f>+G8</f>
        <v>2023</v>
      </c>
      <c r="H208" s="13"/>
      <c r="I208" s="8"/>
      <c r="J208" s="13"/>
      <c r="K208" s="8"/>
      <c r="L208" s="8"/>
      <c r="M208" s="8"/>
      <c r="N208" s="8"/>
    </row>
    <row r="209" spans="1:14" hidden="1" outlineLevel="1" x14ac:dyDescent="0.25">
      <c r="A209" s="16"/>
      <c r="B209" s="11" t="s">
        <v>78</v>
      </c>
      <c r="C209" s="17" t="s">
        <v>77</v>
      </c>
      <c r="D209" s="17" t="s">
        <v>77</v>
      </c>
      <c r="E209" s="17" t="s">
        <v>77</v>
      </c>
      <c r="F209" s="17" t="s">
        <v>77</v>
      </c>
      <c r="G209" s="17" t="s">
        <v>77</v>
      </c>
      <c r="H209" s="13"/>
      <c r="I209" s="8"/>
      <c r="J209" s="13"/>
      <c r="K209" s="8"/>
      <c r="L209" s="8"/>
      <c r="M209" s="8"/>
      <c r="N209" s="8"/>
    </row>
    <row r="210" spans="1:14" hidden="1" outlineLevel="1" x14ac:dyDescent="0.25">
      <c r="A210" s="16"/>
      <c r="B210" s="11" t="s">
        <v>76</v>
      </c>
      <c r="C210" s="17" t="s">
        <v>75</v>
      </c>
      <c r="D210" s="17" t="s">
        <v>75</v>
      </c>
      <c r="E210" s="17" t="s">
        <v>75</v>
      </c>
      <c r="F210" s="17" t="s">
        <v>75</v>
      </c>
      <c r="G210" s="17" t="s">
        <v>75</v>
      </c>
      <c r="H210" s="13"/>
      <c r="I210" s="8"/>
      <c r="J210" s="13"/>
      <c r="K210" s="8"/>
      <c r="L210" s="8"/>
      <c r="M210" s="8"/>
      <c r="N210" s="8"/>
    </row>
    <row r="211" spans="1:14" hidden="1" outlineLevel="1" x14ac:dyDescent="0.25">
      <c r="A211" s="16"/>
      <c r="B211" s="11" t="s">
        <v>74</v>
      </c>
      <c r="C211" s="17" t="s">
        <v>73</v>
      </c>
      <c r="D211" s="17" t="s">
        <v>73</v>
      </c>
      <c r="E211" s="17" t="s">
        <v>73</v>
      </c>
      <c r="F211" s="17" t="s">
        <v>73</v>
      </c>
      <c r="G211" s="17" t="s">
        <v>73</v>
      </c>
      <c r="H211" s="13"/>
      <c r="I211" s="8"/>
      <c r="J211" s="13"/>
      <c r="K211" s="8"/>
      <c r="L211" s="8"/>
      <c r="M211" s="8"/>
      <c r="N211" s="8"/>
    </row>
    <row r="212" spans="1:14" hidden="1" outlineLevel="1" x14ac:dyDescent="0.25">
      <c r="A212" s="16"/>
      <c r="B212" s="11" t="s">
        <v>72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3"/>
      <c r="I212" s="8"/>
      <c r="J212" s="13"/>
      <c r="K212" s="8"/>
      <c r="L212" s="8"/>
      <c r="M212" s="8"/>
      <c r="N212" s="8"/>
    </row>
    <row r="213" spans="1:14" collapsed="1" x14ac:dyDescent="0.25">
      <c r="A213" s="16"/>
      <c r="B213" s="7" t="s">
        <v>125</v>
      </c>
      <c r="C213" s="26">
        <v>12565000</v>
      </c>
      <c r="D213" s="26">
        <v>14971000</v>
      </c>
      <c r="E213" s="26">
        <v>18908000</v>
      </c>
      <c r="F213" s="26">
        <v>16235000</v>
      </c>
      <c r="G213" s="26">
        <f>+F217</f>
        <v>10171000</v>
      </c>
      <c r="H213" s="14"/>
      <c r="I213" s="8"/>
      <c r="J213" s="14"/>
      <c r="K213" s="8"/>
      <c r="L213" s="8"/>
      <c r="M213" s="8"/>
      <c r="N213" s="8"/>
    </row>
    <row r="214" spans="1:14" x14ac:dyDescent="0.25">
      <c r="A214" s="16"/>
      <c r="B214" s="7" t="s">
        <v>124</v>
      </c>
      <c r="C214" s="26">
        <v>390000</v>
      </c>
      <c r="D214" s="26">
        <v>395000</v>
      </c>
      <c r="E214" s="26">
        <v>399000</v>
      </c>
      <c r="F214" s="26">
        <v>398000</v>
      </c>
      <c r="G214" s="26">
        <f>+G202*G195</f>
        <v>395040</v>
      </c>
      <c r="H214" s="14"/>
      <c r="I214" s="8"/>
      <c r="J214" s="14"/>
      <c r="K214" s="8"/>
      <c r="L214" s="8"/>
      <c r="M214" s="8"/>
      <c r="N214" s="8"/>
    </row>
    <row r="215" spans="1:14" x14ac:dyDescent="0.25">
      <c r="A215" s="16"/>
      <c r="B215" s="7" t="s">
        <v>123</v>
      </c>
      <c r="C215" s="29">
        <v>0</v>
      </c>
      <c r="D215" s="29">
        <v>0</v>
      </c>
      <c r="E215" s="29">
        <v>0</v>
      </c>
      <c r="F215" s="26">
        <v>10034000</v>
      </c>
      <c r="G215" s="26">
        <v>0</v>
      </c>
      <c r="H215" s="14"/>
      <c r="I215" s="8"/>
      <c r="J215" s="14"/>
      <c r="K215" s="8"/>
      <c r="L215" s="8"/>
      <c r="M215" s="8"/>
      <c r="N215" s="8"/>
    </row>
    <row r="216" spans="1:14" x14ac:dyDescent="0.25">
      <c r="A216" s="16"/>
      <c r="B216" s="7" t="s">
        <v>122</v>
      </c>
      <c r="C216" s="29">
        <v>0</v>
      </c>
      <c r="D216" s="29">
        <v>0</v>
      </c>
      <c r="E216" s="26">
        <v>12026000</v>
      </c>
      <c r="F216" s="29">
        <v>0</v>
      </c>
      <c r="G216" s="26">
        <v>0</v>
      </c>
      <c r="H216" s="14"/>
      <c r="I216" s="8"/>
      <c r="J216" s="14"/>
      <c r="K216" s="8"/>
      <c r="L216" s="8"/>
      <c r="M216" s="8"/>
      <c r="N216" s="8"/>
    </row>
    <row r="217" spans="1:14" x14ac:dyDescent="0.25">
      <c r="A217" s="16" t="s">
        <v>89</v>
      </c>
      <c r="B217" s="9" t="s">
        <v>2</v>
      </c>
      <c r="C217" s="24">
        <v>14971000</v>
      </c>
      <c r="D217" s="24">
        <v>18908000</v>
      </c>
      <c r="E217" s="24">
        <v>16235000</v>
      </c>
      <c r="F217" s="24">
        <v>10171000</v>
      </c>
      <c r="G217" s="24">
        <f>+G213-G214</f>
        <v>9775960</v>
      </c>
      <c r="H217" s="14"/>
      <c r="I217" s="8"/>
      <c r="J217" s="14"/>
      <c r="K217" s="8"/>
      <c r="L217" s="8"/>
      <c r="M217" s="8"/>
      <c r="N217" s="8"/>
    </row>
    <row r="218" spans="1:14" x14ac:dyDescent="0.25">
      <c r="A218" s="16"/>
      <c r="B218" s="7" t="s">
        <v>232</v>
      </c>
      <c r="C218" s="26">
        <f>+C86+C83-C116</f>
        <v>1949000</v>
      </c>
      <c r="D218" s="26">
        <f t="shared" ref="D218:L218" si="49">+D86+D83-D116</f>
        <v>3054000</v>
      </c>
      <c r="E218" s="26">
        <f t="shared" si="49"/>
        <v>822000</v>
      </c>
      <c r="F218" s="26">
        <f t="shared" si="49"/>
        <v>3966000</v>
      </c>
      <c r="G218" s="26">
        <f t="shared" si="49"/>
        <v>12582000</v>
      </c>
      <c r="H218" s="26">
        <f t="shared" si="49"/>
        <v>12582000</v>
      </c>
      <c r="I218" s="26">
        <f t="shared" si="49"/>
        <v>12582000</v>
      </c>
      <c r="J218" s="26">
        <f t="shared" si="49"/>
        <v>12582000</v>
      </c>
      <c r="K218" s="26">
        <f t="shared" si="49"/>
        <v>12582000</v>
      </c>
      <c r="L218" s="26">
        <f t="shared" si="49"/>
        <v>12582000</v>
      </c>
      <c r="M218" s="8"/>
      <c r="N218" s="8"/>
    </row>
    <row r="219" spans="1:14" x14ac:dyDescent="0.25">
      <c r="A219" s="16"/>
      <c r="B219" s="8"/>
      <c r="C219" s="18"/>
      <c r="D219" s="18"/>
      <c r="E219" s="18"/>
      <c r="F219" s="18"/>
      <c r="G219" s="18"/>
      <c r="H219" s="8"/>
      <c r="I219" s="8"/>
      <c r="J219" s="8"/>
      <c r="K219" s="8"/>
      <c r="L219" s="8"/>
      <c r="M219" s="8"/>
      <c r="N219" s="8"/>
    </row>
    <row r="220" spans="1:14" hidden="1" outlineLevel="1" x14ac:dyDescent="0.25">
      <c r="A220" s="16"/>
      <c r="B220" s="10" t="s">
        <v>121</v>
      </c>
      <c r="C220" s="18"/>
      <c r="D220" s="18"/>
      <c r="E220" s="18"/>
      <c r="F220" s="18"/>
      <c r="G220" s="18"/>
      <c r="H220" s="8"/>
      <c r="I220" s="8"/>
      <c r="J220" s="8"/>
      <c r="K220" s="8"/>
      <c r="L220" s="8"/>
      <c r="M220" s="8"/>
      <c r="N220" s="8"/>
    </row>
    <row r="221" spans="1:14" hidden="1" outlineLevel="1" x14ac:dyDescent="0.25">
      <c r="A221" s="16"/>
      <c r="B221" s="11" t="s">
        <v>79</v>
      </c>
      <c r="C221" s="37">
        <f>+C158</f>
        <v>2019</v>
      </c>
      <c r="D221" s="37">
        <f t="shared" ref="D221:G221" si="50">+D158</f>
        <v>2020</v>
      </c>
      <c r="E221" s="37">
        <f t="shared" si="50"/>
        <v>2021</v>
      </c>
      <c r="F221" s="37">
        <f t="shared" si="50"/>
        <v>2022</v>
      </c>
      <c r="G221" s="37">
        <f t="shared" si="50"/>
        <v>2023</v>
      </c>
      <c r="J221" s="13"/>
      <c r="K221" s="8"/>
      <c r="L221" s="13"/>
      <c r="M221" s="8"/>
      <c r="N221" s="8"/>
    </row>
    <row r="222" spans="1:14" hidden="1" outlineLevel="1" x14ac:dyDescent="0.25">
      <c r="A222" s="16"/>
      <c r="B222" s="11" t="s">
        <v>78</v>
      </c>
      <c r="C222" s="17" t="s">
        <v>77</v>
      </c>
      <c r="D222" s="17" t="s">
        <v>77</v>
      </c>
      <c r="E222" s="17" t="s">
        <v>77</v>
      </c>
      <c r="F222" s="12" t="s">
        <v>77</v>
      </c>
      <c r="G222" s="12" t="s">
        <v>77</v>
      </c>
      <c r="J222" s="13"/>
      <c r="K222" s="8"/>
      <c r="L222" s="13"/>
      <c r="M222" s="8"/>
      <c r="N222" s="8"/>
    </row>
    <row r="223" spans="1:14" hidden="1" outlineLevel="1" x14ac:dyDescent="0.25">
      <c r="A223" s="16"/>
      <c r="B223" s="11" t="s">
        <v>76</v>
      </c>
      <c r="C223" s="17" t="s">
        <v>75</v>
      </c>
      <c r="D223" s="17" t="s">
        <v>75</v>
      </c>
      <c r="E223" s="17" t="s">
        <v>75</v>
      </c>
      <c r="F223" s="12" t="s">
        <v>75</v>
      </c>
      <c r="G223" s="12" t="s">
        <v>75</v>
      </c>
      <c r="J223" s="13"/>
      <c r="K223" s="8"/>
      <c r="L223" s="13"/>
      <c r="M223" s="8"/>
      <c r="N223" s="8"/>
    </row>
    <row r="224" spans="1:14" hidden="1" outlineLevel="1" x14ac:dyDescent="0.25">
      <c r="A224" s="16"/>
      <c r="B224" s="11" t="s">
        <v>74</v>
      </c>
      <c r="C224" s="17" t="s">
        <v>73</v>
      </c>
      <c r="D224" s="17" t="s">
        <v>73</v>
      </c>
      <c r="E224" s="17" t="s">
        <v>73</v>
      </c>
      <c r="F224" s="12" t="s">
        <v>73</v>
      </c>
      <c r="G224" s="12" t="s">
        <v>73</v>
      </c>
      <c r="J224" s="13"/>
      <c r="K224" s="8"/>
      <c r="L224" s="13"/>
      <c r="M224" s="8"/>
      <c r="N224" s="8"/>
    </row>
    <row r="225" spans="1:14" hidden="1" outlineLevel="1" x14ac:dyDescent="0.25">
      <c r="A225" s="16"/>
      <c r="B225" s="11" t="s">
        <v>72</v>
      </c>
      <c r="C225" s="17" t="s">
        <v>71</v>
      </c>
      <c r="D225" s="17" t="s">
        <v>71</v>
      </c>
      <c r="E225" s="17" t="s">
        <v>71</v>
      </c>
      <c r="F225" s="12" t="s">
        <v>71</v>
      </c>
      <c r="G225" s="12" t="s">
        <v>71</v>
      </c>
      <c r="J225" s="13"/>
      <c r="K225" s="8"/>
      <c r="L225" s="13"/>
      <c r="M225" s="8"/>
      <c r="N225" s="8"/>
    </row>
    <row r="226" spans="1:14" collapsed="1" x14ac:dyDescent="0.25">
      <c r="A226" s="16" t="s">
        <v>89</v>
      </c>
      <c r="B226" s="9" t="s">
        <v>120</v>
      </c>
      <c r="C226" s="24">
        <v>2796000</v>
      </c>
      <c r="D226" s="24">
        <v>4332000</v>
      </c>
      <c r="E226" s="24">
        <v>9752000</v>
      </c>
      <c r="F226" s="24">
        <v>4368000</v>
      </c>
      <c r="G226" s="24">
        <v>29760000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119</v>
      </c>
      <c r="C227" s="26">
        <v>844000</v>
      </c>
      <c r="D227" s="26">
        <v>1397000</v>
      </c>
      <c r="E227" s="26">
        <v>2004000</v>
      </c>
      <c r="F227" s="26">
        <v>2709000</v>
      </c>
      <c r="G227" s="26">
        <v>3549000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118</v>
      </c>
      <c r="C228" s="26">
        <v>381000</v>
      </c>
      <c r="D228" s="26">
        <v>1098000</v>
      </c>
      <c r="E228" s="26">
        <v>1174000</v>
      </c>
      <c r="F228" s="26">
        <v>1544000</v>
      </c>
      <c r="G228" s="26">
        <v>1508000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117</v>
      </c>
      <c r="C229" s="29">
        <v>0</v>
      </c>
      <c r="D229" s="29">
        <v>0</v>
      </c>
      <c r="E229" s="29">
        <v>0</v>
      </c>
      <c r="F229" s="26">
        <v>1353000</v>
      </c>
      <c r="G229" s="29">
        <v>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116</v>
      </c>
      <c r="C230" s="26">
        <v>18000</v>
      </c>
      <c r="D230" s="26">
        <v>-282000</v>
      </c>
      <c r="E230" s="26">
        <v>-406000</v>
      </c>
      <c r="F230" s="26">
        <v>-2164000</v>
      </c>
      <c r="G230" s="26">
        <v>-2489000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115</v>
      </c>
      <c r="C231" s="29">
        <v>0</v>
      </c>
      <c r="D231" s="29">
        <v>0</v>
      </c>
      <c r="E231" s="26">
        <v>-100000</v>
      </c>
      <c r="F231" s="26">
        <v>45000</v>
      </c>
      <c r="G231" s="26">
        <v>-238000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114</v>
      </c>
      <c r="C232" s="26">
        <v>5000</v>
      </c>
      <c r="D232" s="26">
        <v>-20000</v>
      </c>
      <c r="E232" s="26">
        <v>47000</v>
      </c>
      <c r="F232" s="26">
        <v>-7000</v>
      </c>
      <c r="G232" s="29">
        <v>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113</v>
      </c>
      <c r="C233" s="26">
        <v>-233000</v>
      </c>
      <c r="D233" s="26">
        <v>-550000</v>
      </c>
      <c r="E233" s="26">
        <v>-2215000</v>
      </c>
      <c r="F233" s="26">
        <v>822000</v>
      </c>
      <c r="G233" s="26">
        <v>-6172000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62</v>
      </c>
      <c r="C234" s="26">
        <v>597000</v>
      </c>
      <c r="D234" s="26">
        <v>-524000</v>
      </c>
      <c r="E234" s="26">
        <v>-774000</v>
      </c>
      <c r="F234" s="26">
        <v>-2554000</v>
      </c>
      <c r="G234" s="26">
        <v>-98000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112</v>
      </c>
      <c r="C235" s="29">
        <v>0</v>
      </c>
      <c r="D235" s="29">
        <v>0</v>
      </c>
      <c r="E235" s="29">
        <v>0</v>
      </c>
      <c r="F235" s="29">
        <v>0</v>
      </c>
      <c r="G235" s="26">
        <v>-1522000</v>
      </c>
      <c r="H235" s="8"/>
      <c r="I235" s="8"/>
      <c r="J235" s="14"/>
      <c r="K235" s="8"/>
      <c r="L235" s="14"/>
      <c r="M235" s="8"/>
      <c r="N235" s="8"/>
    </row>
    <row r="236" spans="1:14" x14ac:dyDescent="0.25">
      <c r="A236" s="16"/>
      <c r="B236" s="7" t="s">
        <v>111</v>
      </c>
      <c r="C236" s="26">
        <v>77000</v>
      </c>
      <c r="D236" s="26">
        <v>-394000</v>
      </c>
      <c r="E236" s="26">
        <v>-1715000</v>
      </c>
      <c r="F236" s="26">
        <v>-1517000</v>
      </c>
      <c r="G236" s="29">
        <v>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/>
      <c r="B237" s="7" t="s">
        <v>36</v>
      </c>
      <c r="C237" s="26">
        <v>194000</v>
      </c>
      <c r="D237" s="26">
        <v>363000</v>
      </c>
      <c r="E237" s="26">
        <v>568000</v>
      </c>
      <c r="F237" s="26">
        <v>-551000</v>
      </c>
      <c r="G237" s="26">
        <v>1531000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23</v>
      </c>
      <c r="C238" s="26">
        <v>54000</v>
      </c>
      <c r="D238" s="26">
        <v>239000</v>
      </c>
      <c r="E238" s="26">
        <v>581000</v>
      </c>
      <c r="F238" s="26">
        <v>1341000</v>
      </c>
      <c r="G238" s="29">
        <v>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110</v>
      </c>
      <c r="C239" s="29">
        <v>0</v>
      </c>
      <c r="D239" s="29">
        <v>0</v>
      </c>
      <c r="E239" s="29">
        <v>0</v>
      </c>
      <c r="F239" s="29">
        <v>0</v>
      </c>
      <c r="G239" s="26">
        <v>2025000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9</v>
      </c>
      <c r="C240" s="26">
        <v>28000</v>
      </c>
      <c r="D240" s="26">
        <v>163000</v>
      </c>
      <c r="E240" s="26">
        <v>192000</v>
      </c>
      <c r="F240" s="26">
        <v>252000</v>
      </c>
      <c r="G240" s="26">
        <v>514000</v>
      </c>
      <c r="H240" s="8"/>
      <c r="I240" s="8"/>
      <c r="J240" s="14"/>
      <c r="K240" s="8"/>
      <c r="L240" s="14"/>
      <c r="M240" s="8"/>
      <c r="N240" s="8"/>
    </row>
    <row r="241" spans="1:14" ht="17.25" x14ac:dyDescent="0.4">
      <c r="A241" s="16"/>
      <c r="B241" s="7" t="s">
        <v>8</v>
      </c>
      <c r="C241" s="32">
        <v>0</v>
      </c>
      <c r="D241" s="32">
        <v>0</v>
      </c>
      <c r="E241" s="32">
        <v>0</v>
      </c>
      <c r="F241" s="32">
        <v>0</v>
      </c>
      <c r="G241" s="31">
        <v>-278000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 t="s">
        <v>89</v>
      </c>
      <c r="B242" s="9" t="s">
        <v>109</v>
      </c>
      <c r="C242" s="24">
        <v>4761000</v>
      </c>
      <c r="D242" s="24">
        <v>5822000</v>
      </c>
      <c r="E242" s="24">
        <v>9108000</v>
      </c>
      <c r="F242" s="24">
        <v>5641000</v>
      </c>
      <c r="G242" s="24">
        <v>28090000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108</v>
      </c>
      <c r="C243" s="26">
        <v>4744000</v>
      </c>
      <c r="D243" s="26">
        <v>8792000</v>
      </c>
      <c r="E243" s="26">
        <v>15197000</v>
      </c>
      <c r="F243" s="26">
        <v>19425000</v>
      </c>
      <c r="G243" s="26">
        <v>50000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107</v>
      </c>
      <c r="C244" s="26">
        <v>3365000</v>
      </c>
      <c r="D244" s="26">
        <v>527000</v>
      </c>
      <c r="E244" s="26">
        <v>1023000</v>
      </c>
      <c r="F244" s="26">
        <v>1806000</v>
      </c>
      <c r="G244" s="29">
        <v>0</v>
      </c>
      <c r="H244" s="8"/>
      <c r="I244" s="8"/>
      <c r="J244" s="14"/>
      <c r="K244" s="8"/>
      <c r="L244" s="14"/>
      <c r="M244" s="8"/>
      <c r="N244" s="8"/>
    </row>
    <row r="245" spans="1:14" x14ac:dyDescent="0.25">
      <c r="A245" s="16"/>
      <c r="B245" s="7" t="s">
        <v>106</v>
      </c>
      <c r="C245" s="29">
        <v>0</v>
      </c>
      <c r="D245" s="29">
        <v>0</v>
      </c>
      <c r="E245" s="29">
        <v>0</v>
      </c>
      <c r="F245" s="29">
        <v>0</v>
      </c>
      <c r="G245" s="26">
        <v>9732000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/>
      <c r="B246" s="7" t="s">
        <v>105</v>
      </c>
      <c r="C246" s="26">
        <v>-1461000</v>
      </c>
      <c r="D246" s="26">
        <v>-19308000</v>
      </c>
      <c r="E246" s="26">
        <v>-24787000</v>
      </c>
      <c r="F246" s="26">
        <v>-11897000</v>
      </c>
      <c r="G246" s="29">
        <v>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104</v>
      </c>
      <c r="C247" s="26">
        <v>-489000</v>
      </c>
      <c r="D247" s="26">
        <v>-1128000</v>
      </c>
      <c r="E247" s="26">
        <v>-976000</v>
      </c>
      <c r="F247" s="26">
        <v>-1833000</v>
      </c>
      <c r="G247" s="26">
        <v>-1069000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103</v>
      </c>
      <c r="C248" s="29">
        <v>0</v>
      </c>
      <c r="D248" s="26">
        <v>-8524000</v>
      </c>
      <c r="E248" s="26">
        <v>-263000</v>
      </c>
      <c r="F248" s="26">
        <v>-49000</v>
      </c>
      <c r="G248" s="26">
        <v>-83000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102</v>
      </c>
      <c r="C249" s="26">
        <v>-14000</v>
      </c>
      <c r="D249" s="26">
        <v>-34000</v>
      </c>
      <c r="E249" s="26">
        <v>-24000</v>
      </c>
      <c r="F249" s="26">
        <v>-77000</v>
      </c>
      <c r="G249" s="26">
        <v>-985000</v>
      </c>
      <c r="H249" s="8"/>
      <c r="I249" s="8"/>
      <c r="J249" s="14"/>
      <c r="K249" s="8"/>
      <c r="L249" s="14"/>
      <c r="M249" s="8"/>
      <c r="N249" s="8"/>
    </row>
    <row r="250" spans="1:14" ht="17.25" x14ac:dyDescent="0.4">
      <c r="A250" s="16"/>
      <c r="B250" s="7" t="s">
        <v>101</v>
      </c>
      <c r="C250" s="32">
        <v>0</v>
      </c>
      <c r="D250" s="32">
        <v>0</v>
      </c>
      <c r="E250" s="32">
        <v>0</v>
      </c>
      <c r="F250" s="32">
        <v>0</v>
      </c>
      <c r="G250" s="31">
        <v>-18211000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 t="s">
        <v>89</v>
      </c>
      <c r="B251" s="9" t="s">
        <v>100</v>
      </c>
      <c r="C251" s="24">
        <v>6145000</v>
      </c>
      <c r="D251" s="24">
        <v>-19675000</v>
      </c>
      <c r="E251" s="24">
        <v>-9830000</v>
      </c>
      <c r="F251" s="24">
        <v>7375000</v>
      </c>
      <c r="G251" s="24">
        <v>-10566000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99</v>
      </c>
      <c r="C252" s="29">
        <v>0</v>
      </c>
      <c r="D252" s="26">
        <v>4968000</v>
      </c>
      <c r="E252" s="26">
        <v>4977000</v>
      </c>
      <c r="F252" s="29">
        <v>0</v>
      </c>
      <c r="G252" s="29">
        <v>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98</v>
      </c>
      <c r="C253" s="29">
        <v>0</v>
      </c>
      <c r="D253" s="29">
        <v>0</v>
      </c>
      <c r="E253" s="29">
        <v>0</v>
      </c>
      <c r="F253" s="26">
        <v>-10039000</v>
      </c>
      <c r="G253" s="26">
        <v>-9533000</v>
      </c>
      <c r="H253" s="8"/>
      <c r="I253" s="8"/>
      <c r="J253" s="14"/>
      <c r="K253" s="8"/>
      <c r="L253" s="14"/>
      <c r="M253" s="8"/>
      <c r="N253" s="8"/>
    </row>
    <row r="254" spans="1:14" x14ac:dyDescent="0.25">
      <c r="A254" s="16"/>
      <c r="B254" s="7" t="s">
        <v>97</v>
      </c>
      <c r="C254" s="26">
        <v>149000</v>
      </c>
      <c r="D254" s="26">
        <v>194000</v>
      </c>
      <c r="E254" s="26">
        <v>281000</v>
      </c>
      <c r="F254" s="26">
        <v>355000</v>
      </c>
      <c r="G254" s="29">
        <v>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96</v>
      </c>
      <c r="C255" s="26">
        <v>-551000</v>
      </c>
      <c r="D255" s="26">
        <v>-942000</v>
      </c>
      <c r="E255" s="26">
        <v>-1904000</v>
      </c>
      <c r="F255" s="26">
        <v>-1475000</v>
      </c>
      <c r="G255" s="26">
        <v>-2783000</v>
      </c>
      <c r="H255" s="8"/>
      <c r="I255" s="8"/>
      <c r="J255" s="14"/>
      <c r="K255" s="8"/>
      <c r="L255" s="14"/>
      <c r="M255" s="8"/>
      <c r="N255" s="8"/>
    </row>
    <row r="256" spans="1:14" x14ac:dyDescent="0.25">
      <c r="A256" s="16"/>
      <c r="B256" s="7" t="s">
        <v>95</v>
      </c>
      <c r="C256" s="29">
        <v>0</v>
      </c>
      <c r="D256" s="29">
        <v>0</v>
      </c>
      <c r="E256" s="26">
        <v>-1000000</v>
      </c>
      <c r="F256" s="29">
        <v>0</v>
      </c>
      <c r="G256" s="26">
        <v>-1250000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/>
      <c r="B257" s="7" t="s">
        <v>94</v>
      </c>
      <c r="C257" s="26">
        <v>-390000</v>
      </c>
      <c r="D257" s="26">
        <v>-395000</v>
      </c>
      <c r="E257" s="26">
        <v>-399000</v>
      </c>
      <c r="F257" s="26">
        <v>-398000</v>
      </c>
      <c r="G257" s="26">
        <v>-395000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16"/>
      <c r="B258" s="7" t="s">
        <v>93</v>
      </c>
      <c r="C258" s="29">
        <v>0</v>
      </c>
      <c r="D258" s="26">
        <v>-17000</v>
      </c>
      <c r="E258" s="26">
        <v>-83000</v>
      </c>
      <c r="F258" s="26">
        <v>-58000</v>
      </c>
      <c r="G258" s="29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8"/>
      <c r="N258" s="8"/>
    </row>
    <row r="259" spans="1:14" x14ac:dyDescent="0.25">
      <c r="A259" s="16"/>
      <c r="B259" s="7" t="s">
        <v>92</v>
      </c>
      <c r="C259" s="29">
        <v>0</v>
      </c>
      <c r="D259" s="29">
        <v>0</v>
      </c>
      <c r="E259" s="29">
        <v>0</v>
      </c>
      <c r="F259" s="29">
        <v>0</v>
      </c>
      <c r="G259" s="26">
        <v>-74000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16"/>
      <c r="B260" s="7" t="s">
        <v>91</v>
      </c>
      <c r="C260" s="29">
        <v>0</v>
      </c>
      <c r="D260" s="29">
        <v>0</v>
      </c>
      <c r="E260" s="29">
        <v>0</v>
      </c>
      <c r="F260" s="29">
        <v>0</v>
      </c>
      <c r="G260" s="26">
        <v>403000</v>
      </c>
      <c r="H260" s="8"/>
      <c r="I260" s="8"/>
      <c r="J260" s="14"/>
      <c r="K260" s="8"/>
      <c r="L260" s="14"/>
      <c r="M260" s="8"/>
      <c r="N260" s="8"/>
    </row>
    <row r="261" spans="1:14" ht="17.25" x14ac:dyDescent="0.4">
      <c r="A261" s="16"/>
      <c r="B261" s="7" t="s">
        <v>90</v>
      </c>
      <c r="C261" s="32">
        <v>0</v>
      </c>
      <c r="D261" s="31">
        <v>-4000</v>
      </c>
      <c r="E261" s="31">
        <v>-7000</v>
      </c>
      <c r="F261" s="31">
        <v>-2000</v>
      </c>
      <c r="G261" s="31">
        <v>-1000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16" t="s">
        <v>89</v>
      </c>
      <c r="B262" s="9" t="s">
        <v>88</v>
      </c>
      <c r="C262" s="24">
        <v>-792000</v>
      </c>
      <c r="D262" s="24">
        <v>3804000</v>
      </c>
      <c r="E262" s="24">
        <v>1865000</v>
      </c>
      <c r="F262" s="24">
        <v>-11617000</v>
      </c>
      <c r="G262" s="24">
        <v>-13633000</v>
      </c>
      <c r="H262" s="8"/>
      <c r="I262" s="8"/>
      <c r="J262" s="14"/>
      <c r="K262" s="8"/>
      <c r="L262" s="14"/>
      <c r="M262" s="8"/>
      <c r="N262" s="8"/>
    </row>
    <row r="263" spans="1:14" x14ac:dyDescent="0.25">
      <c r="A263" s="8"/>
      <c r="B263" s="7" t="s">
        <v>87</v>
      </c>
      <c r="C263" s="26">
        <v>10114000</v>
      </c>
      <c r="D263" s="26">
        <v>-10049000</v>
      </c>
      <c r="E263" s="26">
        <v>1143000</v>
      </c>
      <c r="F263" s="26">
        <v>1399000</v>
      </c>
      <c r="G263" s="26">
        <v>3891000</v>
      </c>
      <c r="H263" s="8"/>
      <c r="I263" s="8"/>
      <c r="J263" s="14"/>
      <c r="K263" s="8"/>
      <c r="L263" s="14"/>
      <c r="M263" s="8"/>
      <c r="N263" s="8"/>
    </row>
    <row r="264" spans="1:14" x14ac:dyDescent="0.25">
      <c r="A264" s="8"/>
      <c r="B264" s="7" t="s">
        <v>86</v>
      </c>
      <c r="C264" s="26">
        <v>782000</v>
      </c>
      <c r="D264" s="26">
        <v>10896000</v>
      </c>
      <c r="E264" s="26">
        <v>847000</v>
      </c>
      <c r="F264" s="26">
        <v>1990000</v>
      </c>
      <c r="G264" s="26">
        <v>3389000</v>
      </c>
      <c r="H264" s="8"/>
      <c r="I264" s="8"/>
      <c r="J264" s="14"/>
      <c r="K264" s="8"/>
      <c r="L264" s="14"/>
      <c r="M264" s="8"/>
      <c r="N264" s="8"/>
    </row>
    <row r="265" spans="1:14" x14ac:dyDescent="0.25">
      <c r="A265" s="8"/>
      <c r="B265" s="7" t="s">
        <v>85</v>
      </c>
      <c r="C265" s="26">
        <v>10896000</v>
      </c>
      <c r="D265" s="26">
        <v>847000</v>
      </c>
      <c r="E265" s="26">
        <v>1990000</v>
      </c>
      <c r="F265" s="26">
        <v>3389000</v>
      </c>
      <c r="G265" s="26">
        <v>7280000</v>
      </c>
      <c r="H265" s="8"/>
      <c r="I265" s="8"/>
      <c r="J265" s="14"/>
      <c r="K265" s="8"/>
      <c r="L265" s="14"/>
      <c r="M265" s="8"/>
      <c r="N265" s="8"/>
    </row>
    <row r="266" spans="1:14" x14ac:dyDescent="0.25">
      <c r="A266" s="8"/>
      <c r="B266" s="7" t="s">
        <v>84</v>
      </c>
      <c r="C266" s="26">
        <v>176000</v>
      </c>
      <c r="D266" s="26">
        <v>249000</v>
      </c>
      <c r="E266" s="26">
        <v>396000</v>
      </c>
      <c r="F266" s="26">
        <v>1404000</v>
      </c>
      <c r="G266" s="26">
        <v>6549000</v>
      </c>
      <c r="H266" s="8"/>
      <c r="I266" s="8"/>
      <c r="J266" s="14"/>
      <c r="K266" s="8"/>
      <c r="L266" s="14"/>
      <c r="M266" s="8"/>
      <c r="N266" s="8"/>
    </row>
    <row r="267" spans="1:14" x14ac:dyDescent="0.25">
      <c r="A267" s="8"/>
      <c r="B267" s="7" t="s">
        <v>83</v>
      </c>
      <c r="C267" s="26">
        <v>54000</v>
      </c>
      <c r="D267" s="26">
        <v>138000</v>
      </c>
      <c r="E267" s="26">
        <v>246000</v>
      </c>
      <c r="F267" s="26">
        <v>254000</v>
      </c>
      <c r="G267" s="26">
        <v>252000</v>
      </c>
      <c r="H267" s="8"/>
      <c r="I267" s="8"/>
      <c r="J267" s="14"/>
      <c r="K267" s="8"/>
      <c r="L267" s="14"/>
      <c r="M267" s="8"/>
      <c r="N26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G7" sqref="G7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/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3" t="s">
        <v>271</v>
      </c>
      <c r="B1" s="103" t="s">
        <v>270</v>
      </c>
      <c r="C1" s="103" t="s">
        <v>269</v>
      </c>
      <c r="D1" s="103" t="s">
        <v>272</v>
      </c>
      <c r="E1" s="103" t="s">
        <v>273</v>
      </c>
    </row>
    <row r="2" spans="1:5" x14ac:dyDescent="0.25">
      <c r="A2" s="102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2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2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2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2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2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2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2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2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2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2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2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2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2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2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2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2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2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2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2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2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2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2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2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2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2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2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2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2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2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2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2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2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2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2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2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2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2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2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2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2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2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2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2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2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2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2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2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2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2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2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2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2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2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2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2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2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2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2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2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2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2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2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2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2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2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2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2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2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2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2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2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2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2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2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2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2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2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2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2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2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2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2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2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2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2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2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2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2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2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2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2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2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2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2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2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2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2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2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2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2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2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2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2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2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2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2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2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2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2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2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2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2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2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2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2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2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2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2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2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2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2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2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2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2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2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2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2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2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2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2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2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2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2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2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2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2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2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2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2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2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2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2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2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2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2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2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2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2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2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2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2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2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2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2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2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2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2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2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2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2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2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2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2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2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2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2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2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2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2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2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2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2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2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2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2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2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2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2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2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2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2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2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2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2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2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2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2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2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2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2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2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2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2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2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2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2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2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2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2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2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2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2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2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2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2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2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2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2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2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2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2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2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2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2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2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2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2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2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2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2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2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2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2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2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2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2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2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2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2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2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2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2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2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2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2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2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2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2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2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2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2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2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2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2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2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2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2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2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2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2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2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2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2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2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2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2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2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2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2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2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2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2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2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2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2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2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2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2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2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2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2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2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2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2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2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2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2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2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2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2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2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2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2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2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2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2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2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2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2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2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2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2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2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2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2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2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2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2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2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2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2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2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2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2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2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2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2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2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2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2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2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2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2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2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2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2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2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2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2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2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2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2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2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2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2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2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2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2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2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2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2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2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2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2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2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2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2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2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2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2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2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2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2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2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2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2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2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2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2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2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2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2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2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2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2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2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2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2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2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2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2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2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2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2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2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2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2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2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2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2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2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2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2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2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2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2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2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2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2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2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2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2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2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2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2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2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2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2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2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2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2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2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2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2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2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2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2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2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2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2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2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2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2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2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2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2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2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2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2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2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2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2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2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2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2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2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2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2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2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2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2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2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2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2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2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2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2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2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2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2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2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2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2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2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2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2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2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2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2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2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2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2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2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2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2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2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2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2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2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2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2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2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2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2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2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2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2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2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2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2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2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2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2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2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2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2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2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2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2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2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2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2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2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2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2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2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2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2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2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2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2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2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2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2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2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2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2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2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2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2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2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2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2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2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2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2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2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2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2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2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2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2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2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2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2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2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2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2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2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2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2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2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2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2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2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2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2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2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2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2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2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2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2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2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2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2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2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2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2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2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2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2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2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2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2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2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2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2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2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2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2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2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2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2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2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2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2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2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2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2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2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2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2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2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2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2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2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2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2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2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2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2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2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2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2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2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2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2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2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2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2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2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2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2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2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2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2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2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2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2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2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2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2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2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2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2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2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2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2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2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2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2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2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2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2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2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2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2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2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2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2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2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2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2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2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2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2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2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2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2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2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2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2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2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2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2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2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2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2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2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2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2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2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2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2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2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2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2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2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2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2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2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2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2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2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2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2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2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2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2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2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2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2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2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2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2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2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2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2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2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2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2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2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2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2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2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2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2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2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2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2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2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2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2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2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2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2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2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2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2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2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2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2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2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2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2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2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2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2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2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2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2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2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2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2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2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2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2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2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2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2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2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2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2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2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2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2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2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2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2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2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2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2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2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2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2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2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2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2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2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2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2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2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2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2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2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2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2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2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2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2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2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2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2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2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2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2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2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2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2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2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2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2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2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2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2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2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2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2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2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2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2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2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2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2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2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2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2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2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2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2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2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2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2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Sheet1</vt:lpstr>
      <vt:lpstr>Financial Statement</vt:lpstr>
      <vt:lpstr>Debt Schedule</vt:lpstr>
      <vt:lpstr>Reference</vt:lpstr>
      <vt:lpstr>df</vt:lpstr>
      <vt:lpstr>AV</vt:lpstr>
      <vt:lpstr>DCAI</vt:lpstr>
      <vt:lpstr>forecastSALES</vt:lpstr>
      <vt:lpstr>FORTax</vt:lpstr>
      <vt:lpstr>FX</vt:lpstr>
      <vt:lpstr>GFX</vt:lpstr>
      <vt:lpstr>GPUprices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2024-04-20T19:55:27Z</dcterms:modified>
</cp:coreProperties>
</file>